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omments5.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6.xml" ContentType="application/vnd.openxmlformats-officedocument.spreadsheetml.comments+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GitHub\TwitchCordBot\"/>
    </mc:Choice>
  </mc:AlternateContent>
  <xr:revisionPtr revIDLastSave="0" documentId="13_ncr:1_{EF0FD14F-BA4E-4240-9F23-921789CC265F}" xr6:coauthVersionLast="47" xr6:coauthVersionMax="47" xr10:uidLastSave="{00000000-0000-0000-0000-000000000000}"/>
  <bookViews>
    <workbookView xWindow="-120" yWindow="-120" windowWidth="29040" windowHeight="15840" activeTab="3" xr2:uid="{00000000-000D-0000-FFFF-FFFF00000000}"/>
  </bookViews>
  <sheets>
    <sheet name="Achievements" sheetId="1" r:id="rId1"/>
    <sheet name="Heroes" sheetId="2" r:id="rId2"/>
    <sheet name="Monsters" sheetId="3" r:id="rId3"/>
    <sheet name="Items" sheetId="4" r:id="rId4"/>
    <sheet name="Keywords" sheetId="5" r:id="rId5"/>
    <sheet name="Baseside-Keyword" sheetId="6" r:id="rId6"/>
    <sheet name="Curses" sheetId="7" r:id="rId7"/>
    <sheet name="Tweaks" sheetId="8" r:id="rId8"/>
    <sheet name="Blessings" sheetId="9" r:id="rId9"/>
    <sheet name="Events" sheetId="10" r:id="rId10"/>
    <sheet name="Paste" sheetId="11" r:id="rId11"/>
    <sheet name="Paste Editor (Beta)" sheetId="12" r:id="rId12"/>
    <sheet name="Blessings (overview)" sheetId="13" r:id="rId13"/>
    <sheet name="Curses (overview)" sheetId="14" r:id="rId14"/>
    <sheet name="HIDDEN Hidden Helpsheet" sheetId="15" state="hidden" r:id="rId15"/>
    <sheet name="Experimental Curse Table" sheetId="16" state="hidden" r:id="rId16"/>
    <sheet name="Cursed tracker" sheetId="17" state="hidden" r:id="rId17"/>
  </sheets>
  <definedNames>
    <definedName name="_xlnm._FilterDatabase" localSheetId="5" hidden="1">'Baseside-Keyword'!$A$3:$AD$85</definedName>
    <definedName name="_xlnm._FilterDatabase" localSheetId="6" hidden="1">Curses!$A$2:$G$410</definedName>
    <definedName name="_xlnm._FilterDatabase" localSheetId="1" hidden="1">Heroes!$B$3:$P$105</definedName>
    <definedName name="_xlnm._FilterDatabase" localSheetId="3" hidden="1">Items!$A$2:$D$356</definedName>
    <definedName name="Z_E18FC858_70C2_41D0_A454_3B9FEEAA5023_.wvu.FilterData" localSheetId="6" hidden="1">Curses!$A$3:$D$37</definedName>
  </definedNames>
  <calcPr calcId="181029"/>
  <customWorkbookViews>
    <customWorkbookView name="Bộ lọc 1" guid="{E18FC858-70C2-41D0-A454-3B9FEEAA5023}" maximized="1" windowWidth="0" windowHeight="0" activeSheetId="0"/>
  </customWorkbookViews>
</workbook>
</file>

<file path=xl/calcChain.xml><?xml version="1.0" encoding="utf-8"?>
<calcChain xmlns="http://schemas.openxmlformats.org/spreadsheetml/2006/main">
  <c r="M128" i="17" l="1"/>
  <c r="L128" i="17"/>
  <c r="K128" i="17"/>
  <c r="J128" i="17"/>
  <c r="I128" i="17"/>
  <c r="G128" i="17"/>
  <c r="E128" i="17"/>
  <c r="C128" i="17"/>
  <c r="AB99" i="17"/>
  <c r="AA99" i="17"/>
  <c r="Z99" i="17"/>
  <c r="Y99" i="17"/>
  <c r="X99" i="17"/>
  <c r="W99" i="17"/>
  <c r="V99" i="17"/>
  <c r="U99" i="17"/>
  <c r="T99" i="17"/>
  <c r="S99" i="17"/>
  <c r="R99" i="17"/>
  <c r="Q99" i="17"/>
  <c r="P99" i="17"/>
  <c r="O99" i="17"/>
  <c r="N99" i="17"/>
  <c r="M99" i="17"/>
  <c r="L99" i="17"/>
  <c r="K99" i="17"/>
  <c r="J99" i="17"/>
  <c r="I99" i="17"/>
  <c r="G99" i="17"/>
  <c r="E99" i="17"/>
  <c r="C99" i="17"/>
  <c r="C96" i="17"/>
  <c r="AN74" i="17"/>
  <c r="AM74" i="17"/>
  <c r="AL74" i="17"/>
  <c r="AK74" i="17"/>
  <c r="AJ74" i="17"/>
  <c r="AI74" i="17"/>
  <c r="AH74" i="17"/>
  <c r="AG74" i="17"/>
  <c r="AF74" i="17"/>
  <c r="AE74" i="17"/>
  <c r="AD74" i="17"/>
  <c r="AC74" i="17"/>
  <c r="AB74" i="17"/>
  <c r="AA74" i="17"/>
  <c r="Z74" i="17"/>
  <c r="Y74" i="17"/>
  <c r="X74" i="17"/>
  <c r="W74" i="17"/>
  <c r="V74" i="17"/>
  <c r="U74" i="17"/>
  <c r="T74" i="17"/>
  <c r="S74" i="17"/>
  <c r="R74" i="17"/>
  <c r="Q74" i="17"/>
  <c r="P74" i="17"/>
  <c r="O74" i="17"/>
  <c r="N74" i="17"/>
  <c r="M74" i="17"/>
  <c r="L74" i="17"/>
  <c r="K74" i="17"/>
  <c r="J74" i="17"/>
  <c r="I74" i="17"/>
  <c r="G74" i="17"/>
  <c r="E74" i="17"/>
  <c r="C74" i="17"/>
  <c r="X1" i="17"/>
  <c r="W1" i="17"/>
  <c r="V1" i="17"/>
  <c r="U1" i="17"/>
  <c r="T1" i="17"/>
  <c r="S1" i="17"/>
  <c r="R1" i="17"/>
  <c r="Q1" i="17"/>
  <c r="P1" i="17"/>
  <c r="O1" i="17"/>
  <c r="N1" i="17"/>
  <c r="M1" i="17"/>
  <c r="L1" i="17"/>
  <c r="K1" i="17"/>
  <c r="J1" i="17"/>
  <c r="I1" i="17"/>
  <c r="G1" i="17"/>
  <c r="E1" i="17"/>
  <c r="C1" i="17"/>
  <c r="AM43" i="16"/>
  <c r="AL43" i="16"/>
  <c r="AK43" i="16"/>
  <c r="AJ43" i="16"/>
  <c r="AI43" i="16"/>
  <c r="AH43" i="16"/>
  <c r="AG43" i="16"/>
  <c r="AF43" i="16"/>
  <c r="AE43" i="16"/>
  <c r="AD43" i="16"/>
  <c r="AC43" i="16"/>
  <c r="AB43" i="16"/>
  <c r="AA43" i="16"/>
  <c r="Z43" i="16"/>
  <c r="Y43" i="16"/>
  <c r="X43" i="16"/>
  <c r="W43" i="16"/>
  <c r="V43" i="16"/>
  <c r="U43" i="16"/>
  <c r="T43" i="16"/>
  <c r="S43" i="16"/>
  <c r="R43" i="16"/>
  <c r="Q43" i="16"/>
  <c r="P43" i="16"/>
  <c r="O43" i="16"/>
  <c r="N43" i="16"/>
  <c r="M43" i="16"/>
  <c r="L43" i="16"/>
  <c r="K43" i="16"/>
  <c r="J43" i="16"/>
  <c r="I43" i="16"/>
  <c r="H43" i="16"/>
  <c r="G43" i="16"/>
  <c r="F43" i="16"/>
  <c r="E43" i="16"/>
  <c r="D43" i="16"/>
  <c r="C43" i="16"/>
  <c r="B43" i="16"/>
  <c r="AM42" i="16"/>
  <c r="AL42" i="16"/>
  <c r="AK42" i="16"/>
  <c r="AJ42" i="16"/>
  <c r="AI42" i="16"/>
  <c r="AH42" i="16"/>
  <c r="AG42" i="16"/>
  <c r="AF42" i="16"/>
  <c r="AE42" i="16"/>
  <c r="AD42" i="16"/>
  <c r="AC42" i="16"/>
  <c r="AB42" i="16"/>
  <c r="AA42" i="16"/>
  <c r="Z42" i="16"/>
  <c r="Y42" i="16"/>
  <c r="X42" i="16"/>
  <c r="W42" i="16"/>
  <c r="V42" i="16"/>
  <c r="U42" i="16"/>
  <c r="T42" i="16"/>
  <c r="S42" i="16"/>
  <c r="R42" i="16"/>
  <c r="Q42" i="16"/>
  <c r="P42" i="16"/>
  <c r="O42" i="16"/>
  <c r="N42" i="16"/>
  <c r="M42" i="16"/>
  <c r="L42" i="16"/>
  <c r="K42" i="16"/>
  <c r="J42" i="16"/>
  <c r="I42" i="16"/>
  <c r="H42" i="16"/>
  <c r="G42" i="16"/>
  <c r="F42" i="16"/>
  <c r="E42" i="16"/>
  <c r="D42" i="16"/>
  <c r="C42" i="16"/>
  <c r="B42" i="16"/>
  <c r="A42" i="16"/>
  <c r="AM41" i="16"/>
  <c r="AL41" i="16"/>
  <c r="AK41" i="16"/>
  <c r="AJ41" i="16"/>
  <c r="AI41" i="16"/>
  <c r="AH41" i="16"/>
  <c r="AG41" i="16"/>
  <c r="AF41" i="16"/>
  <c r="AE41" i="16"/>
  <c r="AD41" i="16"/>
  <c r="AC41" i="16"/>
  <c r="AB41" i="16"/>
  <c r="AA41" i="16"/>
  <c r="Z41" i="16"/>
  <c r="Y41" i="16"/>
  <c r="X41" i="16"/>
  <c r="W41" i="16"/>
  <c r="V41" i="16"/>
  <c r="U41" i="16"/>
  <c r="T41" i="16"/>
  <c r="S41" i="16"/>
  <c r="R41" i="16"/>
  <c r="Q41" i="16"/>
  <c r="P41" i="16"/>
  <c r="O41" i="16"/>
  <c r="N41" i="16"/>
  <c r="M41" i="16"/>
  <c r="L41" i="16"/>
  <c r="K41" i="16"/>
  <c r="J41" i="16"/>
  <c r="I41" i="16"/>
  <c r="H41" i="16"/>
  <c r="G41" i="16"/>
  <c r="F41" i="16"/>
  <c r="E41" i="16"/>
  <c r="D41" i="16"/>
  <c r="C41" i="16"/>
  <c r="B41" i="16"/>
  <c r="A41" i="16"/>
  <c r="AM40" i="16"/>
  <c r="AL40" i="16"/>
  <c r="AK40" i="16"/>
  <c r="AJ40" i="16"/>
  <c r="AI40" i="16"/>
  <c r="AH40" i="16"/>
  <c r="AG40" i="16"/>
  <c r="AF40" i="16"/>
  <c r="AE40" i="16"/>
  <c r="AD40" i="16"/>
  <c r="AC40" i="16"/>
  <c r="AB40" i="16"/>
  <c r="AA40" i="16"/>
  <c r="Z40" i="16"/>
  <c r="Y40" i="16"/>
  <c r="X40" i="16"/>
  <c r="W40" i="16"/>
  <c r="V40" i="16"/>
  <c r="U40" i="16"/>
  <c r="T40" i="16"/>
  <c r="S40" i="16"/>
  <c r="R40" i="16"/>
  <c r="Q40" i="16"/>
  <c r="P40" i="16"/>
  <c r="O40" i="16"/>
  <c r="N40" i="16"/>
  <c r="M40" i="16"/>
  <c r="L40" i="16"/>
  <c r="K40" i="16"/>
  <c r="J40" i="16"/>
  <c r="I40" i="16"/>
  <c r="H40" i="16"/>
  <c r="G40" i="16"/>
  <c r="F40" i="16"/>
  <c r="E40" i="16"/>
  <c r="D40" i="16"/>
  <c r="C40" i="16"/>
  <c r="B40" i="16"/>
  <c r="A40" i="16"/>
  <c r="AM39" i="16"/>
  <c r="AL39" i="16"/>
  <c r="AK39" i="16"/>
  <c r="AJ39" i="16"/>
  <c r="AI39" i="16"/>
  <c r="AH39" i="16"/>
  <c r="AG39" i="16"/>
  <c r="AF39" i="16"/>
  <c r="AE39" i="16"/>
  <c r="AD39" i="16"/>
  <c r="AC39" i="16"/>
  <c r="AB39" i="16"/>
  <c r="AA39" i="16"/>
  <c r="Z39" i="16"/>
  <c r="Y39" i="16"/>
  <c r="X39" i="16"/>
  <c r="W39" i="16"/>
  <c r="V39" i="16"/>
  <c r="U39" i="16"/>
  <c r="T39" i="16"/>
  <c r="S39" i="16"/>
  <c r="R39" i="16"/>
  <c r="Q39" i="16"/>
  <c r="P39" i="16"/>
  <c r="O39" i="16"/>
  <c r="N39" i="16"/>
  <c r="M39" i="16"/>
  <c r="L39" i="16"/>
  <c r="K39" i="16"/>
  <c r="J39" i="16"/>
  <c r="I39" i="16"/>
  <c r="H39" i="16"/>
  <c r="G39" i="16"/>
  <c r="F39" i="16"/>
  <c r="E39" i="16"/>
  <c r="D39" i="16"/>
  <c r="C39" i="16"/>
  <c r="B39" i="16"/>
  <c r="A39" i="16"/>
  <c r="AM38" i="16"/>
  <c r="AL38" i="16"/>
  <c r="AK38" i="16"/>
  <c r="AJ38" i="16"/>
  <c r="AI38" i="16"/>
  <c r="AH38" i="16"/>
  <c r="AG38" i="16"/>
  <c r="AF38" i="16"/>
  <c r="AE38" i="16"/>
  <c r="AD38" i="16"/>
  <c r="AC38" i="16"/>
  <c r="AB38" i="16"/>
  <c r="AA38" i="16"/>
  <c r="Z38" i="16"/>
  <c r="Y38" i="16"/>
  <c r="X38" i="16"/>
  <c r="W38" i="16"/>
  <c r="V38" i="16"/>
  <c r="U38" i="16"/>
  <c r="T38" i="16"/>
  <c r="S38" i="16"/>
  <c r="R38" i="16"/>
  <c r="Q38" i="16"/>
  <c r="P38" i="16"/>
  <c r="O38" i="16"/>
  <c r="N38" i="16"/>
  <c r="M38" i="16"/>
  <c r="L38" i="16"/>
  <c r="K38" i="16"/>
  <c r="J38" i="16"/>
  <c r="I38" i="16"/>
  <c r="H38" i="16"/>
  <c r="G38" i="16"/>
  <c r="F38" i="16"/>
  <c r="E38" i="16"/>
  <c r="D38" i="16"/>
  <c r="C38" i="16"/>
  <c r="B38" i="16"/>
  <c r="A38" i="16"/>
  <c r="AM37" i="16"/>
  <c r="AL37" i="16"/>
  <c r="AK37" i="16"/>
  <c r="AJ37" i="16"/>
  <c r="AI37" i="16"/>
  <c r="AH37" i="16"/>
  <c r="AG37" i="16"/>
  <c r="AF37" i="16"/>
  <c r="AE37" i="16"/>
  <c r="AD37" i="16"/>
  <c r="AC37" i="16"/>
  <c r="AB37" i="16"/>
  <c r="AA37" i="16"/>
  <c r="Z37" i="16"/>
  <c r="Y37" i="16"/>
  <c r="X37" i="16"/>
  <c r="W37" i="16"/>
  <c r="V37" i="16"/>
  <c r="U37" i="16"/>
  <c r="T37" i="16"/>
  <c r="S37" i="16"/>
  <c r="R37" i="16"/>
  <c r="Q37" i="16"/>
  <c r="P37" i="16"/>
  <c r="O37" i="16"/>
  <c r="N37" i="16"/>
  <c r="M37" i="16"/>
  <c r="L37" i="16"/>
  <c r="K37" i="16"/>
  <c r="J37" i="16"/>
  <c r="I37" i="16"/>
  <c r="H37" i="16"/>
  <c r="G37" i="16"/>
  <c r="F37" i="16"/>
  <c r="E37" i="16"/>
  <c r="D37" i="16"/>
  <c r="C37" i="16"/>
  <c r="B37" i="16"/>
  <c r="A37" i="16"/>
  <c r="AM36" i="16"/>
  <c r="AL36" i="16"/>
  <c r="AK36" i="16"/>
  <c r="AJ36" i="16"/>
  <c r="AI36" i="16"/>
  <c r="AH36" i="16"/>
  <c r="AG36" i="16"/>
  <c r="AF36" i="16"/>
  <c r="AE36" i="16"/>
  <c r="AD36" i="16"/>
  <c r="AC36" i="16"/>
  <c r="AB36" i="16"/>
  <c r="AA36" i="16"/>
  <c r="Z36" i="16"/>
  <c r="Y36" i="16"/>
  <c r="X36" i="16"/>
  <c r="W36" i="16"/>
  <c r="V36" i="16"/>
  <c r="U36" i="16"/>
  <c r="T36" i="16"/>
  <c r="S36" i="16"/>
  <c r="R36" i="16"/>
  <c r="Q36" i="16"/>
  <c r="P36" i="16"/>
  <c r="O36" i="16"/>
  <c r="N36" i="16"/>
  <c r="M36" i="16"/>
  <c r="L36" i="16"/>
  <c r="K36" i="16"/>
  <c r="J36" i="16"/>
  <c r="I36" i="16"/>
  <c r="H36" i="16"/>
  <c r="G36" i="16"/>
  <c r="F36" i="16"/>
  <c r="E36" i="16"/>
  <c r="D36" i="16"/>
  <c r="C36" i="16"/>
  <c r="B36" i="16"/>
  <c r="A36" i="16"/>
  <c r="AM35" i="16"/>
  <c r="AL35" i="16"/>
  <c r="AK35" i="16"/>
  <c r="AJ35" i="16"/>
  <c r="AI35" i="16"/>
  <c r="AH35" i="16"/>
  <c r="AG35" i="16"/>
  <c r="AF35" i="16"/>
  <c r="AE35" i="16"/>
  <c r="AD35" i="16"/>
  <c r="AC35" i="16"/>
  <c r="AB35" i="16"/>
  <c r="AA35" i="16"/>
  <c r="Z35" i="16"/>
  <c r="Y35" i="16"/>
  <c r="X35" i="16"/>
  <c r="W35" i="16"/>
  <c r="V35" i="16"/>
  <c r="U35" i="16"/>
  <c r="T35" i="16"/>
  <c r="S35" i="16"/>
  <c r="R35" i="16"/>
  <c r="Q35" i="16"/>
  <c r="P35" i="16"/>
  <c r="O35" i="16"/>
  <c r="N35" i="16"/>
  <c r="M35" i="16"/>
  <c r="L35" i="16"/>
  <c r="K35" i="16"/>
  <c r="J35" i="16"/>
  <c r="I35" i="16"/>
  <c r="H35" i="16"/>
  <c r="G35" i="16"/>
  <c r="F35" i="16"/>
  <c r="E35" i="16"/>
  <c r="D35" i="16"/>
  <c r="C35" i="16"/>
  <c r="B35" i="16"/>
  <c r="A35" i="16"/>
  <c r="AM34" i="16"/>
  <c r="AL34" i="16"/>
  <c r="AK34" i="16"/>
  <c r="AJ34" i="16"/>
  <c r="AI34" i="16"/>
  <c r="AH34" i="16"/>
  <c r="AG34" i="16"/>
  <c r="AF34" i="16"/>
  <c r="AE34" i="16"/>
  <c r="AD34" i="16"/>
  <c r="AC34" i="16"/>
  <c r="AB34" i="16"/>
  <c r="AA34" i="16"/>
  <c r="Z34" i="16"/>
  <c r="Y34" i="16"/>
  <c r="X34" i="16"/>
  <c r="W34" i="16"/>
  <c r="V34" i="16"/>
  <c r="U34" i="16"/>
  <c r="T34" i="16"/>
  <c r="S34" i="16"/>
  <c r="R34" i="16"/>
  <c r="Q34" i="16"/>
  <c r="P34" i="16"/>
  <c r="O34" i="16"/>
  <c r="N34" i="16"/>
  <c r="M34" i="16"/>
  <c r="L34" i="16"/>
  <c r="K34" i="16"/>
  <c r="J34" i="16"/>
  <c r="I34" i="16"/>
  <c r="H34" i="16"/>
  <c r="G34" i="16"/>
  <c r="F34" i="16"/>
  <c r="E34" i="16"/>
  <c r="D34" i="16"/>
  <c r="C34" i="16"/>
  <c r="B34" i="16"/>
  <c r="A34" i="16"/>
  <c r="AM33" i="16"/>
  <c r="AL33" i="16"/>
  <c r="AK33" i="16"/>
  <c r="AJ33" i="16"/>
  <c r="AI33" i="16"/>
  <c r="AH33" i="16"/>
  <c r="AG33" i="16"/>
  <c r="AF33" i="16"/>
  <c r="AE33" i="16"/>
  <c r="AD33" i="16"/>
  <c r="AC33" i="16"/>
  <c r="AB33" i="16"/>
  <c r="AA33" i="16"/>
  <c r="Z33" i="16"/>
  <c r="Y33" i="16"/>
  <c r="X33" i="16"/>
  <c r="W33" i="16"/>
  <c r="V33" i="16"/>
  <c r="U33" i="16"/>
  <c r="T33" i="16"/>
  <c r="S33" i="16"/>
  <c r="R33" i="16"/>
  <c r="Q33" i="16"/>
  <c r="P33" i="16"/>
  <c r="O33" i="16"/>
  <c r="N33" i="16"/>
  <c r="M33" i="16"/>
  <c r="L33" i="16"/>
  <c r="K33" i="16"/>
  <c r="J33" i="16"/>
  <c r="I33" i="16"/>
  <c r="H33" i="16"/>
  <c r="G33" i="16"/>
  <c r="F33" i="16"/>
  <c r="E33" i="16"/>
  <c r="D33" i="16"/>
  <c r="C33" i="16"/>
  <c r="B33" i="16"/>
  <c r="A33" i="16"/>
  <c r="AM32" i="16"/>
  <c r="AL32" i="16"/>
  <c r="AK32" i="16"/>
  <c r="AJ32" i="16"/>
  <c r="AI32" i="16"/>
  <c r="AH32" i="16"/>
  <c r="AG32" i="16"/>
  <c r="AF32" i="16"/>
  <c r="AE32" i="16"/>
  <c r="AD32" i="16"/>
  <c r="AC32" i="16"/>
  <c r="AB32" i="16"/>
  <c r="AA32" i="16"/>
  <c r="Z32" i="16"/>
  <c r="Y32" i="16"/>
  <c r="X32" i="16"/>
  <c r="W32" i="16"/>
  <c r="V32" i="16"/>
  <c r="U32" i="16"/>
  <c r="T32" i="16"/>
  <c r="S32" i="16"/>
  <c r="R32" i="16"/>
  <c r="Q32" i="16"/>
  <c r="P32" i="16"/>
  <c r="O32" i="16"/>
  <c r="N32" i="16"/>
  <c r="M32" i="16"/>
  <c r="L32" i="16"/>
  <c r="K32" i="16"/>
  <c r="J32" i="16"/>
  <c r="I32" i="16"/>
  <c r="H32" i="16"/>
  <c r="G32" i="16"/>
  <c r="F32" i="16"/>
  <c r="E32" i="16"/>
  <c r="D32" i="16"/>
  <c r="C32" i="16"/>
  <c r="B32" i="16"/>
  <c r="A32" i="16"/>
  <c r="AM31" i="16"/>
  <c r="AL31" i="16"/>
  <c r="AK31" i="16"/>
  <c r="AJ31" i="16"/>
  <c r="AI31" i="16"/>
  <c r="AH31" i="16"/>
  <c r="AG31" i="16"/>
  <c r="AF31" i="16"/>
  <c r="AE31" i="16"/>
  <c r="AD31" i="16"/>
  <c r="AC31" i="16"/>
  <c r="AB31" i="16"/>
  <c r="AA31" i="16"/>
  <c r="Z31" i="16"/>
  <c r="Y31" i="16"/>
  <c r="X31" i="16"/>
  <c r="W31" i="16"/>
  <c r="V31" i="16"/>
  <c r="U31" i="16"/>
  <c r="T31" i="16"/>
  <c r="S31" i="16"/>
  <c r="R31" i="16"/>
  <c r="Q31" i="16"/>
  <c r="P31" i="16"/>
  <c r="O31" i="16"/>
  <c r="N31" i="16"/>
  <c r="M31" i="16"/>
  <c r="L31" i="16"/>
  <c r="K31" i="16"/>
  <c r="J31" i="16"/>
  <c r="I31" i="16"/>
  <c r="H31" i="16"/>
  <c r="G31" i="16"/>
  <c r="F31" i="16"/>
  <c r="E31" i="16"/>
  <c r="D31" i="16"/>
  <c r="C31" i="16"/>
  <c r="B31" i="16"/>
  <c r="A31" i="16"/>
  <c r="AM30" i="16"/>
  <c r="AL30" i="16"/>
  <c r="AK30" i="16"/>
  <c r="AJ30" i="16"/>
  <c r="AI30" i="16"/>
  <c r="AH30" i="16"/>
  <c r="AG30" i="16"/>
  <c r="AF30" i="16"/>
  <c r="AE30" i="16"/>
  <c r="AD30" i="16"/>
  <c r="AC30" i="16"/>
  <c r="AB30" i="16"/>
  <c r="AA30" i="16"/>
  <c r="Z30" i="16"/>
  <c r="Y30" i="16"/>
  <c r="X30" i="16"/>
  <c r="W30" i="16"/>
  <c r="V30" i="16"/>
  <c r="U30" i="16"/>
  <c r="T30" i="16"/>
  <c r="S30" i="16"/>
  <c r="R30" i="16"/>
  <c r="Q30" i="16"/>
  <c r="P30" i="16"/>
  <c r="O30" i="16"/>
  <c r="N30" i="16"/>
  <c r="M30" i="16"/>
  <c r="L30" i="16"/>
  <c r="K30" i="16"/>
  <c r="J30" i="16"/>
  <c r="I30" i="16"/>
  <c r="H30" i="16"/>
  <c r="G30" i="16"/>
  <c r="F30" i="16"/>
  <c r="E30" i="16"/>
  <c r="D30" i="16"/>
  <c r="C30" i="16"/>
  <c r="B30" i="16"/>
  <c r="A30" i="16"/>
  <c r="AM29" i="16"/>
  <c r="AL29" i="16"/>
  <c r="AK29" i="16"/>
  <c r="AJ29" i="16"/>
  <c r="AI29" i="16"/>
  <c r="AH29" i="16"/>
  <c r="AG29" i="16"/>
  <c r="AF29" i="16"/>
  <c r="AE29" i="16"/>
  <c r="AD29" i="16"/>
  <c r="AC29" i="16"/>
  <c r="AB29" i="16"/>
  <c r="AA29" i="16"/>
  <c r="Z29" i="16"/>
  <c r="Y29" i="16"/>
  <c r="X29" i="16"/>
  <c r="W29" i="16"/>
  <c r="V29" i="16"/>
  <c r="U29" i="16"/>
  <c r="T29" i="16"/>
  <c r="S29" i="16"/>
  <c r="R29" i="16"/>
  <c r="Q29" i="16"/>
  <c r="P29" i="16"/>
  <c r="O29" i="16"/>
  <c r="N29" i="16"/>
  <c r="M29" i="16"/>
  <c r="L29" i="16"/>
  <c r="K29" i="16"/>
  <c r="J29" i="16"/>
  <c r="I29" i="16"/>
  <c r="H29" i="16"/>
  <c r="G29" i="16"/>
  <c r="F29" i="16"/>
  <c r="E29" i="16"/>
  <c r="D29" i="16"/>
  <c r="C29" i="16"/>
  <c r="B29" i="16"/>
  <c r="A29" i="16"/>
  <c r="AM28" i="16"/>
  <c r="AL28" i="16"/>
  <c r="AK28" i="16"/>
  <c r="AJ28" i="16"/>
  <c r="AI28" i="16"/>
  <c r="AH28" i="16"/>
  <c r="AG28" i="16"/>
  <c r="AF28" i="16"/>
  <c r="AE28" i="16"/>
  <c r="AD28" i="16"/>
  <c r="AC28" i="16"/>
  <c r="AB28" i="16"/>
  <c r="AA28" i="16"/>
  <c r="Z28" i="16"/>
  <c r="Y28" i="16"/>
  <c r="X28" i="16"/>
  <c r="W28" i="16"/>
  <c r="V28" i="16"/>
  <c r="U28" i="16"/>
  <c r="T28" i="16"/>
  <c r="S28" i="16"/>
  <c r="R28" i="16"/>
  <c r="Q28" i="16"/>
  <c r="P28" i="16"/>
  <c r="O28" i="16"/>
  <c r="N28" i="16"/>
  <c r="M28" i="16"/>
  <c r="L28" i="16"/>
  <c r="K28" i="16"/>
  <c r="J28" i="16"/>
  <c r="I28" i="16"/>
  <c r="H28" i="16"/>
  <c r="G28" i="16"/>
  <c r="F28" i="16"/>
  <c r="E28" i="16"/>
  <c r="D28" i="16"/>
  <c r="C28" i="16"/>
  <c r="B28" i="16"/>
  <c r="A28" i="16"/>
  <c r="AM27" i="16"/>
  <c r="AL27" i="16"/>
  <c r="AK27" i="16"/>
  <c r="AJ27" i="16"/>
  <c r="AI27" i="16"/>
  <c r="AH27" i="16"/>
  <c r="AG27" i="16"/>
  <c r="AF27" i="16"/>
  <c r="AE27" i="16"/>
  <c r="AD27" i="16"/>
  <c r="AC27" i="16"/>
  <c r="AB27" i="16"/>
  <c r="AA27" i="16"/>
  <c r="Z27" i="16"/>
  <c r="Y27" i="16"/>
  <c r="X27" i="16"/>
  <c r="W27" i="16"/>
  <c r="V27" i="16"/>
  <c r="U27" i="16"/>
  <c r="T27" i="16"/>
  <c r="S27" i="16"/>
  <c r="R27" i="16"/>
  <c r="Q27" i="16"/>
  <c r="P27" i="16"/>
  <c r="O27" i="16"/>
  <c r="N27" i="16"/>
  <c r="M27" i="16"/>
  <c r="L27" i="16"/>
  <c r="K27" i="16"/>
  <c r="J27" i="16"/>
  <c r="I27" i="16"/>
  <c r="H27" i="16"/>
  <c r="G27" i="16"/>
  <c r="F27" i="16"/>
  <c r="E27" i="16"/>
  <c r="D27" i="16"/>
  <c r="C27" i="16"/>
  <c r="B27" i="16"/>
  <c r="A27" i="16"/>
  <c r="AM26" i="16"/>
  <c r="AL26" i="16"/>
  <c r="AK26" i="16"/>
  <c r="AJ26" i="16"/>
  <c r="AI26" i="16"/>
  <c r="AH26" i="16"/>
  <c r="AG26" i="16"/>
  <c r="AF26" i="16"/>
  <c r="AE26" i="16"/>
  <c r="AD26" i="16"/>
  <c r="AC26" i="16"/>
  <c r="AB26" i="16"/>
  <c r="AA26" i="16"/>
  <c r="Z26" i="16"/>
  <c r="Y26" i="16"/>
  <c r="X26" i="16"/>
  <c r="W26" i="16"/>
  <c r="V26" i="16"/>
  <c r="U26" i="16"/>
  <c r="T26" i="16"/>
  <c r="S26" i="16"/>
  <c r="R26" i="16"/>
  <c r="Q26" i="16"/>
  <c r="P26" i="16"/>
  <c r="O26" i="16"/>
  <c r="N26" i="16"/>
  <c r="M26" i="16"/>
  <c r="L26" i="16"/>
  <c r="K26" i="16"/>
  <c r="J26" i="16"/>
  <c r="I26" i="16"/>
  <c r="H26" i="16"/>
  <c r="G26" i="16"/>
  <c r="F26" i="16"/>
  <c r="E26" i="16"/>
  <c r="D26" i="16"/>
  <c r="C26" i="16"/>
  <c r="B26" i="16"/>
  <c r="A26" i="16"/>
  <c r="AM25" i="16"/>
  <c r="AL25" i="16"/>
  <c r="AK25" i="16"/>
  <c r="AJ25" i="16"/>
  <c r="AI25" i="16"/>
  <c r="AH25" i="16"/>
  <c r="AG25" i="16"/>
  <c r="AF25" i="16"/>
  <c r="AE25" i="16"/>
  <c r="AD25" i="16"/>
  <c r="AC25" i="16"/>
  <c r="AB25" i="16"/>
  <c r="AA25" i="16"/>
  <c r="Z25" i="16"/>
  <c r="Y25" i="16"/>
  <c r="X25" i="16"/>
  <c r="W25" i="16"/>
  <c r="V25" i="16"/>
  <c r="U25" i="16"/>
  <c r="T25" i="16"/>
  <c r="S25" i="16"/>
  <c r="R25" i="16"/>
  <c r="Q25" i="16"/>
  <c r="P25" i="16"/>
  <c r="O25" i="16"/>
  <c r="N25" i="16"/>
  <c r="M25" i="16"/>
  <c r="L25" i="16"/>
  <c r="K25" i="16"/>
  <c r="J25" i="16"/>
  <c r="I25" i="16"/>
  <c r="H25" i="16"/>
  <c r="G25" i="16"/>
  <c r="F25" i="16"/>
  <c r="E25" i="16"/>
  <c r="D25" i="16"/>
  <c r="C25" i="16"/>
  <c r="B25" i="16"/>
  <c r="A25" i="16"/>
  <c r="AM24" i="16"/>
  <c r="AL24" i="16"/>
  <c r="AK24" i="16"/>
  <c r="AJ24" i="16"/>
  <c r="AI24" i="16"/>
  <c r="AH24" i="16"/>
  <c r="AG24" i="16"/>
  <c r="AF24" i="16"/>
  <c r="AE24" i="16"/>
  <c r="AD24" i="16"/>
  <c r="AC24" i="16"/>
  <c r="AB24" i="16"/>
  <c r="AA24" i="16"/>
  <c r="Z24" i="16"/>
  <c r="Y24" i="16"/>
  <c r="X24" i="16"/>
  <c r="W24" i="16"/>
  <c r="V24" i="16"/>
  <c r="U24" i="16"/>
  <c r="T24" i="16"/>
  <c r="S24" i="16"/>
  <c r="R24" i="16"/>
  <c r="Q24" i="16"/>
  <c r="P24" i="16"/>
  <c r="O24" i="16"/>
  <c r="N24" i="16"/>
  <c r="M24" i="16"/>
  <c r="L24" i="16"/>
  <c r="K24" i="16"/>
  <c r="J24" i="16"/>
  <c r="I24" i="16"/>
  <c r="H24" i="16"/>
  <c r="G24" i="16"/>
  <c r="F24" i="16"/>
  <c r="E24" i="16"/>
  <c r="D24" i="16"/>
  <c r="C24" i="16"/>
  <c r="B24" i="16"/>
  <c r="A24" i="16"/>
  <c r="AM23" i="16"/>
  <c r="AL23" i="16"/>
  <c r="AK23" i="16"/>
  <c r="AJ23" i="16"/>
  <c r="AI23" i="16"/>
  <c r="AH23" i="16"/>
  <c r="AG23" i="16"/>
  <c r="AF23" i="16"/>
  <c r="AE23" i="16"/>
  <c r="AD23" i="16"/>
  <c r="AC23" i="16"/>
  <c r="AB23" i="16"/>
  <c r="AA23" i="16"/>
  <c r="Z23" i="16"/>
  <c r="Y23" i="16"/>
  <c r="X23" i="16"/>
  <c r="W23" i="16"/>
  <c r="V23" i="16"/>
  <c r="U23" i="16"/>
  <c r="T23" i="16"/>
  <c r="S23" i="16"/>
  <c r="R23" i="16"/>
  <c r="Q23" i="16"/>
  <c r="P23" i="16"/>
  <c r="O23" i="16"/>
  <c r="N23" i="16"/>
  <c r="M23" i="16"/>
  <c r="L23" i="16"/>
  <c r="K23" i="16"/>
  <c r="J23" i="16"/>
  <c r="I23" i="16"/>
  <c r="H23" i="16"/>
  <c r="G23" i="16"/>
  <c r="F23" i="16"/>
  <c r="E23" i="16"/>
  <c r="D23" i="16"/>
  <c r="C23" i="16"/>
  <c r="B23" i="16"/>
  <c r="A23" i="16"/>
  <c r="AM22" i="16"/>
  <c r="AL22" i="16"/>
  <c r="AK22" i="16"/>
  <c r="AJ22" i="16"/>
  <c r="AI22" i="16"/>
  <c r="AH22" i="16"/>
  <c r="AG22" i="16"/>
  <c r="AF22" i="16"/>
  <c r="AE22" i="16"/>
  <c r="AD22" i="16"/>
  <c r="AC22" i="16"/>
  <c r="AB22" i="16"/>
  <c r="AA22" i="16"/>
  <c r="Z22" i="16"/>
  <c r="Y22" i="16"/>
  <c r="X22" i="16"/>
  <c r="W22" i="16"/>
  <c r="V22" i="16"/>
  <c r="U22" i="16"/>
  <c r="T22" i="16"/>
  <c r="S22" i="16"/>
  <c r="R22" i="16"/>
  <c r="Q22" i="16"/>
  <c r="P22" i="16"/>
  <c r="O22" i="16"/>
  <c r="N22" i="16"/>
  <c r="M22" i="16"/>
  <c r="L22" i="16"/>
  <c r="K22" i="16"/>
  <c r="J22" i="16"/>
  <c r="I22" i="16"/>
  <c r="H22" i="16"/>
  <c r="G22" i="16"/>
  <c r="F22" i="16"/>
  <c r="E22" i="16"/>
  <c r="D22" i="16"/>
  <c r="C22" i="16"/>
  <c r="B22" i="16"/>
  <c r="A22" i="16"/>
  <c r="AM21" i="16"/>
  <c r="AL21" i="16"/>
  <c r="AK21" i="16"/>
  <c r="AJ21" i="16"/>
  <c r="AI21" i="16"/>
  <c r="AH21" i="16"/>
  <c r="AG21" i="16"/>
  <c r="AF21" i="16"/>
  <c r="AE21" i="16"/>
  <c r="AD21" i="16"/>
  <c r="AC21" i="16"/>
  <c r="AB21" i="16"/>
  <c r="AA21" i="16"/>
  <c r="Z21" i="16"/>
  <c r="Y21" i="16"/>
  <c r="X21" i="16"/>
  <c r="W21" i="16"/>
  <c r="V21" i="16"/>
  <c r="U21" i="16"/>
  <c r="T21" i="16"/>
  <c r="S21" i="16"/>
  <c r="R21" i="16"/>
  <c r="Q21" i="16"/>
  <c r="P21" i="16"/>
  <c r="O21" i="16"/>
  <c r="N21" i="16"/>
  <c r="M21" i="16"/>
  <c r="L21" i="16"/>
  <c r="K21" i="16"/>
  <c r="J21" i="16"/>
  <c r="I21" i="16"/>
  <c r="H21" i="16"/>
  <c r="G21" i="16"/>
  <c r="F21" i="16"/>
  <c r="E21" i="16"/>
  <c r="D21" i="16"/>
  <c r="C21" i="16"/>
  <c r="B21" i="16"/>
  <c r="A21" i="16"/>
  <c r="AM20" i="16"/>
  <c r="AL20" i="16"/>
  <c r="AK20" i="16"/>
  <c r="AJ20" i="16"/>
  <c r="AI20" i="16"/>
  <c r="AH20" i="16"/>
  <c r="AG20" i="16"/>
  <c r="AF20" i="16"/>
  <c r="AE20" i="16"/>
  <c r="AD20" i="16"/>
  <c r="AC20" i="16"/>
  <c r="AB20" i="16"/>
  <c r="AA20" i="16"/>
  <c r="Z20" i="16"/>
  <c r="Y20" i="16"/>
  <c r="X20" i="16"/>
  <c r="W20" i="16"/>
  <c r="V20" i="16"/>
  <c r="U20" i="16"/>
  <c r="T20" i="16"/>
  <c r="S20" i="16"/>
  <c r="R20" i="16"/>
  <c r="Q20" i="16"/>
  <c r="P20" i="16"/>
  <c r="O20" i="16"/>
  <c r="N20" i="16"/>
  <c r="M20" i="16"/>
  <c r="L20" i="16"/>
  <c r="K20" i="16"/>
  <c r="J20" i="16"/>
  <c r="I20" i="16"/>
  <c r="H20" i="16"/>
  <c r="G20" i="16"/>
  <c r="F20" i="16"/>
  <c r="E20" i="16"/>
  <c r="D20" i="16"/>
  <c r="C20" i="16"/>
  <c r="B20" i="16"/>
  <c r="A20" i="16"/>
  <c r="AM19" i="16"/>
  <c r="AL19" i="16"/>
  <c r="AK19" i="16"/>
  <c r="AJ19" i="16"/>
  <c r="AI19" i="16"/>
  <c r="AH19" i="16"/>
  <c r="AG19" i="16"/>
  <c r="AF19" i="16"/>
  <c r="AE19" i="16"/>
  <c r="AD19" i="16"/>
  <c r="AC19" i="16"/>
  <c r="AB19" i="16"/>
  <c r="AA19" i="16"/>
  <c r="Z19" i="16"/>
  <c r="Y19" i="16"/>
  <c r="X19" i="16"/>
  <c r="W19" i="16"/>
  <c r="V19" i="16"/>
  <c r="U19" i="16"/>
  <c r="T19" i="16"/>
  <c r="S19" i="16"/>
  <c r="R19" i="16"/>
  <c r="Q19" i="16"/>
  <c r="P19" i="16"/>
  <c r="O19" i="16"/>
  <c r="N19" i="16"/>
  <c r="M19" i="16"/>
  <c r="L19" i="16"/>
  <c r="K19" i="16"/>
  <c r="J19" i="16"/>
  <c r="I19" i="16"/>
  <c r="H19" i="16"/>
  <c r="G19" i="16"/>
  <c r="F19" i="16"/>
  <c r="E19" i="16"/>
  <c r="D19" i="16"/>
  <c r="C19" i="16"/>
  <c r="B19" i="16"/>
  <c r="A19" i="16"/>
  <c r="AM18" i="16"/>
  <c r="AL18" i="16"/>
  <c r="AK18" i="16"/>
  <c r="AJ18" i="16"/>
  <c r="AI18" i="16"/>
  <c r="AH18" i="16"/>
  <c r="AG18" i="16"/>
  <c r="AF18" i="16"/>
  <c r="AE18" i="16"/>
  <c r="AD18" i="16"/>
  <c r="AC18" i="16"/>
  <c r="AB18" i="16"/>
  <c r="AA18" i="16"/>
  <c r="Z18" i="16"/>
  <c r="Y18" i="16"/>
  <c r="X18" i="16"/>
  <c r="W18" i="16"/>
  <c r="V18" i="16"/>
  <c r="U18" i="16"/>
  <c r="T18" i="16"/>
  <c r="S18" i="16"/>
  <c r="R18" i="16"/>
  <c r="Q18" i="16"/>
  <c r="P18" i="16"/>
  <c r="O18" i="16"/>
  <c r="N18" i="16"/>
  <c r="M18" i="16"/>
  <c r="L18" i="16"/>
  <c r="K18" i="16"/>
  <c r="J18" i="16"/>
  <c r="I18" i="16"/>
  <c r="H18" i="16"/>
  <c r="G18" i="16"/>
  <c r="F18" i="16"/>
  <c r="E18" i="16"/>
  <c r="D18" i="16"/>
  <c r="C18" i="16"/>
  <c r="B18" i="16"/>
  <c r="A18" i="16"/>
  <c r="AM17" i="16"/>
  <c r="AL17" i="16"/>
  <c r="AK17" i="16"/>
  <c r="AJ17" i="16"/>
  <c r="AI17" i="16"/>
  <c r="AH17" i="16"/>
  <c r="AG17" i="16"/>
  <c r="AF17" i="16"/>
  <c r="AE17" i="16"/>
  <c r="AD17" i="16"/>
  <c r="AC17" i="16"/>
  <c r="AB17" i="16"/>
  <c r="AA17" i="16"/>
  <c r="Z17" i="16"/>
  <c r="Y17" i="16"/>
  <c r="X17" i="16"/>
  <c r="W17" i="16"/>
  <c r="V17" i="16"/>
  <c r="U17" i="16"/>
  <c r="T17" i="16"/>
  <c r="S17" i="16"/>
  <c r="R17" i="16"/>
  <c r="Q17" i="16"/>
  <c r="P17" i="16"/>
  <c r="O17" i="16"/>
  <c r="N17" i="16"/>
  <c r="M17" i="16"/>
  <c r="L17" i="16"/>
  <c r="K17" i="16"/>
  <c r="J17" i="16"/>
  <c r="I17" i="16"/>
  <c r="H17" i="16"/>
  <c r="G17" i="16"/>
  <c r="F17" i="16"/>
  <c r="E17" i="16"/>
  <c r="D17" i="16"/>
  <c r="C17" i="16"/>
  <c r="B17" i="16"/>
  <c r="A17" i="16"/>
  <c r="AM16" i="16"/>
  <c r="AL16" i="16"/>
  <c r="AK16" i="16"/>
  <c r="AJ16" i="16"/>
  <c r="AI16" i="16"/>
  <c r="AH16" i="16"/>
  <c r="AG16" i="16"/>
  <c r="AF16" i="16"/>
  <c r="AE16" i="16"/>
  <c r="AD16" i="16"/>
  <c r="AC16" i="16"/>
  <c r="AB16" i="16"/>
  <c r="AA16" i="16"/>
  <c r="Z16" i="16"/>
  <c r="Y16" i="16"/>
  <c r="X16" i="16"/>
  <c r="W16" i="16"/>
  <c r="V16" i="16"/>
  <c r="U16" i="16"/>
  <c r="T16" i="16"/>
  <c r="S16" i="16"/>
  <c r="R16" i="16"/>
  <c r="Q16" i="16"/>
  <c r="P16" i="16"/>
  <c r="O16" i="16"/>
  <c r="N16" i="16"/>
  <c r="M16" i="16"/>
  <c r="L16" i="16"/>
  <c r="K16" i="16"/>
  <c r="J16" i="16"/>
  <c r="I16" i="16"/>
  <c r="H16" i="16"/>
  <c r="G16" i="16"/>
  <c r="F16" i="16"/>
  <c r="E16" i="16"/>
  <c r="D16" i="16"/>
  <c r="C16" i="16"/>
  <c r="B16" i="16"/>
  <c r="A16" i="16"/>
  <c r="AM15" i="16"/>
  <c r="AL15" i="16"/>
  <c r="AK15" i="16"/>
  <c r="AJ15" i="16"/>
  <c r="AI15" i="16"/>
  <c r="AH15" i="16"/>
  <c r="AG15" i="16"/>
  <c r="AF15" i="16"/>
  <c r="AE15" i="16"/>
  <c r="AD15" i="16"/>
  <c r="AC15" i="16"/>
  <c r="AB15" i="16"/>
  <c r="AA15" i="16"/>
  <c r="Z15" i="16"/>
  <c r="Y15" i="16"/>
  <c r="X15" i="16"/>
  <c r="W15" i="16"/>
  <c r="V15" i="16"/>
  <c r="U15" i="16"/>
  <c r="T15" i="16"/>
  <c r="S15" i="16"/>
  <c r="R15" i="16"/>
  <c r="Q15" i="16"/>
  <c r="P15" i="16"/>
  <c r="O15" i="16"/>
  <c r="N15" i="16"/>
  <c r="M15" i="16"/>
  <c r="L15" i="16"/>
  <c r="K15" i="16"/>
  <c r="J15" i="16"/>
  <c r="I15" i="16"/>
  <c r="H15" i="16"/>
  <c r="G15" i="16"/>
  <c r="F15" i="16"/>
  <c r="E15" i="16"/>
  <c r="D15" i="16"/>
  <c r="C15" i="16"/>
  <c r="B15" i="16"/>
  <c r="A15" i="16"/>
  <c r="AM14" i="16"/>
  <c r="AL14" i="16"/>
  <c r="AK14" i="16"/>
  <c r="AJ14" i="16"/>
  <c r="AI14" i="16"/>
  <c r="AH14" i="16"/>
  <c r="AG14" i="16"/>
  <c r="AF14" i="16"/>
  <c r="AE14" i="16"/>
  <c r="AD14" i="16"/>
  <c r="AC14" i="16"/>
  <c r="AB14" i="16"/>
  <c r="AA14" i="16"/>
  <c r="Z14" i="16"/>
  <c r="Y14" i="16"/>
  <c r="X14" i="16"/>
  <c r="W14" i="16"/>
  <c r="V14" i="16"/>
  <c r="U14" i="16"/>
  <c r="T14" i="16"/>
  <c r="S14" i="16"/>
  <c r="R14" i="16"/>
  <c r="Q14" i="16"/>
  <c r="P14" i="16"/>
  <c r="O14" i="16"/>
  <c r="N14" i="16"/>
  <c r="M14" i="16"/>
  <c r="L14" i="16"/>
  <c r="K14" i="16"/>
  <c r="J14" i="16"/>
  <c r="I14" i="16"/>
  <c r="H14" i="16"/>
  <c r="G14" i="16"/>
  <c r="F14" i="16"/>
  <c r="E14" i="16"/>
  <c r="D14" i="16"/>
  <c r="C14" i="16"/>
  <c r="B14" i="16"/>
  <c r="A14" i="16"/>
  <c r="AM13" i="16"/>
  <c r="AL13" i="16"/>
  <c r="AK13" i="16"/>
  <c r="AJ13" i="16"/>
  <c r="AI13" i="16"/>
  <c r="AH13" i="16"/>
  <c r="AG13" i="16"/>
  <c r="AF13" i="16"/>
  <c r="AE13" i="16"/>
  <c r="AD13" i="16"/>
  <c r="AC13" i="16"/>
  <c r="AB13" i="16"/>
  <c r="AA13" i="16"/>
  <c r="Z13" i="16"/>
  <c r="Y13" i="16"/>
  <c r="X13" i="16"/>
  <c r="W13" i="16"/>
  <c r="V13" i="16"/>
  <c r="U13" i="16"/>
  <c r="T13" i="16"/>
  <c r="S13" i="16"/>
  <c r="R13" i="16"/>
  <c r="Q13" i="16"/>
  <c r="P13" i="16"/>
  <c r="O13" i="16"/>
  <c r="N13" i="16"/>
  <c r="M13" i="16"/>
  <c r="L13" i="16"/>
  <c r="K13" i="16"/>
  <c r="J13" i="16"/>
  <c r="I13" i="16"/>
  <c r="H13" i="16"/>
  <c r="G13" i="16"/>
  <c r="F13" i="16"/>
  <c r="E13" i="16"/>
  <c r="D13" i="16"/>
  <c r="C13" i="16"/>
  <c r="B13" i="16"/>
  <c r="A13" i="16"/>
  <c r="AM12" i="16"/>
  <c r="AL12" i="16"/>
  <c r="AK12" i="16"/>
  <c r="AJ12" i="16"/>
  <c r="AI12" i="16"/>
  <c r="AH12" i="16"/>
  <c r="AG12" i="16"/>
  <c r="AF12" i="16"/>
  <c r="AE12" i="16"/>
  <c r="AD12" i="16"/>
  <c r="AC12" i="16"/>
  <c r="AB12" i="16"/>
  <c r="AA12" i="16"/>
  <c r="Z12" i="16"/>
  <c r="Y12" i="16"/>
  <c r="X12" i="16"/>
  <c r="W12" i="16"/>
  <c r="V12" i="16"/>
  <c r="U12" i="16"/>
  <c r="T12" i="16"/>
  <c r="S12" i="16"/>
  <c r="R12" i="16"/>
  <c r="Q12" i="16"/>
  <c r="P12" i="16"/>
  <c r="O12" i="16"/>
  <c r="N12" i="16"/>
  <c r="M12" i="16"/>
  <c r="L12" i="16"/>
  <c r="K12" i="16"/>
  <c r="J12" i="16"/>
  <c r="I12" i="16"/>
  <c r="H12" i="16"/>
  <c r="G12" i="16"/>
  <c r="F12" i="16"/>
  <c r="E12" i="16"/>
  <c r="D12" i="16"/>
  <c r="C12" i="16"/>
  <c r="B12" i="16"/>
  <c r="A12" i="16"/>
  <c r="AM11" i="16"/>
  <c r="AL11" i="16"/>
  <c r="AK11" i="16"/>
  <c r="AJ11" i="16"/>
  <c r="AI11" i="16"/>
  <c r="AH11" i="16"/>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11" i="16"/>
  <c r="AM10" i="16"/>
  <c r="AL10" i="16"/>
  <c r="AK10" i="16"/>
  <c r="AJ10" i="16"/>
  <c r="AI10"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10" i="16"/>
  <c r="AM9" i="16"/>
  <c r="AL9" i="16"/>
  <c r="AK9" i="16"/>
  <c r="AJ9" i="16"/>
  <c r="AI9" i="16"/>
  <c r="AH9"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9" i="16"/>
  <c r="AM8" i="16"/>
  <c r="AL8" i="16"/>
  <c r="AK8" i="16"/>
  <c r="AJ8" i="16"/>
  <c r="AI8" i="16"/>
  <c r="AH8"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8" i="16"/>
  <c r="AM7" i="16"/>
  <c r="AL7" i="16"/>
  <c r="AK7" i="16"/>
  <c r="AJ7" i="16"/>
  <c r="AI7" i="16"/>
  <c r="AH7"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7" i="16"/>
  <c r="AM6" i="16"/>
  <c r="AL6" i="16"/>
  <c r="AK6" i="16"/>
  <c r="AJ6" i="16"/>
  <c r="AI6" i="16"/>
  <c r="AH6"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6" i="16"/>
  <c r="AM5" i="16"/>
  <c r="AL5" i="16"/>
  <c r="AK5" i="16"/>
  <c r="AJ5" i="16"/>
  <c r="AI5" i="16"/>
  <c r="AH5"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5" i="16"/>
  <c r="AM4" i="16"/>
  <c r="AL4" i="16"/>
  <c r="AK4" i="16"/>
  <c r="AJ4" i="16"/>
  <c r="AI4" i="16"/>
  <c r="AH4"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4" i="16"/>
  <c r="AM3" i="16"/>
  <c r="AL3" i="16"/>
  <c r="AK3" i="16"/>
  <c r="AJ3" i="16"/>
  <c r="AI3"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3" i="16"/>
  <c r="AL2" i="16"/>
  <c r="AK2" i="16"/>
  <c r="AJ2" i="16"/>
  <c r="AI2" i="16"/>
  <c r="AH2"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K850" i="15"/>
  <c r="AJ850" i="15"/>
  <c r="AI850" i="15"/>
  <c r="AH850" i="15"/>
  <c r="AK849" i="15"/>
  <c r="AJ849" i="15"/>
  <c r="AI849" i="15"/>
  <c r="AH849" i="15"/>
  <c r="AK848" i="15"/>
  <c r="AJ848" i="15"/>
  <c r="AI848" i="15"/>
  <c r="AH848" i="15"/>
  <c r="AK847" i="15"/>
  <c r="AJ847" i="15"/>
  <c r="AI847" i="15"/>
  <c r="AH847" i="15"/>
  <c r="AK846" i="15"/>
  <c r="AJ846" i="15"/>
  <c r="AI846" i="15"/>
  <c r="AH846" i="15"/>
  <c r="AK845" i="15"/>
  <c r="AJ845" i="15"/>
  <c r="AI845" i="15"/>
  <c r="AH845" i="15"/>
  <c r="AK844" i="15"/>
  <c r="AJ844" i="15"/>
  <c r="AI844" i="15"/>
  <c r="AH844" i="15"/>
  <c r="AK843" i="15"/>
  <c r="AJ843" i="15"/>
  <c r="AI843" i="15"/>
  <c r="AH843" i="15"/>
  <c r="AK842" i="15"/>
  <c r="AJ842" i="15"/>
  <c r="AI842" i="15"/>
  <c r="AH842" i="15"/>
  <c r="AK841" i="15"/>
  <c r="AJ841" i="15"/>
  <c r="AI841" i="15"/>
  <c r="AH841" i="15"/>
  <c r="AK840" i="15"/>
  <c r="AJ840" i="15"/>
  <c r="AI840" i="15"/>
  <c r="AH840" i="15"/>
  <c r="AK839" i="15"/>
  <c r="AJ839" i="15"/>
  <c r="AI839" i="15"/>
  <c r="AH839" i="15"/>
  <c r="AK838" i="15"/>
  <c r="AJ838" i="15"/>
  <c r="AI838" i="15"/>
  <c r="AH838" i="15"/>
  <c r="AK837" i="15"/>
  <c r="AJ837" i="15"/>
  <c r="AI837" i="15"/>
  <c r="AH837" i="15"/>
  <c r="AK836" i="15"/>
  <c r="AJ836" i="15"/>
  <c r="AI836" i="15"/>
  <c r="AH836" i="15"/>
  <c r="AK835" i="15"/>
  <c r="AJ835" i="15"/>
  <c r="AI835" i="15"/>
  <c r="AH835" i="15"/>
  <c r="AK834" i="15"/>
  <c r="AJ834" i="15"/>
  <c r="AI834" i="15"/>
  <c r="AH834" i="15"/>
  <c r="AK833" i="15"/>
  <c r="AJ833" i="15"/>
  <c r="AI833" i="15"/>
  <c r="AH833" i="15"/>
  <c r="AK832" i="15"/>
  <c r="AJ832" i="15"/>
  <c r="AI832" i="15"/>
  <c r="AH832" i="15"/>
  <c r="AK831" i="15"/>
  <c r="AJ831" i="15"/>
  <c r="AI831" i="15"/>
  <c r="AH831" i="15"/>
  <c r="AK830" i="15"/>
  <c r="AJ830" i="15"/>
  <c r="AI830" i="15"/>
  <c r="AH830" i="15"/>
  <c r="AK829" i="15"/>
  <c r="AJ829" i="15"/>
  <c r="AI829" i="15"/>
  <c r="AH829" i="15"/>
  <c r="AK828" i="15"/>
  <c r="AJ828" i="15"/>
  <c r="AI828" i="15"/>
  <c r="AH828" i="15"/>
  <c r="AK827" i="15"/>
  <c r="AJ827" i="15"/>
  <c r="AI827" i="15"/>
  <c r="AH827" i="15"/>
  <c r="AK826" i="15"/>
  <c r="AJ826" i="15"/>
  <c r="AI826" i="15"/>
  <c r="AH826" i="15"/>
  <c r="AK825" i="15"/>
  <c r="AJ825" i="15"/>
  <c r="AI825" i="15"/>
  <c r="AH825" i="15"/>
  <c r="AK824" i="15"/>
  <c r="AJ824" i="15"/>
  <c r="AI824" i="15"/>
  <c r="AH824" i="15"/>
  <c r="AK823" i="15"/>
  <c r="AJ823" i="15"/>
  <c r="AI823" i="15"/>
  <c r="AH823" i="15"/>
  <c r="AK822" i="15"/>
  <c r="AJ822" i="15"/>
  <c r="AI822" i="15"/>
  <c r="AH822" i="15"/>
  <c r="AK821" i="15"/>
  <c r="AJ821" i="15"/>
  <c r="AI821" i="15"/>
  <c r="AH821" i="15"/>
  <c r="AK820" i="15"/>
  <c r="AJ820" i="15"/>
  <c r="AI820" i="15"/>
  <c r="AH820" i="15"/>
  <c r="AK819" i="15"/>
  <c r="AJ819" i="15"/>
  <c r="AI819" i="15"/>
  <c r="AH819" i="15"/>
  <c r="AK818" i="15"/>
  <c r="AJ818" i="15"/>
  <c r="AI818" i="15"/>
  <c r="AH818" i="15"/>
  <c r="AK817" i="15"/>
  <c r="AJ817" i="15"/>
  <c r="AI817" i="15"/>
  <c r="AH817" i="15"/>
  <c r="AK816" i="15"/>
  <c r="AJ816" i="15"/>
  <c r="AI816" i="15"/>
  <c r="AH816" i="15"/>
  <c r="AK815" i="15"/>
  <c r="AJ815" i="15"/>
  <c r="AI815" i="15"/>
  <c r="AH815" i="15"/>
  <c r="AK814" i="15"/>
  <c r="AJ814" i="15"/>
  <c r="AI814" i="15"/>
  <c r="AH814" i="15"/>
  <c r="AK813" i="15"/>
  <c r="AJ813" i="15"/>
  <c r="AI813" i="15"/>
  <c r="AH813" i="15"/>
  <c r="AK812" i="15"/>
  <c r="AJ812" i="15"/>
  <c r="AI812" i="15"/>
  <c r="AH812" i="15"/>
  <c r="AK811" i="15"/>
  <c r="AJ811" i="15"/>
  <c r="AI811" i="15"/>
  <c r="AH811" i="15"/>
  <c r="AK810" i="15"/>
  <c r="AJ810" i="15"/>
  <c r="AI810" i="15"/>
  <c r="AH810" i="15"/>
  <c r="AK809" i="15"/>
  <c r="AJ809" i="15"/>
  <c r="AI809" i="15"/>
  <c r="AH809" i="15"/>
  <c r="AK808" i="15"/>
  <c r="AJ808" i="15"/>
  <c r="AI808" i="15"/>
  <c r="AH808" i="15"/>
  <c r="AK807" i="15"/>
  <c r="AJ807" i="15"/>
  <c r="AI807" i="15"/>
  <c r="AH807" i="15"/>
  <c r="AK806" i="15"/>
  <c r="AJ806" i="15"/>
  <c r="AI806" i="15"/>
  <c r="AH806" i="15"/>
  <c r="AK805" i="15"/>
  <c r="AJ805" i="15"/>
  <c r="AI805" i="15"/>
  <c r="AH805" i="15"/>
  <c r="AK804" i="15"/>
  <c r="AJ804" i="15"/>
  <c r="AI804" i="15"/>
  <c r="AH804" i="15"/>
  <c r="AK803" i="15"/>
  <c r="AJ803" i="15"/>
  <c r="AI803" i="15"/>
  <c r="AH803" i="15"/>
  <c r="AK802" i="15"/>
  <c r="AJ802" i="15"/>
  <c r="AI802" i="15"/>
  <c r="AH802" i="15"/>
  <c r="AK801" i="15"/>
  <c r="AJ801" i="15"/>
  <c r="AI801" i="15"/>
  <c r="AH801" i="15"/>
  <c r="AK800" i="15"/>
  <c r="AJ800" i="15"/>
  <c r="AI800" i="15"/>
  <c r="AH800" i="15"/>
  <c r="AK799" i="15"/>
  <c r="AJ799" i="15"/>
  <c r="AI799" i="15"/>
  <c r="AH799" i="15"/>
  <c r="AK798" i="15"/>
  <c r="AJ798" i="15"/>
  <c r="AI798" i="15"/>
  <c r="AH798" i="15"/>
  <c r="AK797" i="15"/>
  <c r="AJ797" i="15"/>
  <c r="AI797" i="15"/>
  <c r="AH797" i="15"/>
  <c r="AK796" i="15"/>
  <c r="AJ796" i="15"/>
  <c r="AI796" i="15"/>
  <c r="AH796" i="15"/>
  <c r="AK795" i="15"/>
  <c r="AJ795" i="15"/>
  <c r="AI795" i="15"/>
  <c r="AH795" i="15"/>
  <c r="AK794" i="15"/>
  <c r="AJ794" i="15"/>
  <c r="AI794" i="15"/>
  <c r="AH794" i="15"/>
  <c r="AK793" i="15"/>
  <c r="AJ793" i="15"/>
  <c r="AI793" i="15"/>
  <c r="AH793" i="15"/>
  <c r="AK792" i="15"/>
  <c r="AJ792" i="15"/>
  <c r="AI792" i="15"/>
  <c r="AH792" i="15"/>
  <c r="AK791" i="15"/>
  <c r="AJ791" i="15"/>
  <c r="AI791" i="15"/>
  <c r="AH791" i="15"/>
  <c r="AK790" i="15"/>
  <c r="AJ790" i="15"/>
  <c r="AI790" i="15"/>
  <c r="AH790" i="15"/>
  <c r="AK789" i="15"/>
  <c r="AJ789" i="15"/>
  <c r="AI789" i="15"/>
  <c r="AH789" i="15"/>
  <c r="AK788" i="15"/>
  <c r="AJ788" i="15"/>
  <c r="AI788" i="15"/>
  <c r="AH788" i="15"/>
  <c r="AK787" i="15"/>
  <c r="AJ787" i="15"/>
  <c r="AI787" i="15"/>
  <c r="AH787" i="15"/>
  <c r="AK786" i="15"/>
  <c r="AJ786" i="15"/>
  <c r="AI786" i="15"/>
  <c r="AH786" i="15"/>
  <c r="AK785" i="15"/>
  <c r="AJ785" i="15"/>
  <c r="AI785" i="15"/>
  <c r="AH785" i="15"/>
  <c r="AK784" i="15"/>
  <c r="AJ784" i="15"/>
  <c r="AI784" i="15"/>
  <c r="AH784" i="15"/>
  <c r="AK783" i="15"/>
  <c r="AJ783" i="15"/>
  <c r="AI783" i="15"/>
  <c r="AH783" i="15"/>
  <c r="AK782" i="15"/>
  <c r="AJ782" i="15"/>
  <c r="AI782" i="15"/>
  <c r="AH782" i="15"/>
  <c r="AK781" i="15"/>
  <c r="AJ781" i="15"/>
  <c r="AI781" i="15"/>
  <c r="AH781" i="15"/>
  <c r="AK780" i="15"/>
  <c r="AJ780" i="15"/>
  <c r="AI780" i="15"/>
  <c r="AH780" i="15"/>
  <c r="AK779" i="15"/>
  <c r="AJ779" i="15"/>
  <c r="AI779" i="15"/>
  <c r="AH779" i="15"/>
  <c r="AK778" i="15"/>
  <c r="AJ778" i="15"/>
  <c r="AI778" i="15"/>
  <c r="AH778" i="15"/>
  <c r="AK777" i="15"/>
  <c r="AJ777" i="15"/>
  <c r="AI777" i="15"/>
  <c r="AH777" i="15"/>
  <c r="AK776" i="15"/>
  <c r="AJ776" i="15"/>
  <c r="AI776" i="15"/>
  <c r="AH776" i="15"/>
  <c r="AK775" i="15"/>
  <c r="AJ775" i="15"/>
  <c r="AI775" i="15"/>
  <c r="AH775" i="15"/>
  <c r="AK774" i="15"/>
  <c r="AJ774" i="15"/>
  <c r="AI774" i="15"/>
  <c r="AH774" i="15"/>
  <c r="AK773" i="15"/>
  <c r="AJ773" i="15"/>
  <c r="AI773" i="15"/>
  <c r="AH773" i="15"/>
  <c r="AK772" i="15"/>
  <c r="AJ772" i="15"/>
  <c r="AI772" i="15"/>
  <c r="AH772" i="15"/>
  <c r="AK771" i="15"/>
  <c r="AJ771" i="15"/>
  <c r="AI771" i="15"/>
  <c r="AH771" i="15"/>
  <c r="AK770" i="15"/>
  <c r="AJ770" i="15"/>
  <c r="AI770" i="15"/>
  <c r="AH770" i="15"/>
  <c r="AK769" i="15"/>
  <c r="AJ769" i="15"/>
  <c r="AI769" i="15"/>
  <c r="AH769" i="15"/>
  <c r="AK768" i="15"/>
  <c r="AJ768" i="15"/>
  <c r="AI768" i="15"/>
  <c r="AH768" i="15"/>
  <c r="AK767" i="15"/>
  <c r="AJ767" i="15"/>
  <c r="AI767" i="15"/>
  <c r="AH767" i="15"/>
  <c r="AK766" i="15"/>
  <c r="AJ766" i="15"/>
  <c r="AI766" i="15"/>
  <c r="AH766" i="15"/>
  <c r="AK765" i="15"/>
  <c r="AJ765" i="15"/>
  <c r="AI765" i="15"/>
  <c r="AH765" i="15"/>
  <c r="AK764" i="15"/>
  <c r="AJ764" i="15"/>
  <c r="AI764" i="15"/>
  <c r="AH764" i="15"/>
  <c r="AK763" i="15"/>
  <c r="AJ763" i="15"/>
  <c r="AI763" i="15"/>
  <c r="AH763" i="15"/>
  <c r="AK762" i="15"/>
  <c r="AJ762" i="15"/>
  <c r="AI762" i="15"/>
  <c r="AH762" i="15"/>
  <c r="AK761" i="15"/>
  <c r="AJ761" i="15"/>
  <c r="AI761" i="15"/>
  <c r="AH761" i="15"/>
  <c r="AK760" i="15"/>
  <c r="AJ760" i="15"/>
  <c r="AI760" i="15"/>
  <c r="AH760" i="15"/>
  <c r="AK759" i="15"/>
  <c r="AJ759" i="15"/>
  <c r="AI759" i="15"/>
  <c r="AH759" i="15"/>
  <c r="AK758" i="15"/>
  <c r="AJ758" i="15"/>
  <c r="AI758" i="15"/>
  <c r="AH758" i="15"/>
  <c r="AK757" i="15"/>
  <c r="AJ757" i="15"/>
  <c r="AI757" i="15"/>
  <c r="AH757" i="15"/>
  <c r="AK756" i="15"/>
  <c r="AJ756" i="15"/>
  <c r="AI756" i="15"/>
  <c r="AH756" i="15"/>
  <c r="AK755" i="15"/>
  <c r="AJ755" i="15"/>
  <c r="AI755" i="15"/>
  <c r="AH755" i="15"/>
  <c r="AK754" i="15"/>
  <c r="AJ754" i="15"/>
  <c r="AI754" i="15"/>
  <c r="AH754" i="15"/>
  <c r="AK753" i="15"/>
  <c r="AJ753" i="15"/>
  <c r="AI753" i="15"/>
  <c r="AH753" i="15"/>
  <c r="AK752" i="15"/>
  <c r="AJ752" i="15"/>
  <c r="AI752" i="15"/>
  <c r="AH752" i="15"/>
  <c r="AK751" i="15"/>
  <c r="AJ751" i="15"/>
  <c r="AI751" i="15"/>
  <c r="AH751" i="15"/>
  <c r="AK750" i="15"/>
  <c r="AJ750" i="15"/>
  <c r="AI750" i="15"/>
  <c r="AH750" i="15"/>
  <c r="AK749" i="15"/>
  <c r="AJ749" i="15"/>
  <c r="AI749" i="15"/>
  <c r="AH749" i="15"/>
  <c r="AK748" i="15"/>
  <c r="AJ748" i="15"/>
  <c r="AI748" i="15"/>
  <c r="AH748" i="15"/>
  <c r="AK747" i="15"/>
  <c r="AJ747" i="15"/>
  <c r="AI747" i="15"/>
  <c r="AH747" i="15"/>
  <c r="AK746" i="15"/>
  <c r="AJ746" i="15"/>
  <c r="AI746" i="15"/>
  <c r="AH746" i="15"/>
  <c r="AK745" i="15"/>
  <c r="AJ745" i="15"/>
  <c r="AI745" i="15"/>
  <c r="AH745" i="15"/>
  <c r="AK744" i="15"/>
  <c r="AJ744" i="15"/>
  <c r="AI744" i="15"/>
  <c r="AH744" i="15"/>
  <c r="AK743" i="15"/>
  <c r="AJ743" i="15"/>
  <c r="AI743" i="15"/>
  <c r="AH743" i="15"/>
  <c r="AK742" i="15"/>
  <c r="AJ742" i="15"/>
  <c r="AI742" i="15"/>
  <c r="AH742" i="15"/>
  <c r="AK741" i="15"/>
  <c r="AJ741" i="15"/>
  <c r="AI741" i="15"/>
  <c r="AH741" i="15"/>
  <c r="AK740" i="15"/>
  <c r="AJ740" i="15"/>
  <c r="AI740" i="15"/>
  <c r="AH740" i="15"/>
  <c r="AK739" i="15"/>
  <c r="AJ739" i="15"/>
  <c r="AI739" i="15"/>
  <c r="AH739" i="15"/>
  <c r="AK738" i="15"/>
  <c r="AJ738" i="15"/>
  <c r="AI738" i="15"/>
  <c r="AH738" i="15"/>
  <c r="AK737" i="15"/>
  <c r="AJ737" i="15"/>
  <c r="AI737" i="15"/>
  <c r="AH737" i="15"/>
  <c r="AK736" i="15"/>
  <c r="AJ736" i="15"/>
  <c r="AI736" i="15"/>
  <c r="AH736" i="15"/>
  <c r="AK735" i="15"/>
  <c r="AJ735" i="15"/>
  <c r="AI735" i="15"/>
  <c r="AH735" i="15"/>
  <c r="AK734" i="15"/>
  <c r="AJ734" i="15"/>
  <c r="AI734" i="15"/>
  <c r="AH734" i="15"/>
  <c r="AK733" i="15"/>
  <c r="AJ733" i="15"/>
  <c r="AI733" i="15"/>
  <c r="AH733" i="15"/>
  <c r="AK732" i="15"/>
  <c r="AJ732" i="15"/>
  <c r="AI732" i="15"/>
  <c r="AH732" i="15"/>
  <c r="AK731" i="15"/>
  <c r="AJ731" i="15"/>
  <c r="AI731" i="15"/>
  <c r="AH731" i="15"/>
  <c r="AK730" i="15"/>
  <c r="AJ730" i="15"/>
  <c r="AI730" i="15"/>
  <c r="AH730" i="15"/>
  <c r="AK729" i="15"/>
  <c r="AJ729" i="15"/>
  <c r="AI729" i="15"/>
  <c r="AH729" i="15"/>
  <c r="AK728" i="15"/>
  <c r="AJ728" i="15"/>
  <c r="AI728" i="15"/>
  <c r="AH728" i="15"/>
  <c r="AK727" i="15"/>
  <c r="AJ727" i="15"/>
  <c r="AI727" i="15"/>
  <c r="AH727" i="15"/>
  <c r="AK726" i="15"/>
  <c r="AJ726" i="15"/>
  <c r="AI726" i="15"/>
  <c r="AH726" i="15"/>
  <c r="AK725" i="15"/>
  <c r="AJ725" i="15"/>
  <c r="AI725" i="15"/>
  <c r="AH725" i="15"/>
  <c r="AK724" i="15"/>
  <c r="AJ724" i="15"/>
  <c r="AI724" i="15"/>
  <c r="AH724" i="15"/>
  <c r="AK723" i="15"/>
  <c r="AJ723" i="15"/>
  <c r="AI723" i="15"/>
  <c r="AH723" i="15"/>
  <c r="AK722" i="15"/>
  <c r="AJ722" i="15"/>
  <c r="AI722" i="15"/>
  <c r="AH722" i="15"/>
  <c r="AK721" i="15"/>
  <c r="AJ721" i="15"/>
  <c r="AI721" i="15"/>
  <c r="AH721" i="15"/>
  <c r="AK720" i="15"/>
  <c r="AJ720" i="15"/>
  <c r="AI720" i="15"/>
  <c r="AH720" i="15"/>
  <c r="AK719" i="15"/>
  <c r="AJ719" i="15"/>
  <c r="AI719" i="15"/>
  <c r="AH719" i="15"/>
  <c r="AK718" i="15"/>
  <c r="AJ718" i="15"/>
  <c r="AI718" i="15"/>
  <c r="AH718" i="15"/>
  <c r="AK717" i="15"/>
  <c r="AJ717" i="15"/>
  <c r="AI717" i="15"/>
  <c r="AH717" i="15"/>
  <c r="AK716" i="15"/>
  <c r="AJ716" i="15"/>
  <c r="AI716" i="15"/>
  <c r="AH716" i="15"/>
  <c r="AK715" i="15"/>
  <c r="AJ715" i="15"/>
  <c r="AI715" i="15"/>
  <c r="AH715" i="15"/>
  <c r="AK714" i="15"/>
  <c r="AJ714" i="15"/>
  <c r="AI714" i="15"/>
  <c r="AH714" i="15"/>
  <c r="AK713" i="15"/>
  <c r="AJ713" i="15"/>
  <c r="AI713" i="15"/>
  <c r="AH713" i="15"/>
  <c r="AK712" i="15"/>
  <c r="AJ712" i="15"/>
  <c r="AI712" i="15"/>
  <c r="AH712" i="15"/>
  <c r="AK711" i="15"/>
  <c r="AJ711" i="15"/>
  <c r="AI711" i="15"/>
  <c r="AH711" i="15"/>
  <c r="AK710" i="15"/>
  <c r="AJ710" i="15"/>
  <c r="AI710" i="15"/>
  <c r="AH710" i="15"/>
  <c r="AK709" i="15"/>
  <c r="AJ709" i="15"/>
  <c r="AI709" i="15"/>
  <c r="AH709" i="15"/>
  <c r="AK708" i="15"/>
  <c r="AJ708" i="15"/>
  <c r="AI708" i="15"/>
  <c r="AH708" i="15"/>
  <c r="AK707" i="15"/>
  <c r="AJ707" i="15"/>
  <c r="AI707" i="15"/>
  <c r="AH707" i="15"/>
  <c r="AK706" i="15"/>
  <c r="AJ706" i="15"/>
  <c r="AI706" i="15"/>
  <c r="AH706" i="15"/>
  <c r="AK705" i="15"/>
  <c r="AJ705" i="15"/>
  <c r="AI705" i="15"/>
  <c r="AH705" i="15"/>
  <c r="AK704" i="15"/>
  <c r="AJ704" i="15"/>
  <c r="AI704" i="15"/>
  <c r="AH704" i="15"/>
  <c r="AK703" i="15"/>
  <c r="AJ703" i="15"/>
  <c r="AI703" i="15"/>
  <c r="AH703" i="15"/>
  <c r="AK702" i="15"/>
  <c r="AJ702" i="15"/>
  <c r="AI702" i="15"/>
  <c r="AH702" i="15"/>
  <c r="AK701" i="15"/>
  <c r="AJ701" i="15"/>
  <c r="AI701" i="15"/>
  <c r="AH701" i="15"/>
  <c r="AK700" i="15"/>
  <c r="AJ700" i="15"/>
  <c r="AI700" i="15"/>
  <c r="AH700" i="15"/>
  <c r="AK699" i="15"/>
  <c r="AJ699" i="15"/>
  <c r="AI699" i="15"/>
  <c r="AH699" i="15"/>
  <c r="AK698" i="15"/>
  <c r="AJ698" i="15"/>
  <c r="AI698" i="15"/>
  <c r="AH698" i="15"/>
  <c r="AK697" i="15"/>
  <c r="AJ697" i="15"/>
  <c r="AI697" i="15"/>
  <c r="AH697" i="15"/>
  <c r="AK696" i="15"/>
  <c r="AJ696" i="15"/>
  <c r="AI696" i="15"/>
  <c r="AH696" i="15"/>
  <c r="AK695" i="15"/>
  <c r="AJ695" i="15"/>
  <c r="AI695" i="15"/>
  <c r="AH695" i="15"/>
  <c r="AK694" i="15"/>
  <c r="AJ694" i="15"/>
  <c r="AI694" i="15"/>
  <c r="AH694" i="15"/>
  <c r="AK693" i="15"/>
  <c r="AJ693" i="15"/>
  <c r="AI693" i="15"/>
  <c r="AH693" i="15"/>
  <c r="AK692" i="15"/>
  <c r="AJ692" i="15"/>
  <c r="AI692" i="15"/>
  <c r="AH692" i="15"/>
  <c r="AK691" i="15"/>
  <c r="AJ691" i="15"/>
  <c r="AI691" i="15"/>
  <c r="AH691" i="15"/>
  <c r="AK690" i="15"/>
  <c r="AJ690" i="15"/>
  <c r="AI690" i="15"/>
  <c r="AH690" i="15"/>
  <c r="AK689" i="15"/>
  <c r="AJ689" i="15"/>
  <c r="AI689" i="15"/>
  <c r="AH689" i="15"/>
  <c r="AK688" i="15"/>
  <c r="AJ688" i="15"/>
  <c r="AI688" i="15"/>
  <c r="AH688" i="15"/>
  <c r="AK687" i="15"/>
  <c r="AJ687" i="15"/>
  <c r="AI687" i="15"/>
  <c r="AH687" i="15"/>
  <c r="AK686" i="15"/>
  <c r="AJ686" i="15"/>
  <c r="AI686" i="15"/>
  <c r="AH686" i="15"/>
  <c r="AK685" i="15"/>
  <c r="AJ685" i="15"/>
  <c r="AI685" i="15"/>
  <c r="AH685" i="15"/>
  <c r="AK684" i="15"/>
  <c r="AJ684" i="15"/>
  <c r="AI684" i="15"/>
  <c r="AH684" i="15"/>
  <c r="AK683" i="15"/>
  <c r="AJ683" i="15"/>
  <c r="AI683" i="15"/>
  <c r="AH683" i="15"/>
  <c r="AK682" i="15"/>
  <c r="AJ682" i="15"/>
  <c r="AI682" i="15"/>
  <c r="AH682" i="15"/>
  <c r="AK681" i="15"/>
  <c r="AJ681" i="15"/>
  <c r="AI681" i="15"/>
  <c r="AH681" i="15"/>
  <c r="AK680" i="15"/>
  <c r="AJ680" i="15"/>
  <c r="AI680" i="15"/>
  <c r="AH680" i="15"/>
  <c r="AK679" i="15"/>
  <c r="AJ679" i="15"/>
  <c r="AI679" i="15"/>
  <c r="AH679" i="15"/>
  <c r="AK678" i="15"/>
  <c r="AJ678" i="15"/>
  <c r="AI678" i="15"/>
  <c r="AH678" i="15"/>
  <c r="AK677" i="15"/>
  <c r="AJ677" i="15"/>
  <c r="AI677" i="15"/>
  <c r="AH677" i="15"/>
  <c r="AK676" i="15"/>
  <c r="AJ676" i="15"/>
  <c r="AI676" i="15"/>
  <c r="AH676" i="15"/>
  <c r="AK675" i="15"/>
  <c r="AJ675" i="15"/>
  <c r="AI675" i="15"/>
  <c r="AH675" i="15"/>
  <c r="AK674" i="15"/>
  <c r="AJ674" i="15"/>
  <c r="AI674" i="15"/>
  <c r="AH674" i="15"/>
  <c r="AK673" i="15"/>
  <c r="AJ673" i="15"/>
  <c r="AI673" i="15"/>
  <c r="AH673" i="15"/>
  <c r="AK672" i="15"/>
  <c r="AJ672" i="15"/>
  <c r="AI672" i="15"/>
  <c r="AH672" i="15"/>
  <c r="AK671" i="15"/>
  <c r="AJ671" i="15"/>
  <c r="AI671" i="15"/>
  <c r="AH671" i="15"/>
  <c r="AK670" i="15"/>
  <c r="AJ670" i="15"/>
  <c r="AI670" i="15"/>
  <c r="AH670" i="15"/>
  <c r="AK669" i="15"/>
  <c r="AJ669" i="15"/>
  <c r="AI669" i="15"/>
  <c r="AH669" i="15"/>
  <c r="AK668" i="15"/>
  <c r="AJ668" i="15"/>
  <c r="AI668" i="15"/>
  <c r="AH668" i="15"/>
  <c r="AK667" i="15"/>
  <c r="AJ667" i="15"/>
  <c r="AI667" i="15"/>
  <c r="AH667" i="15"/>
  <c r="AK666" i="15"/>
  <c r="AJ666" i="15"/>
  <c r="AI666" i="15"/>
  <c r="AH666" i="15"/>
  <c r="AK665" i="15"/>
  <c r="AJ665" i="15"/>
  <c r="AI665" i="15"/>
  <c r="AH665" i="15"/>
  <c r="AK664" i="15"/>
  <c r="AJ664" i="15"/>
  <c r="AI664" i="15"/>
  <c r="AH664" i="15"/>
  <c r="AK663" i="15"/>
  <c r="AJ663" i="15"/>
  <c r="AI663" i="15"/>
  <c r="AH663" i="15"/>
  <c r="AK662" i="15"/>
  <c r="AJ662" i="15"/>
  <c r="AI662" i="15"/>
  <c r="AH662" i="15"/>
  <c r="AK661" i="15"/>
  <c r="AJ661" i="15"/>
  <c r="AI661" i="15"/>
  <c r="AH661" i="15"/>
  <c r="AK660" i="15"/>
  <c r="AJ660" i="15"/>
  <c r="AI660" i="15"/>
  <c r="AH660" i="15"/>
  <c r="AK659" i="15"/>
  <c r="AJ659" i="15"/>
  <c r="AI659" i="15"/>
  <c r="AH659" i="15"/>
  <c r="AK658" i="15"/>
  <c r="AJ658" i="15"/>
  <c r="AI658" i="15"/>
  <c r="AH658" i="15"/>
  <c r="AK657" i="15"/>
  <c r="AJ657" i="15"/>
  <c r="AI657" i="15"/>
  <c r="AH657" i="15"/>
  <c r="AK656" i="15"/>
  <c r="AJ656" i="15"/>
  <c r="AI656" i="15"/>
  <c r="AH656" i="15"/>
  <c r="AK655" i="15"/>
  <c r="AJ655" i="15"/>
  <c r="AI655" i="15"/>
  <c r="AH655" i="15"/>
  <c r="AK654" i="15"/>
  <c r="AJ654" i="15"/>
  <c r="AI654" i="15"/>
  <c r="AH654" i="15"/>
  <c r="AK653" i="15"/>
  <c r="AJ653" i="15"/>
  <c r="AI653" i="15"/>
  <c r="AH653" i="15"/>
  <c r="AK652" i="15"/>
  <c r="AJ652" i="15"/>
  <c r="AI652" i="15"/>
  <c r="AH652" i="15"/>
  <c r="AK651" i="15"/>
  <c r="AJ651" i="15"/>
  <c r="AI651" i="15"/>
  <c r="AH651" i="15"/>
  <c r="AK650" i="15"/>
  <c r="AJ650" i="15"/>
  <c r="AI650" i="15"/>
  <c r="AH650" i="15"/>
  <c r="AK649" i="15"/>
  <c r="AJ649" i="15"/>
  <c r="AI649" i="15"/>
  <c r="AH649" i="15"/>
  <c r="AK648" i="15"/>
  <c r="AJ648" i="15"/>
  <c r="AI648" i="15"/>
  <c r="AH648" i="15"/>
  <c r="AK647" i="15"/>
  <c r="AJ647" i="15"/>
  <c r="AI647" i="15"/>
  <c r="AH647" i="15"/>
  <c r="AK646" i="15"/>
  <c r="AJ646" i="15"/>
  <c r="AI646" i="15"/>
  <c r="AH646" i="15"/>
  <c r="AK645" i="15"/>
  <c r="AJ645" i="15"/>
  <c r="AI645" i="15"/>
  <c r="AH645" i="15"/>
  <c r="AK644" i="15"/>
  <c r="AJ644" i="15"/>
  <c r="AI644" i="15"/>
  <c r="AH644" i="15"/>
  <c r="AK643" i="15"/>
  <c r="AJ643" i="15"/>
  <c r="AI643" i="15"/>
  <c r="AH643" i="15"/>
  <c r="AK642" i="15"/>
  <c r="AJ642" i="15"/>
  <c r="AI642" i="15"/>
  <c r="AH642" i="15"/>
  <c r="AK641" i="15"/>
  <c r="AJ641" i="15"/>
  <c r="AI641" i="15"/>
  <c r="AH641" i="15"/>
  <c r="AK640" i="15"/>
  <c r="AJ640" i="15"/>
  <c r="AI640" i="15"/>
  <c r="AH640" i="15"/>
  <c r="AK639" i="15"/>
  <c r="AJ639" i="15"/>
  <c r="AI639" i="15"/>
  <c r="AH639" i="15"/>
  <c r="AK638" i="15"/>
  <c r="AJ638" i="15"/>
  <c r="AI638" i="15"/>
  <c r="AH638" i="15"/>
  <c r="AK637" i="15"/>
  <c r="AJ637" i="15"/>
  <c r="AI637" i="15"/>
  <c r="AH637" i="15"/>
  <c r="AK636" i="15"/>
  <c r="AJ636" i="15"/>
  <c r="AI636" i="15"/>
  <c r="AH636" i="15"/>
  <c r="AK635" i="15"/>
  <c r="AJ635" i="15"/>
  <c r="AI635" i="15"/>
  <c r="AH635" i="15"/>
  <c r="AK634" i="15"/>
  <c r="AJ634" i="15"/>
  <c r="AI634" i="15"/>
  <c r="AH634" i="15"/>
  <c r="AK633" i="15"/>
  <c r="AJ633" i="15"/>
  <c r="AI633" i="15"/>
  <c r="AH633" i="15"/>
  <c r="AK632" i="15"/>
  <c r="AJ632" i="15"/>
  <c r="AI632" i="15"/>
  <c r="AH632" i="15"/>
  <c r="AK631" i="15"/>
  <c r="AJ631" i="15"/>
  <c r="AI631" i="15"/>
  <c r="AH631" i="15"/>
  <c r="AK630" i="15"/>
  <c r="AJ630" i="15"/>
  <c r="AI630" i="15"/>
  <c r="AH630" i="15"/>
  <c r="AK629" i="15"/>
  <c r="AJ629" i="15"/>
  <c r="AI629" i="15"/>
  <c r="AH629" i="15"/>
  <c r="AK628" i="15"/>
  <c r="AJ628" i="15"/>
  <c r="AI628" i="15"/>
  <c r="AH628" i="15"/>
  <c r="AK627" i="15"/>
  <c r="AJ627" i="15"/>
  <c r="AI627" i="15"/>
  <c r="AH627" i="15"/>
  <c r="AK626" i="15"/>
  <c r="AJ626" i="15"/>
  <c r="AI626" i="15"/>
  <c r="AH626" i="15"/>
  <c r="AK625" i="15"/>
  <c r="AJ625" i="15"/>
  <c r="AI625" i="15"/>
  <c r="AH625" i="15"/>
  <c r="AK624" i="15"/>
  <c r="AJ624" i="15"/>
  <c r="AI624" i="15"/>
  <c r="AH624" i="15"/>
  <c r="AK623" i="15"/>
  <c r="AJ623" i="15"/>
  <c r="AI623" i="15"/>
  <c r="AH623" i="15"/>
  <c r="AK622" i="15"/>
  <c r="AJ622" i="15"/>
  <c r="AI622" i="15"/>
  <c r="AH622" i="15"/>
  <c r="AK621" i="15"/>
  <c r="AJ621" i="15"/>
  <c r="AI621" i="15"/>
  <c r="AH621" i="15"/>
  <c r="AK620" i="15"/>
  <c r="AJ620" i="15"/>
  <c r="AI620" i="15"/>
  <c r="AH620" i="15"/>
  <c r="AK619" i="15"/>
  <c r="AJ619" i="15"/>
  <c r="AI619" i="15"/>
  <c r="AH619" i="15"/>
  <c r="AK618" i="15"/>
  <c r="AJ618" i="15"/>
  <c r="AI618" i="15"/>
  <c r="AH618" i="15"/>
  <c r="AK617" i="15"/>
  <c r="AJ617" i="15"/>
  <c r="AI617" i="15"/>
  <c r="AH617" i="15"/>
  <c r="AK616" i="15"/>
  <c r="AJ616" i="15"/>
  <c r="AI616" i="15"/>
  <c r="AH616" i="15"/>
  <c r="AK615" i="15"/>
  <c r="AJ615" i="15"/>
  <c r="AI615" i="15"/>
  <c r="AH615" i="15"/>
  <c r="AK614" i="15"/>
  <c r="AJ614" i="15"/>
  <c r="AI614" i="15"/>
  <c r="AH614" i="15"/>
  <c r="AK613" i="15"/>
  <c r="AJ613" i="15"/>
  <c r="AI613" i="15"/>
  <c r="AH613" i="15"/>
  <c r="AK612" i="15"/>
  <c r="AJ612" i="15"/>
  <c r="AI612" i="15"/>
  <c r="AH612" i="15"/>
  <c r="AK611" i="15"/>
  <c r="AJ611" i="15"/>
  <c r="AI611" i="15"/>
  <c r="AH611" i="15"/>
  <c r="AK610" i="15"/>
  <c r="AJ610" i="15"/>
  <c r="AI610" i="15"/>
  <c r="AH610" i="15"/>
  <c r="AK609" i="15"/>
  <c r="AJ609" i="15"/>
  <c r="AI609" i="15"/>
  <c r="AH609" i="15"/>
  <c r="AK608" i="15"/>
  <c r="AJ608" i="15"/>
  <c r="AI608" i="15"/>
  <c r="AH608" i="15"/>
  <c r="AK607" i="15"/>
  <c r="AJ607" i="15"/>
  <c r="AI607" i="15"/>
  <c r="AH607" i="15"/>
  <c r="AK606" i="15"/>
  <c r="AJ606" i="15"/>
  <c r="AI606" i="15"/>
  <c r="AH606" i="15"/>
  <c r="AK605" i="15"/>
  <c r="AJ605" i="15"/>
  <c r="AI605" i="15"/>
  <c r="AH605" i="15"/>
  <c r="AK604" i="15"/>
  <c r="AJ604" i="15"/>
  <c r="AI604" i="15"/>
  <c r="AH604" i="15"/>
  <c r="AK603" i="15"/>
  <c r="AJ603" i="15"/>
  <c r="AI603" i="15"/>
  <c r="AH603" i="15"/>
  <c r="AK602" i="15"/>
  <c r="AJ602" i="15"/>
  <c r="AI602" i="15"/>
  <c r="AH602" i="15"/>
  <c r="AK601" i="15"/>
  <c r="AJ601" i="15"/>
  <c r="AI601" i="15"/>
  <c r="AH601" i="15"/>
  <c r="AK600" i="15"/>
  <c r="AJ600" i="15"/>
  <c r="AI600" i="15"/>
  <c r="AH600" i="15"/>
  <c r="AK599" i="15"/>
  <c r="AJ599" i="15"/>
  <c r="AI599" i="15"/>
  <c r="AH599" i="15"/>
  <c r="AK598" i="15"/>
  <c r="AJ598" i="15"/>
  <c r="AI598" i="15"/>
  <c r="AH598" i="15"/>
  <c r="AK597" i="15"/>
  <c r="AJ597" i="15"/>
  <c r="AI597" i="15"/>
  <c r="AH597" i="15"/>
  <c r="AK596" i="15"/>
  <c r="AJ596" i="15"/>
  <c r="AI596" i="15"/>
  <c r="AH596" i="15"/>
  <c r="AK595" i="15"/>
  <c r="AJ595" i="15"/>
  <c r="AI595" i="15"/>
  <c r="AH595" i="15"/>
  <c r="AK594" i="15"/>
  <c r="AJ594" i="15"/>
  <c r="AI594" i="15"/>
  <c r="AH594" i="15"/>
  <c r="AK593" i="15"/>
  <c r="AJ593" i="15"/>
  <c r="AI593" i="15"/>
  <c r="AH593" i="15"/>
  <c r="AK592" i="15"/>
  <c r="AJ592" i="15"/>
  <c r="AI592" i="15"/>
  <c r="AH592" i="15"/>
  <c r="AK591" i="15"/>
  <c r="AJ591" i="15"/>
  <c r="AI591" i="15"/>
  <c r="AH591" i="15"/>
  <c r="AK590" i="15"/>
  <c r="AJ590" i="15"/>
  <c r="AI590" i="15"/>
  <c r="AH590" i="15"/>
  <c r="AK589" i="15"/>
  <c r="AJ589" i="15"/>
  <c r="AI589" i="15"/>
  <c r="AH589" i="15"/>
  <c r="AK588" i="15"/>
  <c r="AJ588" i="15"/>
  <c r="AI588" i="15"/>
  <c r="AH588" i="15"/>
  <c r="AK587" i="15"/>
  <c r="AJ587" i="15"/>
  <c r="AI587" i="15"/>
  <c r="AH587" i="15"/>
  <c r="AK586" i="15"/>
  <c r="AJ586" i="15"/>
  <c r="AI586" i="15"/>
  <c r="AH586" i="15"/>
  <c r="AK585" i="15"/>
  <c r="AJ585" i="15"/>
  <c r="AI585" i="15"/>
  <c r="AH585" i="15"/>
  <c r="AK584" i="15"/>
  <c r="AJ584" i="15"/>
  <c r="AI584" i="15"/>
  <c r="AH584" i="15"/>
  <c r="AK583" i="15"/>
  <c r="AJ583" i="15"/>
  <c r="AI583" i="15"/>
  <c r="AH583" i="15"/>
  <c r="AK582" i="15"/>
  <c r="AJ582" i="15"/>
  <c r="AI582" i="15"/>
  <c r="AH582" i="15"/>
  <c r="AK581" i="15"/>
  <c r="AJ581" i="15"/>
  <c r="AI581" i="15"/>
  <c r="AH581" i="15"/>
  <c r="AK580" i="15"/>
  <c r="AJ580" i="15"/>
  <c r="AI580" i="15"/>
  <c r="AH580" i="15"/>
  <c r="AK579" i="15"/>
  <c r="AJ579" i="15"/>
  <c r="AI579" i="15"/>
  <c r="AH579" i="15"/>
  <c r="AK578" i="15"/>
  <c r="AJ578" i="15"/>
  <c r="AI578" i="15"/>
  <c r="AH578" i="15"/>
  <c r="AK577" i="15"/>
  <c r="AJ577" i="15"/>
  <c r="AI577" i="15"/>
  <c r="AH577" i="15"/>
  <c r="AK576" i="15"/>
  <c r="AJ576" i="15"/>
  <c r="AI576" i="15"/>
  <c r="AH576" i="15"/>
  <c r="AK575" i="15"/>
  <c r="AJ575" i="15"/>
  <c r="AI575" i="15"/>
  <c r="AH575" i="15"/>
  <c r="AK574" i="15"/>
  <c r="AJ574" i="15"/>
  <c r="AI574" i="15"/>
  <c r="AH574" i="15"/>
  <c r="AK573" i="15"/>
  <c r="AJ573" i="15"/>
  <c r="AI573" i="15"/>
  <c r="AH573" i="15"/>
  <c r="AK572" i="15"/>
  <c r="AJ572" i="15"/>
  <c r="AI572" i="15"/>
  <c r="AH572" i="15"/>
  <c r="AK571" i="15"/>
  <c r="AJ571" i="15"/>
  <c r="AI571" i="15"/>
  <c r="AH571" i="15"/>
  <c r="AK570" i="15"/>
  <c r="AJ570" i="15"/>
  <c r="AI570" i="15"/>
  <c r="AH570" i="15"/>
  <c r="AK569" i="15"/>
  <c r="AJ569" i="15"/>
  <c r="AI569" i="15"/>
  <c r="AH569" i="15"/>
  <c r="AK568" i="15"/>
  <c r="AJ568" i="15"/>
  <c r="AI568" i="15"/>
  <c r="AH568" i="15"/>
  <c r="AK567" i="15"/>
  <c r="AJ567" i="15"/>
  <c r="AI567" i="15"/>
  <c r="AH567" i="15"/>
  <c r="AK566" i="15"/>
  <c r="AJ566" i="15"/>
  <c r="AI566" i="15"/>
  <c r="AH566" i="15"/>
  <c r="AK565" i="15"/>
  <c r="AJ565" i="15"/>
  <c r="AI565" i="15"/>
  <c r="AH565" i="15"/>
  <c r="AK564" i="15"/>
  <c r="AJ564" i="15"/>
  <c r="AI564" i="15"/>
  <c r="AH564" i="15"/>
  <c r="AK563" i="15"/>
  <c r="AJ563" i="15"/>
  <c r="AI563" i="15"/>
  <c r="AH563" i="15"/>
  <c r="AK562" i="15"/>
  <c r="AJ562" i="15"/>
  <c r="AI562" i="15"/>
  <c r="AH562" i="15"/>
  <c r="AK561" i="15"/>
  <c r="AJ561" i="15"/>
  <c r="AI561" i="15"/>
  <c r="AH561" i="15"/>
  <c r="AK560" i="15"/>
  <c r="AJ560" i="15"/>
  <c r="AI560" i="15"/>
  <c r="AH560" i="15"/>
  <c r="AK559" i="15"/>
  <c r="AJ559" i="15"/>
  <c r="AI559" i="15"/>
  <c r="AH559" i="15"/>
  <c r="AK558" i="15"/>
  <c r="AJ558" i="15"/>
  <c r="AI558" i="15"/>
  <c r="AH558" i="15"/>
  <c r="AK557" i="15"/>
  <c r="AJ557" i="15"/>
  <c r="AI557" i="15"/>
  <c r="AH557" i="15"/>
  <c r="AK556" i="15"/>
  <c r="AJ556" i="15"/>
  <c r="AI556" i="15"/>
  <c r="AH556" i="15"/>
  <c r="AK555" i="15"/>
  <c r="AJ555" i="15"/>
  <c r="AI555" i="15"/>
  <c r="AH555" i="15"/>
  <c r="AK554" i="15"/>
  <c r="AJ554" i="15"/>
  <c r="AI554" i="15"/>
  <c r="AH554" i="15"/>
  <c r="AK553" i="15"/>
  <c r="AJ553" i="15"/>
  <c r="AI553" i="15"/>
  <c r="AH553" i="15"/>
  <c r="AK552" i="15"/>
  <c r="AJ552" i="15"/>
  <c r="AI552" i="15"/>
  <c r="AH552" i="15"/>
  <c r="AK551" i="15"/>
  <c r="AJ551" i="15"/>
  <c r="AI551" i="15"/>
  <c r="AH551" i="15"/>
  <c r="AK550" i="15"/>
  <c r="AJ550" i="15"/>
  <c r="AI550" i="15"/>
  <c r="AH550" i="15"/>
  <c r="AK549" i="15"/>
  <c r="AJ549" i="15"/>
  <c r="AI549" i="15"/>
  <c r="AH549" i="15"/>
  <c r="AK548" i="15"/>
  <c r="AJ548" i="15"/>
  <c r="AI548" i="15"/>
  <c r="AH548" i="15"/>
  <c r="AK547" i="15"/>
  <c r="AJ547" i="15"/>
  <c r="AI547" i="15"/>
  <c r="AH547" i="15"/>
  <c r="AK546" i="15"/>
  <c r="AJ546" i="15"/>
  <c r="AI546" i="15"/>
  <c r="AH546" i="15"/>
  <c r="AK545" i="15"/>
  <c r="AJ545" i="15"/>
  <c r="AI545" i="15"/>
  <c r="AH545" i="15"/>
  <c r="AK544" i="15"/>
  <c r="AJ544" i="15"/>
  <c r="AI544" i="15"/>
  <c r="AH544" i="15"/>
  <c r="AK543" i="15"/>
  <c r="AJ543" i="15"/>
  <c r="AI543" i="15"/>
  <c r="AH543" i="15"/>
  <c r="AK542" i="15"/>
  <c r="AJ542" i="15"/>
  <c r="AI542" i="15"/>
  <c r="AH542" i="15"/>
  <c r="AK541" i="15"/>
  <c r="AJ541" i="15"/>
  <c r="AI541" i="15"/>
  <c r="AH541" i="15"/>
  <c r="AK540" i="15"/>
  <c r="AJ540" i="15"/>
  <c r="AI540" i="15"/>
  <c r="AH540" i="15"/>
  <c r="AK539" i="15"/>
  <c r="AJ539" i="15"/>
  <c r="AI539" i="15"/>
  <c r="AH539" i="15"/>
  <c r="AK538" i="15"/>
  <c r="AJ538" i="15"/>
  <c r="AI538" i="15"/>
  <c r="AH538" i="15"/>
  <c r="AK537" i="15"/>
  <c r="AJ537" i="15"/>
  <c r="AI537" i="15"/>
  <c r="AH537" i="15"/>
  <c r="AK536" i="15"/>
  <c r="AJ536" i="15"/>
  <c r="AI536" i="15"/>
  <c r="AH536" i="15"/>
  <c r="AK535" i="15"/>
  <c r="AJ535" i="15"/>
  <c r="AI535" i="15"/>
  <c r="AH535" i="15"/>
  <c r="AK534" i="15"/>
  <c r="AJ534" i="15"/>
  <c r="AI534" i="15"/>
  <c r="AH534" i="15"/>
  <c r="AK533" i="15"/>
  <c r="AJ533" i="15"/>
  <c r="AI533" i="15"/>
  <c r="AH533" i="15"/>
  <c r="AK532" i="15"/>
  <c r="AJ532" i="15"/>
  <c r="AI532" i="15"/>
  <c r="AH532" i="15"/>
  <c r="AK531" i="15"/>
  <c r="AJ531" i="15"/>
  <c r="AI531" i="15"/>
  <c r="AH531" i="15"/>
  <c r="AK530" i="15"/>
  <c r="AJ530" i="15"/>
  <c r="AI530" i="15"/>
  <c r="AH530" i="15"/>
  <c r="AK529" i="15"/>
  <c r="AJ529" i="15"/>
  <c r="AI529" i="15"/>
  <c r="AH529" i="15"/>
  <c r="AK528" i="15"/>
  <c r="AJ528" i="15"/>
  <c r="AI528" i="15"/>
  <c r="AH528" i="15"/>
  <c r="AK527" i="15"/>
  <c r="AJ527" i="15"/>
  <c r="AI527" i="15"/>
  <c r="AH527" i="15"/>
  <c r="AK526" i="15"/>
  <c r="AJ526" i="15"/>
  <c r="AI526" i="15"/>
  <c r="AH526" i="15"/>
  <c r="AK525" i="15"/>
  <c r="AJ525" i="15"/>
  <c r="AI525" i="15"/>
  <c r="AH525" i="15"/>
  <c r="AK524" i="15"/>
  <c r="AJ524" i="15"/>
  <c r="AI524" i="15"/>
  <c r="AH524" i="15"/>
  <c r="AK523" i="15"/>
  <c r="AJ523" i="15"/>
  <c r="AI523" i="15"/>
  <c r="AH523" i="15"/>
  <c r="AK522" i="15"/>
  <c r="AJ522" i="15"/>
  <c r="AI522" i="15"/>
  <c r="AH522" i="15"/>
  <c r="AK521" i="15"/>
  <c r="AJ521" i="15"/>
  <c r="AI521" i="15"/>
  <c r="AH521" i="15"/>
  <c r="AK520" i="15"/>
  <c r="AJ520" i="15"/>
  <c r="AI520" i="15"/>
  <c r="AH520" i="15"/>
  <c r="AK519" i="15"/>
  <c r="AJ519" i="15"/>
  <c r="AI519" i="15"/>
  <c r="AH519" i="15"/>
  <c r="AK518" i="15"/>
  <c r="AJ518" i="15"/>
  <c r="AI518" i="15"/>
  <c r="AH518" i="15"/>
  <c r="AK517" i="15"/>
  <c r="AJ517" i="15"/>
  <c r="AI517" i="15"/>
  <c r="AH517" i="15"/>
  <c r="AK516" i="15"/>
  <c r="AJ516" i="15"/>
  <c r="AI516" i="15"/>
  <c r="AH516" i="15"/>
  <c r="AK515" i="15"/>
  <c r="AJ515" i="15"/>
  <c r="AI515" i="15"/>
  <c r="AH515" i="15"/>
  <c r="AK514" i="15"/>
  <c r="AJ514" i="15"/>
  <c r="AI514" i="15"/>
  <c r="AH514" i="15"/>
  <c r="AK513" i="15"/>
  <c r="AJ513" i="15"/>
  <c r="AI513" i="15"/>
  <c r="AH513" i="15"/>
  <c r="AK512" i="15"/>
  <c r="AJ512" i="15"/>
  <c r="AI512" i="15"/>
  <c r="AH512" i="15"/>
  <c r="AK511" i="15"/>
  <c r="AJ511" i="15"/>
  <c r="AI511" i="15"/>
  <c r="AH511" i="15"/>
  <c r="AK510" i="15"/>
  <c r="AJ510" i="15"/>
  <c r="AI510" i="15"/>
  <c r="AH510" i="15"/>
  <c r="AK509" i="15"/>
  <c r="AJ509" i="15"/>
  <c r="AI509" i="15"/>
  <c r="AH509" i="15"/>
  <c r="AK508" i="15"/>
  <c r="AJ508" i="15"/>
  <c r="AI508" i="15"/>
  <c r="AH508" i="15"/>
  <c r="AK507" i="15"/>
  <c r="AJ507" i="15"/>
  <c r="AI507" i="15"/>
  <c r="AH507" i="15"/>
  <c r="AK506" i="15"/>
  <c r="AJ506" i="15"/>
  <c r="AI506" i="15"/>
  <c r="AH506" i="15"/>
  <c r="AK505" i="15"/>
  <c r="AJ505" i="15"/>
  <c r="AI505" i="15"/>
  <c r="AH505" i="15"/>
  <c r="AK504" i="15"/>
  <c r="AJ504" i="15"/>
  <c r="AI504" i="15"/>
  <c r="AH504" i="15"/>
  <c r="AK503" i="15"/>
  <c r="AJ503" i="15"/>
  <c r="AI503" i="15"/>
  <c r="AH503" i="15"/>
  <c r="AK502" i="15"/>
  <c r="AJ502" i="15"/>
  <c r="AI502" i="15"/>
  <c r="AH502" i="15"/>
  <c r="AK501" i="15"/>
  <c r="AJ501" i="15"/>
  <c r="AI501" i="15"/>
  <c r="AH501" i="15"/>
  <c r="AK500" i="15"/>
  <c r="AJ500" i="15"/>
  <c r="AI500" i="15"/>
  <c r="AH500" i="15"/>
  <c r="AK499" i="15"/>
  <c r="AJ499" i="15"/>
  <c r="AI499" i="15"/>
  <c r="AH499" i="15"/>
  <c r="AK498" i="15"/>
  <c r="AJ498" i="15"/>
  <c r="AI498" i="15"/>
  <c r="AH498" i="15"/>
  <c r="AK497" i="15"/>
  <c r="AJ497" i="15"/>
  <c r="AI497" i="15"/>
  <c r="AH497" i="15"/>
  <c r="AK496" i="15"/>
  <c r="AJ496" i="15"/>
  <c r="AI496" i="15"/>
  <c r="AH496" i="15"/>
  <c r="AK495" i="15"/>
  <c r="AJ495" i="15"/>
  <c r="AI495" i="15"/>
  <c r="AH495" i="15"/>
  <c r="AK494" i="15"/>
  <c r="AJ494" i="15"/>
  <c r="AI494" i="15"/>
  <c r="AH494" i="15"/>
  <c r="AK493" i="15"/>
  <c r="AJ493" i="15"/>
  <c r="AI493" i="15"/>
  <c r="AH493" i="15"/>
  <c r="AK492" i="15"/>
  <c r="AJ492" i="15"/>
  <c r="AI492" i="15"/>
  <c r="AH492" i="15"/>
  <c r="AK491" i="15"/>
  <c r="AJ491" i="15"/>
  <c r="AI491" i="15"/>
  <c r="AH491" i="15"/>
  <c r="AK490" i="15"/>
  <c r="AJ490" i="15"/>
  <c r="AI490" i="15"/>
  <c r="AH490" i="15"/>
  <c r="AK489" i="15"/>
  <c r="AJ489" i="15"/>
  <c r="AI489" i="15"/>
  <c r="AH489" i="15"/>
  <c r="AK488" i="15"/>
  <c r="AJ488" i="15"/>
  <c r="AI488" i="15"/>
  <c r="AH488" i="15"/>
  <c r="AK487" i="15"/>
  <c r="AJ487" i="15"/>
  <c r="AI487" i="15"/>
  <c r="AH487" i="15"/>
  <c r="AK486" i="15"/>
  <c r="AJ486" i="15"/>
  <c r="AI486" i="15"/>
  <c r="AH486" i="15"/>
  <c r="AK485" i="15"/>
  <c r="AJ485" i="15"/>
  <c r="AI485" i="15"/>
  <c r="AH485" i="15"/>
  <c r="AK484" i="15"/>
  <c r="AJ484" i="15"/>
  <c r="AI484" i="15"/>
  <c r="AH484" i="15"/>
  <c r="AK483" i="15"/>
  <c r="AJ483" i="15"/>
  <c r="AI483" i="15"/>
  <c r="AH483" i="15"/>
  <c r="AK482" i="15"/>
  <c r="AJ482" i="15"/>
  <c r="AI482" i="15"/>
  <c r="AH482" i="15"/>
  <c r="AK481" i="15"/>
  <c r="AJ481" i="15"/>
  <c r="AI481" i="15"/>
  <c r="AH481" i="15"/>
  <c r="AK480" i="15"/>
  <c r="AJ480" i="15"/>
  <c r="AI480" i="15"/>
  <c r="AH480" i="15"/>
  <c r="AK479" i="15"/>
  <c r="AJ479" i="15"/>
  <c r="AI479" i="15"/>
  <c r="AH479" i="15"/>
  <c r="AK478" i="15"/>
  <c r="AJ478" i="15"/>
  <c r="AI478" i="15"/>
  <c r="AH478" i="15"/>
  <c r="AK477" i="15"/>
  <c r="AJ477" i="15"/>
  <c r="AI477" i="15"/>
  <c r="AH477" i="15"/>
  <c r="AK476" i="15"/>
  <c r="AJ476" i="15"/>
  <c r="AI476" i="15"/>
  <c r="AH476" i="15"/>
  <c r="AK475" i="15"/>
  <c r="AJ475" i="15"/>
  <c r="AI475" i="15"/>
  <c r="AH475" i="15"/>
  <c r="AK474" i="15"/>
  <c r="AJ474" i="15"/>
  <c r="AI474" i="15"/>
  <c r="AH474" i="15"/>
  <c r="AK473" i="15"/>
  <c r="AJ473" i="15"/>
  <c r="AI473" i="15"/>
  <c r="AH473" i="15"/>
  <c r="AK472" i="15"/>
  <c r="AJ472" i="15"/>
  <c r="AI472" i="15"/>
  <c r="AH472" i="15"/>
  <c r="AK471" i="15"/>
  <c r="AJ471" i="15"/>
  <c r="AI471" i="15"/>
  <c r="AH471" i="15"/>
  <c r="AK470" i="15"/>
  <c r="AJ470" i="15"/>
  <c r="AI470" i="15"/>
  <c r="AH470" i="15"/>
  <c r="AK469" i="15"/>
  <c r="AJ469" i="15"/>
  <c r="AI469" i="15"/>
  <c r="AH469" i="15"/>
  <c r="AK468" i="15"/>
  <c r="AJ468" i="15"/>
  <c r="AI468" i="15"/>
  <c r="AH468" i="15"/>
  <c r="AK467" i="15"/>
  <c r="AJ467" i="15"/>
  <c r="AI467" i="15"/>
  <c r="AH467" i="15"/>
  <c r="AK466" i="15"/>
  <c r="AJ466" i="15"/>
  <c r="AI466" i="15"/>
  <c r="AH466" i="15"/>
  <c r="AK465" i="15"/>
  <c r="AJ465" i="15"/>
  <c r="AI465" i="15"/>
  <c r="AH465" i="15"/>
  <c r="AK464" i="15"/>
  <c r="AJ464" i="15"/>
  <c r="AI464" i="15"/>
  <c r="AH464" i="15"/>
  <c r="AK463" i="15"/>
  <c r="AJ463" i="15"/>
  <c r="AI463" i="15"/>
  <c r="AH463" i="15"/>
  <c r="AK462" i="15"/>
  <c r="AJ462" i="15"/>
  <c r="AI462" i="15"/>
  <c r="AH462" i="15"/>
  <c r="AK461" i="15"/>
  <c r="AJ461" i="15"/>
  <c r="AI461" i="15"/>
  <c r="AH461" i="15"/>
  <c r="AK460" i="15"/>
  <c r="AJ460" i="15"/>
  <c r="AI460" i="15"/>
  <c r="AH460" i="15"/>
  <c r="AK459" i="15"/>
  <c r="AJ459" i="15"/>
  <c r="AI459" i="15"/>
  <c r="AH459" i="15"/>
  <c r="AK458" i="15"/>
  <c r="AJ458" i="15"/>
  <c r="AI458" i="15"/>
  <c r="AH458" i="15"/>
  <c r="AK457" i="15"/>
  <c r="AJ457" i="15"/>
  <c r="AI457" i="15"/>
  <c r="AH457" i="15"/>
  <c r="AK456" i="15"/>
  <c r="AJ456" i="15"/>
  <c r="AI456" i="15"/>
  <c r="AH456" i="15"/>
  <c r="AK455" i="15"/>
  <c r="AJ455" i="15"/>
  <c r="AI455" i="15"/>
  <c r="AH455" i="15"/>
  <c r="AK454" i="15"/>
  <c r="AJ454" i="15"/>
  <c r="AI454" i="15"/>
  <c r="AH454" i="15"/>
  <c r="AK453" i="15"/>
  <c r="AJ453" i="15"/>
  <c r="AI453" i="15"/>
  <c r="AH453" i="15"/>
  <c r="AK452" i="15"/>
  <c r="AJ452" i="15"/>
  <c r="AI452" i="15"/>
  <c r="AH452" i="15"/>
  <c r="AK451" i="15"/>
  <c r="AJ451" i="15"/>
  <c r="AI451" i="15"/>
  <c r="AH451" i="15"/>
  <c r="AK450" i="15"/>
  <c r="AJ450" i="15"/>
  <c r="AI450" i="15"/>
  <c r="AH450" i="15"/>
  <c r="AK449" i="15"/>
  <c r="AJ449" i="15"/>
  <c r="AI449" i="15"/>
  <c r="AH449" i="15"/>
  <c r="AK448" i="15"/>
  <c r="AJ448" i="15"/>
  <c r="AI448" i="15"/>
  <c r="AH448" i="15"/>
  <c r="AK447" i="15"/>
  <c r="AJ447" i="15"/>
  <c r="AI447" i="15"/>
  <c r="AH447" i="15"/>
  <c r="AK446" i="15"/>
  <c r="AJ446" i="15"/>
  <c r="AI446" i="15"/>
  <c r="AH446" i="15"/>
  <c r="AK445" i="15"/>
  <c r="AJ445" i="15"/>
  <c r="AI445" i="15"/>
  <c r="AH445" i="15"/>
  <c r="AK444" i="15"/>
  <c r="AJ444" i="15"/>
  <c r="AI444" i="15"/>
  <c r="AH444" i="15"/>
  <c r="AK443" i="15"/>
  <c r="AJ443" i="15"/>
  <c r="AI443" i="15"/>
  <c r="AH443" i="15"/>
  <c r="AK442" i="15"/>
  <c r="AJ442" i="15"/>
  <c r="AI442" i="15"/>
  <c r="AH442" i="15"/>
  <c r="AK441" i="15"/>
  <c r="AJ441" i="15"/>
  <c r="AI441" i="15"/>
  <c r="AH441" i="15"/>
  <c r="AK440" i="15"/>
  <c r="AJ440" i="15"/>
  <c r="AI440" i="15"/>
  <c r="AH440" i="15"/>
  <c r="AK439" i="15"/>
  <c r="AJ439" i="15"/>
  <c r="AI439" i="15"/>
  <c r="AH439" i="15"/>
  <c r="AK438" i="15"/>
  <c r="AJ438" i="15"/>
  <c r="AI438" i="15"/>
  <c r="AH438" i="15"/>
  <c r="AK437" i="15"/>
  <c r="AJ437" i="15"/>
  <c r="AI437" i="15"/>
  <c r="AH437" i="15"/>
  <c r="AK436" i="15"/>
  <c r="AJ436" i="15"/>
  <c r="AI436" i="15"/>
  <c r="AH436" i="15"/>
  <c r="AK435" i="15"/>
  <c r="AJ435" i="15"/>
  <c r="AI435" i="15"/>
  <c r="AH435" i="15"/>
  <c r="AK434" i="15"/>
  <c r="AJ434" i="15"/>
  <c r="AI434" i="15"/>
  <c r="AH434" i="15"/>
  <c r="AK433" i="15"/>
  <c r="AJ433" i="15"/>
  <c r="AI433" i="15"/>
  <c r="AH433" i="15"/>
  <c r="AK432" i="15"/>
  <c r="AJ432" i="15"/>
  <c r="AI432" i="15"/>
  <c r="AH432" i="15"/>
  <c r="AK431" i="15"/>
  <c r="AJ431" i="15"/>
  <c r="AI431" i="15"/>
  <c r="AH431" i="15"/>
  <c r="AK430" i="15"/>
  <c r="AJ430" i="15"/>
  <c r="AI430" i="15"/>
  <c r="AH430" i="15"/>
  <c r="AK429" i="15"/>
  <c r="AJ429" i="15"/>
  <c r="AI429" i="15"/>
  <c r="AH429" i="15"/>
  <c r="AK428" i="15"/>
  <c r="AJ428" i="15"/>
  <c r="AI428" i="15"/>
  <c r="AH428" i="15"/>
  <c r="AK427" i="15"/>
  <c r="AJ427" i="15"/>
  <c r="AI427" i="15"/>
  <c r="AH427" i="15"/>
  <c r="AK426" i="15"/>
  <c r="AJ426" i="15"/>
  <c r="AI426" i="15"/>
  <c r="AH426" i="15"/>
  <c r="AK425" i="15"/>
  <c r="AJ425" i="15"/>
  <c r="AI425" i="15"/>
  <c r="AH425" i="15"/>
  <c r="AK424" i="15"/>
  <c r="AJ424" i="15"/>
  <c r="AI424" i="15"/>
  <c r="AH424" i="15"/>
  <c r="AK423" i="15"/>
  <c r="AJ423" i="15"/>
  <c r="AI423" i="15"/>
  <c r="AH423" i="15"/>
  <c r="AK422" i="15"/>
  <c r="AJ422" i="15"/>
  <c r="AI422" i="15"/>
  <c r="AH422" i="15"/>
  <c r="AK421" i="15"/>
  <c r="AJ421" i="15"/>
  <c r="AI421" i="15"/>
  <c r="AH421" i="15"/>
  <c r="AK420" i="15"/>
  <c r="AJ420" i="15"/>
  <c r="AI420" i="15"/>
  <c r="AH420" i="15"/>
  <c r="AK419" i="15"/>
  <c r="AJ419" i="15"/>
  <c r="AI419" i="15"/>
  <c r="AH419" i="15"/>
  <c r="AK418" i="15"/>
  <c r="AJ418" i="15"/>
  <c r="AI418" i="15"/>
  <c r="AH418" i="15"/>
  <c r="AK417" i="15"/>
  <c r="AJ417" i="15"/>
  <c r="AI417" i="15"/>
  <c r="AH417" i="15"/>
  <c r="AK416" i="15"/>
  <c r="AJ416" i="15"/>
  <c r="AI416" i="15"/>
  <c r="AH416" i="15"/>
  <c r="AK415" i="15"/>
  <c r="AJ415" i="15"/>
  <c r="AI415" i="15"/>
  <c r="AH415" i="15"/>
  <c r="AK414" i="15"/>
  <c r="AJ414" i="15"/>
  <c r="AI414" i="15"/>
  <c r="AH414" i="15"/>
  <c r="AK413" i="15"/>
  <c r="AJ413" i="15"/>
  <c r="AI413" i="15"/>
  <c r="AH413" i="15"/>
  <c r="AK412" i="15"/>
  <c r="AJ412" i="15"/>
  <c r="AI412" i="15"/>
  <c r="AH412" i="15"/>
  <c r="AK411" i="15"/>
  <c r="AJ411" i="15"/>
  <c r="AI411" i="15"/>
  <c r="AH411" i="15"/>
  <c r="AK410" i="15"/>
  <c r="AJ410" i="15"/>
  <c r="AI410" i="15"/>
  <c r="AH410" i="15"/>
  <c r="AK409" i="15"/>
  <c r="AJ409" i="15"/>
  <c r="AI409" i="15"/>
  <c r="AH409" i="15"/>
  <c r="AK408" i="15"/>
  <c r="AJ408" i="15"/>
  <c r="AI408" i="15"/>
  <c r="AH408" i="15"/>
  <c r="AK407" i="15"/>
  <c r="AJ407" i="15"/>
  <c r="AI407" i="15"/>
  <c r="AH407" i="15"/>
  <c r="AK406" i="15"/>
  <c r="AJ406" i="15"/>
  <c r="AI406" i="15"/>
  <c r="AH406" i="15"/>
  <c r="AK405" i="15"/>
  <c r="AJ405" i="15"/>
  <c r="AI405" i="15"/>
  <c r="AH405" i="15"/>
  <c r="AK404" i="15"/>
  <c r="AJ404" i="15"/>
  <c r="AI404" i="15"/>
  <c r="AH404" i="15"/>
  <c r="AK403" i="15"/>
  <c r="AJ403" i="15"/>
  <c r="AI403" i="15"/>
  <c r="AH403" i="15"/>
  <c r="AK402" i="15"/>
  <c r="AJ402" i="15"/>
  <c r="AI402" i="15"/>
  <c r="AH402" i="15"/>
  <c r="AK401" i="15"/>
  <c r="AJ401" i="15"/>
  <c r="AI401" i="15"/>
  <c r="AH401" i="15"/>
  <c r="AK400" i="15"/>
  <c r="AJ400" i="15"/>
  <c r="AI400" i="15"/>
  <c r="AH400" i="15"/>
  <c r="AK399" i="15"/>
  <c r="AJ399" i="15"/>
  <c r="AI399" i="15"/>
  <c r="AH399" i="15"/>
  <c r="AK398" i="15"/>
  <c r="AJ398" i="15"/>
  <c r="AI398" i="15"/>
  <c r="AH398" i="15"/>
  <c r="AK397" i="15"/>
  <c r="AJ397" i="15"/>
  <c r="AI397" i="15"/>
  <c r="AH397" i="15"/>
  <c r="AK396" i="15"/>
  <c r="AJ396" i="15"/>
  <c r="AI396" i="15"/>
  <c r="AH396" i="15"/>
  <c r="AK395" i="15"/>
  <c r="AJ395" i="15"/>
  <c r="AI395" i="15"/>
  <c r="AH395" i="15"/>
  <c r="AK394" i="15"/>
  <c r="AJ394" i="15"/>
  <c r="AI394" i="15"/>
  <c r="AH394" i="15"/>
  <c r="AK393" i="15"/>
  <c r="AJ393" i="15"/>
  <c r="AI393" i="15"/>
  <c r="AH393" i="15"/>
  <c r="AK392" i="15"/>
  <c r="AJ392" i="15"/>
  <c r="AI392" i="15"/>
  <c r="AH392" i="15"/>
  <c r="AK391" i="15"/>
  <c r="AJ391" i="15"/>
  <c r="AI391" i="15"/>
  <c r="AH391" i="15"/>
  <c r="AK390" i="15"/>
  <c r="AJ390" i="15"/>
  <c r="AI390" i="15"/>
  <c r="AH390" i="15"/>
  <c r="AK389" i="15"/>
  <c r="AJ389" i="15"/>
  <c r="AI389" i="15"/>
  <c r="AH389" i="15"/>
  <c r="AK388" i="15"/>
  <c r="AJ388" i="15"/>
  <c r="AI388" i="15"/>
  <c r="AH388" i="15"/>
  <c r="AK387" i="15"/>
  <c r="AJ387" i="15"/>
  <c r="AI387" i="15"/>
  <c r="AH387" i="15"/>
  <c r="AK386" i="15"/>
  <c r="AJ386" i="15"/>
  <c r="AI386" i="15"/>
  <c r="AH386" i="15"/>
  <c r="AK385" i="15"/>
  <c r="AJ385" i="15"/>
  <c r="AI385" i="15"/>
  <c r="AH385" i="15"/>
  <c r="AK384" i="15"/>
  <c r="AJ384" i="15"/>
  <c r="AI384" i="15"/>
  <c r="AH384" i="15"/>
  <c r="AK383" i="15"/>
  <c r="AJ383" i="15"/>
  <c r="AI383" i="15"/>
  <c r="AH383" i="15"/>
  <c r="AK382" i="15"/>
  <c r="AJ382" i="15"/>
  <c r="AI382" i="15"/>
  <c r="AH382" i="15"/>
  <c r="AK381" i="15"/>
  <c r="AJ381" i="15"/>
  <c r="AI381" i="15"/>
  <c r="AH381" i="15"/>
  <c r="AK380" i="15"/>
  <c r="AJ380" i="15"/>
  <c r="AI380" i="15"/>
  <c r="AH380" i="15"/>
  <c r="AK379" i="15"/>
  <c r="AJ379" i="15"/>
  <c r="AI379" i="15"/>
  <c r="AH379" i="15"/>
  <c r="AK378" i="15"/>
  <c r="AJ378" i="15"/>
  <c r="AI378" i="15"/>
  <c r="AH378" i="15"/>
  <c r="AK377" i="15"/>
  <c r="AJ377" i="15"/>
  <c r="AI377" i="15"/>
  <c r="AH377" i="15"/>
  <c r="AK376" i="15"/>
  <c r="AJ376" i="15"/>
  <c r="AI376" i="15"/>
  <c r="AH376" i="15"/>
  <c r="AK375" i="15"/>
  <c r="AJ375" i="15"/>
  <c r="AI375" i="15"/>
  <c r="AH375" i="15"/>
  <c r="AK374" i="15"/>
  <c r="AJ374" i="15"/>
  <c r="AI374" i="15"/>
  <c r="AH374" i="15"/>
  <c r="AK373" i="15"/>
  <c r="AJ373" i="15"/>
  <c r="AI373" i="15"/>
  <c r="AH373" i="15"/>
  <c r="AK372" i="15"/>
  <c r="AJ372" i="15"/>
  <c r="AI372" i="15"/>
  <c r="AH372" i="15"/>
  <c r="AK371" i="15"/>
  <c r="AJ371" i="15"/>
  <c r="AI371" i="15"/>
  <c r="AH371" i="15"/>
  <c r="AK370" i="15"/>
  <c r="AJ370" i="15"/>
  <c r="AI370" i="15"/>
  <c r="AH370" i="15"/>
  <c r="AK369" i="15"/>
  <c r="AJ369" i="15"/>
  <c r="AI369" i="15"/>
  <c r="AH369" i="15"/>
  <c r="AK368" i="15"/>
  <c r="AJ368" i="15"/>
  <c r="AI368" i="15"/>
  <c r="AH368" i="15"/>
  <c r="AK367" i="15"/>
  <c r="AJ367" i="15"/>
  <c r="AI367" i="15"/>
  <c r="AH367" i="15"/>
  <c r="AK366" i="15"/>
  <c r="AJ366" i="15"/>
  <c r="AI366" i="15"/>
  <c r="AH366" i="15"/>
  <c r="AK365" i="15"/>
  <c r="AJ365" i="15"/>
  <c r="AI365" i="15"/>
  <c r="AH365" i="15"/>
  <c r="AK364" i="15"/>
  <c r="AJ364" i="15"/>
  <c r="AI364" i="15"/>
  <c r="AH364" i="15"/>
  <c r="AK363" i="15"/>
  <c r="AJ363" i="15"/>
  <c r="AI363" i="15"/>
  <c r="AH363" i="15"/>
  <c r="AK362" i="15"/>
  <c r="AJ362" i="15"/>
  <c r="AI362" i="15"/>
  <c r="AH362" i="15"/>
  <c r="AK361" i="15"/>
  <c r="AJ361" i="15"/>
  <c r="AI361" i="15"/>
  <c r="AH361" i="15"/>
  <c r="AK360" i="15"/>
  <c r="AJ360" i="15"/>
  <c r="AI360" i="15"/>
  <c r="AH360" i="15"/>
  <c r="AK359" i="15"/>
  <c r="AJ359" i="15"/>
  <c r="AI359" i="15"/>
  <c r="AH359" i="15"/>
  <c r="AK358" i="15"/>
  <c r="AJ358" i="15"/>
  <c r="AI358" i="15"/>
  <c r="AH358" i="15"/>
  <c r="AK357" i="15"/>
  <c r="AJ357" i="15"/>
  <c r="AI357" i="15"/>
  <c r="AH357" i="15"/>
  <c r="AK356" i="15"/>
  <c r="AJ356" i="15"/>
  <c r="AI356" i="15"/>
  <c r="AH356" i="15"/>
  <c r="AK355" i="15"/>
  <c r="AJ355" i="15"/>
  <c r="AI355" i="15"/>
  <c r="AH355" i="15"/>
  <c r="AK354" i="15"/>
  <c r="AJ354" i="15"/>
  <c r="AI354" i="15"/>
  <c r="AH354" i="15"/>
  <c r="AK353" i="15"/>
  <c r="AJ353" i="15"/>
  <c r="AI353" i="15"/>
  <c r="AH353" i="15"/>
  <c r="AK352" i="15"/>
  <c r="AJ352" i="15"/>
  <c r="AI352" i="15"/>
  <c r="AH352" i="15"/>
  <c r="AK351" i="15"/>
  <c r="AJ351" i="15"/>
  <c r="AI351" i="15"/>
  <c r="AH351" i="15"/>
  <c r="AK350" i="15"/>
  <c r="AJ350" i="15"/>
  <c r="AI350" i="15"/>
  <c r="AH350" i="15"/>
  <c r="AK349" i="15"/>
  <c r="AJ349" i="15"/>
  <c r="AI349" i="15"/>
  <c r="AH349" i="15"/>
  <c r="AK348" i="15"/>
  <c r="AJ348" i="15"/>
  <c r="AI348" i="15"/>
  <c r="AH348" i="15"/>
  <c r="AK347" i="15"/>
  <c r="AJ347" i="15"/>
  <c r="AI347" i="15"/>
  <c r="AH347" i="15"/>
  <c r="AK346" i="15"/>
  <c r="AJ346" i="15"/>
  <c r="AI346" i="15"/>
  <c r="AH346" i="15"/>
  <c r="AK345" i="15"/>
  <c r="AJ345" i="15"/>
  <c r="AI345" i="15"/>
  <c r="AH345" i="15"/>
  <c r="AK344" i="15"/>
  <c r="AJ344" i="15"/>
  <c r="AI344" i="15"/>
  <c r="AH344" i="15"/>
  <c r="AK343" i="15"/>
  <c r="AJ343" i="15"/>
  <c r="AI343" i="15"/>
  <c r="AH343" i="15"/>
  <c r="AK342" i="15"/>
  <c r="AJ342" i="15"/>
  <c r="AI342" i="15"/>
  <c r="AH342" i="15"/>
  <c r="AK341" i="15"/>
  <c r="AJ341" i="15"/>
  <c r="AI341" i="15"/>
  <c r="AH341" i="15"/>
  <c r="AK340" i="15"/>
  <c r="AJ340" i="15"/>
  <c r="AI340" i="15"/>
  <c r="AH340" i="15"/>
  <c r="AK339" i="15"/>
  <c r="AJ339" i="15"/>
  <c r="AI339" i="15"/>
  <c r="AH339" i="15"/>
  <c r="AK338" i="15"/>
  <c r="AJ338" i="15"/>
  <c r="AI338" i="15"/>
  <c r="AH338" i="15"/>
  <c r="AK337" i="15"/>
  <c r="AJ337" i="15"/>
  <c r="AI337" i="15"/>
  <c r="AH337" i="15"/>
  <c r="AK336" i="15"/>
  <c r="AJ336" i="15"/>
  <c r="AI336" i="15"/>
  <c r="AH336" i="15"/>
  <c r="AK335" i="15"/>
  <c r="AJ335" i="15"/>
  <c r="AI335" i="15"/>
  <c r="AH335" i="15"/>
  <c r="AK334" i="15"/>
  <c r="AJ334" i="15"/>
  <c r="AI334" i="15"/>
  <c r="AH334" i="15"/>
  <c r="AK333" i="15"/>
  <c r="AJ333" i="15"/>
  <c r="AI333" i="15"/>
  <c r="AH333" i="15"/>
  <c r="AK332" i="15"/>
  <c r="AJ332" i="15"/>
  <c r="AI332" i="15"/>
  <c r="AH332" i="15"/>
  <c r="AK331" i="15"/>
  <c r="AJ331" i="15"/>
  <c r="AI331" i="15"/>
  <c r="AH331" i="15"/>
  <c r="AK330" i="15"/>
  <c r="AJ330" i="15"/>
  <c r="AI330" i="15"/>
  <c r="AH330" i="15"/>
  <c r="AK329" i="15"/>
  <c r="AJ329" i="15"/>
  <c r="AI329" i="15"/>
  <c r="AH329" i="15"/>
  <c r="AK328" i="15"/>
  <c r="AJ328" i="15"/>
  <c r="AI328" i="15"/>
  <c r="AH328" i="15"/>
  <c r="AK327" i="15"/>
  <c r="AJ327" i="15"/>
  <c r="AI327" i="15"/>
  <c r="AH327" i="15"/>
  <c r="AK326" i="15"/>
  <c r="AJ326" i="15"/>
  <c r="AI326" i="15"/>
  <c r="AH326" i="15"/>
  <c r="AK325" i="15"/>
  <c r="AJ325" i="15"/>
  <c r="AI325" i="15"/>
  <c r="AH325" i="15"/>
  <c r="AK324" i="15"/>
  <c r="AJ324" i="15"/>
  <c r="AI324" i="15"/>
  <c r="AH324" i="15"/>
  <c r="AK323" i="15"/>
  <c r="AJ323" i="15"/>
  <c r="AI323" i="15"/>
  <c r="AH323" i="15"/>
  <c r="AK322" i="15"/>
  <c r="AJ322" i="15"/>
  <c r="AI322" i="15"/>
  <c r="AH322" i="15"/>
  <c r="AK321" i="15"/>
  <c r="AJ321" i="15"/>
  <c r="AI321" i="15"/>
  <c r="AH321" i="15"/>
  <c r="AK320" i="15"/>
  <c r="AJ320" i="15"/>
  <c r="AI320" i="15"/>
  <c r="AH320" i="15"/>
  <c r="AK319" i="15"/>
  <c r="AJ319" i="15"/>
  <c r="AI319" i="15"/>
  <c r="AH319" i="15"/>
  <c r="AK318" i="15"/>
  <c r="AJ318" i="15"/>
  <c r="AI318" i="15"/>
  <c r="AH318" i="15"/>
  <c r="AK317" i="15"/>
  <c r="AJ317" i="15"/>
  <c r="AI317" i="15"/>
  <c r="AH317" i="15"/>
  <c r="AK316" i="15"/>
  <c r="AJ316" i="15"/>
  <c r="AI316" i="15"/>
  <c r="AH316" i="15"/>
  <c r="AK315" i="15"/>
  <c r="AJ315" i="15"/>
  <c r="AI315" i="15"/>
  <c r="AH315" i="15"/>
  <c r="AK314" i="15"/>
  <c r="AJ314" i="15"/>
  <c r="AI314" i="15"/>
  <c r="AH314" i="15"/>
  <c r="AK313" i="15"/>
  <c r="AJ313" i="15"/>
  <c r="AI313" i="15"/>
  <c r="AH313" i="15"/>
  <c r="AK312" i="15"/>
  <c r="AJ312" i="15"/>
  <c r="AI312" i="15"/>
  <c r="AH312" i="15"/>
  <c r="AK311" i="15"/>
  <c r="AJ311" i="15"/>
  <c r="AI311" i="15"/>
  <c r="AH311" i="15"/>
  <c r="AK310" i="15"/>
  <c r="AJ310" i="15"/>
  <c r="AI310" i="15"/>
  <c r="AH310" i="15"/>
  <c r="AK309" i="15"/>
  <c r="AJ309" i="15"/>
  <c r="AI309" i="15"/>
  <c r="AH309" i="15"/>
  <c r="AK308" i="15"/>
  <c r="AJ308" i="15"/>
  <c r="AI308" i="15"/>
  <c r="AH308" i="15"/>
  <c r="AK307" i="15"/>
  <c r="AJ307" i="15"/>
  <c r="AI307" i="15"/>
  <c r="AH307" i="15"/>
  <c r="AK306" i="15"/>
  <c r="AJ306" i="15"/>
  <c r="AI306" i="15"/>
  <c r="AH306" i="15"/>
  <c r="AK305" i="15"/>
  <c r="AJ305" i="15"/>
  <c r="AI305" i="15"/>
  <c r="AH305" i="15"/>
  <c r="AK304" i="15"/>
  <c r="AJ304" i="15"/>
  <c r="AI304" i="15"/>
  <c r="AH304" i="15"/>
  <c r="AK303" i="15"/>
  <c r="AJ303" i="15"/>
  <c r="AI303" i="15"/>
  <c r="AH303" i="15"/>
  <c r="AK302" i="15"/>
  <c r="AJ302" i="15"/>
  <c r="AI302" i="15"/>
  <c r="AH302" i="15"/>
  <c r="AK301" i="15"/>
  <c r="AJ301" i="15"/>
  <c r="AI301" i="15"/>
  <c r="AH301" i="15"/>
  <c r="AK300" i="15"/>
  <c r="AJ300" i="15"/>
  <c r="AI300" i="15"/>
  <c r="AH300" i="15"/>
  <c r="AK299" i="15"/>
  <c r="AJ299" i="15"/>
  <c r="AI299" i="15"/>
  <c r="AH299" i="15"/>
  <c r="AK298" i="15"/>
  <c r="AJ298" i="15"/>
  <c r="AI298" i="15"/>
  <c r="AH298" i="15"/>
  <c r="AK297" i="15"/>
  <c r="AJ297" i="15"/>
  <c r="AI297" i="15"/>
  <c r="AH297" i="15"/>
  <c r="AK296" i="15"/>
  <c r="AJ296" i="15"/>
  <c r="AI296" i="15"/>
  <c r="AH296" i="15"/>
  <c r="AK295" i="15"/>
  <c r="AJ295" i="15"/>
  <c r="AI295" i="15"/>
  <c r="AH295" i="15"/>
  <c r="AK294" i="15"/>
  <c r="AJ294" i="15"/>
  <c r="AI294" i="15"/>
  <c r="AH294" i="15"/>
  <c r="AK293" i="15"/>
  <c r="AJ293" i="15"/>
  <c r="AI293" i="15"/>
  <c r="AH293" i="15"/>
  <c r="AK292" i="15"/>
  <c r="AJ292" i="15"/>
  <c r="AI292" i="15"/>
  <c r="AH292" i="15"/>
  <c r="AK291" i="15"/>
  <c r="AJ291" i="15"/>
  <c r="AI291" i="15"/>
  <c r="AH291" i="15"/>
  <c r="AK290" i="15"/>
  <c r="AJ290" i="15"/>
  <c r="AI290" i="15"/>
  <c r="AH290" i="15"/>
  <c r="AK289" i="15"/>
  <c r="AJ289" i="15"/>
  <c r="AI289" i="15"/>
  <c r="AH289" i="15"/>
  <c r="AK288" i="15"/>
  <c r="AJ288" i="15"/>
  <c r="AI288" i="15"/>
  <c r="AH288" i="15"/>
  <c r="AK287" i="15"/>
  <c r="AJ287" i="15"/>
  <c r="AI287" i="15"/>
  <c r="AH287" i="15"/>
  <c r="AK286" i="15"/>
  <c r="AJ286" i="15"/>
  <c r="AI286" i="15"/>
  <c r="AH286" i="15"/>
  <c r="AK285" i="15"/>
  <c r="AJ285" i="15"/>
  <c r="AI285" i="15"/>
  <c r="AH285" i="15"/>
  <c r="AK284" i="15"/>
  <c r="AJ284" i="15"/>
  <c r="AI284" i="15"/>
  <c r="AH284" i="15"/>
  <c r="AK283" i="15"/>
  <c r="AJ283" i="15"/>
  <c r="AI283" i="15"/>
  <c r="AH283" i="15"/>
  <c r="AK282" i="15"/>
  <c r="AJ282" i="15"/>
  <c r="AI282" i="15"/>
  <c r="AH282" i="15"/>
  <c r="AK281" i="15"/>
  <c r="AJ281" i="15"/>
  <c r="AI281" i="15"/>
  <c r="AH281" i="15"/>
  <c r="AK280" i="15"/>
  <c r="AJ280" i="15"/>
  <c r="AI280" i="15"/>
  <c r="AH280" i="15"/>
  <c r="AK279" i="15"/>
  <c r="AJ279" i="15"/>
  <c r="AI279" i="15"/>
  <c r="AH279" i="15"/>
  <c r="AK278" i="15"/>
  <c r="AJ278" i="15"/>
  <c r="AI278" i="15"/>
  <c r="AH278" i="15"/>
  <c r="AK277" i="15"/>
  <c r="AJ277" i="15"/>
  <c r="AI277" i="15"/>
  <c r="AH277" i="15"/>
  <c r="AK276" i="15"/>
  <c r="AJ276" i="15"/>
  <c r="AI276" i="15"/>
  <c r="AH276" i="15"/>
  <c r="AK275" i="15"/>
  <c r="AJ275" i="15"/>
  <c r="AI275" i="15"/>
  <c r="AH275" i="15"/>
  <c r="AK274" i="15"/>
  <c r="AJ274" i="15"/>
  <c r="AI274" i="15"/>
  <c r="AH274" i="15"/>
  <c r="AK273" i="15"/>
  <c r="AJ273" i="15"/>
  <c r="AI273" i="15"/>
  <c r="AH273" i="15"/>
  <c r="AK272" i="15"/>
  <c r="AJ272" i="15"/>
  <c r="AI272" i="15"/>
  <c r="AH272" i="15"/>
  <c r="AK271" i="15"/>
  <c r="AJ271" i="15"/>
  <c r="AI271" i="15"/>
  <c r="AH271" i="15"/>
  <c r="AK270" i="15"/>
  <c r="AJ270" i="15"/>
  <c r="AI270" i="15"/>
  <c r="AH270" i="15"/>
  <c r="AK269" i="15"/>
  <c r="AJ269" i="15"/>
  <c r="AI269" i="15"/>
  <c r="AH269" i="15"/>
  <c r="AK268" i="15"/>
  <c r="AJ268" i="15"/>
  <c r="AI268" i="15"/>
  <c r="AH268" i="15"/>
  <c r="AK267" i="15"/>
  <c r="AJ267" i="15"/>
  <c r="AI267" i="15"/>
  <c r="AH267" i="15"/>
  <c r="AK266" i="15"/>
  <c r="AJ266" i="15"/>
  <c r="AI266" i="15"/>
  <c r="AH266" i="15"/>
  <c r="AK265" i="15"/>
  <c r="AJ265" i="15"/>
  <c r="AI265" i="15"/>
  <c r="AH265" i="15"/>
  <c r="AK264" i="15"/>
  <c r="AJ264" i="15"/>
  <c r="AI264" i="15"/>
  <c r="AH264" i="15"/>
  <c r="AK263" i="15"/>
  <c r="AJ263" i="15"/>
  <c r="AI263" i="15"/>
  <c r="AH263" i="15"/>
  <c r="AK262" i="15"/>
  <c r="AJ262" i="15"/>
  <c r="AI262" i="15"/>
  <c r="AH262" i="15"/>
  <c r="AK261" i="15"/>
  <c r="AJ261" i="15"/>
  <c r="AI261" i="15"/>
  <c r="AH261" i="15"/>
  <c r="AK260" i="15"/>
  <c r="AJ260" i="15"/>
  <c r="AI260" i="15"/>
  <c r="AH260" i="15"/>
  <c r="AK259" i="15"/>
  <c r="AJ259" i="15"/>
  <c r="AI259" i="15"/>
  <c r="AH259" i="15"/>
  <c r="AK258" i="15"/>
  <c r="AJ258" i="15"/>
  <c r="AI258" i="15"/>
  <c r="AH258" i="15"/>
  <c r="AK257" i="15"/>
  <c r="AJ257" i="15"/>
  <c r="AI257" i="15"/>
  <c r="AH257" i="15"/>
  <c r="AK256" i="15"/>
  <c r="AJ256" i="15"/>
  <c r="AI256" i="15"/>
  <c r="AH256" i="15"/>
  <c r="AK255" i="15"/>
  <c r="AJ255" i="15"/>
  <c r="AI255" i="15"/>
  <c r="AH255" i="15"/>
  <c r="AK254" i="15"/>
  <c r="AJ254" i="15"/>
  <c r="AI254" i="15"/>
  <c r="AH254" i="15"/>
  <c r="AK253" i="15"/>
  <c r="AJ253" i="15"/>
  <c r="AI253" i="15"/>
  <c r="AH253" i="15"/>
  <c r="AK252" i="15"/>
  <c r="AJ252" i="15"/>
  <c r="AI252" i="15"/>
  <c r="AH252" i="15"/>
  <c r="AK251" i="15"/>
  <c r="AJ251" i="15"/>
  <c r="AI251" i="15"/>
  <c r="AH251" i="15"/>
  <c r="AK250" i="15"/>
  <c r="AJ250" i="15"/>
  <c r="AI250" i="15"/>
  <c r="AH250" i="15"/>
  <c r="AK249" i="15"/>
  <c r="AJ249" i="15"/>
  <c r="AI249" i="15"/>
  <c r="AH249" i="15"/>
  <c r="AK248" i="15"/>
  <c r="AJ248" i="15"/>
  <c r="AI248" i="15"/>
  <c r="AH248" i="15"/>
  <c r="AK247" i="15"/>
  <c r="AJ247" i="15"/>
  <c r="AI247" i="15"/>
  <c r="AH247" i="15"/>
  <c r="AK246" i="15"/>
  <c r="AJ246" i="15"/>
  <c r="AI246" i="15"/>
  <c r="AH246" i="15"/>
  <c r="AK245" i="15"/>
  <c r="AJ245" i="15"/>
  <c r="AI245" i="15"/>
  <c r="AH245" i="15"/>
  <c r="AK244" i="15"/>
  <c r="AJ244" i="15"/>
  <c r="AI244" i="15"/>
  <c r="AH244" i="15"/>
  <c r="AK243" i="15"/>
  <c r="AJ243" i="15"/>
  <c r="AI243" i="15"/>
  <c r="AH243" i="15"/>
  <c r="AK242" i="15"/>
  <c r="AJ242" i="15"/>
  <c r="AI242" i="15"/>
  <c r="AH242" i="15"/>
  <c r="AK241" i="15"/>
  <c r="AJ241" i="15"/>
  <c r="AI241" i="15"/>
  <c r="AH241" i="15"/>
  <c r="AK240" i="15"/>
  <c r="AJ240" i="15"/>
  <c r="AI240" i="15"/>
  <c r="AH240" i="15"/>
  <c r="AK239" i="15"/>
  <c r="AJ239" i="15"/>
  <c r="AI239" i="15"/>
  <c r="AH239" i="15"/>
  <c r="AK238" i="15"/>
  <c r="AJ238" i="15"/>
  <c r="AI238" i="15"/>
  <c r="AH238" i="15"/>
  <c r="AK237" i="15"/>
  <c r="AJ237" i="15"/>
  <c r="AI237" i="15"/>
  <c r="AH237" i="15"/>
  <c r="AK236" i="15"/>
  <c r="AJ236" i="15"/>
  <c r="AI236" i="15"/>
  <c r="AH236" i="15"/>
  <c r="AK235" i="15"/>
  <c r="AJ235" i="15"/>
  <c r="AI235" i="15"/>
  <c r="AH235" i="15"/>
  <c r="AK234" i="15"/>
  <c r="AJ234" i="15"/>
  <c r="AI234" i="15"/>
  <c r="AH234" i="15"/>
  <c r="AK233" i="15"/>
  <c r="AJ233" i="15"/>
  <c r="AI233" i="15"/>
  <c r="AH233" i="15"/>
  <c r="AK232" i="15"/>
  <c r="AJ232" i="15"/>
  <c r="AI232" i="15"/>
  <c r="AH232" i="15"/>
  <c r="AK231" i="15"/>
  <c r="AJ231" i="15"/>
  <c r="AI231" i="15"/>
  <c r="AH231" i="15"/>
  <c r="AK230" i="15"/>
  <c r="AJ230" i="15"/>
  <c r="AI230" i="15"/>
  <c r="AH230" i="15"/>
  <c r="AK229" i="15"/>
  <c r="AJ229" i="15"/>
  <c r="AI229" i="15"/>
  <c r="AH229" i="15"/>
  <c r="AK228" i="15"/>
  <c r="AJ228" i="15"/>
  <c r="AI228" i="15"/>
  <c r="AH228" i="15"/>
  <c r="AK227" i="15"/>
  <c r="AJ227" i="15"/>
  <c r="AI227" i="15"/>
  <c r="AH227" i="15"/>
  <c r="AK226" i="15"/>
  <c r="AJ226" i="15"/>
  <c r="AI226" i="15"/>
  <c r="AH226" i="15"/>
  <c r="AK225" i="15"/>
  <c r="AJ225" i="15"/>
  <c r="AI225" i="15"/>
  <c r="AH225" i="15"/>
  <c r="AK224" i="15"/>
  <c r="AJ224" i="15"/>
  <c r="AI224" i="15"/>
  <c r="AH224" i="15"/>
  <c r="AK223" i="15"/>
  <c r="AJ223" i="15"/>
  <c r="AI223" i="15"/>
  <c r="AH223" i="15"/>
  <c r="AK222" i="15"/>
  <c r="AJ222" i="15"/>
  <c r="AI222" i="15"/>
  <c r="AH222" i="15"/>
  <c r="AK221" i="15"/>
  <c r="AJ221" i="15"/>
  <c r="AI221" i="15"/>
  <c r="AH221" i="15"/>
  <c r="AK220" i="15"/>
  <c r="AJ220" i="15"/>
  <c r="AI220" i="15"/>
  <c r="AH220" i="15"/>
  <c r="AK219" i="15"/>
  <c r="AJ219" i="15"/>
  <c r="AI219" i="15"/>
  <c r="AH219" i="15"/>
  <c r="AK218" i="15"/>
  <c r="AJ218" i="15"/>
  <c r="AI218" i="15"/>
  <c r="AH218" i="15"/>
  <c r="AK217" i="15"/>
  <c r="AJ217" i="15"/>
  <c r="AI217" i="15"/>
  <c r="AH217" i="15"/>
  <c r="AK216" i="15"/>
  <c r="AJ216" i="15"/>
  <c r="AI216" i="15"/>
  <c r="AH216" i="15"/>
  <c r="AK215" i="15"/>
  <c r="AJ215" i="15"/>
  <c r="AI215" i="15"/>
  <c r="AH215" i="15"/>
  <c r="AK214" i="15"/>
  <c r="AJ214" i="15"/>
  <c r="AI214" i="15"/>
  <c r="AH214" i="15"/>
  <c r="AK213" i="15"/>
  <c r="AJ213" i="15"/>
  <c r="AI213" i="15"/>
  <c r="AH213" i="15"/>
  <c r="AK212" i="15"/>
  <c r="AJ212" i="15"/>
  <c r="AI212" i="15"/>
  <c r="AH212" i="15"/>
  <c r="AK211" i="15"/>
  <c r="AJ211" i="15"/>
  <c r="AI211" i="15"/>
  <c r="AH211" i="15"/>
  <c r="AK210" i="15"/>
  <c r="AJ210" i="15"/>
  <c r="AI210" i="15"/>
  <c r="AH210" i="15"/>
  <c r="AK209" i="15"/>
  <c r="AJ209" i="15"/>
  <c r="AI209" i="15"/>
  <c r="AH209" i="15"/>
  <c r="AK208" i="15"/>
  <c r="AJ208" i="15"/>
  <c r="AI208" i="15"/>
  <c r="AH208" i="15"/>
  <c r="AK207" i="15"/>
  <c r="AJ207" i="15"/>
  <c r="AI207" i="15"/>
  <c r="AH207" i="15"/>
  <c r="AK206" i="15"/>
  <c r="AJ206" i="15"/>
  <c r="AI206" i="15"/>
  <c r="AH206" i="15"/>
  <c r="AK205" i="15"/>
  <c r="AJ205" i="15"/>
  <c r="AI205" i="15"/>
  <c r="AH205" i="15"/>
  <c r="AK204" i="15"/>
  <c r="AJ204" i="15"/>
  <c r="AI204" i="15"/>
  <c r="AH204" i="15"/>
  <c r="AK203" i="15"/>
  <c r="AJ203" i="15"/>
  <c r="AI203" i="15"/>
  <c r="AH203" i="15"/>
  <c r="AK202" i="15"/>
  <c r="AJ202" i="15"/>
  <c r="AI202" i="15"/>
  <c r="AH202" i="15"/>
  <c r="AK201" i="15"/>
  <c r="AJ201" i="15"/>
  <c r="AI201" i="15"/>
  <c r="AH201" i="15"/>
  <c r="AK200" i="15"/>
  <c r="AJ200" i="15"/>
  <c r="AI200" i="15"/>
  <c r="AH200" i="15"/>
  <c r="AK199" i="15"/>
  <c r="AJ199" i="15"/>
  <c r="AI199" i="15"/>
  <c r="AH199" i="15"/>
  <c r="AK198" i="15"/>
  <c r="AJ198" i="15"/>
  <c r="AI198" i="15"/>
  <c r="AH198" i="15"/>
  <c r="AK197" i="15"/>
  <c r="AJ197" i="15"/>
  <c r="AI197" i="15"/>
  <c r="AH197" i="15"/>
  <c r="AK196" i="15"/>
  <c r="AJ196" i="15"/>
  <c r="AI196" i="15"/>
  <c r="AH196" i="15"/>
  <c r="AK195" i="15"/>
  <c r="AJ195" i="15"/>
  <c r="AI195" i="15"/>
  <c r="AH195" i="15"/>
  <c r="AK194" i="15"/>
  <c r="AJ194" i="15"/>
  <c r="AI194" i="15"/>
  <c r="AH194" i="15"/>
  <c r="AK193" i="15"/>
  <c r="AJ193" i="15"/>
  <c r="AI193" i="15"/>
  <c r="AH193" i="15"/>
  <c r="AK192" i="15"/>
  <c r="AJ192" i="15"/>
  <c r="AI192" i="15"/>
  <c r="AH192" i="15"/>
  <c r="AK191" i="15"/>
  <c r="AJ191" i="15"/>
  <c r="AI191" i="15"/>
  <c r="AH191" i="15"/>
  <c r="AK190" i="15"/>
  <c r="AJ190" i="15"/>
  <c r="AI190" i="15"/>
  <c r="AH190" i="15"/>
  <c r="AK189" i="15"/>
  <c r="AJ189" i="15"/>
  <c r="AI189" i="15"/>
  <c r="AH189" i="15"/>
  <c r="AK188" i="15"/>
  <c r="AJ188" i="15"/>
  <c r="AI188" i="15"/>
  <c r="AH188" i="15"/>
  <c r="AK187" i="15"/>
  <c r="AJ187" i="15"/>
  <c r="AI187" i="15"/>
  <c r="AH187" i="15"/>
  <c r="AK186" i="15"/>
  <c r="AJ186" i="15"/>
  <c r="AI186" i="15"/>
  <c r="AH186" i="15"/>
  <c r="AK185" i="15"/>
  <c r="AJ185" i="15"/>
  <c r="AI185" i="15"/>
  <c r="AH185" i="15"/>
  <c r="AK184" i="15"/>
  <c r="AJ184" i="15"/>
  <c r="AI184" i="15"/>
  <c r="AH184" i="15"/>
  <c r="AK183" i="15"/>
  <c r="AJ183" i="15"/>
  <c r="AI183" i="15"/>
  <c r="AH183" i="15"/>
  <c r="AK182" i="15"/>
  <c r="AJ182" i="15"/>
  <c r="AI182" i="15"/>
  <c r="AH182" i="15"/>
  <c r="AK181" i="15"/>
  <c r="AJ181" i="15"/>
  <c r="AI181" i="15"/>
  <c r="AH181" i="15"/>
  <c r="AK180" i="15"/>
  <c r="AJ180" i="15"/>
  <c r="AI180" i="15"/>
  <c r="AH180" i="15"/>
  <c r="AK179" i="15"/>
  <c r="AJ179" i="15"/>
  <c r="AI179" i="15"/>
  <c r="AH179" i="15"/>
  <c r="AK178" i="15"/>
  <c r="AJ178" i="15"/>
  <c r="AI178" i="15"/>
  <c r="AH178" i="15"/>
  <c r="AK177" i="15"/>
  <c r="AJ177" i="15"/>
  <c r="AI177" i="15"/>
  <c r="AH177" i="15"/>
  <c r="AK176" i="15"/>
  <c r="AJ176" i="15"/>
  <c r="AI176" i="15"/>
  <c r="AH176" i="15"/>
  <c r="AK175" i="15"/>
  <c r="AJ175" i="15"/>
  <c r="AI175" i="15"/>
  <c r="AH175" i="15"/>
  <c r="AK174" i="15"/>
  <c r="AJ174" i="15"/>
  <c r="AI174" i="15"/>
  <c r="AH174" i="15"/>
  <c r="AK173" i="15"/>
  <c r="AJ173" i="15"/>
  <c r="AI173" i="15"/>
  <c r="AH173" i="15"/>
  <c r="AK172" i="15"/>
  <c r="AJ172" i="15"/>
  <c r="AI172" i="15"/>
  <c r="AH172" i="15"/>
  <c r="AK171" i="15"/>
  <c r="AJ171" i="15"/>
  <c r="AI171" i="15"/>
  <c r="AH171" i="15"/>
  <c r="AK170" i="15"/>
  <c r="AJ170" i="15"/>
  <c r="AI170" i="15"/>
  <c r="AH170" i="15"/>
  <c r="AK169" i="15"/>
  <c r="AJ169" i="15"/>
  <c r="AI169" i="15"/>
  <c r="AH169" i="15"/>
  <c r="AK168" i="15"/>
  <c r="AJ168" i="15"/>
  <c r="AI168" i="15"/>
  <c r="AH168" i="15"/>
  <c r="AK167" i="15"/>
  <c r="AJ167" i="15"/>
  <c r="AI167" i="15"/>
  <c r="AH167" i="15"/>
  <c r="AK166" i="15"/>
  <c r="AJ166" i="15"/>
  <c r="AI166" i="15"/>
  <c r="AH166" i="15"/>
  <c r="AK165" i="15"/>
  <c r="AJ165" i="15"/>
  <c r="AI165" i="15"/>
  <c r="AH165" i="15"/>
  <c r="AK164" i="15"/>
  <c r="AJ164" i="15"/>
  <c r="AI164" i="15"/>
  <c r="AH164" i="15"/>
  <c r="AK163" i="15"/>
  <c r="AJ163" i="15"/>
  <c r="AI163" i="15"/>
  <c r="AH163" i="15"/>
  <c r="AK162" i="15"/>
  <c r="AJ162" i="15"/>
  <c r="AI162" i="15"/>
  <c r="AH162" i="15"/>
  <c r="AK161" i="15"/>
  <c r="AJ161" i="15"/>
  <c r="AI161" i="15"/>
  <c r="AH161" i="15"/>
  <c r="AK160" i="15"/>
  <c r="AJ160" i="15"/>
  <c r="AI160" i="15"/>
  <c r="AH160" i="15"/>
  <c r="AK159" i="15"/>
  <c r="AJ159" i="15"/>
  <c r="AI159" i="15"/>
  <c r="AH159" i="15"/>
  <c r="AK158" i="15"/>
  <c r="AJ158" i="15"/>
  <c r="AI158" i="15"/>
  <c r="AH158" i="15"/>
  <c r="AK157" i="15"/>
  <c r="AJ157" i="15"/>
  <c r="AI157" i="15"/>
  <c r="AH157" i="15"/>
  <c r="AK156" i="15"/>
  <c r="AJ156" i="15"/>
  <c r="AI156" i="15"/>
  <c r="AH156" i="15"/>
  <c r="AK155" i="15"/>
  <c r="AJ155" i="15"/>
  <c r="AI155" i="15"/>
  <c r="AH155" i="15"/>
  <c r="AK154" i="15"/>
  <c r="AJ154" i="15"/>
  <c r="AI154" i="15"/>
  <c r="AH154" i="15"/>
  <c r="AK153" i="15"/>
  <c r="AJ153" i="15"/>
  <c r="AI153" i="15"/>
  <c r="AH153" i="15"/>
  <c r="AK152" i="15"/>
  <c r="AJ152" i="15"/>
  <c r="AI152" i="15"/>
  <c r="AH152" i="15"/>
  <c r="AK151" i="15"/>
  <c r="AJ151" i="15"/>
  <c r="AI151" i="15"/>
  <c r="AH151" i="15"/>
  <c r="AK150" i="15"/>
  <c r="AJ150" i="15"/>
  <c r="AI150" i="15"/>
  <c r="AH150" i="15"/>
  <c r="AK149" i="15"/>
  <c r="AJ149" i="15"/>
  <c r="AI149" i="15"/>
  <c r="AH149" i="15"/>
  <c r="AK148" i="15"/>
  <c r="AJ148" i="15"/>
  <c r="AI148" i="15"/>
  <c r="AH148" i="15"/>
  <c r="AK147" i="15"/>
  <c r="AJ147" i="15"/>
  <c r="AI147" i="15"/>
  <c r="AH147" i="15"/>
  <c r="AK146" i="15"/>
  <c r="AJ146" i="15"/>
  <c r="AI146" i="15"/>
  <c r="AH146" i="15"/>
  <c r="AK145" i="15"/>
  <c r="AJ145" i="15"/>
  <c r="AI145" i="15"/>
  <c r="AH145" i="15"/>
  <c r="AK144" i="15"/>
  <c r="AJ144" i="15"/>
  <c r="AI144" i="15"/>
  <c r="AH144" i="15"/>
  <c r="AK143" i="15"/>
  <c r="AJ143" i="15"/>
  <c r="AI143" i="15"/>
  <c r="AH143" i="15"/>
  <c r="AK142" i="15"/>
  <c r="AJ142" i="15"/>
  <c r="AI142" i="15"/>
  <c r="AH142" i="15"/>
  <c r="AK141" i="15"/>
  <c r="AJ141" i="15"/>
  <c r="AI141" i="15"/>
  <c r="AH141" i="15"/>
  <c r="AK140" i="15"/>
  <c r="AJ140" i="15"/>
  <c r="AI140" i="15"/>
  <c r="AH140" i="15"/>
  <c r="AK139" i="15"/>
  <c r="AJ139" i="15"/>
  <c r="AI139" i="15"/>
  <c r="AH139" i="15"/>
  <c r="AK138" i="15"/>
  <c r="AJ138" i="15"/>
  <c r="AI138" i="15"/>
  <c r="AH138" i="15"/>
  <c r="AK137" i="15"/>
  <c r="AJ137" i="15"/>
  <c r="AI137" i="15"/>
  <c r="AH137" i="15"/>
  <c r="AK136" i="15"/>
  <c r="AJ136" i="15"/>
  <c r="AI136" i="15"/>
  <c r="AH136" i="15"/>
  <c r="AK135" i="15"/>
  <c r="AJ135" i="15"/>
  <c r="AI135" i="15"/>
  <c r="AH135" i="15"/>
  <c r="AK134" i="15"/>
  <c r="AJ134" i="15"/>
  <c r="AI134" i="15"/>
  <c r="AH134" i="15"/>
  <c r="AK133" i="15"/>
  <c r="AJ133" i="15"/>
  <c r="AI133" i="15"/>
  <c r="AH133" i="15"/>
  <c r="AK132" i="15"/>
  <c r="AJ132" i="15"/>
  <c r="AI132" i="15"/>
  <c r="AH132" i="15"/>
  <c r="AK131" i="15"/>
  <c r="AJ131" i="15"/>
  <c r="AI131" i="15"/>
  <c r="AH131" i="15"/>
  <c r="AK130" i="15"/>
  <c r="AJ130" i="15"/>
  <c r="AI130" i="15"/>
  <c r="AH130" i="15"/>
  <c r="AK129" i="15"/>
  <c r="AJ129" i="15"/>
  <c r="AI129" i="15"/>
  <c r="AH129" i="15"/>
  <c r="AK128" i="15"/>
  <c r="AJ128" i="15"/>
  <c r="AI128" i="15"/>
  <c r="AH128" i="15"/>
  <c r="AK127" i="15"/>
  <c r="AJ127" i="15"/>
  <c r="AI127" i="15"/>
  <c r="AH127" i="15"/>
  <c r="AK126" i="15"/>
  <c r="AJ126" i="15"/>
  <c r="AI126" i="15"/>
  <c r="AH126" i="15"/>
  <c r="AK125" i="15"/>
  <c r="AJ125" i="15"/>
  <c r="AI125" i="15"/>
  <c r="AH125" i="15"/>
  <c r="AK124" i="15"/>
  <c r="AJ124" i="15"/>
  <c r="AI124" i="15"/>
  <c r="AH124" i="15"/>
  <c r="AK123" i="15"/>
  <c r="AJ123" i="15"/>
  <c r="AI123" i="15"/>
  <c r="AH123" i="15"/>
  <c r="AK122" i="15"/>
  <c r="AJ122" i="15"/>
  <c r="AI122" i="15"/>
  <c r="AH122" i="15"/>
  <c r="AK121" i="15"/>
  <c r="AJ121" i="15"/>
  <c r="AI121" i="15"/>
  <c r="AH121" i="15"/>
  <c r="AK120" i="15"/>
  <c r="AJ120" i="15"/>
  <c r="AI120" i="15"/>
  <c r="AH120" i="15"/>
  <c r="AK119" i="15"/>
  <c r="AJ119" i="15"/>
  <c r="AI119" i="15"/>
  <c r="AH119" i="15"/>
  <c r="AK118" i="15"/>
  <c r="AJ118" i="15"/>
  <c r="AI118" i="15"/>
  <c r="AH118" i="15"/>
  <c r="AK117" i="15"/>
  <c r="AJ117" i="15"/>
  <c r="AI117" i="15"/>
  <c r="AH117" i="15"/>
  <c r="AK116" i="15"/>
  <c r="AJ116" i="15"/>
  <c r="AI116" i="15"/>
  <c r="AH116" i="15"/>
  <c r="AK115" i="15"/>
  <c r="AJ115" i="15"/>
  <c r="AI115" i="15"/>
  <c r="AH115" i="15"/>
  <c r="AK114" i="15"/>
  <c r="AJ114" i="15"/>
  <c r="AI114" i="15"/>
  <c r="AH114" i="15"/>
  <c r="AK113" i="15"/>
  <c r="AJ113" i="15"/>
  <c r="AI113" i="15"/>
  <c r="AH113" i="15"/>
  <c r="AK112" i="15"/>
  <c r="AJ112" i="15"/>
  <c r="AI112" i="15"/>
  <c r="AH112" i="15"/>
  <c r="AK111" i="15"/>
  <c r="AJ111" i="15"/>
  <c r="AI111" i="15"/>
  <c r="AH111" i="15"/>
  <c r="AK110" i="15"/>
  <c r="AJ110" i="15"/>
  <c r="AI110" i="15"/>
  <c r="AH110" i="15"/>
  <c r="AK109" i="15"/>
  <c r="AJ109" i="15"/>
  <c r="AI109" i="15"/>
  <c r="AH109" i="15"/>
  <c r="AK108" i="15"/>
  <c r="AJ108" i="15"/>
  <c r="AI108" i="15"/>
  <c r="AH108" i="15"/>
  <c r="AK107" i="15"/>
  <c r="AJ107" i="15"/>
  <c r="AI107" i="15"/>
  <c r="AH107" i="15"/>
  <c r="AK106" i="15"/>
  <c r="AJ106" i="15"/>
  <c r="AI106" i="15"/>
  <c r="AH106" i="15"/>
  <c r="AK105" i="15"/>
  <c r="AJ105" i="15"/>
  <c r="AI105" i="15"/>
  <c r="AH105" i="15"/>
  <c r="AI104" i="15"/>
  <c r="AH104" i="15"/>
  <c r="AI103" i="15"/>
  <c r="AH103" i="15"/>
  <c r="AI102" i="15"/>
  <c r="AH102" i="15"/>
  <c r="AI101" i="15"/>
  <c r="AH101" i="15"/>
  <c r="AI100" i="15"/>
  <c r="AH100" i="15"/>
  <c r="AI99" i="15"/>
  <c r="AH99" i="15"/>
  <c r="AI98" i="15"/>
  <c r="AH98" i="15"/>
  <c r="AI97" i="15"/>
  <c r="AH97" i="15"/>
  <c r="AI96" i="15"/>
  <c r="AH96" i="15"/>
  <c r="AI95" i="15"/>
  <c r="AH95" i="15"/>
  <c r="AI94" i="15"/>
  <c r="AH94" i="15"/>
  <c r="AI93" i="15"/>
  <c r="AH93" i="15"/>
  <c r="AI92" i="15"/>
  <c r="AH92" i="15"/>
  <c r="AI91" i="15"/>
  <c r="AH91" i="15"/>
  <c r="AI90" i="15"/>
  <c r="AH90" i="15"/>
  <c r="AI89" i="15"/>
  <c r="AH89" i="15"/>
  <c r="AI88" i="15"/>
  <c r="AH88" i="15"/>
  <c r="AI87" i="15"/>
  <c r="AH87" i="15"/>
  <c r="AI86" i="15"/>
  <c r="AH86" i="15"/>
  <c r="AI85" i="15"/>
  <c r="AH85" i="15"/>
  <c r="AI84" i="15"/>
  <c r="AH84" i="15"/>
  <c r="AI83" i="15"/>
  <c r="AH83" i="15"/>
  <c r="AI82" i="15"/>
  <c r="AH82" i="15"/>
  <c r="AI81" i="15"/>
  <c r="AH81" i="15"/>
  <c r="AI80" i="15"/>
  <c r="AH80" i="15"/>
  <c r="AI79" i="15"/>
  <c r="AH79" i="15"/>
  <c r="AI78" i="15"/>
  <c r="AH78" i="15"/>
  <c r="AI77" i="15"/>
  <c r="AH77" i="15"/>
  <c r="AI76" i="15"/>
  <c r="AH76" i="15"/>
  <c r="AI75" i="15"/>
  <c r="AH75" i="15"/>
  <c r="AI74" i="15"/>
  <c r="AH74" i="15"/>
  <c r="L74" i="15"/>
  <c r="M74" i="15" s="1"/>
  <c r="AI73" i="15"/>
  <c r="AH73" i="15"/>
  <c r="L73" i="15"/>
  <c r="M73" i="15" s="1"/>
  <c r="AI72" i="15"/>
  <c r="AH72" i="15"/>
  <c r="L72" i="15"/>
  <c r="M72" i="15" s="1"/>
  <c r="AI71" i="15"/>
  <c r="AH71" i="15"/>
  <c r="L71" i="15"/>
  <c r="M71" i="15" s="1"/>
  <c r="AI70" i="15"/>
  <c r="AH70" i="15"/>
  <c r="L70" i="15"/>
  <c r="M70" i="15" s="1"/>
  <c r="AI69" i="15"/>
  <c r="AH69" i="15"/>
  <c r="L69" i="15"/>
  <c r="M69" i="15" s="1"/>
  <c r="AI68" i="15"/>
  <c r="AH68" i="15"/>
  <c r="L68" i="15"/>
  <c r="M68" i="15" s="1"/>
  <c r="AI67" i="15"/>
  <c r="AH67" i="15"/>
  <c r="M67" i="15"/>
  <c r="L67" i="15"/>
  <c r="AI66" i="15"/>
  <c r="AH66" i="15"/>
  <c r="L66" i="15"/>
  <c r="M66" i="15" s="1"/>
  <c r="AI65" i="15"/>
  <c r="AH65" i="15"/>
  <c r="L65" i="15"/>
  <c r="M65" i="15" s="1"/>
  <c r="AI64" i="15"/>
  <c r="AH64" i="15"/>
  <c r="L64" i="15"/>
  <c r="M64" i="15" s="1"/>
  <c r="AI63" i="15"/>
  <c r="AH63" i="15"/>
  <c r="L63" i="15"/>
  <c r="M63" i="15" s="1"/>
  <c r="AI62" i="15"/>
  <c r="AH62" i="15"/>
  <c r="L62" i="15"/>
  <c r="M62" i="15" s="1"/>
  <c r="AI61" i="15"/>
  <c r="AH61" i="15"/>
  <c r="L61" i="15"/>
  <c r="M61" i="15" s="1"/>
  <c r="AI60" i="15"/>
  <c r="AH60" i="15"/>
  <c r="L60" i="15"/>
  <c r="M60" i="15" s="1"/>
  <c r="AI59" i="15"/>
  <c r="AH59" i="15"/>
  <c r="M59" i="15"/>
  <c r="L59" i="15"/>
  <c r="AI58" i="15"/>
  <c r="AH58" i="15"/>
  <c r="L58" i="15"/>
  <c r="M58" i="15" s="1"/>
  <c r="AI57" i="15"/>
  <c r="AH57" i="15"/>
  <c r="L57" i="15"/>
  <c r="M57" i="15" s="1"/>
  <c r="AI56" i="15"/>
  <c r="AH56" i="15"/>
  <c r="L56" i="15"/>
  <c r="M56" i="15" s="1"/>
  <c r="AI55" i="15"/>
  <c r="AH55" i="15"/>
  <c r="L55" i="15"/>
  <c r="M55" i="15" s="1"/>
  <c r="AI54" i="15"/>
  <c r="AH54" i="15"/>
  <c r="L54" i="15"/>
  <c r="M54" i="15" s="1"/>
  <c r="AI53" i="15"/>
  <c r="AH53" i="15"/>
  <c r="L53" i="15"/>
  <c r="M53" i="15" s="1"/>
  <c r="AI52" i="15"/>
  <c r="AH52" i="15"/>
  <c r="L52" i="15"/>
  <c r="M52" i="15" s="1"/>
  <c r="AI51" i="15"/>
  <c r="AH51" i="15"/>
  <c r="L51" i="15"/>
  <c r="M51" i="15" s="1"/>
  <c r="AI50" i="15"/>
  <c r="AH50" i="15"/>
  <c r="L50" i="15"/>
  <c r="M50" i="15" s="1"/>
  <c r="AI49" i="15"/>
  <c r="AH49" i="15"/>
  <c r="L49" i="15"/>
  <c r="M49" i="15" s="1"/>
  <c r="AI48" i="15"/>
  <c r="AH48" i="15"/>
  <c r="L48" i="15"/>
  <c r="M48" i="15" s="1"/>
  <c r="AI47" i="15"/>
  <c r="AH47" i="15"/>
  <c r="L47" i="15"/>
  <c r="M47" i="15" s="1"/>
  <c r="AI46" i="15"/>
  <c r="AH46" i="15"/>
  <c r="L46" i="15"/>
  <c r="M46" i="15" s="1"/>
  <c r="AI45" i="15"/>
  <c r="AH45" i="15"/>
  <c r="L45" i="15"/>
  <c r="M45" i="15" s="1"/>
  <c r="AI44" i="15"/>
  <c r="AH44" i="15"/>
  <c r="L44" i="15"/>
  <c r="M44" i="15" s="1"/>
  <c r="AI43" i="15"/>
  <c r="AH43" i="15"/>
  <c r="L43" i="15"/>
  <c r="M43" i="15" s="1"/>
  <c r="AI42" i="15"/>
  <c r="AH42" i="15"/>
  <c r="L42" i="15"/>
  <c r="M42" i="15" s="1"/>
  <c r="AI41" i="15"/>
  <c r="AH41" i="15"/>
  <c r="L41" i="15"/>
  <c r="M41" i="15" s="1"/>
  <c r="AI40" i="15"/>
  <c r="AH40" i="15"/>
  <c r="L40" i="15"/>
  <c r="M40" i="15" s="1"/>
  <c r="AI39" i="15"/>
  <c r="AH39" i="15"/>
  <c r="M39" i="15"/>
  <c r="L39" i="15"/>
  <c r="AI38" i="15"/>
  <c r="AH38" i="15"/>
  <c r="L38" i="15"/>
  <c r="M38" i="15" s="1"/>
  <c r="AI37" i="15"/>
  <c r="AH37" i="15"/>
  <c r="L37" i="15"/>
  <c r="M37" i="15" s="1"/>
  <c r="AI36" i="15"/>
  <c r="AH36" i="15"/>
  <c r="L36" i="15"/>
  <c r="M36" i="15" s="1"/>
  <c r="AI35" i="15"/>
  <c r="AH35" i="15"/>
  <c r="AC35" i="15"/>
  <c r="L35" i="15"/>
  <c r="M35" i="15" s="1"/>
  <c r="AI34" i="15"/>
  <c r="AH34" i="15"/>
  <c r="L34" i="15"/>
  <c r="M34" i="15" s="1"/>
  <c r="AI33" i="15"/>
  <c r="AH33" i="15"/>
  <c r="L33" i="15"/>
  <c r="M33" i="15" s="1"/>
  <c r="AI32" i="15"/>
  <c r="AH32" i="15"/>
  <c r="L32" i="15"/>
  <c r="M32" i="15" s="1"/>
  <c r="AI31" i="15"/>
  <c r="AH31" i="15"/>
  <c r="L31" i="15"/>
  <c r="M31" i="15" s="1"/>
  <c r="AI30" i="15"/>
  <c r="AH30" i="15"/>
  <c r="L30" i="15"/>
  <c r="M30" i="15" s="1"/>
  <c r="AI29" i="15"/>
  <c r="AH29" i="15"/>
  <c r="M29" i="15"/>
  <c r="L29" i="15"/>
  <c r="AI28" i="15"/>
  <c r="AH28" i="15"/>
  <c r="L28" i="15"/>
  <c r="M28" i="15" s="1"/>
  <c r="AI27" i="15"/>
  <c r="AH27" i="15"/>
  <c r="L27" i="15"/>
  <c r="M27" i="15" s="1"/>
  <c r="AI26" i="15"/>
  <c r="AH26" i="15"/>
  <c r="L26" i="15"/>
  <c r="M26" i="15" s="1"/>
  <c r="AI25" i="15"/>
  <c r="AH25" i="15"/>
  <c r="L25" i="15"/>
  <c r="M25" i="15" s="1"/>
  <c r="AI24" i="15"/>
  <c r="AH24" i="15"/>
  <c r="L24" i="15"/>
  <c r="M24" i="15" s="1"/>
  <c r="AI23" i="15"/>
  <c r="AH23" i="15"/>
  <c r="AC23" i="15"/>
  <c r="L23" i="15"/>
  <c r="M23" i="15" s="1"/>
  <c r="AI22" i="15"/>
  <c r="AH22" i="15"/>
  <c r="AC22" i="15"/>
  <c r="L22" i="15"/>
  <c r="M22" i="15" s="1"/>
  <c r="AI21" i="15"/>
  <c r="AH21" i="15"/>
  <c r="L21" i="15"/>
  <c r="M21" i="15" s="1"/>
  <c r="AI20" i="15"/>
  <c r="AH20" i="15"/>
  <c r="M20" i="15"/>
  <c r="L20" i="15"/>
  <c r="AI19" i="15"/>
  <c r="AH19" i="15"/>
  <c r="T19" i="15"/>
  <c r="S19" i="15"/>
  <c r="P19" i="15"/>
  <c r="O19" i="15"/>
  <c r="L19" i="15"/>
  <c r="M19" i="15" s="1"/>
  <c r="AI18" i="15"/>
  <c r="AH18" i="15"/>
  <c r="AC18" i="15"/>
  <c r="T18" i="15"/>
  <c r="S18" i="15"/>
  <c r="P18" i="15"/>
  <c r="O18" i="15"/>
  <c r="L18" i="15"/>
  <c r="M18" i="15" s="1"/>
  <c r="AI17" i="15"/>
  <c r="AH17" i="15"/>
  <c r="T17" i="15"/>
  <c r="S17" i="15"/>
  <c r="P17" i="15"/>
  <c r="O17" i="15"/>
  <c r="L17" i="15"/>
  <c r="M17" i="15" s="1"/>
  <c r="AI16" i="15"/>
  <c r="AH16" i="15"/>
  <c r="T16" i="15"/>
  <c r="S16" i="15"/>
  <c r="P16" i="15"/>
  <c r="O16" i="15"/>
  <c r="L16" i="15"/>
  <c r="M16" i="15" s="1"/>
  <c r="AI15" i="15"/>
  <c r="AH15" i="15"/>
  <c r="AC15" i="15"/>
  <c r="T15" i="15"/>
  <c r="S15" i="15"/>
  <c r="P15" i="15"/>
  <c r="O15" i="15"/>
  <c r="L15" i="15"/>
  <c r="M15" i="15" s="1"/>
  <c r="AI14" i="15"/>
  <c r="AH14" i="15"/>
  <c r="T14" i="15"/>
  <c r="S14" i="15"/>
  <c r="P14" i="15"/>
  <c r="O14" i="15"/>
  <c r="L14" i="15"/>
  <c r="M14" i="15" s="1"/>
  <c r="AI13" i="15"/>
  <c r="AH13" i="15"/>
  <c r="T13" i="15"/>
  <c r="S13" i="15"/>
  <c r="P13" i="15"/>
  <c r="O13" i="15"/>
  <c r="M13" i="15"/>
  <c r="L13" i="15"/>
  <c r="AI12" i="15"/>
  <c r="AH12" i="15"/>
  <c r="T12" i="15"/>
  <c r="S12" i="15"/>
  <c r="P12" i="15"/>
  <c r="O12" i="15"/>
  <c r="L12" i="15"/>
  <c r="M12" i="15" s="1"/>
  <c r="AI11" i="15"/>
  <c r="AH11" i="15"/>
  <c r="T11" i="15"/>
  <c r="S11" i="15"/>
  <c r="T89" i="12" s="1" a="1"/>
  <c r="T89" i="12" s="1"/>
  <c r="P11" i="15"/>
  <c r="O11" i="15"/>
  <c r="L11" i="15"/>
  <c r="M11" i="15" s="1"/>
  <c r="AI10" i="15"/>
  <c r="AH10" i="15"/>
  <c r="AC10" i="15"/>
  <c r="T10" i="15"/>
  <c r="S10" i="15"/>
  <c r="P10" i="15"/>
  <c r="O10" i="15"/>
  <c r="L10" i="15"/>
  <c r="M10" i="15" s="1"/>
  <c r="AI9" i="15"/>
  <c r="AH9" i="15"/>
  <c r="AA9" i="15"/>
  <c r="Z9" i="15"/>
  <c r="Y9" i="15"/>
  <c r="T9" i="15"/>
  <c r="S9" i="15"/>
  <c r="P9" i="15"/>
  <c r="O9" i="15"/>
  <c r="L9" i="15"/>
  <c r="M9" i="15" s="1"/>
  <c r="AI8" i="15"/>
  <c r="AH8" i="15"/>
  <c r="AA8" i="15"/>
  <c r="Z8" i="15"/>
  <c r="Y8" i="15"/>
  <c r="Q8" i="15"/>
  <c r="L8" i="15"/>
  <c r="M8" i="15" s="1"/>
  <c r="AI7" i="15"/>
  <c r="AH7" i="15"/>
  <c r="AA7" i="15"/>
  <c r="Z7" i="15"/>
  <c r="Y7" i="15"/>
  <c r="Q7" i="15"/>
  <c r="L7" i="15"/>
  <c r="M7" i="15" s="1"/>
  <c r="AI6" i="15"/>
  <c r="AH6" i="15"/>
  <c r="AA6" i="15"/>
  <c r="Z6" i="15"/>
  <c r="Y6" i="15"/>
  <c r="Q6" i="15"/>
  <c r="L6" i="15"/>
  <c r="M6" i="15" s="1"/>
  <c r="AI5" i="15"/>
  <c r="AH5" i="15"/>
  <c r="AA5" i="15"/>
  <c r="Z5" i="15"/>
  <c r="Y5" i="15"/>
  <c r="V5" i="15"/>
  <c r="U5" i="15"/>
  <c r="Q5" i="15"/>
  <c r="L5" i="15"/>
  <c r="M5" i="15" s="1"/>
  <c r="AI4" i="15"/>
  <c r="AH4" i="15"/>
  <c r="AA4" i="15"/>
  <c r="Z4" i="15"/>
  <c r="Y4" i="15"/>
  <c r="AA46" i="12" s="1"/>
  <c r="V4" i="15"/>
  <c r="U4" i="15"/>
  <c r="Q4" i="15"/>
  <c r="L4" i="15"/>
  <c r="M4" i="15" s="1"/>
  <c r="G104" i="15"/>
  <c r="AK103" i="15" s="1"/>
  <c r="G101" i="15"/>
  <c r="AK100" i="15" s="1"/>
  <c r="G97" i="15"/>
  <c r="AK96" i="15" s="1"/>
  <c r="G94" i="15"/>
  <c r="AK93" i="15" s="1"/>
  <c r="G92" i="15"/>
  <c r="AK91" i="15" s="1"/>
  <c r="G89" i="15"/>
  <c r="AK88" i="15" s="1"/>
  <c r="G85" i="15"/>
  <c r="AK84" i="15" s="1"/>
  <c r="G82" i="15"/>
  <c r="AK81" i="15" s="1"/>
  <c r="G80" i="15"/>
  <c r="AK79" i="15" s="1"/>
  <c r="G77" i="15"/>
  <c r="AK76" i="15" s="1"/>
  <c r="G73" i="15"/>
  <c r="AK72" i="15" s="1"/>
  <c r="G70" i="15"/>
  <c r="AK69" i="15" s="1"/>
  <c r="G68" i="15"/>
  <c r="AK67" i="15" s="1"/>
  <c r="G65" i="15"/>
  <c r="AK64" i="15" s="1"/>
  <c r="G61" i="15"/>
  <c r="AK60" i="15" s="1"/>
  <c r="G58" i="15"/>
  <c r="AK57" i="15" s="1"/>
  <c r="G56" i="15"/>
  <c r="AK55" i="15" s="1"/>
  <c r="G53" i="15"/>
  <c r="AK52" i="15" s="1"/>
  <c r="G49" i="15"/>
  <c r="AK48" i="15" s="1"/>
  <c r="G46" i="15"/>
  <c r="AK45" i="15" s="1"/>
  <c r="G44" i="15"/>
  <c r="AK43" i="15" s="1"/>
  <c r="G41" i="15"/>
  <c r="AK40" i="15" s="1"/>
  <c r="G37" i="15"/>
  <c r="AK36" i="15" s="1"/>
  <c r="G34" i="15"/>
  <c r="AK33" i="15" s="1"/>
  <c r="G32" i="15"/>
  <c r="AJ31" i="15" s="1"/>
  <c r="G29" i="15"/>
  <c r="AK28" i="15" s="1"/>
  <c r="G25" i="15"/>
  <c r="AK24" i="15" s="1"/>
  <c r="G22" i="15"/>
  <c r="AK21" i="15" s="1"/>
  <c r="G20" i="15"/>
  <c r="AJ19" i="15" s="1"/>
  <c r="G17" i="15"/>
  <c r="AK16" i="15" s="1"/>
  <c r="G13" i="15"/>
  <c r="AK12" i="15" s="1"/>
  <c r="G10" i="15"/>
  <c r="AK9" i="15" s="1"/>
  <c r="G8" i="15"/>
  <c r="AK7" i="15" s="1"/>
  <c r="G5" i="15"/>
  <c r="AK4" i="15" s="1"/>
  <c r="G4" i="15" a="1"/>
  <c r="G103" i="15" s="1"/>
  <c r="AI3" i="15"/>
  <c r="AH3" i="15"/>
  <c r="AA3" i="15"/>
  <c r="Z3" i="15"/>
  <c r="Y3" i="15"/>
  <c r="Y46" i="12" s="1"/>
  <c r="W3" i="15"/>
  <c r="V3" i="15"/>
  <c r="U3" i="15" s="1"/>
  <c r="Q3" i="15"/>
  <c r="T3" i="15" s="1"/>
  <c r="B95" i="14"/>
  <c r="A74"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D73" i="14"/>
  <c r="C73" i="14"/>
  <c r="B73" i="14"/>
  <c r="A2" i="14"/>
  <c r="T1" i="14"/>
  <c r="S1" i="14"/>
  <c r="R1" i="14"/>
  <c r="Q1" i="14"/>
  <c r="P1" i="14"/>
  <c r="O1" i="14"/>
  <c r="N1" i="14"/>
  <c r="M1" i="14"/>
  <c r="L1" i="14"/>
  <c r="K1" i="14"/>
  <c r="J1" i="14"/>
  <c r="I1" i="14"/>
  <c r="H1" i="14"/>
  <c r="G1" i="14"/>
  <c r="F1" i="14"/>
  <c r="E1" i="14"/>
  <c r="D1" i="14"/>
  <c r="C1" i="14"/>
  <c r="B1" i="14"/>
  <c r="A31" i="13"/>
  <c r="I30" i="13"/>
  <c r="H30" i="13"/>
  <c r="G30" i="13"/>
  <c r="F30" i="13"/>
  <c r="E30" i="13"/>
  <c r="D30" i="13"/>
  <c r="C30" i="13"/>
  <c r="B30" i="13"/>
  <c r="A2" i="13"/>
  <c r="X1" i="13"/>
  <c r="W1" i="13"/>
  <c r="V1" i="13"/>
  <c r="U1" i="13"/>
  <c r="T1" i="13"/>
  <c r="S1" i="13"/>
  <c r="R1" i="13"/>
  <c r="Q1" i="13"/>
  <c r="P1" i="13"/>
  <c r="O1" i="13"/>
  <c r="N1" i="13"/>
  <c r="M1" i="13"/>
  <c r="L1" i="13"/>
  <c r="K1" i="13"/>
  <c r="J1" i="13"/>
  <c r="I1" i="13"/>
  <c r="H1" i="13"/>
  <c r="G1" i="13"/>
  <c r="F1" i="13"/>
  <c r="E1" i="13"/>
  <c r="D1" i="13"/>
  <c r="C1" i="13"/>
  <c r="B1" i="13"/>
  <c r="T95" i="12"/>
  <c r="AC89" i="12" s="1"/>
  <c r="D95" i="12"/>
  <c r="AB93" i="12" a="1"/>
  <c r="AB93" i="12"/>
  <c r="AA93" i="12" a="1"/>
  <c r="AA93" i="12" s="1"/>
  <c r="Y93" i="12" a="1"/>
  <c r="Y93" i="12"/>
  <c r="V93" i="12" a="1"/>
  <c r="V93" i="12" s="1"/>
  <c r="T93" i="12" a="1"/>
  <c r="T93" i="12"/>
  <c r="L93" i="12"/>
  <c r="J93" i="12"/>
  <c r="G93" i="12"/>
  <c r="E93" i="12"/>
  <c r="AD92" i="12"/>
  <c r="AB92" i="12" a="1"/>
  <c r="AB92" i="12"/>
  <c r="AA92" i="12" a="1"/>
  <c r="AA92" i="12" s="1"/>
  <c r="Y92" i="12" a="1"/>
  <c r="Y92" i="12"/>
  <c r="V92" i="12" a="1"/>
  <c r="V92" i="12" s="1"/>
  <c r="T92" i="12" a="1"/>
  <c r="T92" i="12"/>
  <c r="L92" i="12"/>
  <c r="J92" i="12"/>
  <c r="G92" i="12"/>
  <c r="E92" i="12"/>
  <c r="AD91" i="12"/>
  <c r="AB91" i="12" a="1"/>
  <c r="AB91" i="12" s="1"/>
  <c r="AA91" i="12" a="1"/>
  <c r="AA91" i="12"/>
  <c r="Y91" i="12" a="1"/>
  <c r="Y91" i="12" s="1"/>
  <c r="V91" i="12" a="1"/>
  <c r="V91" i="12"/>
  <c r="T91" i="12" a="1"/>
  <c r="T91" i="12" s="1"/>
  <c r="L91" i="12"/>
  <c r="J91" i="12"/>
  <c r="G91" i="12"/>
  <c r="E91" i="12"/>
  <c r="AD90" i="12"/>
  <c r="AB90" i="12" a="1"/>
  <c r="AB90" i="12" s="1"/>
  <c r="AA90" i="12" a="1"/>
  <c r="AA90" i="12"/>
  <c r="Y90" i="12" a="1"/>
  <c r="Y90" i="12" s="1"/>
  <c r="V90" i="12" a="1"/>
  <c r="V90" i="12"/>
  <c r="T90" i="12" a="1"/>
  <c r="T90" i="12" s="1"/>
  <c r="L90" i="12"/>
  <c r="J90" i="12"/>
  <c r="G90" i="12"/>
  <c r="E90" i="12"/>
  <c r="AB89" i="12" a="1"/>
  <c r="AB89" i="12"/>
  <c r="AA89" i="12" a="1"/>
  <c r="AA89" i="12" s="1"/>
  <c r="Y89" i="12" a="1"/>
  <c r="Y89" i="12"/>
  <c r="V89" i="12" a="1"/>
  <c r="V89" i="12" s="1"/>
  <c r="L89" i="12"/>
  <c r="J89" i="12"/>
  <c r="I89" i="12"/>
  <c r="G89" i="12"/>
  <c r="E89" i="12"/>
  <c r="D89" i="12"/>
  <c r="T87" i="12"/>
  <c r="D87" i="12"/>
  <c r="AB85" i="12" a="1"/>
  <c r="AB85" i="12" s="1"/>
  <c r="AA85" i="12" a="1"/>
  <c r="AA85" i="12"/>
  <c r="Y85" i="12" a="1"/>
  <c r="Y85" i="12" s="1"/>
  <c r="V85" i="12" a="1"/>
  <c r="V85" i="12"/>
  <c r="T85" i="12" a="1"/>
  <c r="T85" i="12" s="1"/>
  <c r="L85" i="12"/>
  <c r="J85" i="12"/>
  <c r="G85" i="12"/>
  <c r="E85" i="12"/>
  <c r="AD84" i="12"/>
  <c r="AB84" i="12" a="1"/>
  <c r="AB84" i="12" s="1"/>
  <c r="AA84" i="12" a="1"/>
  <c r="AA84" i="12"/>
  <c r="Y84" i="12" a="1"/>
  <c r="Y84" i="12" s="1"/>
  <c r="V84" i="12" a="1"/>
  <c r="V84" i="12"/>
  <c r="T84" i="12" a="1"/>
  <c r="T84" i="12" s="1"/>
  <c r="L84" i="12"/>
  <c r="J84" i="12"/>
  <c r="G84" i="12"/>
  <c r="E84" i="12"/>
  <c r="AD83" i="12"/>
  <c r="AB83" i="12" a="1"/>
  <c r="AB83" i="12"/>
  <c r="AA83" i="12" a="1"/>
  <c r="AA83" i="12" s="1"/>
  <c r="Y83" i="12" a="1"/>
  <c r="Y83" i="12"/>
  <c r="V83" i="12" a="1"/>
  <c r="V83" i="12" s="1"/>
  <c r="T83" i="12" a="1"/>
  <c r="T83" i="12"/>
  <c r="L83" i="12"/>
  <c r="J83" i="12"/>
  <c r="G83" i="12"/>
  <c r="E83" i="12"/>
  <c r="AD82" i="12"/>
  <c r="AB82" i="12" a="1"/>
  <c r="AB82" i="12"/>
  <c r="AA82" i="12" a="1"/>
  <c r="AA82" i="12" s="1"/>
  <c r="Y82" i="12" a="1"/>
  <c r="Y82" i="12"/>
  <c r="V82" i="12" a="1"/>
  <c r="V82" i="12" s="1"/>
  <c r="T82" i="12" a="1"/>
  <c r="T82" i="12"/>
  <c r="L82" i="12"/>
  <c r="J82" i="12"/>
  <c r="G82" i="12"/>
  <c r="E82" i="12"/>
  <c r="AB81" i="12" a="1"/>
  <c r="AB81" i="12" s="1"/>
  <c r="AA81" i="12" a="1"/>
  <c r="AA81" i="12"/>
  <c r="Y81" i="12" a="1"/>
  <c r="Y81" i="12" s="1"/>
  <c r="V81" i="12" a="1"/>
  <c r="V81" i="12"/>
  <c r="L81" i="12"/>
  <c r="J81" i="12"/>
  <c r="I81" i="12"/>
  <c r="G81" i="12"/>
  <c r="E81" i="12"/>
  <c r="D81" i="12"/>
  <c r="AC79" i="12"/>
  <c r="AB79" i="12"/>
  <c r="Y79" i="12"/>
  <c r="AD79" i="12" s="1"/>
  <c r="T79" i="12"/>
  <c r="AC78" i="12"/>
  <c r="AB78" i="12"/>
  <c r="Y78" i="12"/>
  <c r="AD78" i="12" s="1"/>
  <c r="T78" i="12"/>
  <c r="AC77" i="12"/>
  <c r="AB77" i="12"/>
  <c r="AD77" i="12" s="1"/>
  <c r="Y77" i="12"/>
  <c r="T77" i="12"/>
  <c r="AC34" i="15" s="1"/>
  <c r="AD76" i="12"/>
  <c r="AC76" i="12"/>
  <c r="AB76" i="12"/>
  <c r="Y76" i="12"/>
  <c r="T76" i="12"/>
  <c r="AC33" i="15" s="1"/>
  <c r="AD75" i="12"/>
  <c r="AC75" i="12"/>
  <c r="AB75" i="12"/>
  <c r="AA75" i="12"/>
  <c r="Y75" i="12"/>
  <c r="V75" i="12"/>
  <c r="T75" i="12"/>
  <c r="AC32" i="15" s="1"/>
  <c r="AC74" i="12"/>
  <c r="AB74" i="12"/>
  <c r="AA74" i="12"/>
  <c r="Y74" i="12"/>
  <c r="V74" i="12"/>
  <c r="AD74" i="12" s="1"/>
  <c r="T74" i="12"/>
  <c r="AC31" i="15" s="1"/>
  <c r="AC73" i="12"/>
  <c r="AB73" i="12"/>
  <c r="AA73" i="12"/>
  <c r="Y73" i="12"/>
  <c r="V73" i="12"/>
  <c r="AD73" i="12" s="1"/>
  <c r="T73" i="12"/>
  <c r="AC30" i="15" s="1"/>
  <c r="AC72" i="12"/>
  <c r="AB72" i="12"/>
  <c r="AA72" i="12"/>
  <c r="Y72" i="12"/>
  <c r="V72" i="12"/>
  <c r="AD72" i="12" s="1"/>
  <c r="T72" i="12"/>
  <c r="AC29" i="15" s="1"/>
  <c r="AC71" i="12"/>
  <c r="AB71" i="12"/>
  <c r="AA71" i="12"/>
  <c r="Y71" i="12"/>
  <c r="AD71" i="12" s="1"/>
  <c r="V71" i="12"/>
  <c r="T71" i="12"/>
  <c r="AC28" i="15" s="1"/>
  <c r="AD70" i="12"/>
  <c r="AC70" i="12"/>
  <c r="AB70" i="12"/>
  <c r="AA70" i="12"/>
  <c r="Y70" i="12"/>
  <c r="V70" i="12"/>
  <c r="T70" i="12"/>
  <c r="AC27" i="15" s="1"/>
  <c r="AC69" i="12"/>
  <c r="AB69" i="12"/>
  <c r="AA69" i="12"/>
  <c r="Y69" i="12"/>
  <c r="V69" i="12"/>
  <c r="AD69" i="12" s="1"/>
  <c r="T69" i="12"/>
  <c r="AC26" i="15" s="1"/>
  <c r="AC68" i="12"/>
  <c r="AB68" i="12"/>
  <c r="AA68" i="12"/>
  <c r="Y68" i="12"/>
  <c r="V68" i="12"/>
  <c r="AD68" i="12" s="1"/>
  <c r="T68" i="12"/>
  <c r="AC25" i="15" s="1"/>
  <c r="AC67" i="12"/>
  <c r="AB67" i="12"/>
  <c r="AA67" i="12"/>
  <c r="Y67" i="12"/>
  <c r="AD67" i="12" s="1"/>
  <c r="V67" i="12"/>
  <c r="T67" i="12"/>
  <c r="AC24" i="15" s="1"/>
  <c r="AD66" i="12"/>
  <c r="AC66" i="12"/>
  <c r="AB66" i="12"/>
  <c r="AA66" i="12"/>
  <c r="Y66" i="12"/>
  <c r="V66" i="12"/>
  <c r="T66" i="12"/>
  <c r="AC65" i="12"/>
  <c r="AB65" i="12"/>
  <c r="AA65" i="12"/>
  <c r="Y65" i="12"/>
  <c r="V65" i="12"/>
  <c r="AD65" i="12" s="1"/>
  <c r="T65" i="12"/>
  <c r="AC64" i="12"/>
  <c r="AB64" i="12"/>
  <c r="AA64" i="12"/>
  <c r="Y64" i="12"/>
  <c r="V64" i="12"/>
  <c r="AD64" i="12" s="1"/>
  <c r="T64" i="12"/>
  <c r="AC21" i="15" s="1"/>
  <c r="AD63" i="12"/>
  <c r="AC63" i="12"/>
  <c r="AB63" i="12"/>
  <c r="AA63" i="12"/>
  <c r="Y63" i="12"/>
  <c r="V63" i="12"/>
  <c r="T63" i="12"/>
  <c r="AC20" i="15" s="1"/>
  <c r="AC62" i="12"/>
  <c r="AB62" i="12"/>
  <c r="AA62" i="12"/>
  <c r="Y62" i="12"/>
  <c r="V62" i="12"/>
  <c r="AD62" i="12" s="1"/>
  <c r="T62" i="12"/>
  <c r="AC19" i="15" s="1"/>
  <c r="AC61" i="12"/>
  <c r="AB61" i="12"/>
  <c r="AA61" i="12"/>
  <c r="Y61" i="12"/>
  <c r="V61" i="12"/>
  <c r="AD61" i="12" s="1"/>
  <c r="T61" i="12"/>
  <c r="AC60" i="12"/>
  <c r="AB60" i="12"/>
  <c r="AA60" i="12"/>
  <c r="Y60" i="12"/>
  <c r="V60" i="12"/>
  <c r="AD60" i="12" s="1"/>
  <c r="T60" i="12"/>
  <c r="AC17" i="15" s="1"/>
  <c r="AC59" i="12"/>
  <c r="AB59" i="12"/>
  <c r="AA59" i="12"/>
  <c r="Y59" i="12"/>
  <c r="AD59" i="12" s="1"/>
  <c r="V59" i="12"/>
  <c r="T59" i="12"/>
  <c r="AC16" i="15" s="1"/>
  <c r="AD58" i="12"/>
  <c r="AC58" i="12"/>
  <c r="AB58" i="12"/>
  <c r="AA58" i="12"/>
  <c r="Y58" i="12"/>
  <c r="V58" i="12"/>
  <c r="T58" i="12"/>
  <c r="AC57" i="12"/>
  <c r="AB57" i="12"/>
  <c r="AA57" i="12"/>
  <c r="Y57" i="12"/>
  <c r="V57" i="12"/>
  <c r="AD57" i="12" s="1"/>
  <c r="T57" i="12"/>
  <c r="AC14" i="15" s="1"/>
  <c r="AC56" i="12"/>
  <c r="AB56" i="12"/>
  <c r="AA56" i="12"/>
  <c r="Y56" i="12"/>
  <c r="V56" i="12"/>
  <c r="AD56" i="12" s="1"/>
  <c r="T56" i="12"/>
  <c r="AC13" i="15" s="1"/>
  <c r="AC55" i="12"/>
  <c r="AB55" i="12"/>
  <c r="AA55" i="12"/>
  <c r="Y55" i="12"/>
  <c r="AD55" i="12" s="1"/>
  <c r="V55" i="12"/>
  <c r="T55" i="12"/>
  <c r="AC12" i="15" s="1"/>
  <c r="AD54" i="12"/>
  <c r="AC54" i="12"/>
  <c r="AB54" i="12"/>
  <c r="AA54" i="12"/>
  <c r="Y54" i="12"/>
  <c r="V54" i="12"/>
  <c r="T54" i="12"/>
  <c r="AC11" i="15" s="1"/>
  <c r="AC53" i="12"/>
  <c r="AB53" i="12"/>
  <c r="AA53" i="12"/>
  <c r="Y53" i="12"/>
  <c r="V53" i="12"/>
  <c r="AD53" i="12" s="1"/>
  <c r="T53" i="12"/>
  <c r="AC52" i="12"/>
  <c r="AB52" i="12"/>
  <c r="AA52" i="12"/>
  <c r="Y52" i="12"/>
  <c r="V52" i="12"/>
  <c r="AD52" i="12" s="1"/>
  <c r="D52" i="12"/>
  <c r="T52" i="12" s="1"/>
  <c r="AC9" i="15" s="1"/>
  <c r="AC51" i="12"/>
  <c r="AB51" i="12"/>
  <c r="AA51" i="12"/>
  <c r="Y51" i="12"/>
  <c r="V51" i="12"/>
  <c r="AD51" i="12" s="1"/>
  <c r="T51" i="12"/>
  <c r="AC8" i="15" s="1"/>
  <c r="D51" i="12"/>
  <c r="AE50" i="12"/>
  <c r="AC50" i="12"/>
  <c r="AB50" i="12"/>
  <c r="AA50" i="12"/>
  <c r="Y50" i="12"/>
  <c r="V50" i="12"/>
  <c r="AD50" i="12" s="1"/>
  <c r="T50" i="12"/>
  <c r="AC7" i="15" s="1"/>
  <c r="D50" i="12"/>
  <c r="AC49" i="12"/>
  <c r="AB49" i="12"/>
  <c r="AA49" i="12"/>
  <c r="Y49" i="12"/>
  <c r="V49" i="12"/>
  <c r="AD49" i="12" s="1"/>
  <c r="D49" i="12"/>
  <c r="T49" i="12" s="1"/>
  <c r="AC6" i="15" s="1"/>
  <c r="AE48" i="12"/>
  <c r="AD48" i="12"/>
  <c r="AC48" i="12"/>
  <c r="AB48" i="12"/>
  <c r="AA48" i="12"/>
  <c r="Y48" i="12"/>
  <c r="V48" i="12"/>
  <c r="D48" i="12"/>
  <c r="T48" i="12" s="1"/>
  <c r="AC5" i="15" s="1"/>
  <c r="AD47" i="12"/>
  <c r="AC47" i="12"/>
  <c r="AB47" i="12"/>
  <c r="AA47" i="12"/>
  <c r="Y47" i="12"/>
  <c r="V47" i="12"/>
  <c r="D47" i="12"/>
  <c r="T47" i="12" s="1"/>
  <c r="AC4" i="15" s="1"/>
  <c r="AE46" i="12"/>
  <c r="AC46" i="12"/>
  <c r="AB46" i="12"/>
  <c r="V46" i="12"/>
  <c r="D46" i="12"/>
  <c r="T46" i="12" s="1"/>
  <c r="AC3" i="15" s="1"/>
  <c r="AB43" i="12"/>
  <c r="AA43" i="12"/>
  <c r="Y43" i="12"/>
  <c r="V43" i="12"/>
  <c r="T43" i="12"/>
  <c r="L43" i="12" a="1"/>
  <c r="L43" i="12"/>
  <c r="J43" i="12" a="1"/>
  <c r="J43" i="12" s="1"/>
  <c r="H43" i="12" a="1"/>
  <c r="H43" i="12" s="1"/>
  <c r="F43" i="12" a="1"/>
  <c r="F43" i="12" s="1"/>
  <c r="D43" i="12" a="1"/>
  <c r="D43" i="12"/>
  <c r="AB42" i="12"/>
  <c r="AA42" i="12"/>
  <c r="Y42" i="12"/>
  <c r="V42" i="12"/>
  <c r="T42" i="12"/>
  <c r="L42" i="12" a="1"/>
  <c r="L42" i="12" s="1"/>
  <c r="J42" i="12" a="1"/>
  <c r="J42" i="12"/>
  <c r="H42" i="12" a="1"/>
  <c r="H42" i="12" s="1"/>
  <c r="F42" i="12" a="1"/>
  <c r="F42" i="12"/>
  <c r="D42" i="12" a="1"/>
  <c r="D42" i="12" s="1"/>
  <c r="AB41" i="12"/>
  <c r="AA41" i="12"/>
  <c r="Y41" i="12"/>
  <c r="V41" i="12"/>
  <c r="T41" i="12"/>
  <c r="L41" i="12" a="1"/>
  <c r="L41" i="12" s="1"/>
  <c r="J41" i="12" a="1"/>
  <c r="J41" i="12"/>
  <c r="H41" i="12" a="1"/>
  <c r="H41" i="12" s="1"/>
  <c r="F41" i="12" a="1"/>
  <c r="F41" i="12"/>
  <c r="D41" i="12" a="1"/>
  <c r="D41" i="12" s="1"/>
  <c r="AB40" i="12"/>
  <c r="AA40" i="12"/>
  <c r="Y40" i="12"/>
  <c r="V40" i="12"/>
  <c r="T40" i="12"/>
  <c r="L40" i="12" a="1"/>
  <c r="L40" i="12"/>
  <c r="J40" i="12" a="1"/>
  <c r="J40" i="12" s="1"/>
  <c r="H40" i="12" a="1"/>
  <c r="H40" i="12"/>
  <c r="F40" i="12" a="1"/>
  <c r="F40" i="12" s="1"/>
  <c r="D40" i="12" a="1"/>
  <c r="D40" i="12"/>
  <c r="AB39" i="12"/>
  <c r="AA39" i="12"/>
  <c r="Y39" i="12"/>
  <c r="V39" i="12"/>
  <c r="T39" i="12"/>
  <c r="L39" i="12" a="1"/>
  <c r="L39" i="12"/>
  <c r="J39" i="12" a="1"/>
  <c r="J39" i="12" s="1"/>
  <c r="H39" i="12" a="1"/>
  <c r="H39" i="12" s="1"/>
  <c r="F39" i="12" a="1"/>
  <c r="F39" i="12" s="1"/>
  <c r="D39" i="12" a="1"/>
  <c r="D39" i="12" s="1"/>
  <c r="T37" i="12"/>
  <c r="D37" i="12" a="1"/>
  <c r="D37" i="12" s="1"/>
  <c r="T36" i="12"/>
  <c r="D36" i="12" a="1"/>
  <c r="D36" i="12" s="1"/>
  <c r="T35" i="12"/>
  <c r="D35" i="12" a="1"/>
  <c r="D35" i="12"/>
  <c r="T34" i="12"/>
  <c r="D34" i="12" a="1"/>
  <c r="D34" i="12" s="1"/>
  <c r="T33" i="12"/>
  <c r="D33" i="12" a="1"/>
  <c r="D33" i="12" s="1"/>
  <c r="T32" i="12"/>
  <c r="D32" i="12" a="1"/>
  <c r="D32" i="12" s="1"/>
  <c r="T31" i="12"/>
  <c r="D31" i="12" a="1"/>
  <c r="D31" i="12"/>
  <c r="T30" i="12"/>
  <c r="D30" i="12" a="1"/>
  <c r="D30" i="12" s="1"/>
  <c r="T29" i="12"/>
  <c r="D29" i="12" a="1"/>
  <c r="D29" i="12" s="1"/>
  <c r="T28" i="12"/>
  <c r="D28" i="12" a="1"/>
  <c r="D28" i="12" s="1"/>
  <c r="T27" i="12"/>
  <c r="D27" i="12" a="1"/>
  <c r="D27" i="12"/>
  <c r="T26" i="12"/>
  <c r="D26" i="12" a="1"/>
  <c r="D26" i="12" s="1"/>
  <c r="T25" i="12"/>
  <c r="D25" i="12" a="1"/>
  <c r="D25" i="12" s="1"/>
  <c r="T24" i="12"/>
  <c r="D24" i="12" a="1"/>
  <c r="D24" i="12" s="1"/>
  <c r="T23" i="12"/>
  <c r="D23" i="12" a="1"/>
  <c r="D23" i="12"/>
  <c r="AD22" i="12"/>
  <c r="T22" i="12"/>
  <c r="D22" i="12" a="1"/>
  <c r="D22" i="12"/>
  <c r="T17" i="12"/>
  <c r="AH13" i="12" a="1"/>
  <c r="AH13" i="12" s="1"/>
  <c r="T12" i="12" a="1"/>
  <c r="T12" i="12" s="1"/>
  <c r="T13" i="12" s="1"/>
  <c r="AC10" i="12"/>
  <c r="T10" i="12"/>
  <c r="T9" i="12"/>
  <c r="D8" i="12"/>
  <c r="D7" i="12"/>
  <c r="D6" i="12"/>
  <c r="D5" i="12"/>
  <c r="J35" i="9"/>
  <c r="J34" i="9"/>
  <c r="J33" i="9"/>
  <c r="J32" i="9"/>
  <c r="J31" i="9"/>
  <c r="J30" i="9"/>
  <c r="J29" i="9"/>
  <c r="I26" i="9"/>
  <c r="J26" i="9" s="1"/>
  <c r="I25" i="9"/>
  <c r="J25" i="9" s="1"/>
  <c r="I24" i="9"/>
  <c r="J24" i="9" s="1"/>
  <c r="I23" i="9"/>
  <c r="J23" i="9" s="1"/>
  <c r="I22" i="9"/>
  <c r="J22" i="9" s="1"/>
  <c r="I21" i="9"/>
  <c r="J21" i="9" s="1"/>
  <c r="I20" i="9"/>
  <c r="J20" i="9" s="1"/>
  <c r="I19" i="9"/>
  <c r="J19" i="9" s="1"/>
  <c r="I18" i="9"/>
  <c r="J18" i="9" s="1"/>
  <c r="I17" i="9"/>
  <c r="J17" i="9" s="1"/>
  <c r="I16" i="9"/>
  <c r="J16" i="9" s="1"/>
  <c r="J15" i="9"/>
  <c r="I15" i="9"/>
  <c r="I14" i="9"/>
  <c r="J14" i="9" s="1"/>
  <c r="I13" i="9"/>
  <c r="J13" i="9" s="1"/>
  <c r="I12" i="9"/>
  <c r="J12" i="9" s="1"/>
  <c r="I11" i="9"/>
  <c r="J11" i="9" s="1"/>
  <c r="I10" i="9"/>
  <c r="J10" i="9" s="1"/>
  <c r="I9" i="9"/>
  <c r="J9" i="9" s="1"/>
  <c r="I8" i="9"/>
  <c r="J8" i="9" s="1"/>
  <c r="I7" i="9"/>
  <c r="J7" i="9" s="1"/>
  <c r="I6" i="9"/>
  <c r="J6" i="9" s="1"/>
  <c r="I5" i="9"/>
  <c r="J5" i="9" s="1"/>
  <c r="I4" i="9"/>
  <c r="J4" i="9" s="1"/>
  <c r="A2" i="8"/>
  <c r="K53" i="7"/>
  <c r="K52" i="7"/>
  <c r="K51" i="7"/>
  <c r="K50" i="7"/>
  <c r="K49" i="7"/>
  <c r="K48" i="7"/>
  <c r="K47" i="7"/>
  <c r="K46" i="7"/>
  <c r="K45" i="7"/>
  <c r="K44" i="7"/>
  <c r="K43"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K9" i="7"/>
  <c r="K8" i="7"/>
  <c r="K7" i="7"/>
  <c r="K6" i="7"/>
  <c r="K5" i="7"/>
  <c r="K4" i="7"/>
  <c r="A1" i="5"/>
  <c r="H21" i="4"/>
  <c r="H20" i="4"/>
  <c r="H19" i="4"/>
  <c r="H18" i="4"/>
  <c r="H17" i="4"/>
  <c r="H16" i="4"/>
  <c r="H15" i="4"/>
  <c r="H14" i="4"/>
  <c r="H13" i="4"/>
  <c r="H12" i="4"/>
  <c r="H11" i="4"/>
  <c r="H10" i="4"/>
  <c r="H9" i="4"/>
  <c r="H8" i="4"/>
  <c r="H7" i="4"/>
  <c r="H6" i="4"/>
  <c r="H5" i="4"/>
  <c r="H4" i="4"/>
  <c r="A1" i="4"/>
  <c r="T4" i="15" l="1"/>
  <c r="T5" i="15" s="1"/>
  <c r="S5" i="15" s="1"/>
  <c r="AD46" i="12"/>
  <c r="D2" i="12"/>
  <c r="AK102" i="15"/>
  <c r="AJ102" i="15"/>
  <c r="AK19" i="15"/>
  <c r="AK31" i="15"/>
  <c r="G9" i="15"/>
  <c r="G21" i="15"/>
  <c r="G33" i="15"/>
  <c r="G45" i="15"/>
  <c r="G57" i="15"/>
  <c r="G69" i="15"/>
  <c r="G81" i="15"/>
  <c r="G93" i="15"/>
  <c r="G105" i="15"/>
  <c r="AJ21" i="15"/>
  <c r="AJ33" i="15"/>
  <c r="AJ81" i="15"/>
  <c r="AJ84" i="15"/>
  <c r="AJ93" i="15"/>
  <c r="AJ96" i="15"/>
  <c r="AJ16" i="15"/>
  <c r="AJ28" i="15"/>
  <c r="G11" i="15"/>
  <c r="G23" i="15"/>
  <c r="G35" i="15"/>
  <c r="G47" i="15"/>
  <c r="G59" i="15"/>
  <c r="G71" i="15"/>
  <c r="G83" i="15"/>
  <c r="G95" i="15"/>
  <c r="AJ43" i="15"/>
  <c r="AJ45" i="15"/>
  <c r="AJ55" i="15"/>
  <c r="AJ57" i="15"/>
  <c r="AJ67" i="15"/>
  <c r="AJ69" i="15"/>
  <c r="P3" i="15"/>
  <c r="P4" i="15" s="1"/>
  <c r="G12" i="15"/>
  <c r="G24" i="15"/>
  <c r="G36" i="15"/>
  <c r="G48" i="15"/>
  <c r="G60" i="15"/>
  <c r="G72" i="15"/>
  <c r="G84" i="15"/>
  <c r="G96" i="15"/>
  <c r="AJ7" i="15"/>
  <c r="AJ4" i="15"/>
  <c r="AJ76" i="15"/>
  <c r="AJ79" i="15"/>
  <c r="AJ88" i="15"/>
  <c r="AJ91" i="15"/>
  <c r="AJ100" i="15"/>
  <c r="AJ103" i="15"/>
  <c r="S3" i="15"/>
  <c r="G14" i="15"/>
  <c r="G26" i="15"/>
  <c r="G38" i="15"/>
  <c r="G50" i="15"/>
  <c r="G62" i="15"/>
  <c r="G74" i="15"/>
  <c r="G86" i="15"/>
  <c r="G98" i="15"/>
  <c r="AJ12" i="15"/>
  <c r="G4" i="15"/>
  <c r="G15" i="15"/>
  <c r="G27" i="15"/>
  <c r="G39" i="15"/>
  <c r="G51" i="15"/>
  <c r="G63" i="15"/>
  <c r="G75" i="15"/>
  <c r="G87" i="15"/>
  <c r="G99" i="15"/>
  <c r="S4" i="15"/>
  <c r="G16" i="15"/>
  <c r="G28" i="15"/>
  <c r="G40" i="15"/>
  <c r="G52" i="15"/>
  <c r="G64" i="15"/>
  <c r="G76" i="15"/>
  <c r="G88" i="15"/>
  <c r="G100" i="15"/>
  <c r="AJ9" i="15"/>
  <c r="AJ36" i="15"/>
  <c r="AJ40" i="15"/>
  <c r="AJ48" i="15"/>
  <c r="AJ52" i="15"/>
  <c r="AJ60" i="15"/>
  <c r="AJ64" i="15"/>
  <c r="AJ72" i="15"/>
  <c r="G6" i="15"/>
  <c r="G18" i="15"/>
  <c r="G30" i="15"/>
  <c r="G42" i="15"/>
  <c r="G54" i="15"/>
  <c r="G66" i="15"/>
  <c r="G78" i="15"/>
  <c r="G90" i="15"/>
  <c r="G102" i="15"/>
  <c r="AJ24" i="15"/>
  <c r="G7" i="15"/>
  <c r="G19" i="15"/>
  <c r="G31" i="15"/>
  <c r="G43" i="15"/>
  <c r="G55" i="15"/>
  <c r="G67" i="15"/>
  <c r="G79" i="15"/>
  <c r="G91" i="15"/>
  <c r="T6" i="15" l="1"/>
  <c r="AK87" i="15"/>
  <c r="AJ87" i="15"/>
  <c r="AK75" i="15"/>
  <c r="AJ75" i="15"/>
  <c r="AK32" i="15"/>
  <c r="AJ32" i="15"/>
  <c r="AK59" i="15"/>
  <c r="AJ59" i="15"/>
  <c r="AK94" i="15"/>
  <c r="AJ94" i="15"/>
  <c r="AK20" i="15"/>
  <c r="AJ20" i="15"/>
  <c r="AK38" i="15"/>
  <c r="AJ38" i="15"/>
  <c r="AK51" i="15"/>
  <c r="AJ51" i="15"/>
  <c r="AK14" i="15"/>
  <c r="AJ14" i="15"/>
  <c r="AK47" i="15"/>
  <c r="AJ47" i="15"/>
  <c r="AK82" i="15"/>
  <c r="AJ82" i="15"/>
  <c r="AK8" i="15"/>
  <c r="AJ8" i="15"/>
  <c r="AK50" i="15"/>
  <c r="AJ50" i="15"/>
  <c r="AK35" i="15"/>
  <c r="AJ35" i="15"/>
  <c r="AK70" i="15"/>
  <c r="AJ70" i="15"/>
  <c r="AK25" i="15"/>
  <c r="AJ25" i="15"/>
  <c r="AK5" i="15"/>
  <c r="AJ5" i="15"/>
  <c r="AK26" i="15"/>
  <c r="AJ26" i="15"/>
  <c r="AK6" i="15"/>
  <c r="AJ6" i="15"/>
  <c r="AK101" i="15"/>
  <c r="AJ101" i="15"/>
  <c r="AK23" i="15"/>
  <c r="AJ23" i="15"/>
  <c r="AK58" i="15"/>
  <c r="AJ58" i="15"/>
  <c r="AK30" i="15"/>
  <c r="AJ30" i="15"/>
  <c r="AK15" i="15"/>
  <c r="AJ15" i="15"/>
  <c r="AK97" i="15"/>
  <c r="AJ97" i="15"/>
  <c r="AK11" i="15"/>
  <c r="AJ11" i="15"/>
  <c r="AK46" i="15"/>
  <c r="AJ46" i="15"/>
  <c r="P5" i="15"/>
  <c r="O4" i="15"/>
  <c r="AK34" i="15"/>
  <c r="AJ34" i="15"/>
  <c r="AK104" i="15"/>
  <c r="AJ104" i="15"/>
  <c r="AK17" i="15"/>
  <c r="AJ17" i="15"/>
  <c r="AK39" i="15"/>
  <c r="AJ39" i="15"/>
  <c r="AK27" i="15"/>
  <c r="AJ27" i="15"/>
  <c r="AK89" i="15"/>
  <c r="AJ89" i="15"/>
  <c r="AK77" i="15"/>
  <c r="AJ77" i="15"/>
  <c r="AK85" i="15"/>
  <c r="AJ85" i="15"/>
  <c r="AK65" i="15"/>
  <c r="AJ65" i="15"/>
  <c r="AK98" i="15"/>
  <c r="AJ98" i="15"/>
  <c r="AK73" i="15"/>
  <c r="AJ73" i="15"/>
  <c r="AK22" i="15"/>
  <c r="AJ22" i="15"/>
  <c r="AK92" i="15"/>
  <c r="AJ92" i="15"/>
  <c r="AK83" i="15"/>
  <c r="AJ83" i="15"/>
  <c r="AK13" i="15"/>
  <c r="AJ13" i="15"/>
  <c r="AK63" i="15"/>
  <c r="AJ63" i="15"/>
  <c r="AK3" i="15"/>
  <c r="AJ3" i="15"/>
  <c r="AK78" i="15"/>
  <c r="AJ78" i="15"/>
  <c r="AK10" i="15"/>
  <c r="AJ10" i="15"/>
  <c r="AK80" i="15"/>
  <c r="AJ80" i="15"/>
  <c r="AK44" i="15"/>
  <c r="AJ44" i="15"/>
  <c r="AK90" i="15"/>
  <c r="AJ90" i="15"/>
  <c r="AK53" i="15"/>
  <c r="AJ53" i="15"/>
  <c r="AK66" i="15"/>
  <c r="AJ66" i="15"/>
  <c r="AK41" i="15"/>
  <c r="AJ41" i="15"/>
  <c r="O3" i="15"/>
  <c r="AK68" i="15"/>
  <c r="AJ68" i="15"/>
  <c r="AK42" i="15"/>
  <c r="AJ42" i="15"/>
  <c r="AK71" i="15"/>
  <c r="AJ71" i="15"/>
  <c r="AK18" i="15"/>
  <c r="AJ18" i="15"/>
  <c r="AK86" i="15"/>
  <c r="AJ86" i="15"/>
  <c r="AK61" i="15"/>
  <c r="AJ61" i="15"/>
  <c r="AK74" i="15"/>
  <c r="AJ74" i="15"/>
  <c r="AK49" i="15"/>
  <c r="AJ49" i="15"/>
  <c r="AK54" i="15"/>
  <c r="AJ54" i="15"/>
  <c r="AK29" i="15"/>
  <c r="AJ29" i="15"/>
  <c r="AK99" i="15"/>
  <c r="AJ99" i="15"/>
  <c r="AK62" i="15"/>
  <c r="AJ62" i="15"/>
  <c r="AK37" i="15"/>
  <c r="AJ37" i="15"/>
  <c r="AK95" i="15"/>
  <c r="AJ95" i="15"/>
  <c r="AK56" i="15"/>
  <c r="AJ56" i="15"/>
  <c r="T7" i="15"/>
  <c r="S6" i="15"/>
  <c r="T81" i="12" l="1" a="1"/>
  <c r="T81" i="12" s="1"/>
  <c r="AC81" i="12" s="1"/>
  <c r="O5" i="15"/>
  <c r="P6" i="15"/>
  <c r="T8" i="15"/>
  <c r="S8" i="15" s="1"/>
  <c r="S7" i="15"/>
  <c r="P7" i="15" l="1"/>
  <c r="O6" i="15"/>
  <c r="P8" i="15" l="1"/>
  <c r="O8" i="15" s="1"/>
  <c r="O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3" authorId="0" shapeId="0" xr:uid="{00000000-0006-0000-0100-000001000000}">
      <text>
        <r>
          <rPr>
            <sz val="10"/>
            <color rgb="FF000000"/>
            <rFont val="Arial"/>
            <scheme val="minor"/>
          </rPr>
          <t>Left</t>
        </r>
      </text>
    </comment>
    <comment ref="I3" authorId="0" shapeId="0" xr:uid="{00000000-0006-0000-0100-000002000000}">
      <text>
        <r>
          <rPr>
            <sz val="10"/>
            <color rgb="FF000000"/>
            <rFont val="Arial"/>
            <scheme val="minor"/>
          </rPr>
          <t>Middle</t>
        </r>
      </text>
    </comment>
    <comment ref="J3" authorId="0" shapeId="0" xr:uid="{00000000-0006-0000-0100-000003000000}">
      <text>
        <r>
          <rPr>
            <sz val="10"/>
            <color rgb="FF000000"/>
            <rFont val="Arial"/>
            <scheme val="minor"/>
          </rPr>
          <t>Top</t>
        </r>
      </text>
    </comment>
    <comment ref="K3" authorId="0" shapeId="0" xr:uid="{00000000-0006-0000-0100-000004000000}">
      <text>
        <r>
          <rPr>
            <sz val="10"/>
            <color rgb="FF000000"/>
            <rFont val="Arial"/>
            <scheme val="minor"/>
          </rPr>
          <t>Bottom</t>
        </r>
      </text>
    </comment>
    <comment ref="L3" authorId="0" shapeId="0" xr:uid="{00000000-0006-0000-0100-000005000000}">
      <text>
        <r>
          <rPr>
            <sz val="10"/>
            <color rgb="FF000000"/>
            <rFont val="Arial"/>
            <scheme val="minor"/>
          </rPr>
          <t>Right</t>
        </r>
      </text>
    </comment>
    <comment ref="M3" authorId="0" shapeId="0" xr:uid="{00000000-0006-0000-0100-000006000000}">
      <text>
        <r>
          <rPr>
            <sz val="10"/>
            <color rgb="FF000000"/>
            <rFont val="Arial"/>
            <scheme val="minor"/>
          </rPr>
          <t>Rightmost</t>
        </r>
      </text>
    </comment>
    <comment ref="H4" authorId="0" shapeId="0" xr:uid="{00000000-0006-0000-0100-000007000000}">
      <text>
        <r>
          <rPr>
            <sz val="10"/>
            <color rgb="FF000000"/>
            <rFont val="Arial"/>
            <scheme val="minor"/>
          </rPr>
          <t>2 damage
Ranged</t>
        </r>
      </text>
    </comment>
    <comment ref="I4" authorId="0" shapeId="0" xr:uid="{00000000-0006-0000-0100-000008000000}">
      <text>
        <r>
          <rPr>
            <sz val="10"/>
            <color rgb="FF000000"/>
            <rFont val="Arial"/>
            <scheme val="minor"/>
          </rPr>
          <t>2 damage</t>
        </r>
      </text>
    </comment>
    <comment ref="J4" authorId="0" shapeId="0" xr:uid="{00000000-0006-0000-0100-000009000000}">
      <text>
        <r>
          <rPr>
            <sz val="10"/>
            <color rgb="FF000000"/>
            <rFont val="Arial"/>
            <scheme val="minor"/>
          </rPr>
          <t>blank</t>
        </r>
      </text>
    </comment>
    <comment ref="K4" authorId="0" shapeId="0" xr:uid="{00000000-0006-0000-0100-00000A000000}">
      <text>
        <r>
          <rPr>
            <sz val="10"/>
            <color rgb="FF000000"/>
            <rFont val="Arial"/>
            <scheme val="minor"/>
          </rPr>
          <t>blank</t>
        </r>
      </text>
    </comment>
    <comment ref="L4" authorId="0" shapeId="0" xr:uid="{00000000-0006-0000-0100-00000B000000}">
      <text>
        <r>
          <rPr>
            <sz val="10"/>
            <color rgb="FF000000"/>
            <rFont val="Arial"/>
            <scheme val="minor"/>
          </rPr>
          <t>2 damage</t>
        </r>
      </text>
    </comment>
    <comment ref="M4" authorId="0" shapeId="0" xr:uid="{00000000-0006-0000-0100-00000C000000}">
      <text>
        <r>
          <rPr>
            <sz val="10"/>
            <color rgb="FF000000"/>
            <rFont val="Arial"/>
            <scheme val="minor"/>
          </rPr>
          <t>blank</t>
        </r>
      </text>
    </comment>
    <comment ref="H5" authorId="0" shapeId="0" xr:uid="{00000000-0006-0000-0100-00000D000000}">
      <text>
        <r>
          <rPr>
            <sz val="10"/>
            <color rgb="FF000000"/>
            <rFont val="Arial"/>
            <scheme val="minor"/>
          </rPr>
          <t>1 damage
Vulnerable</t>
        </r>
      </text>
    </comment>
    <comment ref="I5" authorId="0" shapeId="0" xr:uid="{00000000-0006-0000-0100-00000E000000}">
      <text>
        <r>
          <rPr>
            <sz val="10"/>
            <color rgb="FF000000"/>
            <rFont val="Arial"/>
            <scheme val="minor"/>
          </rPr>
          <t>1 damage
Cleave</t>
        </r>
      </text>
    </comment>
    <comment ref="J5" authorId="0" shapeId="0" xr:uid="{00000000-0006-0000-0100-00000F000000}">
      <text>
        <r>
          <rPr>
            <sz val="10"/>
            <color rgb="FF000000"/>
            <rFont val="Arial"/>
            <scheme val="minor"/>
          </rPr>
          <t>blank</t>
        </r>
      </text>
    </comment>
    <comment ref="K5" authorId="0" shapeId="0" xr:uid="{00000000-0006-0000-0100-000010000000}">
      <text>
        <r>
          <rPr>
            <sz val="10"/>
            <color rgb="FF000000"/>
            <rFont val="Arial"/>
            <scheme val="minor"/>
          </rPr>
          <t>blank</t>
        </r>
      </text>
    </comment>
    <comment ref="L5" authorId="0" shapeId="0" xr:uid="{00000000-0006-0000-0100-000011000000}">
      <text>
        <r>
          <rPr>
            <sz val="10"/>
            <color rgb="FF000000"/>
            <rFont val="Arial"/>
            <scheme val="minor"/>
          </rPr>
          <t>blank</t>
        </r>
      </text>
    </comment>
    <comment ref="M5" authorId="0" shapeId="0" xr:uid="{00000000-0006-0000-0100-000012000000}">
      <text>
        <r>
          <rPr>
            <sz val="10"/>
            <color rgb="FF000000"/>
            <rFont val="Arial"/>
            <scheme val="minor"/>
          </rPr>
          <t>blank</t>
        </r>
      </text>
    </comment>
    <comment ref="H6" authorId="0" shapeId="0" xr:uid="{00000000-0006-0000-0100-000013000000}">
      <text>
        <r>
          <rPr>
            <sz val="10"/>
            <color rgb="FF000000"/>
            <rFont val="Arial"/>
            <scheme val="minor"/>
          </rPr>
          <t>1 damage
Ranged, Poison</t>
        </r>
      </text>
    </comment>
    <comment ref="I6" authorId="0" shapeId="0" xr:uid="{00000000-0006-0000-0100-000014000000}">
      <text>
        <r>
          <rPr>
            <sz val="10"/>
            <color rgb="FF000000"/>
            <rFont val="Arial"/>
            <scheme val="minor"/>
          </rPr>
          <t>2 damage
Cruel</t>
        </r>
      </text>
    </comment>
    <comment ref="J6" authorId="0" shapeId="0" xr:uid="{00000000-0006-0000-0100-000015000000}">
      <text>
        <r>
          <rPr>
            <sz val="10"/>
            <color rgb="FF000000"/>
            <rFont val="Arial"/>
            <scheme val="minor"/>
          </rPr>
          <t>1 damage
Cruel</t>
        </r>
      </text>
    </comment>
    <comment ref="K6" authorId="0" shapeId="0" xr:uid="{00000000-0006-0000-0100-000016000000}">
      <text>
        <r>
          <rPr>
            <sz val="10"/>
            <color rgb="FF000000"/>
            <rFont val="Arial"/>
            <scheme val="minor"/>
          </rPr>
          <t>1 damage
Cruel</t>
        </r>
      </text>
    </comment>
    <comment ref="L6" authorId="0" shapeId="0" xr:uid="{00000000-0006-0000-0100-000017000000}">
      <text>
        <r>
          <rPr>
            <sz val="10"/>
            <color rgb="FF000000"/>
            <rFont val="Arial"/>
            <scheme val="minor"/>
          </rPr>
          <t>Dodge all enemy attacks/effects</t>
        </r>
      </text>
    </comment>
    <comment ref="M6" authorId="0" shapeId="0" xr:uid="{00000000-0006-0000-0100-000018000000}">
      <text>
        <r>
          <rPr>
            <sz val="10"/>
            <color rgb="FF000000"/>
            <rFont val="Arial"/>
            <scheme val="minor"/>
          </rPr>
          <t>blank</t>
        </r>
      </text>
    </comment>
    <comment ref="H7" authorId="0" shapeId="0" xr:uid="{00000000-0006-0000-0100-000019000000}">
      <text>
        <r>
          <rPr>
            <sz val="10"/>
            <color rgb="FF000000"/>
            <rFont val="Arial"/>
            <scheme val="minor"/>
          </rPr>
          <t>Heal 5</t>
        </r>
      </text>
    </comment>
    <comment ref="I7" authorId="0" shapeId="0" xr:uid="{00000000-0006-0000-0100-00001A000000}">
      <text>
        <r>
          <rPr>
            <sz val="10"/>
            <color rgb="FF000000"/>
            <rFont val="Arial"/>
            <scheme val="minor"/>
          </rPr>
          <t>Shield 2</t>
        </r>
      </text>
    </comment>
    <comment ref="J7" authorId="0" shapeId="0" xr:uid="{00000000-0006-0000-0100-00001B000000}">
      <text>
        <r>
          <rPr>
            <sz val="10"/>
            <color rgb="FF000000"/>
            <rFont val="Arial"/>
            <scheme val="minor"/>
          </rPr>
          <t>+1 mana</t>
        </r>
      </text>
    </comment>
    <comment ref="K7" authorId="0" shapeId="0" xr:uid="{00000000-0006-0000-0100-00001C000000}">
      <text>
        <r>
          <rPr>
            <sz val="10"/>
            <color rgb="FF000000"/>
            <rFont val="Arial"/>
            <scheme val="minor"/>
          </rPr>
          <t>+1 mana</t>
        </r>
      </text>
    </comment>
    <comment ref="L7" authorId="0" shapeId="0" xr:uid="{00000000-0006-0000-0100-00001D000000}">
      <text>
        <r>
          <rPr>
            <sz val="10"/>
            <color rgb="FF000000"/>
            <rFont val="Arial"/>
            <scheme val="minor"/>
          </rPr>
          <t>2 damage</t>
        </r>
      </text>
    </comment>
    <comment ref="M7" authorId="0" shapeId="0" xr:uid="{00000000-0006-0000-0100-00001E000000}">
      <text>
        <r>
          <rPr>
            <sz val="10"/>
            <color rgb="FF000000"/>
            <rFont val="Arial"/>
            <scheme val="minor"/>
          </rPr>
          <t>1 damage</t>
        </r>
      </text>
    </comment>
    <comment ref="H8" authorId="0" shapeId="0" xr:uid="{00000000-0006-0000-0100-00001F000000}">
      <text>
        <r>
          <rPr>
            <sz val="10"/>
            <color rgb="FF000000"/>
            <rFont val="Arial"/>
            <scheme val="minor"/>
          </rPr>
          <t>2 damage</t>
        </r>
      </text>
    </comment>
    <comment ref="I8" authorId="0" shapeId="0" xr:uid="{00000000-0006-0000-0100-000020000000}">
      <text>
        <r>
          <rPr>
            <sz val="10"/>
            <color rgb="FF000000"/>
            <rFont val="Arial"/>
            <scheme val="minor"/>
          </rPr>
          <t>2 damage</t>
        </r>
      </text>
    </comment>
    <comment ref="J8" authorId="0" shapeId="0" xr:uid="{00000000-0006-0000-0100-000021000000}">
      <text>
        <r>
          <rPr>
            <sz val="10"/>
            <color rgb="FF000000"/>
            <rFont val="Arial"/>
            <scheme val="minor"/>
          </rPr>
          <t>1 damage</t>
        </r>
      </text>
    </comment>
    <comment ref="K8" authorId="0" shapeId="0" xr:uid="{00000000-0006-0000-0100-000022000000}">
      <text>
        <r>
          <rPr>
            <sz val="10"/>
            <color rgb="FF000000"/>
            <rFont val="Arial"/>
            <scheme val="minor"/>
          </rPr>
          <t>1 damage</t>
        </r>
      </text>
    </comment>
    <comment ref="L8" authorId="0" shapeId="0" xr:uid="{00000000-0006-0000-0100-000023000000}">
      <text>
        <r>
          <rPr>
            <sz val="10"/>
            <color rgb="FF000000"/>
            <rFont val="Arial"/>
            <scheme val="minor"/>
          </rPr>
          <t>Shield 1</t>
        </r>
      </text>
    </comment>
    <comment ref="M8" authorId="0" shapeId="0" xr:uid="{00000000-0006-0000-0100-000024000000}">
      <text>
        <r>
          <rPr>
            <sz val="10"/>
            <color rgb="FF000000"/>
            <rFont val="Arial"/>
            <scheme val="minor"/>
          </rPr>
          <t>Shield 1</t>
        </r>
      </text>
    </comment>
    <comment ref="H9" authorId="0" shapeId="0" xr:uid="{00000000-0006-0000-0100-000025000000}">
      <text>
        <r>
          <rPr>
            <sz val="10"/>
            <color rgb="FF000000"/>
            <rFont val="Arial"/>
            <scheme val="minor"/>
          </rPr>
          <t>3 damage
Exert</t>
        </r>
      </text>
    </comment>
    <comment ref="I9" authorId="0" shapeId="0" xr:uid="{00000000-0006-0000-0100-000026000000}">
      <text>
        <r>
          <rPr>
            <sz val="10"/>
            <color rgb="FF000000"/>
            <rFont val="Arial"/>
            <scheme val="minor"/>
          </rPr>
          <t>3 damage
Exert</t>
        </r>
      </text>
    </comment>
    <comment ref="J9" authorId="0" shapeId="0" xr:uid="{00000000-0006-0000-0100-000027000000}">
      <text>
        <r>
          <rPr>
            <sz val="10"/>
            <color rgb="FF000000"/>
            <rFont val="Arial"/>
            <scheme val="minor"/>
          </rPr>
          <t>1 damage
Self-shield</t>
        </r>
      </text>
    </comment>
    <comment ref="K9" authorId="0" shapeId="0" xr:uid="{00000000-0006-0000-0100-000028000000}">
      <text>
        <r>
          <rPr>
            <sz val="10"/>
            <color rgb="FF000000"/>
            <rFont val="Arial"/>
            <scheme val="minor"/>
          </rPr>
          <t>1 damage
Self-shield</t>
        </r>
      </text>
    </comment>
    <comment ref="L9" authorId="0" shapeId="0" xr:uid="{00000000-0006-0000-0100-000029000000}">
      <text>
        <r>
          <rPr>
            <sz val="10"/>
            <color rgb="FF000000"/>
            <rFont val="Arial"/>
            <scheme val="minor"/>
          </rPr>
          <t>1 damage</t>
        </r>
      </text>
    </comment>
    <comment ref="M9" authorId="0" shapeId="0" xr:uid="{00000000-0006-0000-0100-00002A000000}">
      <text>
        <r>
          <rPr>
            <sz val="10"/>
            <color rgb="FF000000"/>
            <rFont val="Arial"/>
            <scheme val="minor"/>
          </rPr>
          <t>1 damage</t>
        </r>
      </text>
    </comment>
    <comment ref="H10" authorId="0" shapeId="0" xr:uid="{00000000-0006-0000-0100-00002B000000}">
      <text>
        <r>
          <rPr>
            <sz val="10"/>
            <color rgb="FF000000"/>
            <rFont val="Arial"/>
            <scheme val="minor"/>
          </rPr>
          <t>5 damage
Pain</t>
        </r>
      </text>
    </comment>
    <comment ref="I10" authorId="0" shapeId="0" xr:uid="{00000000-0006-0000-0100-00002C000000}">
      <text>
        <r>
          <rPr>
            <sz val="10"/>
            <color rgb="FF000000"/>
            <rFont val="Arial"/>
            <scheme val="minor"/>
          </rPr>
          <t>1 damage
Cleave</t>
        </r>
      </text>
    </comment>
    <comment ref="J10" authorId="0" shapeId="0" xr:uid="{00000000-0006-0000-0100-00002D000000}">
      <text>
        <r>
          <rPr>
            <sz val="10"/>
            <color rgb="FF000000"/>
            <rFont val="Arial"/>
            <scheme val="minor"/>
          </rPr>
          <t>1 damage</t>
        </r>
      </text>
    </comment>
    <comment ref="K10" authorId="0" shapeId="0" xr:uid="{00000000-0006-0000-0100-00002E000000}">
      <text>
        <r>
          <rPr>
            <sz val="10"/>
            <color rgb="FF000000"/>
            <rFont val="Arial"/>
            <scheme val="minor"/>
          </rPr>
          <t>1 damage</t>
        </r>
      </text>
    </comment>
    <comment ref="L10" authorId="0" shapeId="0" xr:uid="{00000000-0006-0000-0100-00002F000000}">
      <text>
        <r>
          <rPr>
            <sz val="10"/>
            <color rgb="FF000000"/>
            <rFont val="Arial"/>
            <scheme val="minor"/>
          </rPr>
          <t>Shield 2</t>
        </r>
      </text>
    </comment>
    <comment ref="M10" authorId="0" shapeId="0" xr:uid="{00000000-0006-0000-0100-000030000000}">
      <text>
        <r>
          <rPr>
            <sz val="10"/>
            <color rgb="FF000000"/>
            <rFont val="Arial"/>
            <scheme val="minor"/>
          </rPr>
          <t>blank</t>
        </r>
      </text>
    </comment>
    <comment ref="H11" authorId="0" shapeId="0" xr:uid="{00000000-0006-0000-0100-000031000000}">
      <text>
        <r>
          <rPr>
            <sz val="10"/>
            <color rgb="FF000000"/>
            <rFont val="Arial"/>
            <scheme val="minor"/>
          </rPr>
          <t>2 damage
Heavy</t>
        </r>
      </text>
    </comment>
    <comment ref="I11" authorId="0" shapeId="0" xr:uid="{00000000-0006-0000-0100-000032000000}">
      <text>
        <r>
          <rPr>
            <sz val="10"/>
            <color rgb="FF000000"/>
            <rFont val="Arial"/>
            <scheme val="minor"/>
          </rPr>
          <t>1 damage
Rampage</t>
        </r>
      </text>
    </comment>
    <comment ref="J11" authorId="0" shapeId="0" xr:uid="{00000000-0006-0000-0100-000033000000}">
      <text>
        <r>
          <rPr>
            <sz val="10"/>
            <color rgb="FF000000"/>
            <rFont val="Arial"/>
            <scheme val="minor"/>
          </rPr>
          <t>1 damage
Deathwish</t>
        </r>
      </text>
    </comment>
    <comment ref="K11" authorId="0" shapeId="0" xr:uid="{00000000-0006-0000-0100-000034000000}">
      <text>
        <r>
          <rPr>
            <sz val="10"/>
            <color rgb="FF000000"/>
            <rFont val="Arial"/>
            <scheme val="minor"/>
          </rPr>
          <t>1 damage
Engage</t>
        </r>
      </text>
    </comment>
    <comment ref="L11" authorId="0" shapeId="0" xr:uid="{00000000-0006-0000-0100-000035000000}">
      <text>
        <r>
          <rPr>
            <sz val="10"/>
            <color rgb="FF000000"/>
            <rFont val="Arial"/>
            <scheme val="minor"/>
          </rPr>
          <t>2 damage
Single-use</t>
        </r>
      </text>
    </comment>
    <comment ref="M11" authorId="0" shapeId="0" xr:uid="{00000000-0006-0000-0100-000036000000}">
      <text>
        <r>
          <rPr>
            <sz val="10"/>
            <color rgb="FF000000"/>
            <rFont val="Arial"/>
            <scheme val="minor"/>
          </rPr>
          <t>2 damage
Pain</t>
        </r>
      </text>
    </comment>
    <comment ref="H12" authorId="0" shapeId="0" xr:uid="{00000000-0006-0000-0100-000037000000}">
      <text>
        <r>
          <rPr>
            <sz val="10"/>
            <color rgb="FF000000"/>
            <rFont val="Arial"/>
            <scheme val="minor"/>
          </rPr>
          <t>Shield 3</t>
        </r>
      </text>
    </comment>
    <comment ref="I12" authorId="0" shapeId="0" xr:uid="{00000000-0006-0000-0100-000038000000}">
      <text>
        <r>
          <rPr>
            <sz val="10"/>
            <color rgb="FF000000"/>
            <rFont val="Arial"/>
            <scheme val="minor"/>
          </rPr>
          <t>Shield 2</t>
        </r>
      </text>
    </comment>
    <comment ref="J12" authorId="0" shapeId="0" xr:uid="{00000000-0006-0000-0100-000039000000}">
      <text>
        <r>
          <rPr>
            <sz val="10"/>
            <color rgb="FF000000"/>
            <rFont val="Arial"/>
            <scheme val="minor"/>
          </rPr>
          <t>1 damage</t>
        </r>
      </text>
    </comment>
    <comment ref="K12" authorId="0" shapeId="0" xr:uid="{00000000-0006-0000-0100-00003A000000}">
      <text>
        <r>
          <rPr>
            <sz val="10"/>
            <color rgb="FF000000"/>
            <rFont val="Arial"/>
            <scheme val="minor"/>
          </rPr>
          <t>1 damage</t>
        </r>
      </text>
    </comment>
    <comment ref="L12" authorId="0" shapeId="0" xr:uid="{00000000-0006-0000-0100-00003B000000}">
      <text>
        <r>
          <rPr>
            <sz val="10"/>
            <color rgb="FF000000"/>
            <rFont val="Arial"/>
            <scheme val="minor"/>
          </rPr>
          <t>Shield 1</t>
        </r>
      </text>
    </comment>
    <comment ref="M12" authorId="0" shapeId="0" xr:uid="{00000000-0006-0000-0100-00003C000000}">
      <text>
        <r>
          <rPr>
            <sz val="10"/>
            <color rgb="FF000000"/>
            <rFont val="Arial"/>
            <scheme val="minor"/>
          </rPr>
          <t>blank</t>
        </r>
      </text>
    </comment>
    <comment ref="H13" authorId="0" shapeId="0" xr:uid="{00000000-0006-0000-0100-00003D000000}">
      <text>
        <r>
          <rPr>
            <sz val="10"/>
            <color rgb="FF000000"/>
            <rFont val="Arial"/>
            <scheme val="minor"/>
          </rPr>
          <t>Shield 2
Pristine</t>
        </r>
      </text>
    </comment>
    <comment ref="I13" authorId="0" shapeId="0" xr:uid="{00000000-0006-0000-0100-00003E000000}">
      <text>
        <r>
          <rPr>
            <sz val="10"/>
            <color rgb="FF000000"/>
            <rFont val="Arial"/>
            <scheme val="minor"/>
          </rPr>
          <t>2 damage
Heavy</t>
        </r>
      </text>
    </comment>
    <comment ref="J13" authorId="0" shapeId="0" xr:uid="{00000000-0006-0000-0100-00003F000000}">
      <text>
        <r>
          <rPr>
            <sz val="10"/>
            <color rgb="FF000000"/>
            <rFont val="Arial"/>
            <scheme val="minor"/>
          </rPr>
          <t>Shield 2</t>
        </r>
      </text>
    </comment>
    <comment ref="K13" authorId="0" shapeId="0" xr:uid="{00000000-0006-0000-0100-000040000000}">
      <text>
        <r>
          <rPr>
            <sz val="10"/>
            <color rgb="FF000000"/>
            <rFont val="Arial"/>
            <scheme val="minor"/>
          </rPr>
          <t>Shield 2</t>
        </r>
      </text>
    </comment>
    <comment ref="L13" authorId="0" shapeId="0" xr:uid="{00000000-0006-0000-0100-000041000000}">
      <text>
        <r>
          <rPr>
            <sz val="10"/>
            <color rgb="FF000000"/>
            <rFont val="Arial"/>
            <scheme val="minor"/>
          </rPr>
          <t>blank</t>
        </r>
      </text>
    </comment>
    <comment ref="M13" authorId="0" shapeId="0" xr:uid="{00000000-0006-0000-0100-000042000000}">
      <text>
        <r>
          <rPr>
            <sz val="10"/>
            <color rgb="FF000000"/>
            <rFont val="Arial"/>
            <scheme val="minor"/>
          </rPr>
          <t>blank</t>
        </r>
      </text>
    </comment>
    <comment ref="H14" authorId="0" shapeId="0" xr:uid="{00000000-0006-0000-0100-000043000000}">
      <text>
        <r>
          <rPr>
            <sz val="10"/>
            <color rgb="FF000000"/>
            <rFont val="Arial"/>
            <scheme val="minor"/>
          </rPr>
          <t>Shield 2
Focus</t>
        </r>
      </text>
    </comment>
    <comment ref="I14" authorId="0" shapeId="0" xr:uid="{00000000-0006-0000-0100-000044000000}">
      <text>
        <r>
          <rPr>
            <sz val="10"/>
            <color rgb="FF000000"/>
            <rFont val="Arial"/>
            <scheme val="minor"/>
          </rPr>
          <t>1 damage
Focus</t>
        </r>
      </text>
    </comment>
    <comment ref="J14" authorId="0" shapeId="0" xr:uid="{00000000-0006-0000-0100-000045000000}">
      <text>
        <r>
          <rPr>
            <sz val="10"/>
            <color rgb="FF000000"/>
            <rFont val="Arial"/>
            <scheme val="minor"/>
          </rPr>
          <t>Redirect all enemy attack/effects from an ally to you
Self-shield 2</t>
        </r>
      </text>
    </comment>
    <comment ref="K14" authorId="0" shapeId="0" xr:uid="{00000000-0006-0000-0100-000046000000}">
      <text>
        <r>
          <rPr>
            <sz val="10"/>
            <color rgb="FF000000"/>
            <rFont val="Arial"/>
            <scheme val="minor"/>
          </rPr>
          <t>Redirect all enemy attack/effects from an ally to you
Self-shield 2</t>
        </r>
      </text>
    </comment>
    <comment ref="L14" authorId="0" shapeId="0" xr:uid="{00000000-0006-0000-0100-000047000000}">
      <text>
        <r>
          <rPr>
            <sz val="10"/>
            <color rgb="FF000000"/>
            <rFont val="Arial"/>
            <scheme val="minor"/>
          </rPr>
          <t>Shield 1</t>
        </r>
      </text>
    </comment>
    <comment ref="M14" authorId="0" shapeId="0" xr:uid="{00000000-0006-0000-0100-000048000000}">
      <text>
        <r>
          <rPr>
            <sz val="10"/>
            <color rgb="FF000000"/>
            <rFont val="Arial"/>
            <scheme val="minor"/>
          </rPr>
          <t>Shield 1</t>
        </r>
      </text>
    </comment>
    <comment ref="H15" authorId="0" shapeId="0" xr:uid="{00000000-0006-0000-0100-000049000000}">
      <text>
        <r>
          <rPr>
            <sz val="10"/>
            <color rgb="FF000000"/>
            <rFont val="Arial"/>
            <scheme val="minor"/>
          </rPr>
          <t>Shield 1
Repel</t>
        </r>
      </text>
    </comment>
    <comment ref="I15" authorId="0" shapeId="0" xr:uid="{00000000-0006-0000-0100-00004A000000}">
      <text>
        <r>
          <rPr>
            <sz val="10"/>
            <color rgb="FF000000"/>
            <rFont val="Arial"/>
            <scheme val="minor"/>
          </rPr>
          <t>Shield 1
Double-use</t>
        </r>
      </text>
    </comment>
    <comment ref="J15" authorId="0" shapeId="0" xr:uid="{00000000-0006-0000-0100-00004B000000}">
      <text>
        <r>
          <rPr>
            <sz val="10"/>
            <color rgb="FF000000"/>
            <rFont val="Arial"/>
            <scheme val="minor"/>
          </rPr>
          <t>Shield 1
Cleave</t>
        </r>
      </text>
    </comment>
    <comment ref="K15" authorId="0" shapeId="0" xr:uid="{00000000-0006-0000-0100-00004C000000}">
      <text>
        <r>
          <rPr>
            <sz val="10"/>
            <color rgb="FF000000"/>
            <rFont val="Arial"/>
            <scheme val="minor"/>
          </rPr>
          <t>Shield 1
Mana-gain</t>
        </r>
      </text>
    </comment>
    <comment ref="L15" authorId="0" shapeId="0" xr:uid="{00000000-0006-0000-0100-00004D000000}">
      <text>
        <r>
          <rPr>
            <sz val="10"/>
            <color rgb="FF000000"/>
            <rFont val="Arial"/>
            <scheme val="minor"/>
          </rPr>
          <t>Shield 1
Cleanse</t>
        </r>
      </text>
    </comment>
    <comment ref="M15" authorId="0" shapeId="0" xr:uid="{00000000-0006-0000-0100-00004E000000}">
      <text>
        <r>
          <rPr>
            <sz val="10"/>
            <color rgb="FF000000"/>
            <rFont val="Arial"/>
            <scheme val="minor"/>
          </rPr>
          <t>Shield 1
Engage</t>
        </r>
      </text>
    </comment>
    <comment ref="H16" authorId="0" shapeId="0" xr:uid="{00000000-0006-0000-0100-00004F000000}">
      <text>
        <r>
          <rPr>
            <sz val="10"/>
            <color rgb="FF000000"/>
            <rFont val="Arial"/>
            <scheme val="minor"/>
          </rPr>
          <t>+2 mana</t>
        </r>
      </text>
    </comment>
    <comment ref="I16" authorId="0" shapeId="0" xr:uid="{00000000-0006-0000-0100-000050000000}">
      <text>
        <r>
          <rPr>
            <sz val="10"/>
            <color rgb="FF000000"/>
            <rFont val="Arial"/>
            <scheme val="minor"/>
          </rPr>
          <t>+1 mana</t>
        </r>
      </text>
    </comment>
    <comment ref="J16" authorId="0" shapeId="0" xr:uid="{00000000-0006-0000-0100-000051000000}">
      <text>
        <r>
          <rPr>
            <sz val="10"/>
            <color rgb="FF000000"/>
            <rFont val="Arial"/>
            <scheme val="minor"/>
          </rPr>
          <t>Heal 3</t>
        </r>
      </text>
    </comment>
    <comment ref="K16" authorId="0" shapeId="0" xr:uid="{00000000-0006-0000-0100-000052000000}">
      <text>
        <r>
          <rPr>
            <sz val="10"/>
            <color rgb="FF000000"/>
            <rFont val="Arial"/>
            <scheme val="minor"/>
          </rPr>
          <t>Heal 3</t>
        </r>
      </text>
    </comment>
    <comment ref="L16" authorId="0" shapeId="0" xr:uid="{00000000-0006-0000-0100-000053000000}">
      <text>
        <r>
          <rPr>
            <sz val="10"/>
            <color rgb="FF000000"/>
            <rFont val="Arial"/>
            <scheme val="minor"/>
          </rPr>
          <t>+1 mana</t>
        </r>
      </text>
    </comment>
    <comment ref="M16" authorId="0" shapeId="0" xr:uid="{00000000-0006-0000-0100-000054000000}">
      <text>
        <r>
          <rPr>
            <sz val="10"/>
            <color rgb="FF000000"/>
            <rFont val="Arial"/>
            <scheme val="minor"/>
          </rPr>
          <t>blank</t>
        </r>
      </text>
    </comment>
    <comment ref="N16" authorId="0" shapeId="0" xr:uid="{00000000-0006-0000-0100-000055000000}">
      <text>
        <r>
          <rPr>
            <sz val="10"/>
            <color rgb="FF000000"/>
            <rFont val="Arial"/>
            <scheme val="minor"/>
          </rPr>
          <t>Mend
Cost: 1 mana
Set a hero to 3 hp</t>
        </r>
      </text>
    </comment>
    <comment ref="H17" authorId="0" shapeId="0" xr:uid="{00000000-0006-0000-0100-000056000000}">
      <text>
        <r>
          <rPr>
            <sz val="10"/>
            <color rgb="FF000000"/>
            <rFont val="Arial"/>
            <scheme val="minor"/>
          </rPr>
          <t>Heal 2
Vitality</t>
        </r>
      </text>
    </comment>
    <comment ref="I17" authorId="0" shapeId="0" xr:uid="{00000000-0006-0000-0100-000057000000}">
      <text>
        <r>
          <rPr>
            <sz val="10"/>
            <color rgb="FF000000"/>
            <rFont val="Arial"/>
            <scheme val="minor"/>
          </rPr>
          <t>Heal 2
Vitality</t>
        </r>
      </text>
    </comment>
    <comment ref="J17" authorId="0" shapeId="0" xr:uid="{00000000-0006-0000-0100-000058000000}">
      <text>
        <r>
          <rPr>
            <sz val="10"/>
            <color rgb="FF000000"/>
            <rFont val="Arial"/>
            <scheme val="minor"/>
          </rPr>
          <t>Heal 1
Cleave</t>
        </r>
      </text>
    </comment>
    <comment ref="K17" authorId="0" shapeId="0" xr:uid="{00000000-0006-0000-0100-000059000000}">
      <text>
        <r>
          <rPr>
            <sz val="10"/>
            <color rgb="FF000000"/>
            <rFont val="Arial"/>
            <scheme val="minor"/>
          </rPr>
          <t>Heal 1
Cleave</t>
        </r>
      </text>
    </comment>
    <comment ref="L17" authorId="0" shapeId="0" xr:uid="{00000000-0006-0000-0100-00005A000000}">
      <text>
        <r>
          <rPr>
            <sz val="10"/>
            <color rgb="FF000000"/>
            <rFont val="Arial"/>
            <scheme val="minor"/>
          </rPr>
          <t>+1 mana</t>
        </r>
      </text>
    </comment>
    <comment ref="M17" authorId="0" shapeId="0" xr:uid="{00000000-0006-0000-0100-00005B000000}">
      <text>
        <r>
          <rPr>
            <sz val="10"/>
            <color rgb="FF000000"/>
            <rFont val="Arial"/>
            <scheme val="minor"/>
          </rPr>
          <t>+1 mana</t>
        </r>
      </text>
    </comment>
    <comment ref="N17" authorId="0" shapeId="0" xr:uid="{00000000-0006-0000-0100-00005C000000}">
      <text>
        <r>
          <rPr>
            <sz val="10"/>
            <color rgb="FF000000"/>
            <rFont val="Arial"/>
            <scheme val="minor"/>
          </rPr>
          <t>Restore
Cost: 2 mana
Heal 1 to all allies</t>
        </r>
      </text>
    </comment>
    <comment ref="H18" authorId="0" shapeId="0" xr:uid="{00000000-0006-0000-0100-00005D000000}">
      <text>
        <r>
          <rPr>
            <sz val="10"/>
            <color rgb="FF000000"/>
            <rFont val="Arial"/>
            <scheme val="minor"/>
          </rPr>
          <t>Heal and shield 1
Mana-gain</t>
        </r>
      </text>
    </comment>
    <comment ref="I18" authorId="0" shapeId="0" xr:uid="{00000000-0006-0000-0100-00005E000000}">
      <text>
        <r>
          <rPr>
            <sz val="10"/>
            <color rgb="FF000000"/>
            <rFont val="Arial"/>
            <scheme val="minor"/>
          </rPr>
          <t>Heal 1
Mana-gain</t>
        </r>
      </text>
    </comment>
    <comment ref="J18" authorId="0" shapeId="0" xr:uid="{00000000-0006-0000-0100-00005F000000}">
      <text>
        <r>
          <rPr>
            <sz val="10"/>
            <color rgb="FF000000"/>
            <rFont val="Arial"/>
            <scheme val="minor"/>
          </rPr>
          <t>+1 mana</t>
        </r>
      </text>
    </comment>
    <comment ref="K18" authorId="0" shapeId="0" xr:uid="{00000000-0006-0000-0100-000060000000}">
      <text>
        <r>
          <rPr>
            <sz val="10"/>
            <color rgb="FF000000"/>
            <rFont val="Arial"/>
            <scheme val="minor"/>
          </rPr>
          <t>Heal 1</t>
        </r>
      </text>
    </comment>
    <comment ref="L18" authorId="0" shapeId="0" xr:uid="{00000000-0006-0000-0100-000061000000}">
      <text>
        <r>
          <rPr>
            <sz val="10"/>
            <color rgb="FF000000"/>
            <rFont val="Arial"/>
            <scheme val="minor"/>
          </rPr>
          <t>blank</t>
        </r>
      </text>
    </comment>
    <comment ref="M18" authorId="0" shapeId="0" xr:uid="{00000000-0006-0000-0100-000062000000}">
      <text>
        <r>
          <rPr>
            <sz val="10"/>
            <color rgb="FF000000"/>
            <rFont val="Arial"/>
            <scheme val="minor"/>
          </rPr>
          <t>blank</t>
        </r>
      </text>
    </comment>
    <comment ref="N18" authorId="0" shapeId="0" xr:uid="{00000000-0006-0000-0100-000063000000}">
      <text>
        <r>
          <rPr>
            <sz val="10"/>
            <color rgb="FF000000"/>
            <rFont val="Arial"/>
            <scheme val="minor"/>
          </rPr>
          <t>Gaze
Cost: 1 mana 
Gain 1 reroll
Future, Cooldown</t>
        </r>
      </text>
    </comment>
    <comment ref="H19" authorId="0" shapeId="0" xr:uid="{00000000-0006-0000-0100-000064000000}">
      <text>
        <r>
          <rPr>
            <sz val="10"/>
            <color rgb="FF000000"/>
            <rFont val="Arial"/>
            <scheme val="minor"/>
          </rPr>
          <t>+3 mana
Single-use</t>
        </r>
      </text>
    </comment>
    <comment ref="I19" authorId="0" shapeId="0" xr:uid="{00000000-0006-0000-0100-000065000000}">
      <text>
        <r>
          <rPr>
            <sz val="10"/>
            <color rgb="FF000000"/>
            <rFont val="Arial"/>
            <scheme val="minor"/>
          </rPr>
          <t>+2 mana
Single-use</t>
        </r>
      </text>
    </comment>
    <comment ref="J19" authorId="0" shapeId="0" xr:uid="{00000000-0006-0000-0100-000066000000}">
      <text>
        <r>
          <rPr>
            <sz val="10"/>
            <color rgb="FF000000"/>
            <rFont val="Arial"/>
            <scheme val="minor"/>
          </rPr>
          <t>Heal 5
Single-use</t>
        </r>
      </text>
    </comment>
    <comment ref="K19" authorId="0" shapeId="0" xr:uid="{00000000-0006-0000-0100-000067000000}">
      <text>
        <r>
          <rPr>
            <sz val="10"/>
            <color rgb="FF000000"/>
            <rFont val="Arial"/>
            <scheme val="minor"/>
          </rPr>
          <t>Heal 5
Single-use</t>
        </r>
      </text>
    </comment>
    <comment ref="L19" authorId="0" shapeId="0" xr:uid="{00000000-0006-0000-0100-000068000000}">
      <text>
        <r>
          <rPr>
            <sz val="10"/>
            <color rgb="FF000000"/>
            <rFont val="Arial"/>
            <scheme val="minor"/>
          </rPr>
          <t>+1 mana
Single-use</t>
        </r>
      </text>
    </comment>
    <comment ref="M19" authorId="0" shapeId="0" xr:uid="{00000000-0006-0000-0100-000069000000}">
      <text>
        <r>
          <rPr>
            <sz val="10"/>
            <color rgb="FF000000"/>
            <rFont val="Arial"/>
            <scheme val="minor"/>
          </rPr>
          <t>blank</t>
        </r>
      </text>
    </comment>
    <comment ref="N19" authorId="0" shapeId="0" xr:uid="{00000000-0006-0000-0100-00006A000000}">
      <text>
        <r>
          <rPr>
            <sz val="10"/>
            <color rgb="FF000000"/>
            <rFont val="Arial"/>
            <scheme val="minor"/>
          </rPr>
          <t>Bandage
Cost: 2 mana 
Heal and shield 1
Single-cast, Cleave</t>
        </r>
      </text>
    </comment>
    <comment ref="H20" authorId="0" shapeId="0" xr:uid="{00000000-0006-0000-0100-00006B000000}">
      <text>
        <r>
          <rPr>
            <sz val="10"/>
            <color rgb="FF000000"/>
            <rFont val="Arial"/>
            <scheme val="minor"/>
          </rPr>
          <t>+2 mana</t>
        </r>
      </text>
    </comment>
    <comment ref="I20" authorId="0" shapeId="0" xr:uid="{00000000-0006-0000-0100-00006C000000}">
      <text>
        <r>
          <rPr>
            <sz val="10"/>
            <color rgb="FF000000"/>
            <rFont val="Arial"/>
            <scheme val="minor"/>
          </rPr>
          <t>+2 mana</t>
        </r>
      </text>
    </comment>
    <comment ref="J20" authorId="0" shapeId="0" xr:uid="{00000000-0006-0000-0100-00006D000000}">
      <text>
        <r>
          <rPr>
            <sz val="10"/>
            <color rgb="FF000000"/>
            <rFont val="Arial"/>
            <scheme val="minor"/>
          </rPr>
          <t>+1 mana</t>
        </r>
      </text>
    </comment>
    <comment ref="K20" authorId="0" shapeId="0" xr:uid="{00000000-0006-0000-0100-00006E000000}">
      <text>
        <r>
          <rPr>
            <sz val="10"/>
            <color rgb="FF000000"/>
            <rFont val="Arial"/>
            <scheme val="minor"/>
          </rPr>
          <t>+1 mana</t>
        </r>
      </text>
    </comment>
    <comment ref="L20" authorId="0" shapeId="0" xr:uid="{00000000-0006-0000-0100-00006F000000}">
      <text>
        <r>
          <rPr>
            <sz val="10"/>
            <color rgb="FF000000"/>
            <rFont val="Arial"/>
            <scheme val="minor"/>
          </rPr>
          <t>blank</t>
        </r>
      </text>
    </comment>
    <comment ref="M20" authorId="0" shapeId="0" xr:uid="{00000000-0006-0000-0100-000070000000}">
      <text>
        <r>
          <rPr>
            <sz val="10"/>
            <color rgb="FF000000"/>
            <rFont val="Arial"/>
            <scheme val="minor"/>
          </rPr>
          <t>blank</t>
        </r>
      </text>
    </comment>
    <comment ref="N20" authorId="0" shapeId="0" xr:uid="{00000000-0006-0000-0100-000071000000}">
      <text>
        <r>
          <rPr>
            <sz val="10"/>
            <color rgb="FF000000"/>
            <rFont val="Arial"/>
            <scheme val="minor"/>
          </rPr>
          <t>Flare
Cost: 4 mana 
5 damage</t>
        </r>
      </text>
    </comment>
    <comment ref="H21" authorId="0" shapeId="0" xr:uid="{00000000-0006-0000-0100-000072000000}">
      <text>
        <r>
          <rPr>
            <sz val="10"/>
            <color rgb="FF000000"/>
            <rFont val="Arial"/>
            <scheme val="minor"/>
          </rPr>
          <t>Target hero can use their dice again</t>
        </r>
      </text>
    </comment>
    <comment ref="I21" authorId="0" shapeId="0" xr:uid="{00000000-0006-0000-0100-000073000000}">
      <text>
        <r>
          <rPr>
            <sz val="10"/>
            <color rgb="FF000000"/>
            <rFont val="Arial"/>
            <scheme val="minor"/>
          </rPr>
          <t>Shield 1
Mana-gain</t>
        </r>
      </text>
    </comment>
    <comment ref="J21" authorId="0" shapeId="0" xr:uid="{00000000-0006-0000-0100-000074000000}">
      <text>
        <r>
          <rPr>
            <sz val="10"/>
            <color rgb="FF000000"/>
            <rFont val="Arial"/>
            <scheme val="minor"/>
          </rPr>
          <t>blank</t>
        </r>
      </text>
    </comment>
    <comment ref="K21" authorId="0" shapeId="0" xr:uid="{00000000-0006-0000-0100-000075000000}">
      <text>
        <r>
          <rPr>
            <sz val="10"/>
            <color rgb="FF000000"/>
            <rFont val="Arial"/>
            <scheme val="minor"/>
          </rPr>
          <t>blank</t>
        </r>
      </text>
    </comment>
    <comment ref="L21" authorId="0" shapeId="0" xr:uid="{00000000-0006-0000-0100-000076000000}">
      <text>
        <r>
          <rPr>
            <sz val="10"/>
            <color rgb="FF000000"/>
            <rFont val="Arial"/>
            <scheme val="minor"/>
          </rPr>
          <t>Shield 1
Mana-gain</t>
        </r>
      </text>
    </comment>
    <comment ref="M21" authorId="0" shapeId="0" xr:uid="{00000000-0006-0000-0100-000077000000}">
      <text>
        <r>
          <rPr>
            <sz val="10"/>
            <color rgb="FF000000"/>
            <rFont val="Arial"/>
            <scheme val="minor"/>
          </rPr>
          <t>blank</t>
        </r>
      </text>
    </comment>
    <comment ref="N21" authorId="0" shapeId="0" xr:uid="{00000000-0006-0000-0100-000078000000}">
      <text>
        <r>
          <rPr>
            <sz val="10"/>
            <color rgb="FF000000"/>
            <rFont val="Arial"/>
            <scheme val="minor"/>
          </rPr>
          <t>Slice
Cost: 3 mana 
1 damage to all enemies</t>
        </r>
      </text>
    </comment>
    <comment ref="H22" authorId="0" shapeId="0" xr:uid="{00000000-0006-0000-0100-000079000000}">
      <text>
        <r>
          <rPr>
            <sz val="10"/>
            <color rgb="FF000000"/>
            <rFont val="Arial"/>
            <scheme val="minor"/>
          </rPr>
          <t>+1 mana
Cantrip</t>
        </r>
      </text>
    </comment>
    <comment ref="I22" authorId="0" shapeId="0" xr:uid="{00000000-0006-0000-0100-00007A000000}">
      <text>
        <r>
          <rPr>
            <sz val="10"/>
            <color rgb="FF000000"/>
            <rFont val="Arial"/>
            <scheme val="minor"/>
          </rPr>
          <t>+1 mana
Growth</t>
        </r>
      </text>
    </comment>
    <comment ref="J22" authorId="0" shapeId="0" xr:uid="{00000000-0006-0000-0100-00007B000000}">
      <text>
        <r>
          <rPr>
            <sz val="10"/>
            <color rgb="FF000000"/>
            <rFont val="Arial"/>
            <scheme val="minor"/>
          </rPr>
          <t>+1 mana
Single-use</t>
        </r>
      </text>
    </comment>
    <comment ref="K22" authorId="0" shapeId="0" xr:uid="{00000000-0006-0000-0100-00007C000000}">
      <text>
        <r>
          <rPr>
            <sz val="10"/>
            <color rgb="FF000000"/>
            <rFont val="Arial"/>
            <scheme val="minor"/>
          </rPr>
          <t>+1 mana
Single-use</t>
        </r>
      </text>
    </comment>
    <comment ref="L22" authorId="0" shapeId="0" xr:uid="{00000000-0006-0000-0100-00007D000000}">
      <text>
        <r>
          <rPr>
            <sz val="10"/>
            <color rgb="FF000000"/>
            <rFont val="Arial"/>
            <scheme val="minor"/>
          </rPr>
          <t>+1 mana
Single-use</t>
        </r>
      </text>
    </comment>
    <comment ref="M22" authorId="0" shapeId="0" xr:uid="{00000000-0006-0000-0100-00007E000000}">
      <text>
        <r>
          <rPr>
            <sz val="10"/>
            <color rgb="FF000000"/>
            <rFont val="Arial"/>
            <scheme val="minor"/>
          </rPr>
          <t>blank</t>
        </r>
      </text>
    </comment>
    <comment ref="N22" authorId="0" shapeId="0" xr:uid="{00000000-0006-0000-0100-00007F000000}">
      <text>
        <r>
          <rPr>
            <sz val="10"/>
            <color rgb="FF000000"/>
            <rFont val="Arial"/>
            <scheme val="minor"/>
          </rPr>
          <t>Gather
Cost: 2 mana 
Replace blank sides with "2 mana" this turn</t>
        </r>
      </text>
    </comment>
    <comment ref="H23" authorId="0" shapeId="0" xr:uid="{00000000-0006-0000-0100-000080000000}">
      <text>
        <r>
          <rPr>
            <sz val="10"/>
            <color rgb="FF000000"/>
            <rFont val="Arial"/>
            <scheme val="minor"/>
          </rPr>
          <t>+4 mana
Pain</t>
        </r>
      </text>
    </comment>
    <comment ref="I23" authorId="0" shapeId="0" xr:uid="{00000000-0006-0000-0100-000081000000}">
      <text>
        <r>
          <rPr>
            <sz val="10"/>
            <color rgb="FF000000"/>
            <rFont val="Arial"/>
            <scheme val="minor"/>
          </rPr>
          <t>+3 mana
Pain</t>
        </r>
      </text>
    </comment>
    <comment ref="J23" authorId="0" shapeId="0" xr:uid="{00000000-0006-0000-0100-000082000000}">
      <text>
        <r>
          <rPr>
            <sz val="10"/>
            <color rgb="FF000000"/>
            <rFont val="Arial"/>
            <scheme val="minor"/>
          </rPr>
          <t>1 damage
Single-use, Self-heal</t>
        </r>
      </text>
    </comment>
    <comment ref="K23" authorId="0" shapeId="0" xr:uid="{00000000-0006-0000-0100-000083000000}">
      <text>
        <r>
          <rPr>
            <sz val="10"/>
            <color rgb="FF000000"/>
            <rFont val="Arial"/>
            <scheme val="minor"/>
          </rPr>
          <t>1 damage
Single-use, Self-heal</t>
        </r>
      </text>
    </comment>
    <comment ref="L23" authorId="0" shapeId="0" xr:uid="{00000000-0006-0000-0100-000084000000}">
      <text>
        <r>
          <rPr>
            <sz val="10"/>
            <color rgb="FF000000"/>
            <rFont val="Arial"/>
            <scheme val="minor"/>
          </rPr>
          <t>+2 mana
Pain</t>
        </r>
      </text>
    </comment>
    <comment ref="M23" authorId="0" shapeId="0" xr:uid="{00000000-0006-0000-0100-000085000000}">
      <text>
        <r>
          <rPr>
            <sz val="10"/>
            <color rgb="FF000000"/>
            <rFont val="Arial"/>
            <scheme val="minor"/>
          </rPr>
          <t>+1 mana
Pain</t>
        </r>
      </text>
    </comment>
    <comment ref="N23" authorId="0" shapeId="0" xr:uid="{00000000-0006-0000-0100-000086000000}">
      <text>
        <r>
          <rPr>
            <sz val="10"/>
            <color rgb="FF000000"/>
            <rFont val="Arial"/>
            <scheme val="minor"/>
          </rPr>
          <t>Cut
Cost: 1 mana 
3 damage to an ally
2 damage to the top-most enemy
Cooldown</t>
        </r>
      </text>
    </comment>
    <comment ref="H24" authorId="0" shapeId="0" xr:uid="{00000000-0006-0000-0100-000087000000}">
      <text>
        <r>
          <rPr>
            <sz val="10"/>
            <color rgb="FF000000"/>
            <rFont val="Arial"/>
            <scheme val="minor"/>
          </rPr>
          <t>1 damage
Copycat</t>
        </r>
      </text>
    </comment>
    <comment ref="I24" authorId="0" shapeId="0" xr:uid="{00000000-0006-0000-0100-000088000000}">
      <text>
        <r>
          <rPr>
            <sz val="10"/>
            <color rgb="FF000000"/>
            <rFont val="Arial"/>
            <scheme val="minor"/>
          </rPr>
          <t>1 damage
Poison</t>
        </r>
      </text>
    </comment>
    <comment ref="J24" authorId="0" shapeId="0" xr:uid="{00000000-0006-0000-0100-000089000000}">
      <text>
        <r>
          <rPr>
            <sz val="10"/>
            <color rgb="FF000000"/>
            <rFont val="Arial"/>
            <scheme val="minor"/>
          </rPr>
          <t>1 damage
Mana-gain</t>
        </r>
      </text>
    </comment>
    <comment ref="K24" authorId="0" shapeId="0" xr:uid="{00000000-0006-0000-0100-00008A000000}">
      <text>
        <r>
          <rPr>
            <sz val="10"/>
            <color rgb="FF000000"/>
            <rFont val="Arial"/>
            <scheme val="minor"/>
          </rPr>
          <t>1 damage
Mana-gain</t>
        </r>
      </text>
    </comment>
    <comment ref="L24" authorId="0" shapeId="0" xr:uid="{00000000-0006-0000-0100-00008B000000}">
      <text>
        <r>
          <rPr>
            <sz val="10"/>
            <color rgb="FF000000"/>
            <rFont val="Arial"/>
            <scheme val="minor"/>
          </rPr>
          <t>+1 mana</t>
        </r>
      </text>
    </comment>
    <comment ref="M24" authorId="0" shapeId="0" xr:uid="{00000000-0006-0000-0100-00008C000000}">
      <text>
        <r>
          <rPr>
            <sz val="10"/>
            <color rgb="FF000000"/>
            <rFont val="Arial"/>
            <scheme val="minor"/>
          </rPr>
          <t>+1 mana</t>
        </r>
      </text>
    </comment>
    <comment ref="N24" authorId="0" shapeId="0" xr:uid="{00000000-0006-0000-0100-00008D000000}">
      <text>
        <r>
          <rPr>
            <sz val="10"/>
            <color rgb="FF000000"/>
            <rFont val="Arial"/>
            <scheme val="minor"/>
          </rPr>
          <t>Imbue
Cost: 1 mana
+1 to an ally's damage sides this turn
Single-cast</t>
        </r>
      </text>
    </comment>
    <comment ref="H25" authorId="0" shapeId="0" xr:uid="{00000000-0006-0000-0100-00008E000000}">
      <text>
        <r>
          <rPr>
            <sz val="10"/>
            <color rgb="FF000000"/>
            <rFont val="Arial"/>
            <scheme val="minor"/>
          </rPr>
          <t>Kill an enemy with 4 or less hp
Ranged</t>
        </r>
      </text>
    </comment>
    <comment ref="I25" authorId="0" shapeId="0" xr:uid="{00000000-0006-0000-0100-00008F000000}">
      <text>
        <r>
          <rPr>
            <sz val="10"/>
            <color rgb="FF000000"/>
            <rFont val="Arial"/>
            <scheme val="minor"/>
          </rPr>
          <t>Shield 2
Growth</t>
        </r>
      </text>
    </comment>
    <comment ref="J25" authorId="0" shapeId="0" xr:uid="{00000000-0006-0000-0100-000090000000}">
      <text>
        <r>
          <rPr>
            <sz val="10"/>
            <color rgb="FF000000"/>
            <rFont val="Arial"/>
            <scheme val="minor"/>
          </rPr>
          <t>1 damage
Vulnerable</t>
        </r>
      </text>
    </comment>
    <comment ref="K25" authorId="0" shapeId="0" xr:uid="{00000000-0006-0000-0100-000091000000}">
      <text>
        <r>
          <rPr>
            <sz val="10"/>
            <color rgb="FF000000"/>
            <rFont val="Arial"/>
            <scheme val="minor"/>
          </rPr>
          <t>1 damage
Vulnerable</t>
        </r>
      </text>
    </comment>
    <comment ref="L25" authorId="0" shapeId="0" xr:uid="{00000000-0006-0000-0100-000092000000}">
      <text>
        <r>
          <rPr>
            <sz val="10"/>
            <color rgb="FF000000"/>
            <rFont val="Arial"/>
            <scheme val="minor"/>
          </rPr>
          <t>Dodge all enemy attacks/effects</t>
        </r>
      </text>
    </comment>
    <comment ref="M25" authorId="0" shapeId="0" xr:uid="{00000000-0006-0000-0100-000093000000}">
      <text>
        <r>
          <rPr>
            <sz val="10"/>
            <color rgb="FF000000"/>
            <rFont val="Arial"/>
            <scheme val="minor"/>
          </rPr>
          <t>blank</t>
        </r>
      </text>
    </comment>
    <comment ref="H26" authorId="0" shapeId="0" xr:uid="{00000000-0006-0000-0100-000094000000}">
      <text>
        <r>
          <rPr>
            <sz val="10"/>
            <color rgb="FF000000"/>
            <rFont val="Arial"/>
            <scheme val="minor"/>
          </rPr>
          <t>2 damage
Cantrip</t>
        </r>
      </text>
    </comment>
    <comment ref="I26" authorId="0" shapeId="0" xr:uid="{00000000-0006-0000-0100-000095000000}">
      <text>
        <r>
          <rPr>
            <sz val="10"/>
            <color rgb="FF000000"/>
            <rFont val="Arial"/>
            <scheme val="minor"/>
          </rPr>
          <t>1 damage
Cantrip</t>
        </r>
      </text>
    </comment>
    <comment ref="J26" authorId="0" shapeId="0" xr:uid="{00000000-0006-0000-0100-000096000000}">
      <text>
        <r>
          <rPr>
            <sz val="10"/>
            <color rgb="FF000000"/>
            <rFont val="Arial"/>
            <scheme val="minor"/>
          </rPr>
          <t>1 damage
Cantrip</t>
        </r>
      </text>
    </comment>
    <comment ref="K26" authorId="0" shapeId="0" xr:uid="{00000000-0006-0000-0100-000097000000}">
      <text>
        <r>
          <rPr>
            <sz val="10"/>
            <color rgb="FF000000"/>
            <rFont val="Arial"/>
            <scheme val="minor"/>
          </rPr>
          <t>1 damage
Cantrip</t>
        </r>
      </text>
    </comment>
    <comment ref="L26" authorId="0" shapeId="0" xr:uid="{00000000-0006-0000-0100-000098000000}">
      <text>
        <r>
          <rPr>
            <sz val="10"/>
            <color rgb="FF000000"/>
            <rFont val="Arial"/>
            <scheme val="minor"/>
          </rPr>
          <t>Shield 1
Cantrip</t>
        </r>
      </text>
    </comment>
    <comment ref="M26" authorId="0" shapeId="0" xr:uid="{00000000-0006-0000-0100-000099000000}">
      <text>
        <r>
          <rPr>
            <sz val="10"/>
            <color rgb="FF000000"/>
            <rFont val="Arial"/>
            <scheme val="minor"/>
          </rPr>
          <t>blank</t>
        </r>
      </text>
    </comment>
    <comment ref="H27" authorId="0" shapeId="0" xr:uid="{00000000-0006-0000-0100-00009A000000}">
      <text>
        <r>
          <rPr>
            <sz val="10"/>
            <color rgb="FF000000"/>
            <rFont val="Arial"/>
            <scheme val="minor"/>
          </rPr>
          <t>2 damage
Double-use</t>
        </r>
      </text>
    </comment>
    <comment ref="I27" authorId="0" shapeId="0" xr:uid="{00000000-0006-0000-0100-00009B000000}">
      <text>
        <r>
          <rPr>
            <sz val="10"/>
            <color rgb="FF000000"/>
            <rFont val="Arial"/>
            <scheme val="minor"/>
          </rPr>
          <t>1 damage
Copycat</t>
        </r>
      </text>
    </comment>
    <comment ref="J27" authorId="0" shapeId="0" xr:uid="{00000000-0006-0000-0100-00009C000000}">
      <text>
        <r>
          <rPr>
            <sz val="10"/>
            <color rgb="FF000000"/>
            <rFont val="Arial"/>
            <scheme val="minor"/>
          </rPr>
          <t>1 damage
Copycat</t>
        </r>
      </text>
    </comment>
    <comment ref="K27" authorId="0" shapeId="0" xr:uid="{00000000-0006-0000-0100-00009D000000}">
      <text>
        <r>
          <rPr>
            <sz val="10"/>
            <color rgb="FF000000"/>
            <rFont val="Arial"/>
            <scheme val="minor"/>
          </rPr>
          <t>1 damage
Copycat</t>
        </r>
      </text>
    </comment>
    <comment ref="L27" authorId="0" shapeId="0" xr:uid="{00000000-0006-0000-0100-00009E000000}">
      <text>
        <r>
          <rPr>
            <sz val="10"/>
            <color rgb="FF000000"/>
            <rFont val="Arial"/>
            <scheme val="minor"/>
          </rPr>
          <t>Dodge all enemy attacks/effects</t>
        </r>
      </text>
    </comment>
    <comment ref="M27" authorId="0" shapeId="0" xr:uid="{00000000-0006-0000-0100-00009F000000}">
      <text>
        <r>
          <rPr>
            <sz val="10"/>
            <color rgb="FF000000"/>
            <rFont val="Arial"/>
            <scheme val="minor"/>
          </rPr>
          <t>blank</t>
        </r>
      </text>
    </comment>
    <comment ref="H28" authorId="0" shapeId="0" xr:uid="{00000000-0006-0000-0100-0000A0000000}">
      <text>
        <r>
          <rPr>
            <sz val="10"/>
            <color rgb="FF000000"/>
            <rFont val="Arial"/>
            <scheme val="minor"/>
          </rPr>
          <t>2 damage
Cruel</t>
        </r>
      </text>
    </comment>
    <comment ref="I28" authorId="0" shapeId="0" xr:uid="{00000000-0006-0000-0100-0000A1000000}">
      <text>
        <r>
          <rPr>
            <sz val="10"/>
            <color rgb="FF000000"/>
            <rFont val="Arial"/>
            <scheme val="minor"/>
          </rPr>
          <t>1 damage
Cantrip</t>
        </r>
      </text>
    </comment>
    <comment ref="J28" authorId="0" shapeId="0" xr:uid="{00000000-0006-0000-0100-0000A2000000}">
      <text>
        <r>
          <rPr>
            <sz val="10"/>
            <color rgb="FF000000"/>
            <rFont val="Arial"/>
            <scheme val="minor"/>
          </rPr>
          <t>1 damage
Poison</t>
        </r>
      </text>
    </comment>
    <comment ref="K28" authorId="0" shapeId="0" xr:uid="{00000000-0006-0000-0100-0000A3000000}">
      <text>
        <r>
          <rPr>
            <sz val="10"/>
            <color rgb="FF000000"/>
            <rFont val="Arial"/>
            <scheme val="minor"/>
          </rPr>
          <t>1 damage
Poison</t>
        </r>
      </text>
    </comment>
    <comment ref="L28" authorId="0" shapeId="0" xr:uid="{00000000-0006-0000-0100-0000A4000000}">
      <text>
        <r>
          <rPr>
            <sz val="10"/>
            <color rgb="FF000000"/>
            <rFont val="Arial"/>
            <scheme val="minor"/>
          </rPr>
          <t>1 damage
Cantrip</t>
        </r>
      </text>
    </comment>
    <comment ref="M28" authorId="0" shapeId="0" xr:uid="{00000000-0006-0000-0100-0000A5000000}">
      <text>
        <r>
          <rPr>
            <sz val="10"/>
            <color rgb="FF000000"/>
            <rFont val="Arial"/>
            <scheme val="minor"/>
          </rPr>
          <t>Dodge all enemy attacks/effects</t>
        </r>
      </text>
    </comment>
    <comment ref="H29" authorId="0" shapeId="0" xr:uid="{00000000-0006-0000-0100-0000A6000000}">
      <text>
        <r>
          <rPr>
            <sz val="10"/>
            <color rgb="FF000000"/>
            <rFont val="Arial"/>
            <scheme val="minor"/>
          </rPr>
          <t>3 damage</t>
        </r>
      </text>
    </comment>
    <comment ref="I29" authorId="0" shapeId="0" xr:uid="{00000000-0006-0000-0100-0000A7000000}">
      <text>
        <r>
          <rPr>
            <sz val="10"/>
            <color rgb="FF000000"/>
            <rFont val="Arial"/>
            <scheme val="minor"/>
          </rPr>
          <t>2 damage</t>
        </r>
      </text>
    </comment>
    <comment ref="J29" authorId="0" shapeId="0" xr:uid="{00000000-0006-0000-0100-0000A8000000}">
      <text>
        <r>
          <rPr>
            <sz val="10"/>
            <color rgb="FF000000"/>
            <rFont val="Arial"/>
            <scheme val="minor"/>
          </rPr>
          <t>+2 mana</t>
        </r>
      </text>
    </comment>
    <comment ref="K29" authorId="0" shapeId="0" xr:uid="{00000000-0006-0000-0100-0000A9000000}">
      <text>
        <r>
          <rPr>
            <sz val="10"/>
            <color rgb="FF000000"/>
            <rFont val="Arial"/>
            <scheme val="minor"/>
          </rPr>
          <t>Heal 4</t>
        </r>
      </text>
    </comment>
    <comment ref="L29" authorId="0" shapeId="0" xr:uid="{00000000-0006-0000-0100-0000AA000000}">
      <text>
        <r>
          <rPr>
            <sz val="10"/>
            <color rgb="FF000000"/>
            <rFont val="Arial"/>
            <scheme val="minor"/>
          </rPr>
          <t>Shield 2</t>
        </r>
      </text>
    </comment>
    <comment ref="M29" authorId="0" shapeId="0" xr:uid="{00000000-0006-0000-0100-0000AB000000}">
      <text>
        <r>
          <rPr>
            <sz val="10"/>
            <color rgb="FF000000"/>
            <rFont val="Arial"/>
            <scheme val="minor"/>
          </rPr>
          <t>Shield 2</t>
        </r>
      </text>
    </comment>
    <comment ref="H30" authorId="0" shapeId="0" xr:uid="{00000000-0006-0000-0100-0000AC000000}">
      <text>
        <r>
          <rPr>
            <sz val="10"/>
            <color rgb="FF000000"/>
            <rFont val="Arial"/>
            <scheme val="minor"/>
          </rPr>
          <t>2 damage
Ranged, Engage</t>
        </r>
      </text>
    </comment>
    <comment ref="I30" authorId="0" shapeId="0" xr:uid="{00000000-0006-0000-0100-0000AD000000}">
      <text>
        <r>
          <rPr>
            <sz val="10"/>
            <color rgb="FF000000"/>
            <rFont val="Arial"/>
            <scheme val="minor"/>
          </rPr>
          <t>2 damage
Ranged</t>
        </r>
      </text>
    </comment>
    <comment ref="J30" authorId="0" shapeId="0" xr:uid="{00000000-0006-0000-0100-0000AE000000}">
      <text>
        <r>
          <rPr>
            <sz val="10"/>
            <color rgb="FF000000"/>
            <rFont val="Arial"/>
            <scheme val="minor"/>
          </rPr>
          <t>1 damage
Ranged, Cleave</t>
        </r>
      </text>
    </comment>
    <comment ref="K30" authorId="0" shapeId="0" xr:uid="{00000000-0006-0000-0100-0000AF000000}">
      <text>
        <r>
          <rPr>
            <sz val="10"/>
            <color rgb="FF000000"/>
            <rFont val="Arial"/>
            <scheme val="minor"/>
          </rPr>
          <t>1 damage
Ranged, Cleave</t>
        </r>
      </text>
    </comment>
    <comment ref="L30" authorId="0" shapeId="0" xr:uid="{00000000-0006-0000-0100-0000B0000000}">
      <text>
        <r>
          <rPr>
            <sz val="10"/>
            <color rgb="FF000000"/>
            <rFont val="Arial"/>
            <scheme val="minor"/>
          </rPr>
          <t>blank</t>
        </r>
      </text>
    </comment>
    <comment ref="M30" authorId="0" shapeId="0" xr:uid="{00000000-0006-0000-0100-0000B1000000}">
      <text>
        <r>
          <rPr>
            <sz val="10"/>
            <color rgb="FF000000"/>
            <rFont val="Arial"/>
            <scheme val="minor"/>
          </rPr>
          <t>blank</t>
        </r>
      </text>
    </comment>
    <comment ref="H31" authorId="0" shapeId="0" xr:uid="{00000000-0006-0000-0100-0000B2000000}">
      <text>
        <r>
          <rPr>
            <sz val="10"/>
            <color rgb="FF000000"/>
            <rFont val="Arial"/>
            <scheme val="minor"/>
          </rPr>
          <t>5 damage</t>
        </r>
      </text>
    </comment>
    <comment ref="I31" authorId="0" shapeId="0" xr:uid="{00000000-0006-0000-0100-0000B3000000}">
      <text>
        <r>
          <rPr>
            <sz val="10"/>
            <color rgb="FF000000"/>
            <rFont val="Arial"/>
            <scheme val="minor"/>
          </rPr>
          <t>2 damage</t>
        </r>
      </text>
    </comment>
    <comment ref="J31" authorId="0" shapeId="0" xr:uid="{00000000-0006-0000-0100-0000B4000000}">
      <text>
        <r>
          <rPr>
            <sz val="10"/>
            <color rgb="FF000000"/>
            <rFont val="Arial"/>
            <scheme val="minor"/>
          </rPr>
          <t>blank</t>
        </r>
      </text>
    </comment>
    <comment ref="K31" authorId="0" shapeId="0" xr:uid="{00000000-0006-0000-0100-0000B5000000}">
      <text>
        <r>
          <rPr>
            <sz val="10"/>
            <color rgb="FF000000"/>
            <rFont val="Arial"/>
            <scheme val="minor"/>
          </rPr>
          <t>blank</t>
        </r>
      </text>
    </comment>
    <comment ref="L31" authorId="0" shapeId="0" xr:uid="{00000000-0006-0000-0100-0000B6000000}">
      <text>
        <r>
          <rPr>
            <sz val="10"/>
            <color rgb="FF000000"/>
            <rFont val="Arial"/>
            <scheme val="minor"/>
          </rPr>
          <t>1 damage</t>
        </r>
      </text>
    </comment>
    <comment ref="M31" authorId="0" shapeId="0" xr:uid="{00000000-0006-0000-0100-0000B7000000}">
      <text>
        <r>
          <rPr>
            <sz val="10"/>
            <color rgb="FF000000"/>
            <rFont val="Arial"/>
            <scheme val="minor"/>
          </rPr>
          <t>blank</t>
        </r>
      </text>
    </comment>
    <comment ref="H32" authorId="0" shapeId="0" xr:uid="{00000000-0006-0000-0100-0000B8000000}">
      <text>
        <r>
          <rPr>
            <sz val="10"/>
            <color rgb="FF000000"/>
            <rFont val="Arial"/>
            <scheme val="minor"/>
          </rPr>
          <t>3 damage
Deathwish</t>
        </r>
      </text>
    </comment>
    <comment ref="I32" authorId="0" shapeId="0" xr:uid="{00000000-0006-0000-0100-0000B9000000}">
      <text>
        <r>
          <rPr>
            <sz val="10"/>
            <color rgb="FF000000"/>
            <rFont val="Arial"/>
            <scheme val="minor"/>
          </rPr>
          <t>1 damage
Cleave</t>
        </r>
      </text>
    </comment>
    <comment ref="J32" authorId="0" shapeId="0" xr:uid="{00000000-0006-0000-0100-0000BA000000}">
      <text>
        <r>
          <rPr>
            <sz val="10"/>
            <color rgb="FF000000"/>
            <rFont val="Arial"/>
            <scheme val="minor"/>
          </rPr>
          <t>4 damage
Pain</t>
        </r>
      </text>
    </comment>
    <comment ref="K32" authorId="0" shapeId="0" xr:uid="{00000000-0006-0000-0100-0000BB000000}">
      <text>
        <r>
          <rPr>
            <sz val="10"/>
            <color rgb="FF000000"/>
            <rFont val="Arial"/>
            <scheme val="minor"/>
          </rPr>
          <t>4 damage
Pain</t>
        </r>
      </text>
    </comment>
    <comment ref="L32" authorId="0" shapeId="0" xr:uid="{00000000-0006-0000-0100-0000BC000000}">
      <text>
        <r>
          <rPr>
            <sz val="10"/>
            <color rgb="FF000000"/>
            <rFont val="Arial"/>
            <scheme val="minor"/>
          </rPr>
          <t>blank</t>
        </r>
      </text>
    </comment>
    <comment ref="M32" authorId="0" shapeId="0" xr:uid="{00000000-0006-0000-0100-0000BD000000}">
      <text>
        <r>
          <rPr>
            <sz val="10"/>
            <color rgb="FF000000"/>
            <rFont val="Arial"/>
            <scheme val="minor"/>
          </rPr>
          <t>blank</t>
        </r>
      </text>
    </comment>
    <comment ref="H33" authorId="0" shapeId="0" xr:uid="{00000000-0006-0000-0100-0000BE000000}">
      <text>
        <r>
          <rPr>
            <sz val="10"/>
            <color rgb="FF000000"/>
            <rFont val="Arial"/>
            <scheme val="minor"/>
          </rPr>
          <t>1 damage
Bloodlust</t>
        </r>
      </text>
    </comment>
    <comment ref="I33" authorId="0" shapeId="0" xr:uid="{00000000-0006-0000-0100-0000BF000000}">
      <text>
        <r>
          <rPr>
            <sz val="10"/>
            <color rgb="FF000000"/>
            <rFont val="Arial"/>
            <scheme val="minor"/>
          </rPr>
          <t>1 damage
Bloodlust</t>
        </r>
      </text>
    </comment>
    <comment ref="J33" authorId="0" shapeId="0" xr:uid="{00000000-0006-0000-0100-0000C0000000}">
      <text>
        <r>
          <rPr>
            <sz val="10"/>
            <color rgb="FF000000"/>
            <rFont val="Arial"/>
            <scheme val="minor"/>
          </rPr>
          <t>1 damage
Steel</t>
        </r>
      </text>
    </comment>
    <comment ref="K33" authorId="0" shapeId="0" xr:uid="{00000000-0006-0000-0100-0000C1000000}">
      <text>
        <r>
          <rPr>
            <sz val="10"/>
            <color rgb="FF000000"/>
            <rFont val="Arial"/>
            <scheme val="minor"/>
          </rPr>
          <t>1 damage
Steel</t>
        </r>
      </text>
    </comment>
    <comment ref="L33" authorId="0" shapeId="0" xr:uid="{00000000-0006-0000-0100-0000C2000000}">
      <text>
        <r>
          <rPr>
            <sz val="10"/>
            <color rgb="FF000000"/>
            <rFont val="Arial"/>
            <scheme val="minor"/>
          </rPr>
          <t>blank</t>
        </r>
      </text>
    </comment>
    <comment ref="M33" authorId="0" shapeId="0" xr:uid="{00000000-0006-0000-0100-0000C3000000}">
      <text>
        <r>
          <rPr>
            <sz val="10"/>
            <color rgb="FF000000"/>
            <rFont val="Arial"/>
            <scheme val="minor"/>
          </rPr>
          <t>blank</t>
        </r>
      </text>
    </comment>
    <comment ref="H34" authorId="0" shapeId="0" xr:uid="{00000000-0006-0000-0100-0000C4000000}">
      <text>
        <r>
          <rPr>
            <sz val="10"/>
            <color rgb="FF000000"/>
            <rFont val="Arial"/>
            <scheme val="minor"/>
          </rPr>
          <t>2 damage
Self-shield</t>
        </r>
      </text>
    </comment>
    <comment ref="I34" authorId="0" shapeId="0" xr:uid="{00000000-0006-0000-0100-0000C5000000}">
      <text>
        <r>
          <rPr>
            <sz val="10"/>
            <color rgb="FF000000"/>
            <rFont val="Arial"/>
            <scheme val="minor"/>
          </rPr>
          <t>2 damage
Self-shield</t>
        </r>
      </text>
    </comment>
    <comment ref="J34" authorId="0" shapeId="0" xr:uid="{00000000-0006-0000-0100-0000C6000000}">
      <text>
        <r>
          <rPr>
            <sz val="10"/>
            <color rgb="FF000000"/>
            <rFont val="Arial"/>
            <scheme val="minor"/>
          </rPr>
          <t>3 damage
Heavy</t>
        </r>
      </text>
    </comment>
    <comment ref="K34" authorId="0" shapeId="0" xr:uid="{00000000-0006-0000-0100-0000C7000000}">
      <text>
        <r>
          <rPr>
            <sz val="10"/>
            <color rgb="FF000000"/>
            <rFont val="Arial"/>
            <scheme val="minor"/>
          </rPr>
          <t>3 damage
Heavy</t>
        </r>
      </text>
    </comment>
    <comment ref="L34" authorId="0" shapeId="0" xr:uid="{00000000-0006-0000-0100-0000C8000000}">
      <text>
        <r>
          <rPr>
            <sz val="10"/>
            <color rgb="FF000000"/>
            <rFont val="Arial"/>
            <scheme val="minor"/>
          </rPr>
          <t>Stun an enemy with equal or less hp than you</t>
        </r>
      </text>
    </comment>
    <comment ref="M34" authorId="0" shapeId="0" xr:uid="{00000000-0006-0000-0100-0000C9000000}">
      <text>
        <r>
          <rPr>
            <sz val="10"/>
            <color rgb="FF000000"/>
            <rFont val="Arial"/>
            <scheme val="minor"/>
          </rPr>
          <t>blank</t>
        </r>
      </text>
    </comment>
    <comment ref="H35" authorId="0" shapeId="0" xr:uid="{00000000-0006-0000-0100-0000CA000000}">
      <text>
        <r>
          <rPr>
            <sz val="10"/>
            <color rgb="FF000000"/>
            <rFont val="Arial"/>
            <scheme val="minor"/>
          </rPr>
          <t>1 damage
Cleave, Chain</t>
        </r>
      </text>
    </comment>
    <comment ref="I35" authorId="0" shapeId="0" xr:uid="{00000000-0006-0000-0100-0000CB000000}">
      <text>
        <r>
          <rPr>
            <sz val="10"/>
            <color rgb="FF000000"/>
            <rFont val="Arial"/>
            <scheme val="minor"/>
          </rPr>
          <t>Shield 2</t>
        </r>
      </text>
    </comment>
    <comment ref="J35" authorId="0" shapeId="0" xr:uid="{00000000-0006-0000-0100-0000CC000000}">
      <text>
        <r>
          <rPr>
            <sz val="10"/>
            <color rgb="FF000000"/>
            <rFont val="Arial"/>
            <scheme val="minor"/>
          </rPr>
          <t>4 damage
Exert</t>
        </r>
      </text>
    </comment>
    <comment ref="K35" authorId="0" shapeId="0" xr:uid="{00000000-0006-0000-0100-0000CD000000}">
      <text>
        <r>
          <rPr>
            <sz val="10"/>
            <color rgb="FF000000"/>
            <rFont val="Arial"/>
            <scheme val="minor"/>
          </rPr>
          <t>4 damage
Exert</t>
        </r>
      </text>
    </comment>
    <comment ref="L35" authorId="0" shapeId="0" xr:uid="{00000000-0006-0000-0100-0000CE000000}">
      <text>
        <r>
          <rPr>
            <sz val="10"/>
            <color rgb="FF000000"/>
            <rFont val="Arial"/>
            <scheme val="minor"/>
          </rPr>
          <t>Shield 2</t>
        </r>
      </text>
    </comment>
    <comment ref="M35" authorId="0" shapeId="0" xr:uid="{00000000-0006-0000-0100-0000CF000000}">
      <text>
        <r>
          <rPr>
            <sz val="10"/>
            <color rgb="FF000000"/>
            <rFont val="Arial"/>
            <scheme val="minor"/>
          </rPr>
          <t>blank</t>
        </r>
      </text>
    </comment>
    <comment ref="H36" authorId="0" shapeId="0" xr:uid="{00000000-0006-0000-0100-0000D0000000}">
      <text>
        <r>
          <rPr>
            <sz val="10"/>
            <color rgb="FF000000"/>
            <rFont val="Arial"/>
            <scheme val="minor"/>
          </rPr>
          <t>2 damage
Engage</t>
        </r>
      </text>
    </comment>
    <comment ref="I36" authorId="0" shapeId="0" xr:uid="{00000000-0006-0000-0100-0000D1000000}">
      <text>
        <r>
          <rPr>
            <sz val="10"/>
            <color rgb="FF000000"/>
            <rFont val="Arial"/>
            <scheme val="minor"/>
          </rPr>
          <t>1 damage
Engage</t>
        </r>
      </text>
    </comment>
    <comment ref="J36" authorId="0" shapeId="0" xr:uid="{00000000-0006-0000-0100-0000D2000000}">
      <text>
        <r>
          <rPr>
            <sz val="10"/>
            <color rgb="FF000000"/>
            <rFont val="Arial"/>
            <scheme val="minor"/>
          </rPr>
          <t>2 damage
Self-shield</t>
        </r>
      </text>
    </comment>
    <comment ref="K36" authorId="0" shapeId="0" xr:uid="{00000000-0006-0000-0100-0000D3000000}">
      <text>
        <r>
          <rPr>
            <sz val="10"/>
            <color rgb="FF000000"/>
            <rFont val="Arial"/>
            <scheme val="minor"/>
          </rPr>
          <t>2 damage
Self-shield</t>
        </r>
      </text>
    </comment>
    <comment ref="L36" authorId="0" shapeId="0" xr:uid="{00000000-0006-0000-0100-0000D4000000}">
      <text>
        <r>
          <rPr>
            <sz val="10"/>
            <color rgb="FF000000"/>
            <rFont val="Arial"/>
            <scheme val="minor"/>
          </rPr>
          <t>Shield 2</t>
        </r>
      </text>
    </comment>
    <comment ref="M36" authorId="0" shapeId="0" xr:uid="{00000000-0006-0000-0100-0000D5000000}">
      <text>
        <r>
          <rPr>
            <sz val="10"/>
            <color rgb="FF000000"/>
            <rFont val="Arial"/>
            <scheme val="minor"/>
          </rPr>
          <t>blank</t>
        </r>
      </text>
    </comment>
    <comment ref="H37" authorId="0" shapeId="0" xr:uid="{00000000-0006-0000-0100-0000D6000000}">
      <text>
        <r>
          <rPr>
            <sz val="10"/>
            <color rgb="FF000000"/>
            <rFont val="Arial"/>
            <scheme val="minor"/>
          </rPr>
          <t>1 damage to all enemies</t>
        </r>
      </text>
    </comment>
    <comment ref="I37" authorId="0" shapeId="0" xr:uid="{00000000-0006-0000-0100-0000D7000000}">
      <text>
        <r>
          <rPr>
            <sz val="10"/>
            <color rgb="FF000000"/>
            <rFont val="Arial"/>
            <scheme val="minor"/>
          </rPr>
          <t>3 damage</t>
        </r>
      </text>
    </comment>
    <comment ref="J37" authorId="0" shapeId="0" xr:uid="{00000000-0006-0000-0100-0000D8000000}">
      <text>
        <r>
          <rPr>
            <sz val="10"/>
            <color rgb="FF000000"/>
            <rFont val="Arial"/>
            <scheme val="minor"/>
          </rPr>
          <t>1 damage
Cleave</t>
        </r>
      </text>
    </comment>
    <comment ref="K37" authorId="0" shapeId="0" xr:uid="{00000000-0006-0000-0100-0000D9000000}">
      <text>
        <r>
          <rPr>
            <sz val="10"/>
            <color rgb="FF000000"/>
            <rFont val="Arial"/>
            <scheme val="minor"/>
          </rPr>
          <t>1 damage
Cleave</t>
        </r>
      </text>
    </comment>
    <comment ref="L37" authorId="0" shapeId="0" xr:uid="{00000000-0006-0000-0100-0000DA000000}">
      <text>
        <r>
          <rPr>
            <sz val="10"/>
            <color rgb="FF000000"/>
            <rFont val="Arial"/>
            <scheme val="minor"/>
          </rPr>
          <t>Shield 1
Cleave</t>
        </r>
      </text>
    </comment>
    <comment ref="M37" authorId="0" shapeId="0" xr:uid="{00000000-0006-0000-0100-0000DB000000}">
      <text>
        <r>
          <rPr>
            <sz val="10"/>
            <color rgb="FF000000"/>
            <rFont val="Arial"/>
            <scheme val="minor"/>
          </rPr>
          <t>blank</t>
        </r>
      </text>
    </comment>
    <comment ref="H38" authorId="0" shapeId="0" xr:uid="{00000000-0006-0000-0100-0000DC000000}">
      <text>
        <r>
          <rPr>
            <sz val="10"/>
            <color rgb="FF000000"/>
            <rFont val="Arial"/>
            <scheme val="minor"/>
          </rPr>
          <t>3 damage
Exert</t>
        </r>
      </text>
    </comment>
    <comment ref="I38" authorId="0" shapeId="0" xr:uid="{00000000-0006-0000-0100-0000DD000000}">
      <text>
        <r>
          <rPr>
            <sz val="10"/>
            <color rgb="FF000000"/>
            <rFont val="Arial"/>
            <scheme val="minor"/>
          </rPr>
          <t>1 damage
Duplicate</t>
        </r>
      </text>
    </comment>
    <comment ref="J38" authorId="0" shapeId="0" xr:uid="{00000000-0006-0000-0100-0000DE000000}">
      <text>
        <r>
          <rPr>
            <sz val="10"/>
            <color rgb="FF000000"/>
            <rFont val="Arial"/>
            <scheme val="minor"/>
          </rPr>
          <t>2 damage
Ranged</t>
        </r>
      </text>
    </comment>
    <comment ref="K38" authorId="0" shapeId="0" xr:uid="{00000000-0006-0000-0100-0000DF000000}">
      <text>
        <r>
          <rPr>
            <sz val="10"/>
            <color rgb="FF000000"/>
            <rFont val="Arial"/>
            <scheme val="minor"/>
          </rPr>
          <t>2 damage
Self-shield</t>
        </r>
      </text>
    </comment>
    <comment ref="L38" authorId="0" shapeId="0" xr:uid="{00000000-0006-0000-0100-0000E0000000}">
      <text>
        <r>
          <rPr>
            <sz val="10"/>
            <color rgb="FF000000"/>
            <rFont val="Arial"/>
            <scheme val="minor"/>
          </rPr>
          <t>1 damage
Cleave</t>
        </r>
      </text>
    </comment>
    <comment ref="M38" authorId="0" shapeId="0" xr:uid="{00000000-0006-0000-0100-0000E1000000}">
      <text>
        <r>
          <rPr>
            <sz val="10"/>
            <color rgb="FF000000"/>
            <rFont val="Arial"/>
            <scheme val="minor"/>
          </rPr>
          <t>1 damage
Focus</t>
        </r>
      </text>
    </comment>
    <comment ref="H39" authorId="0" shapeId="0" xr:uid="{00000000-0006-0000-0100-0000E2000000}">
      <text>
        <r>
          <rPr>
            <sz val="10"/>
            <color rgb="FF000000"/>
            <rFont val="Arial"/>
            <scheme val="minor"/>
          </rPr>
          <t>3 damage</t>
        </r>
      </text>
    </comment>
    <comment ref="I39" authorId="0" shapeId="0" xr:uid="{00000000-0006-0000-0100-0000E3000000}">
      <text>
        <r>
          <rPr>
            <sz val="10"/>
            <color rgb="FF000000"/>
            <rFont val="Arial"/>
            <scheme val="minor"/>
          </rPr>
          <t>3 damage</t>
        </r>
      </text>
    </comment>
    <comment ref="J39" authorId="0" shapeId="0" xr:uid="{00000000-0006-0000-0100-0000E4000000}">
      <text>
        <r>
          <rPr>
            <sz val="10"/>
            <color rgb="FF000000"/>
            <rFont val="Arial"/>
            <scheme val="minor"/>
          </rPr>
          <t>2 damage</t>
        </r>
      </text>
    </comment>
    <comment ref="K39" authorId="0" shapeId="0" xr:uid="{00000000-0006-0000-0100-0000E5000000}">
      <text>
        <r>
          <rPr>
            <sz val="10"/>
            <color rgb="FF000000"/>
            <rFont val="Arial"/>
            <scheme val="minor"/>
          </rPr>
          <t>2 damage</t>
        </r>
      </text>
    </comment>
    <comment ref="L39" authorId="0" shapeId="0" xr:uid="{00000000-0006-0000-0100-0000E6000000}">
      <text>
        <r>
          <rPr>
            <sz val="10"/>
            <color rgb="FF000000"/>
            <rFont val="Arial"/>
            <scheme val="minor"/>
          </rPr>
          <t>Shield 2</t>
        </r>
      </text>
    </comment>
    <comment ref="M39" authorId="0" shapeId="0" xr:uid="{00000000-0006-0000-0100-0000E7000000}">
      <text>
        <r>
          <rPr>
            <sz val="10"/>
            <color rgb="FF000000"/>
            <rFont val="Arial"/>
            <scheme val="minor"/>
          </rPr>
          <t>Shield 2</t>
        </r>
      </text>
    </comment>
    <comment ref="H40" authorId="0" shapeId="0" xr:uid="{00000000-0006-0000-0100-0000E8000000}">
      <text>
        <r>
          <rPr>
            <sz val="10"/>
            <color rgb="FF000000"/>
            <rFont val="Arial"/>
            <scheme val="minor"/>
          </rPr>
          <t>Shield 3
Pristine</t>
        </r>
      </text>
    </comment>
    <comment ref="I40" authorId="0" shapeId="0" xr:uid="{00000000-0006-0000-0100-0000E9000000}">
      <text>
        <r>
          <rPr>
            <sz val="10"/>
            <color rgb="FF000000"/>
            <rFont val="Arial"/>
            <scheme val="minor"/>
          </rPr>
          <t>Shield 3
Steel</t>
        </r>
      </text>
    </comment>
    <comment ref="J40" authorId="0" shapeId="0" xr:uid="{00000000-0006-0000-0100-0000EA000000}">
      <text>
        <r>
          <rPr>
            <sz val="10"/>
            <color rgb="FF000000"/>
            <rFont val="Arial"/>
            <scheme val="minor"/>
          </rPr>
          <t>3 damage
Exert</t>
        </r>
      </text>
    </comment>
    <comment ref="K40" authorId="0" shapeId="0" xr:uid="{00000000-0006-0000-0100-0000EB000000}">
      <text>
        <r>
          <rPr>
            <sz val="10"/>
            <color rgb="FF000000"/>
            <rFont val="Arial"/>
            <scheme val="minor"/>
          </rPr>
          <t>3 damage
Exert</t>
        </r>
      </text>
    </comment>
    <comment ref="L40" authorId="0" shapeId="0" xr:uid="{00000000-0006-0000-0100-0000EC000000}">
      <text>
        <r>
          <rPr>
            <sz val="10"/>
            <color rgb="FF000000"/>
            <rFont val="Arial"/>
            <scheme val="minor"/>
          </rPr>
          <t>Shield 3
Steel</t>
        </r>
      </text>
    </comment>
    <comment ref="M40" authorId="0" shapeId="0" xr:uid="{00000000-0006-0000-0100-0000ED000000}">
      <text>
        <r>
          <rPr>
            <sz val="10"/>
            <color rgb="FF000000"/>
            <rFont val="Arial"/>
            <scheme val="minor"/>
          </rPr>
          <t>blank</t>
        </r>
      </text>
    </comment>
    <comment ref="H41" authorId="0" shapeId="0" xr:uid="{00000000-0006-0000-0100-0000EE000000}">
      <text>
        <r>
          <rPr>
            <sz val="10"/>
            <color rgb="FF000000"/>
            <rFont val="Arial"/>
            <scheme val="minor"/>
          </rPr>
          <t>Shield 4</t>
        </r>
      </text>
    </comment>
    <comment ref="I41" authorId="0" shapeId="0" xr:uid="{00000000-0006-0000-0100-0000EF000000}">
      <text>
        <r>
          <rPr>
            <sz val="10"/>
            <color rgb="FF000000"/>
            <rFont val="Arial"/>
            <scheme val="minor"/>
          </rPr>
          <t>Shield 3</t>
        </r>
      </text>
    </comment>
    <comment ref="J41" authorId="0" shapeId="0" xr:uid="{00000000-0006-0000-0100-0000F0000000}">
      <text>
        <r>
          <rPr>
            <sz val="10"/>
            <color rgb="FF000000"/>
            <rFont val="Arial"/>
            <scheme val="minor"/>
          </rPr>
          <t>2 damage</t>
        </r>
      </text>
    </comment>
    <comment ref="K41" authorId="0" shapeId="0" xr:uid="{00000000-0006-0000-0100-0000F1000000}">
      <text>
        <r>
          <rPr>
            <sz val="10"/>
            <color rgb="FF000000"/>
            <rFont val="Arial"/>
            <scheme val="minor"/>
          </rPr>
          <t>2 damage</t>
        </r>
      </text>
    </comment>
    <comment ref="L41" authorId="0" shapeId="0" xr:uid="{00000000-0006-0000-0100-0000F2000000}">
      <text>
        <r>
          <rPr>
            <sz val="10"/>
            <color rgb="FF000000"/>
            <rFont val="Arial"/>
            <scheme val="minor"/>
          </rPr>
          <t>Shield 2</t>
        </r>
      </text>
    </comment>
    <comment ref="M41" authorId="0" shapeId="0" xr:uid="{00000000-0006-0000-0100-0000F3000000}">
      <text>
        <r>
          <rPr>
            <sz val="10"/>
            <color rgb="FF000000"/>
            <rFont val="Arial"/>
            <scheme val="minor"/>
          </rPr>
          <t>Shield 1</t>
        </r>
      </text>
    </comment>
    <comment ref="H42" authorId="0" shapeId="0" xr:uid="{00000000-0006-0000-0100-0000F4000000}">
      <text>
        <r>
          <rPr>
            <sz val="10"/>
            <color rgb="FF000000"/>
            <rFont val="Arial"/>
            <scheme val="minor"/>
          </rPr>
          <t>3 damage
Heavy</t>
        </r>
      </text>
    </comment>
    <comment ref="I42" authorId="0" shapeId="0" xr:uid="{00000000-0006-0000-0100-0000F5000000}">
      <text>
        <r>
          <rPr>
            <sz val="10"/>
            <color rgb="FF000000"/>
            <rFont val="Arial"/>
            <scheme val="minor"/>
          </rPr>
          <t>Shield 4</t>
        </r>
      </text>
    </comment>
    <comment ref="J42" authorId="0" shapeId="0" xr:uid="{00000000-0006-0000-0100-0000F6000000}">
      <text>
        <r>
          <rPr>
            <sz val="10"/>
            <color rgb="FF000000"/>
            <rFont val="Arial"/>
            <scheme val="minor"/>
          </rPr>
          <t>Shield 1
Cleave</t>
        </r>
      </text>
    </comment>
    <comment ref="K42" authorId="0" shapeId="0" xr:uid="{00000000-0006-0000-0100-0000F7000000}">
      <text>
        <r>
          <rPr>
            <sz val="10"/>
            <color rgb="FF000000"/>
            <rFont val="Arial"/>
            <scheme val="minor"/>
          </rPr>
          <t>Shield 1
Cleave</t>
        </r>
      </text>
    </comment>
    <comment ref="L42" authorId="0" shapeId="0" xr:uid="{00000000-0006-0000-0100-0000F8000000}">
      <text>
        <r>
          <rPr>
            <sz val="10"/>
            <color rgb="FF000000"/>
            <rFont val="Arial"/>
            <scheme val="minor"/>
          </rPr>
          <t>Shield 1
Smith</t>
        </r>
      </text>
    </comment>
    <comment ref="M42" authorId="0" shapeId="0" xr:uid="{00000000-0006-0000-0100-0000F9000000}">
      <text>
        <r>
          <rPr>
            <sz val="10"/>
            <color rgb="FF000000"/>
            <rFont val="Arial"/>
            <scheme val="minor"/>
          </rPr>
          <t>Shield 1
Smith</t>
        </r>
      </text>
    </comment>
    <comment ref="H43" authorId="0" shapeId="0" xr:uid="{00000000-0006-0000-0100-0000FA000000}">
      <text>
        <r>
          <rPr>
            <sz val="10"/>
            <color rgb="FF000000"/>
            <rFont val="Arial"/>
            <scheme val="minor"/>
          </rPr>
          <t>Shield 2
Cleanse</t>
        </r>
      </text>
    </comment>
    <comment ref="I43" authorId="0" shapeId="0" xr:uid="{00000000-0006-0000-0100-0000FB000000}">
      <text>
        <r>
          <rPr>
            <sz val="10"/>
            <color rgb="FF000000"/>
            <rFont val="Arial"/>
            <scheme val="minor"/>
          </rPr>
          <t>Shield 1
Repel</t>
        </r>
      </text>
    </comment>
    <comment ref="J43" authorId="0" shapeId="0" xr:uid="{00000000-0006-0000-0100-0000FC000000}">
      <text>
        <r>
          <rPr>
            <sz val="10"/>
            <color rgb="FF000000"/>
            <rFont val="Arial"/>
            <scheme val="minor"/>
          </rPr>
          <t>Redirect all enemy attack/effects from an ally to you
Self-shield 3</t>
        </r>
      </text>
    </comment>
    <comment ref="K43" authorId="0" shapeId="0" xr:uid="{00000000-0006-0000-0100-0000FD000000}">
      <text>
        <r>
          <rPr>
            <sz val="10"/>
            <color rgb="FF000000"/>
            <rFont val="Arial"/>
            <scheme val="minor"/>
          </rPr>
          <t>Redirect all enemy attack/effects from an ally to you
Self-shield 3</t>
        </r>
      </text>
    </comment>
    <comment ref="L43" authorId="0" shapeId="0" xr:uid="{00000000-0006-0000-0100-0000FE000000}">
      <text>
        <r>
          <rPr>
            <sz val="10"/>
            <color rgb="FF000000"/>
            <rFont val="Arial"/>
            <scheme val="minor"/>
          </rPr>
          <t>Shield 1
Repel</t>
        </r>
      </text>
    </comment>
    <comment ref="M43" authorId="0" shapeId="0" xr:uid="{00000000-0006-0000-0100-0000FF000000}">
      <text>
        <r>
          <rPr>
            <sz val="10"/>
            <color rgb="FF000000"/>
            <rFont val="Arial"/>
            <scheme val="minor"/>
          </rPr>
          <t>blank</t>
        </r>
      </text>
    </comment>
    <comment ref="H44" authorId="0" shapeId="0" xr:uid="{00000000-0006-0000-0100-000000010000}">
      <text>
        <r>
          <rPr>
            <sz val="10"/>
            <color rgb="FF000000"/>
            <rFont val="Arial"/>
            <scheme val="minor"/>
          </rPr>
          <t>Heal and shield 2</t>
        </r>
      </text>
    </comment>
    <comment ref="I44" authorId="0" shapeId="0" xr:uid="{00000000-0006-0000-0100-000001010000}">
      <text>
        <r>
          <rPr>
            <sz val="10"/>
            <color rgb="FF000000"/>
            <rFont val="Arial"/>
            <scheme val="minor"/>
          </rPr>
          <t>Heal and shield 2</t>
        </r>
      </text>
    </comment>
    <comment ref="J44" authorId="0" shapeId="0" xr:uid="{00000000-0006-0000-0100-000002010000}">
      <text>
        <r>
          <rPr>
            <sz val="10"/>
            <color rgb="FF000000"/>
            <rFont val="Arial"/>
            <scheme val="minor"/>
          </rPr>
          <t>+1 mana</t>
        </r>
      </text>
    </comment>
    <comment ref="K44" authorId="0" shapeId="0" xr:uid="{00000000-0006-0000-0100-000003010000}">
      <text>
        <r>
          <rPr>
            <sz val="10"/>
            <color rgb="FF000000"/>
            <rFont val="Arial"/>
            <scheme val="minor"/>
          </rPr>
          <t>+1 mana</t>
        </r>
      </text>
    </comment>
    <comment ref="L44" authorId="0" shapeId="0" xr:uid="{00000000-0006-0000-0100-000004010000}">
      <text>
        <r>
          <rPr>
            <sz val="10"/>
            <color rgb="FF000000"/>
            <rFont val="Arial"/>
            <scheme val="minor"/>
          </rPr>
          <t>Shield 2
Cleanse</t>
        </r>
      </text>
    </comment>
    <comment ref="M44" authorId="0" shapeId="0" xr:uid="{00000000-0006-0000-0100-000005010000}">
      <text>
        <r>
          <rPr>
            <sz val="10"/>
            <color rgb="FF000000"/>
            <rFont val="Arial"/>
            <scheme val="minor"/>
          </rPr>
          <t>blank</t>
        </r>
      </text>
    </comment>
    <comment ref="H45" authorId="0" shapeId="0" xr:uid="{00000000-0006-0000-0100-000006010000}">
      <text>
        <r>
          <rPr>
            <sz val="10"/>
            <color rgb="FF000000"/>
            <rFont val="Arial"/>
            <scheme val="minor"/>
          </rPr>
          <t>Shield 2
Cleave</t>
        </r>
      </text>
    </comment>
    <comment ref="I45" authorId="0" shapeId="0" xr:uid="{00000000-0006-0000-0100-000007010000}">
      <text>
        <r>
          <rPr>
            <sz val="10"/>
            <color rgb="FF000000"/>
            <rFont val="Arial"/>
            <scheme val="minor"/>
          </rPr>
          <t>1 damage
Cleave</t>
        </r>
      </text>
    </comment>
    <comment ref="J45" authorId="0" shapeId="0" xr:uid="{00000000-0006-0000-0100-000008010000}">
      <text>
        <r>
          <rPr>
            <sz val="10"/>
            <color rgb="FF000000"/>
            <rFont val="Arial"/>
            <scheme val="minor"/>
          </rPr>
          <t>Shield 2
Engage</t>
        </r>
      </text>
    </comment>
    <comment ref="K45" authorId="0" shapeId="0" xr:uid="{00000000-0006-0000-0100-000009010000}">
      <text>
        <r>
          <rPr>
            <sz val="10"/>
            <color rgb="FF000000"/>
            <rFont val="Arial"/>
            <scheme val="minor"/>
          </rPr>
          <t>Shield 2
Engage</t>
        </r>
      </text>
    </comment>
    <comment ref="L45" authorId="0" shapeId="0" xr:uid="{00000000-0006-0000-0100-00000A010000}">
      <text>
        <r>
          <rPr>
            <sz val="10"/>
            <color rgb="FF000000"/>
            <rFont val="Arial"/>
            <scheme val="minor"/>
          </rPr>
          <t>blank</t>
        </r>
      </text>
    </comment>
    <comment ref="M45" authorId="0" shapeId="0" xr:uid="{00000000-0006-0000-0100-00000B010000}">
      <text>
        <r>
          <rPr>
            <sz val="10"/>
            <color rgb="FF000000"/>
            <rFont val="Arial"/>
            <scheme val="minor"/>
          </rPr>
          <t>blank</t>
        </r>
      </text>
    </comment>
    <comment ref="H46" authorId="0" shapeId="0" xr:uid="{00000000-0006-0000-0100-00000C010000}">
      <text>
        <r>
          <rPr>
            <sz val="10"/>
            <color rgb="FF000000"/>
            <rFont val="Arial"/>
            <scheme val="minor"/>
          </rPr>
          <t>Shield 2
Charged</t>
        </r>
      </text>
    </comment>
    <comment ref="I46" authorId="0" shapeId="0" xr:uid="{00000000-0006-0000-0100-00000D010000}">
      <text>
        <r>
          <rPr>
            <sz val="10"/>
            <color rgb="FF000000"/>
            <rFont val="Arial"/>
            <scheme val="minor"/>
          </rPr>
          <t>Gain 1 reroll
Cantrip</t>
        </r>
      </text>
    </comment>
    <comment ref="J46" authorId="0" shapeId="0" xr:uid="{00000000-0006-0000-0100-00000E010000}">
      <text>
        <r>
          <rPr>
            <sz val="10"/>
            <color rgb="FF000000"/>
            <rFont val="Arial"/>
            <scheme val="minor"/>
          </rPr>
          <t>Shield 1 to all allies</t>
        </r>
      </text>
    </comment>
    <comment ref="K46" authorId="0" shapeId="0" xr:uid="{00000000-0006-0000-0100-00000F010000}">
      <text>
        <r>
          <rPr>
            <sz val="10"/>
            <color rgb="FF000000"/>
            <rFont val="Arial"/>
            <scheme val="minor"/>
          </rPr>
          <t>Shield 1 to all allies</t>
        </r>
      </text>
    </comment>
    <comment ref="L46" authorId="0" shapeId="0" xr:uid="{00000000-0006-0000-0100-000010010000}">
      <text>
        <r>
          <rPr>
            <sz val="10"/>
            <color rgb="FF000000"/>
            <rFont val="Arial"/>
            <scheme val="minor"/>
          </rPr>
          <t>+2 mana
Single-use</t>
        </r>
      </text>
    </comment>
    <comment ref="M46" authorId="0" shapeId="0" xr:uid="{00000000-0006-0000-0100-000011010000}">
      <text>
        <r>
          <rPr>
            <sz val="10"/>
            <color rgb="FF000000"/>
            <rFont val="Arial"/>
            <scheme val="minor"/>
          </rPr>
          <t>blank</t>
        </r>
      </text>
    </comment>
    <comment ref="H47" authorId="0" shapeId="0" xr:uid="{00000000-0006-0000-0100-000012010000}">
      <text>
        <r>
          <rPr>
            <sz val="10"/>
            <color rgb="FF000000"/>
            <rFont val="Arial"/>
            <scheme val="minor"/>
          </rPr>
          <t>blank</t>
        </r>
      </text>
    </comment>
    <comment ref="I47" authorId="0" shapeId="0" xr:uid="{00000000-0006-0000-0100-000013010000}">
      <text>
        <r>
          <rPr>
            <sz val="10"/>
            <color rgb="FF000000"/>
            <rFont val="Arial"/>
            <scheme val="minor"/>
          </rPr>
          <t>blank</t>
        </r>
      </text>
    </comment>
    <comment ref="J47" authorId="0" shapeId="0" xr:uid="{00000000-0006-0000-0100-000014010000}">
      <text>
        <r>
          <rPr>
            <sz val="10"/>
            <color rgb="FF000000"/>
            <rFont val="Arial"/>
            <scheme val="minor"/>
          </rPr>
          <t>blank</t>
        </r>
      </text>
    </comment>
    <comment ref="K47" authorId="0" shapeId="0" xr:uid="{00000000-0006-0000-0100-000015010000}">
      <text>
        <r>
          <rPr>
            <sz val="10"/>
            <color rgb="FF000000"/>
            <rFont val="Arial"/>
            <scheme val="minor"/>
          </rPr>
          <t>blank</t>
        </r>
      </text>
    </comment>
    <comment ref="L47" authorId="0" shapeId="0" xr:uid="{00000000-0006-0000-0100-000016010000}">
      <text>
        <r>
          <rPr>
            <sz val="10"/>
            <color rgb="FF000000"/>
            <rFont val="Arial"/>
            <scheme val="minor"/>
          </rPr>
          <t>blank</t>
        </r>
      </text>
    </comment>
    <comment ref="M47" authorId="0" shapeId="0" xr:uid="{00000000-0006-0000-0100-000017010000}">
      <text>
        <r>
          <rPr>
            <sz val="10"/>
            <color rgb="FF000000"/>
            <rFont val="Arial"/>
            <scheme val="minor"/>
          </rPr>
          <t>blank</t>
        </r>
      </text>
    </comment>
    <comment ref="H48" authorId="0" shapeId="0" xr:uid="{00000000-0006-0000-0100-000018010000}">
      <text>
        <r>
          <rPr>
            <sz val="10"/>
            <color rgb="FF000000"/>
            <rFont val="Arial"/>
            <scheme val="minor"/>
          </rPr>
          <t>2 damage
Growth</t>
        </r>
      </text>
    </comment>
    <comment ref="I48" authorId="0" shapeId="0" xr:uid="{00000000-0006-0000-0100-000019010000}">
      <text>
        <r>
          <rPr>
            <sz val="10"/>
            <color rgb="FF000000"/>
            <rFont val="Arial"/>
            <scheme val="minor"/>
          </rPr>
          <t>Shield 2
Growth</t>
        </r>
      </text>
    </comment>
    <comment ref="J48" authorId="0" shapeId="0" xr:uid="{00000000-0006-0000-0100-00001A010000}">
      <text>
        <r>
          <rPr>
            <sz val="10"/>
            <color rgb="FF000000"/>
            <rFont val="Arial"/>
            <scheme val="minor"/>
          </rPr>
          <t>+2 mana</t>
        </r>
      </text>
    </comment>
    <comment ref="K48" authorId="0" shapeId="0" xr:uid="{00000000-0006-0000-0100-00001B010000}">
      <text>
        <r>
          <rPr>
            <sz val="10"/>
            <color rgb="FF000000"/>
            <rFont val="Arial"/>
            <scheme val="minor"/>
          </rPr>
          <t>+2 mana</t>
        </r>
      </text>
    </comment>
    <comment ref="L48" authorId="0" shapeId="0" xr:uid="{00000000-0006-0000-0100-00001C010000}">
      <text>
        <r>
          <rPr>
            <sz val="10"/>
            <color rgb="FF000000"/>
            <rFont val="Arial"/>
            <scheme val="minor"/>
          </rPr>
          <t>Heal 2
Cleanse</t>
        </r>
      </text>
    </comment>
    <comment ref="M48" authorId="0" shapeId="0" xr:uid="{00000000-0006-0000-0100-00001D010000}">
      <text>
        <r>
          <rPr>
            <sz val="10"/>
            <color rgb="FF000000"/>
            <rFont val="Arial"/>
            <scheme val="minor"/>
          </rPr>
          <t>blank</t>
        </r>
      </text>
    </comment>
    <comment ref="N48" authorId="0" shapeId="0" xr:uid="{00000000-0006-0000-0100-00001E010000}">
      <text>
        <r>
          <rPr>
            <sz val="10"/>
            <color rgb="FF000000"/>
            <rFont val="Arial"/>
            <scheme val="minor"/>
          </rPr>
          <t>Balance
Cost: 3 mana
1 damage to all enemies
Heal 1 to all allies</t>
        </r>
      </text>
    </comment>
    <comment ref="H49" authorId="0" shapeId="0" xr:uid="{00000000-0006-0000-0100-00001F010000}">
      <text>
        <r>
          <rPr>
            <sz val="10"/>
            <color rgb="FF000000"/>
            <rFont val="Arial"/>
            <scheme val="minor"/>
          </rPr>
          <t>+2 mana</t>
        </r>
      </text>
    </comment>
    <comment ref="I49" authorId="0" shapeId="0" xr:uid="{00000000-0006-0000-0100-000020010000}">
      <text>
        <r>
          <rPr>
            <sz val="10"/>
            <color rgb="FF000000"/>
            <rFont val="Arial"/>
            <scheme val="minor"/>
          </rPr>
          <t>+2 mana</t>
        </r>
      </text>
    </comment>
    <comment ref="J49" authorId="0" shapeId="0" xr:uid="{00000000-0006-0000-0100-000021010000}">
      <text>
        <r>
          <rPr>
            <sz val="10"/>
            <color rgb="FF000000"/>
            <rFont val="Arial"/>
            <scheme val="minor"/>
          </rPr>
          <t>Heal 1
Regen</t>
        </r>
      </text>
    </comment>
    <comment ref="K49" authorId="0" shapeId="0" xr:uid="{00000000-0006-0000-0100-000022010000}">
      <text>
        <r>
          <rPr>
            <sz val="10"/>
            <color rgb="FF000000"/>
            <rFont val="Arial"/>
            <scheme val="minor"/>
          </rPr>
          <t>Heal 1
Regen</t>
        </r>
      </text>
    </comment>
    <comment ref="L49" authorId="0" shapeId="0" xr:uid="{00000000-0006-0000-0100-000023010000}">
      <text>
        <r>
          <rPr>
            <sz val="10"/>
            <color rgb="FF000000"/>
            <rFont val="Arial"/>
            <scheme val="minor"/>
          </rPr>
          <t>Add growth to target's sides this turn</t>
        </r>
      </text>
    </comment>
    <comment ref="M49" authorId="0" shapeId="0" xr:uid="{00000000-0006-0000-0100-000024010000}">
      <text>
        <r>
          <rPr>
            <sz val="10"/>
            <color rgb="FF000000"/>
            <rFont val="Arial"/>
            <scheme val="minor"/>
          </rPr>
          <t>1 damage
Poison, Single-use</t>
        </r>
      </text>
    </comment>
    <comment ref="N49" authorId="0" shapeId="0" xr:uid="{00000000-0006-0000-0100-000025010000}">
      <text>
        <r>
          <rPr>
            <sz val="10"/>
            <color rgb="FF000000"/>
            <rFont val="Arial"/>
            <scheme val="minor"/>
          </rPr>
          <t>Vine
Cost: 1 mana
1 damage or heal 1</t>
        </r>
      </text>
    </comment>
    <comment ref="H50" authorId="0" shapeId="0" xr:uid="{00000000-0006-0000-0100-000026010000}">
      <text>
        <r>
          <rPr>
            <sz val="10"/>
            <color rgb="FF000000"/>
            <rFont val="Arial"/>
            <scheme val="minor"/>
          </rPr>
          <t>1 damage
Weaken</t>
        </r>
      </text>
    </comment>
    <comment ref="I50" authorId="0" shapeId="0" xr:uid="{00000000-0006-0000-0100-000027010000}">
      <text>
        <r>
          <rPr>
            <sz val="10"/>
            <color rgb="FF000000"/>
            <rFont val="Arial"/>
            <scheme val="minor"/>
          </rPr>
          <t>1 damage
Weaken</t>
        </r>
      </text>
    </comment>
    <comment ref="J50" authorId="0" shapeId="0" xr:uid="{00000000-0006-0000-0100-000028010000}">
      <text>
        <r>
          <rPr>
            <sz val="10"/>
            <color rgb="FF000000"/>
            <rFont val="Arial"/>
            <scheme val="minor"/>
          </rPr>
          <t>Heal 1
Mana-gain</t>
        </r>
      </text>
    </comment>
    <comment ref="K50" authorId="0" shapeId="0" xr:uid="{00000000-0006-0000-0100-000029010000}">
      <text>
        <r>
          <rPr>
            <sz val="10"/>
            <color rgb="FF000000"/>
            <rFont val="Arial"/>
            <scheme val="minor"/>
          </rPr>
          <t>Heal 1
Mana-gain</t>
        </r>
      </text>
    </comment>
    <comment ref="L50" authorId="0" shapeId="0" xr:uid="{00000000-0006-0000-0100-00002A010000}">
      <text>
        <r>
          <rPr>
            <sz val="10"/>
            <color rgb="FF000000"/>
            <rFont val="Arial"/>
            <scheme val="minor"/>
          </rPr>
          <t>Heal 1
Boost</t>
        </r>
      </text>
    </comment>
    <comment ref="M50" authorId="0" shapeId="0" xr:uid="{00000000-0006-0000-0100-00002B010000}">
      <text>
        <r>
          <rPr>
            <sz val="10"/>
            <color rgb="FF000000"/>
            <rFont val="Arial"/>
            <scheme val="minor"/>
          </rPr>
          <t>Heal 1
Boost</t>
        </r>
      </text>
    </comment>
    <comment ref="N50" authorId="0" shapeId="0" xr:uid="{00000000-0006-0000-0100-00002C010000}">
      <text>
        <r>
          <rPr>
            <sz val="10"/>
            <color rgb="FF000000"/>
            <rFont val="Arial"/>
            <scheme val="minor"/>
          </rPr>
          <t>Circle
Cost: 2 mana
Add self-heal to allied sides this turn
Deplete</t>
        </r>
      </text>
    </comment>
    <comment ref="H51" authorId="0" shapeId="0" xr:uid="{00000000-0006-0000-0100-00002D010000}">
      <text>
        <r>
          <rPr>
            <sz val="10"/>
            <color rgb="FF000000"/>
            <rFont val="Arial"/>
            <scheme val="minor"/>
          </rPr>
          <t>Heal 2
Double-use</t>
        </r>
      </text>
    </comment>
    <comment ref="I51" authorId="0" shapeId="0" xr:uid="{00000000-0006-0000-0100-00002E010000}">
      <text>
        <r>
          <rPr>
            <sz val="10"/>
            <color rgb="FF000000"/>
            <rFont val="Arial"/>
            <scheme val="minor"/>
          </rPr>
          <t>Heal 2
Double-use</t>
        </r>
      </text>
    </comment>
    <comment ref="J51" authorId="0" shapeId="0" xr:uid="{00000000-0006-0000-0100-00002F010000}">
      <text>
        <r>
          <rPr>
            <sz val="10"/>
            <color rgb="FF000000"/>
            <rFont val="Arial"/>
            <scheme val="minor"/>
          </rPr>
          <t>+2 mana</t>
        </r>
      </text>
    </comment>
    <comment ref="K51" authorId="0" shapeId="0" xr:uid="{00000000-0006-0000-0100-000030010000}">
      <text>
        <r>
          <rPr>
            <sz val="10"/>
            <color rgb="FF000000"/>
            <rFont val="Arial"/>
            <scheme val="minor"/>
          </rPr>
          <t>+2 mana</t>
        </r>
      </text>
    </comment>
    <comment ref="L51" authorId="0" shapeId="0" xr:uid="{00000000-0006-0000-0100-000031010000}">
      <text>
        <r>
          <rPr>
            <sz val="10"/>
            <color rgb="FF000000"/>
            <rFont val="Arial"/>
            <scheme val="minor"/>
          </rPr>
          <t>Revive the top-most defeated ally</t>
        </r>
      </text>
    </comment>
    <comment ref="M51" authorId="0" shapeId="0" xr:uid="{00000000-0006-0000-0100-000032010000}">
      <text>
        <r>
          <rPr>
            <sz val="10"/>
            <color rgb="FF000000"/>
            <rFont val="Arial"/>
            <scheme val="minor"/>
          </rPr>
          <t>blank</t>
        </r>
      </text>
    </comment>
    <comment ref="N51" authorId="0" shapeId="0" xr:uid="{00000000-0006-0000-0100-000033010000}">
      <text>
        <r>
          <rPr>
            <sz val="10"/>
            <color rgb="FF000000"/>
            <rFont val="Arial"/>
            <scheme val="minor"/>
          </rPr>
          <t>Glow
Cost: 2 mana
Replace blank sides with 'Heal and shield 3' this turn</t>
        </r>
      </text>
    </comment>
    <comment ref="H52" authorId="0" shapeId="0" xr:uid="{00000000-0006-0000-0100-000034010000}">
      <text>
        <r>
          <rPr>
            <sz val="10"/>
            <color rgb="FF000000"/>
            <rFont val="Arial"/>
            <scheme val="minor"/>
          </rPr>
          <t>+2 mana</t>
        </r>
      </text>
    </comment>
    <comment ref="I52" authorId="0" shapeId="0" xr:uid="{00000000-0006-0000-0100-000035010000}">
      <text>
        <r>
          <rPr>
            <sz val="10"/>
            <color rgb="FF000000"/>
            <rFont val="Arial"/>
            <scheme val="minor"/>
          </rPr>
          <t>2 damage
Self-heal</t>
        </r>
      </text>
    </comment>
    <comment ref="J52" authorId="0" shapeId="0" xr:uid="{00000000-0006-0000-0100-000036010000}">
      <text>
        <r>
          <rPr>
            <sz val="10"/>
            <color rgb="FF000000"/>
            <rFont val="Arial"/>
            <scheme val="minor"/>
          </rPr>
          <t>2 damage
Self-heal</t>
        </r>
      </text>
    </comment>
    <comment ref="K52" authorId="0" shapeId="0" xr:uid="{00000000-0006-0000-0100-000037010000}">
      <text>
        <r>
          <rPr>
            <sz val="10"/>
            <color rgb="FF000000"/>
            <rFont val="Arial"/>
            <scheme val="minor"/>
          </rPr>
          <t>Heal 1 to all other allies
Pain, Vitality</t>
        </r>
      </text>
    </comment>
    <comment ref="L52" authorId="0" shapeId="0" xr:uid="{00000000-0006-0000-0100-000038010000}">
      <text>
        <r>
          <rPr>
            <sz val="10"/>
            <color rgb="FF000000"/>
            <rFont val="Arial"/>
            <scheme val="minor"/>
          </rPr>
          <t>Heal 5</t>
        </r>
      </text>
    </comment>
    <comment ref="M52" authorId="0" shapeId="0" xr:uid="{00000000-0006-0000-0100-000039010000}">
      <text>
        <r>
          <rPr>
            <sz val="10"/>
            <color rgb="FF000000"/>
            <rFont val="Arial"/>
            <scheme val="minor"/>
          </rPr>
          <t>blank</t>
        </r>
      </text>
    </comment>
    <comment ref="N52" authorId="0" shapeId="0" xr:uid="{00000000-0006-0000-0100-00003A010000}">
      <text>
        <r>
          <rPr>
            <sz val="10"/>
            <color rgb="FF000000"/>
            <rFont val="Arial"/>
            <scheme val="minor"/>
          </rPr>
          <t>Infuse
Cost: 3 mana
Heal 2 to all allies</t>
        </r>
      </text>
    </comment>
    <comment ref="H53" authorId="0" shapeId="0" xr:uid="{00000000-0006-0000-0100-00003B010000}">
      <text>
        <r>
          <rPr>
            <sz val="10"/>
            <color rgb="FF000000"/>
            <rFont val="Arial"/>
            <scheme val="minor"/>
          </rPr>
          <t>Heal 2
Cleanse</t>
        </r>
      </text>
    </comment>
    <comment ref="I53" authorId="0" shapeId="0" xr:uid="{00000000-0006-0000-0100-00003C010000}">
      <text>
        <r>
          <rPr>
            <sz val="10"/>
            <color rgb="FF000000"/>
            <rFont val="Arial"/>
            <scheme val="minor"/>
          </rPr>
          <t>Heal 1
Regen</t>
        </r>
      </text>
    </comment>
    <comment ref="J53" authorId="0" shapeId="0" xr:uid="{00000000-0006-0000-0100-00003D010000}">
      <text>
        <r>
          <rPr>
            <sz val="10"/>
            <color rgb="FF000000"/>
            <rFont val="Arial"/>
            <scheme val="minor"/>
          </rPr>
          <t>Heal 2
Cleave</t>
        </r>
      </text>
    </comment>
    <comment ref="K53" authorId="0" shapeId="0" xr:uid="{00000000-0006-0000-0100-00003E010000}">
      <text>
        <r>
          <rPr>
            <sz val="10"/>
            <color rgb="FF000000"/>
            <rFont val="Arial"/>
            <scheme val="minor"/>
          </rPr>
          <t>Heal 2
Cleave</t>
        </r>
      </text>
    </comment>
    <comment ref="L53" authorId="0" shapeId="0" xr:uid="{00000000-0006-0000-0100-00003F010000}">
      <text>
        <r>
          <rPr>
            <sz val="10"/>
            <color rgb="FF000000"/>
            <rFont val="Arial"/>
            <scheme val="minor"/>
          </rPr>
          <t>+2 mana</t>
        </r>
      </text>
    </comment>
    <comment ref="M53" authorId="0" shapeId="0" xr:uid="{00000000-0006-0000-0100-000040010000}">
      <text>
        <r>
          <rPr>
            <sz val="10"/>
            <color rgb="FF000000"/>
            <rFont val="Arial"/>
            <scheme val="minor"/>
          </rPr>
          <t>blank</t>
        </r>
      </text>
    </comment>
    <comment ref="N53" authorId="0" shapeId="0" xr:uid="{00000000-0006-0000-0100-000041010000}">
      <text>
        <r>
          <rPr>
            <sz val="10"/>
            <color rgb="FF000000"/>
            <rFont val="Arial"/>
            <scheme val="minor"/>
          </rPr>
          <t>Renew
Cost: 2 mana
Set a hero to 6 hp</t>
        </r>
      </text>
    </comment>
    <comment ref="H54" authorId="0" shapeId="0" xr:uid="{00000000-0006-0000-0100-000042010000}">
      <text>
        <r>
          <rPr>
            <sz val="10"/>
            <color rgb="FF000000"/>
            <rFont val="Arial"/>
            <scheme val="minor"/>
          </rPr>
          <t>Heal 3
Vitality</t>
        </r>
      </text>
    </comment>
    <comment ref="I54" authorId="0" shapeId="0" xr:uid="{00000000-0006-0000-0100-000043010000}">
      <text>
        <r>
          <rPr>
            <sz val="10"/>
            <color rgb="FF000000"/>
            <rFont val="Arial"/>
            <scheme val="minor"/>
          </rPr>
          <t>Heal 3
Vitality</t>
        </r>
      </text>
    </comment>
    <comment ref="J54" authorId="0" shapeId="0" xr:uid="{00000000-0006-0000-0100-000044010000}">
      <text>
        <r>
          <rPr>
            <sz val="10"/>
            <color rgb="FF000000"/>
            <rFont val="Arial"/>
            <scheme val="minor"/>
          </rPr>
          <t>Heal 1
Mana-gain</t>
        </r>
      </text>
    </comment>
    <comment ref="K54" authorId="0" shapeId="0" xr:uid="{00000000-0006-0000-0100-000045010000}">
      <text>
        <r>
          <rPr>
            <sz val="10"/>
            <color rgb="FF000000"/>
            <rFont val="Arial"/>
            <scheme val="minor"/>
          </rPr>
          <t>Heal 1
Mana-gain</t>
        </r>
      </text>
    </comment>
    <comment ref="L54" authorId="0" shapeId="0" xr:uid="{00000000-0006-0000-0100-000046010000}">
      <text>
        <r>
          <rPr>
            <sz val="10"/>
            <color rgb="FF000000"/>
            <rFont val="Arial"/>
            <scheme val="minor"/>
          </rPr>
          <t>Heal 1 to all allies</t>
        </r>
      </text>
    </comment>
    <comment ref="M54" authorId="0" shapeId="0" xr:uid="{00000000-0006-0000-0100-000047010000}">
      <text>
        <r>
          <rPr>
            <sz val="10"/>
            <color rgb="FF000000"/>
            <rFont val="Arial"/>
            <scheme val="minor"/>
          </rPr>
          <t>Heal 1 to all allies</t>
        </r>
      </text>
    </comment>
    <comment ref="N54" authorId="0" shapeId="0" xr:uid="{00000000-0006-0000-0100-000048010000}">
      <text>
        <r>
          <rPr>
            <sz val="10"/>
            <color rgb="FF000000"/>
            <rFont val="Arial"/>
            <scheme val="minor"/>
          </rPr>
          <t>Flash
Cost: 2 mana
Heal and shield 1 to all dying allies</t>
        </r>
      </text>
    </comment>
    <comment ref="H55" authorId="0" shapeId="0" xr:uid="{00000000-0006-0000-0100-000049010000}">
      <text>
        <r>
          <rPr>
            <sz val="10"/>
            <color rgb="FF000000"/>
            <rFont val="Arial"/>
            <scheme val="minor"/>
          </rPr>
          <t>Heal and shield 1
Mana-gain</t>
        </r>
      </text>
    </comment>
    <comment ref="I55" authorId="0" shapeId="0" xr:uid="{00000000-0006-0000-0100-00004A010000}">
      <text>
        <r>
          <rPr>
            <sz val="10"/>
            <color rgb="FF000000"/>
            <rFont val="Arial"/>
            <scheme val="minor"/>
          </rPr>
          <t>Add Self-heal &amp; Self-shield to target's sides this turn</t>
        </r>
      </text>
    </comment>
    <comment ref="J55" authorId="0" shapeId="0" xr:uid="{00000000-0006-0000-0100-00004B010000}">
      <text>
        <r>
          <rPr>
            <sz val="10"/>
            <color rgb="FF000000"/>
            <rFont val="Arial"/>
            <scheme val="minor"/>
          </rPr>
          <t>Add Self-shield to target's sides this turn</t>
        </r>
      </text>
    </comment>
    <comment ref="K55" authorId="0" shapeId="0" xr:uid="{00000000-0006-0000-0100-00004C010000}">
      <text>
        <r>
          <rPr>
            <sz val="10"/>
            <color rgb="FF000000"/>
            <rFont val="Arial"/>
            <scheme val="minor"/>
          </rPr>
          <t>Add Self-heal to target's sides this turn</t>
        </r>
      </text>
    </comment>
    <comment ref="L55" authorId="0" shapeId="0" xr:uid="{00000000-0006-0000-0100-00004D010000}">
      <text>
        <r>
          <rPr>
            <sz val="10"/>
            <color rgb="FF000000"/>
            <rFont val="Arial"/>
            <scheme val="minor"/>
          </rPr>
          <t>Heal 1
Boost</t>
        </r>
      </text>
    </comment>
    <comment ref="M55" authorId="0" shapeId="0" xr:uid="{00000000-0006-0000-0100-00004E010000}">
      <text>
        <r>
          <rPr>
            <sz val="10"/>
            <color rgb="FF000000"/>
            <rFont val="Arial"/>
            <scheme val="minor"/>
          </rPr>
          <t>Heal 1
Cleanse</t>
        </r>
      </text>
    </comment>
    <comment ref="N55" authorId="0" shapeId="0" xr:uid="{00000000-0006-0000-0100-00004F010000}">
      <text>
        <r>
          <rPr>
            <sz val="10"/>
            <color rgb="FF000000"/>
            <rFont val="Arial"/>
            <scheme val="minor"/>
          </rPr>
          <t>Wings
Cost: 2 mana
Heal 3
Flanking</t>
        </r>
      </text>
    </comment>
    <comment ref="H56" authorId="0" shapeId="0" xr:uid="{00000000-0006-0000-0100-000050010000}">
      <text>
        <r>
          <rPr>
            <sz val="10"/>
            <color rgb="FF000000"/>
            <rFont val="Arial"/>
            <scheme val="minor"/>
          </rPr>
          <t>3 damage
Cruel, Single-use</t>
        </r>
      </text>
    </comment>
    <comment ref="I56" authorId="0" shapeId="0" xr:uid="{00000000-0006-0000-0100-000051010000}">
      <text>
        <r>
          <rPr>
            <sz val="10"/>
            <color rgb="FF000000"/>
            <rFont val="Arial"/>
            <scheme val="minor"/>
          </rPr>
          <t>+2 mana</t>
        </r>
      </text>
    </comment>
    <comment ref="J56" authorId="0" shapeId="0" xr:uid="{00000000-0006-0000-0100-000052010000}">
      <text>
        <r>
          <rPr>
            <sz val="10"/>
            <color rgb="FF000000"/>
            <rFont val="Arial"/>
            <scheme val="minor"/>
          </rPr>
          <t>1 damage
Mana-gain</t>
        </r>
      </text>
    </comment>
    <comment ref="K56" authorId="0" shapeId="0" xr:uid="{00000000-0006-0000-0100-000053010000}">
      <text>
        <r>
          <rPr>
            <sz val="10"/>
            <color rgb="FF000000"/>
            <rFont val="Arial"/>
            <scheme val="minor"/>
          </rPr>
          <t>1 damage
Mana-gain</t>
        </r>
      </text>
    </comment>
    <comment ref="L56" authorId="0" shapeId="0" xr:uid="{00000000-0006-0000-0100-000054010000}">
      <text>
        <r>
          <rPr>
            <sz val="10"/>
            <color rgb="FF000000"/>
            <rFont val="Arial"/>
            <scheme val="minor"/>
          </rPr>
          <t>+2 mana</t>
        </r>
      </text>
    </comment>
    <comment ref="M56" authorId="0" shapeId="0" xr:uid="{00000000-0006-0000-0100-000055010000}">
      <text>
        <r>
          <rPr>
            <sz val="10"/>
            <color rgb="FF000000"/>
            <rFont val="Arial"/>
            <scheme val="minor"/>
          </rPr>
          <t>blank</t>
        </r>
      </text>
    </comment>
    <comment ref="N56" authorId="0" shapeId="0" xr:uid="{00000000-0006-0000-0100-000056010000}">
      <text>
        <r>
          <rPr>
            <sz val="10"/>
            <color rgb="FF000000"/>
            <rFont val="Arial"/>
            <scheme val="minor"/>
          </rPr>
          <t>Scald
Cost: 3 mana 
2 damage to all damaged enemies</t>
        </r>
      </text>
    </comment>
    <comment ref="H57" authorId="0" shapeId="0" xr:uid="{00000000-0006-0000-0100-000057010000}">
      <text>
        <r>
          <rPr>
            <sz val="10"/>
            <color rgb="FF000000"/>
            <rFont val="Arial"/>
            <scheme val="minor"/>
          </rPr>
          <t>+1 mana
Cantrip</t>
        </r>
      </text>
    </comment>
    <comment ref="I57" authorId="0" shapeId="0" xr:uid="{00000000-0006-0000-0100-000058010000}">
      <text>
        <r>
          <rPr>
            <sz val="10"/>
            <color rgb="FF000000"/>
            <rFont val="Arial"/>
            <scheme val="minor"/>
          </rPr>
          <t>+3 mana
Pain</t>
        </r>
      </text>
    </comment>
    <comment ref="J57" authorId="0" shapeId="0" xr:uid="{00000000-0006-0000-0100-000059010000}">
      <text>
        <r>
          <rPr>
            <sz val="10"/>
            <color rgb="FF000000"/>
            <rFont val="Arial"/>
            <scheme val="minor"/>
          </rPr>
          <t>2 damage
Single-use, Self-heal</t>
        </r>
      </text>
    </comment>
    <comment ref="K57" authorId="0" shapeId="0" xr:uid="{00000000-0006-0000-0100-00005A010000}">
      <text>
        <r>
          <rPr>
            <sz val="10"/>
            <color rgb="FF000000"/>
            <rFont val="Arial"/>
            <scheme val="minor"/>
          </rPr>
          <t>2 damage
Single-use, Self-heal</t>
        </r>
      </text>
    </comment>
    <comment ref="L57" authorId="0" shapeId="0" xr:uid="{00000000-0006-0000-0100-00005B010000}">
      <text>
        <r>
          <rPr>
            <sz val="10"/>
            <color rgb="FF000000"/>
            <rFont val="Arial"/>
            <scheme val="minor"/>
          </rPr>
          <t>+2 mana
Pain</t>
        </r>
      </text>
    </comment>
    <comment ref="M57" authorId="0" shapeId="0" xr:uid="{00000000-0006-0000-0100-00005C010000}">
      <text>
        <r>
          <rPr>
            <sz val="10"/>
            <color rgb="FF000000"/>
            <rFont val="Arial"/>
            <scheme val="minor"/>
          </rPr>
          <t>blank</t>
        </r>
      </text>
    </comment>
    <comment ref="N57" authorId="0" shapeId="0" xr:uid="{00000000-0006-0000-0100-00005D010000}">
      <text>
        <r>
          <rPr>
            <sz val="10"/>
            <color rgb="FF000000"/>
            <rFont val="Arial"/>
            <scheme val="minor"/>
          </rPr>
          <t>Burn
Cost: 1 mana
1 damage to all heroes and monsters
Cooldown</t>
        </r>
      </text>
    </comment>
    <comment ref="H58" authorId="0" shapeId="0" xr:uid="{00000000-0006-0000-0100-00005E010000}">
      <text>
        <r>
          <rPr>
            <sz val="10"/>
            <color rgb="FF000000"/>
            <rFont val="Arial"/>
            <scheme val="minor"/>
          </rPr>
          <t>+3 mana</t>
        </r>
      </text>
    </comment>
    <comment ref="I58" authorId="0" shapeId="0" xr:uid="{00000000-0006-0000-0100-00005F010000}">
      <text>
        <r>
          <rPr>
            <sz val="10"/>
            <color rgb="FF000000"/>
            <rFont val="Arial"/>
            <scheme val="minor"/>
          </rPr>
          <t>Gain 1 reroll
Cantrip</t>
        </r>
      </text>
    </comment>
    <comment ref="J58" authorId="0" shapeId="0" xr:uid="{00000000-0006-0000-0100-000060010000}">
      <text>
        <r>
          <rPr>
            <sz val="10"/>
            <color rgb="FF000000"/>
            <rFont val="Arial"/>
            <scheme val="minor"/>
          </rPr>
          <t>+1 mana
Single-use</t>
        </r>
      </text>
    </comment>
    <comment ref="K58" authorId="0" shapeId="0" xr:uid="{00000000-0006-0000-0100-000061010000}">
      <text>
        <r>
          <rPr>
            <sz val="10"/>
            <color rgb="FF000000"/>
            <rFont val="Arial"/>
            <scheme val="minor"/>
          </rPr>
          <t>+1 mana
Single-use</t>
        </r>
      </text>
    </comment>
    <comment ref="L58" authorId="0" shapeId="0" xr:uid="{00000000-0006-0000-0100-000062010000}">
      <text>
        <r>
          <rPr>
            <sz val="10"/>
            <color rgb="FF000000"/>
            <rFont val="Arial"/>
            <scheme val="minor"/>
          </rPr>
          <t>Dodge all enemy attacks/effects</t>
        </r>
      </text>
    </comment>
    <comment ref="M58" authorId="0" shapeId="0" xr:uid="{00000000-0006-0000-0100-000063010000}">
      <text>
        <r>
          <rPr>
            <sz val="10"/>
            <color rgb="FF000000"/>
            <rFont val="Arial"/>
            <scheme val="minor"/>
          </rPr>
          <t>blank</t>
        </r>
      </text>
    </comment>
    <comment ref="N58" authorId="0" shapeId="0" xr:uid="{00000000-0006-0000-0100-000064010000}">
      <text>
        <r>
          <rPr>
            <sz val="10"/>
            <color rgb="FF000000"/>
            <rFont val="Arial"/>
            <scheme val="minor"/>
          </rPr>
          <t>Flick
Cost: 1 mana
1 damage
Engage, Cooldown</t>
        </r>
      </text>
    </comment>
    <comment ref="H59" authorId="0" shapeId="0" xr:uid="{00000000-0006-0000-0100-000065010000}">
      <text>
        <r>
          <rPr>
            <sz val="10"/>
            <color rgb="FF000000"/>
            <rFont val="Arial"/>
            <scheme val="minor"/>
          </rPr>
          <t>+3 mana
Decay</t>
        </r>
      </text>
    </comment>
    <comment ref="I59" authorId="0" shapeId="0" xr:uid="{00000000-0006-0000-0100-000066010000}">
      <text>
        <r>
          <rPr>
            <sz val="10"/>
            <color rgb="FF000000"/>
            <rFont val="Arial"/>
            <scheme val="minor"/>
          </rPr>
          <t>+2 mana
Decay</t>
        </r>
      </text>
    </comment>
    <comment ref="J59" authorId="0" shapeId="0" xr:uid="{00000000-0006-0000-0100-000067010000}">
      <text>
        <r>
          <rPr>
            <sz val="10"/>
            <color rgb="FF000000"/>
            <rFont val="Arial"/>
            <scheme val="minor"/>
          </rPr>
          <t>Shield 1
Growth</t>
        </r>
      </text>
    </comment>
    <comment ref="K59" authorId="0" shapeId="0" xr:uid="{00000000-0006-0000-0100-000068010000}">
      <text>
        <r>
          <rPr>
            <sz val="10"/>
            <color rgb="FF000000"/>
            <rFont val="Arial"/>
            <scheme val="minor"/>
          </rPr>
          <t>1 damage
Growth</t>
        </r>
      </text>
    </comment>
    <comment ref="L59" authorId="0" shapeId="0" xr:uid="{00000000-0006-0000-0100-000069010000}">
      <text>
        <r>
          <rPr>
            <sz val="10"/>
            <color rgb="FF000000"/>
            <rFont val="Arial"/>
            <scheme val="minor"/>
          </rPr>
          <t>+1 mana
Decay</t>
        </r>
      </text>
    </comment>
    <comment ref="M59" authorId="0" shapeId="0" xr:uid="{00000000-0006-0000-0100-00006A010000}">
      <text>
        <r>
          <rPr>
            <sz val="10"/>
            <color rgb="FF000000"/>
            <rFont val="Arial"/>
            <scheme val="minor"/>
          </rPr>
          <t>Revive the top-most defeated ally</t>
        </r>
      </text>
    </comment>
    <comment ref="N59" authorId="0" shapeId="0" xr:uid="{00000000-0006-0000-0100-00006B010000}">
      <text>
        <r>
          <rPr>
            <sz val="10"/>
            <color rgb="FF000000"/>
            <rFont val="Arial"/>
            <scheme val="minor"/>
          </rPr>
          <t>Spore
Cost: 1 mana
Add decay &amp; +1 to target's sides this turn
Cooldown</t>
        </r>
      </text>
    </comment>
    <comment ref="H60" authorId="0" shapeId="0" xr:uid="{00000000-0006-0000-0100-00006C010000}">
      <text>
        <r>
          <rPr>
            <sz val="10"/>
            <color rgb="FF000000"/>
            <rFont val="Arial"/>
            <scheme val="minor"/>
          </rPr>
          <t>2 damage
Mana-gain</t>
        </r>
      </text>
    </comment>
    <comment ref="I60" authorId="0" shapeId="0" xr:uid="{00000000-0006-0000-0100-00006D010000}">
      <text>
        <r>
          <rPr>
            <sz val="10"/>
            <color rgb="FF000000"/>
            <rFont val="Arial"/>
            <scheme val="minor"/>
          </rPr>
          <t>+1 mana</t>
        </r>
      </text>
    </comment>
    <comment ref="J60" authorId="0" shapeId="0" xr:uid="{00000000-0006-0000-0100-00006E010000}">
      <text>
        <r>
          <rPr>
            <sz val="10"/>
            <color rgb="FF000000"/>
            <rFont val="Arial"/>
            <scheme val="minor"/>
          </rPr>
          <t>0 damage
Charged, Single-use</t>
        </r>
      </text>
    </comment>
    <comment ref="K60" authorId="0" shapeId="0" xr:uid="{00000000-0006-0000-0100-00006F010000}">
      <text>
        <r>
          <rPr>
            <sz val="10"/>
            <color rgb="FF000000"/>
            <rFont val="Arial"/>
            <scheme val="minor"/>
          </rPr>
          <t>0 damage
Charged, Single-use</t>
        </r>
      </text>
    </comment>
    <comment ref="L60" authorId="0" shapeId="0" xr:uid="{00000000-0006-0000-0100-000070010000}">
      <text>
        <r>
          <rPr>
            <sz val="10"/>
            <color rgb="FF000000"/>
            <rFont val="Arial"/>
            <scheme val="minor"/>
          </rPr>
          <t>+1 mana</t>
        </r>
      </text>
    </comment>
    <comment ref="M60" authorId="0" shapeId="0" xr:uid="{00000000-0006-0000-0100-000071010000}">
      <text>
        <r>
          <rPr>
            <sz val="10"/>
            <color rgb="FF000000"/>
            <rFont val="Arial"/>
            <scheme val="minor"/>
          </rPr>
          <t>blank</t>
        </r>
      </text>
    </comment>
    <comment ref="N60" authorId="0" shapeId="0" xr:uid="{00000000-0006-0000-0100-000072010000}">
      <text>
        <r>
          <rPr>
            <sz val="10"/>
            <color rgb="FF000000"/>
            <rFont val="Arial"/>
            <scheme val="minor"/>
          </rPr>
          <t>Zap
Cost: 3 mana
Kill an enemy with exactly 4 hp
Ranged</t>
        </r>
      </text>
    </comment>
    <comment ref="H61" authorId="0" shapeId="0" xr:uid="{00000000-0006-0000-0100-000073010000}">
      <text>
        <r>
          <rPr>
            <sz val="10"/>
            <color rgb="FF000000"/>
            <rFont val="Arial"/>
            <scheme val="minor"/>
          </rPr>
          <t>1 damage
Weaken, Single-use</t>
        </r>
      </text>
    </comment>
    <comment ref="I61" authorId="0" shapeId="0" xr:uid="{00000000-0006-0000-0100-000074010000}">
      <text>
        <r>
          <rPr>
            <sz val="10"/>
            <color rgb="FF000000"/>
            <rFont val="Arial"/>
            <scheme val="minor"/>
          </rPr>
          <t>+2 mana</t>
        </r>
      </text>
    </comment>
    <comment ref="J61" authorId="0" shapeId="0" xr:uid="{00000000-0006-0000-0100-000075010000}">
      <text>
        <r>
          <rPr>
            <sz val="10"/>
            <color rgb="FF000000"/>
            <rFont val="Arial"/>
            <scheme val="minor"/>
          </rPr>
          <t>Shield 1
Mana-gain</t>
        </r>
      </text>
    </comment>
    <comment ref="K61" authorId="0" shapeId="0" xr:uid="{00000000-0006-0000-0100-000076010000}">
      <text>
        <r>
          <rPr>
            <sz val="10"/>
            <color rgb="FF000000"/>
            <rFont val="Arial"/>
            <scheme val="minor"/>
          </rPr>
          <t>Shield 1
Mana-gain</t>
        </r>
      </text>
    </comment>
    <comment ref="L61" authorId="0" shapeId="0" xr:uid="{00000000-0006-0000-0100-000077010000}">
      <text>
        <r>
          <rPr>
            <sz val="10"/>
            <color rgb="FF000000"/>
            <rFont val="Arial"/>
            <scheme val="minor"/>
          </rPr>
          <t>+1 mana</t>
        </r>
      </text>
    </comment>
    <comment ref="M61" authorId="0" shapeId="0" xr:uid="{00000000-0006-0000-0100-000078010000}">
      <text>
        <r>
          <rPr>
            <sz val="10"/>
            <color rgb="FF000000"/>
            <rFont val="Arial"/>
            <scheme val="minor"/>
          </rPr>
          <t>+1 mana</t>
        </r>
      </text>
    </comment>
    <comment ref="N61" authorId="0" shapeId="0" xr:uid="{00000000-0006-0000-0100-000079010000}">
      <text>
        <r>
          <rPr>
            <sz val="10"/>
            <color rgb="FF000000"/>
            <rFont val="Arial"/>
            <scheme val="minor"/>
          </rPr>
          <t>Chill
Cost: 2 mana
2 damage
Weaken, Single-cast</t>
        </r>
      </text>
    </comment>
    <comment ref="H62" authorId="0" shapeId="0" xr:uid="{00000000-0006-0000-0100-00007A010000}">
      <text>
        <r>
          <rPr>
            <sz val="10"/>
            <color rgb="FF000000"/>
            <rFont val="Arial"/>
            <scheme val="minor"/>
          </rPr>
          <t>+1 mana
Growth</t>
        </r>
      </text>
    </comment>
    <comment ref="I62" authorId="0" shapeId="0" xr:uid="{00000000-0006-0000-0100-00007B010000}">
      <text>
        <r>
          <rPr>
            <sz val="10"/>
            <color rgb="FF000000"/>
            <rFont val="Arial"/>
            <scheme val="minor"/>
          </rPr>
          <t>1 damage
Poison, Single-use</t>
        </r>
      </text>
    </comment>
    <comment ref="J62" authorId="0" shapeId="0" xr:uid="{00000000-0006-0000-0100-00007C010000}">
      <text>
        <r>
          <rPr>
            <sz val="10"/>
            <color rgb="FF000000"/>
            <rFont val="Arial"/>
            <scheme val="minor"/>
          </rPr>
          <t>+3 mana
Single-use</t>
        </r>
      </text>
    </comment>
    <comment ref="K62" authorId="0" shapeId="0" xr:uid="{00000000-0006-0000-0100-00007D010000}">
      <text>
        <r>
          <rPr>
            <sz val="10"/>
            <color rgb="FF000000"/>
            <rFont val="Arial"/>
            <scheme val="minor"/>
          </rPr>
          <t>+3 mana
Single-use</t>
        </r>
      </text>
    </comment>
    <comment ref="L62" authorId="0" shapeId="0" xr:uid="{00000000-0006-0000-0100-00007E010000}">
      <text>
        <r>
          <rPr>
            <sz val="10"/>
            <color rgb="FF000000"/>
            <rFont val="Arial"/>
            <scheme val="minor"/>
          </rPr>
          <t>blank</t>
        </r>
      </text>
    </comment>
    <comment ref="M62" authorId="0" shapeId="0" xr:uid="{00000000-0006-0000-0100-00007F010000}">
      <text>
        <r>
          <rPr>
            <sz val="10"/>
            <color rgb="FF000000"/>
            <rFont val="Arial"/>
            <scheme val="minor"/>
          </rPr>
          <t>blank</t>
        </r>
      </text>
    </comment>
    <comment ref="N62" authorId="0" shapeId="0" xr:uid="{00000000-0006-0000-0100-000080010000}">
      <text>
        <r>
          <rPr>
            <sz val="10"/>
            <color rgb="FF000000"/>
            <rFont val="Arial"/>
            <scheme val="minor"/>
          </rPr>
          <t>Foretell
Cost: 3 mana
+4 mana
Future</t>
        </r>
      </text>
    </comment>
    <comment ref="H63" authorId="0" shapeId="0" xr:uid="{00000000-0006-0000-0100-000081010000}">
      <text>
        <r>
          <rPr>
            <sz val="10"/>
            <color rgb="FF000000"/>
            <rFont val="Arial"/>
            <scheme val="minor"/>
          </rPr>
          <t>+3 mana</t>
        </r>
      </text>
    </comment>
    <comment ref="I63" authorId="0" shapeId="0" xr:uid="{00000000-0006-0000-0100-000082010000}">
      <text>
        <r>
          <rPr>
            <sz val="10"/>
            <color rgb="FF000000"/>
            <rFont val="Arial"/>
            <scheme val="minor"/>
          </rPr>
          <t>+2 mana</t>
        </r>
      </text>
    </comment>
    <comment ref="J63" authorId="0" shapeId="0" xr:uid="{00000000-0006-0000-0100-000083010000}">
      <text>
        <r>
          <rPr>
            <sz val="10"/>
            <color rgb="FF000000"/>
            <rFont val="Arial"/>
            <scheme val="minor"/>
          </rPr>
          <t>blank</t>
        </r>
      </text>
    </comment>
    <comment ref="K63" authorId="0" shapeId="0" xr:uid="{00000000-0006-0000-0100-000084010000}">
      <text>
        <r>
          <rPr>
            <sz val="10"/>
            <color rgb="FF000000"/>
            <rFont val="Arial"/>
            <scheme val="minor"/>
          </rPr>
          <t>blank</t>
        </r>
      </text>
    </comment>
    <comment ref="L63" authorId="0" shapeId="0" xr:uid="{00000000-0006-0000-0100-000085010000}">
      <text>
        <r>
          <rPr>
            <sz val="10"/>
            <color rgb="FF000000"/>
            <rFont val="Arial"/>
            <scheme val="minor"/>
          </rPr>
          <t>+1 mana</t>
        </r>
      </text>
    </comment>
    <comment ref="M63" authorId="0" shapeId="0" xr:uid="{00000000-0006-0000-0100-000086010000}">
      <text>
        <r>
          <rPr>
            <sz val="10"/>
            <color rgb="FF000000"/>
            <rFont val="Arial"/>
            <scheme val="minor"/>
          </rPr>
          <t>blank</t>
        </r>
      </text>
    </comment>
    <comment ref="N63" authorId="0" shapeId="0" xr:uid="{00000000-0006-0000-0100-000087010000}">
      <text>
        <r>
          <rPr>
            <sz val="10"/>
            <color rgb="FF000000"/>
            <rFont val="Arial"/>
            <scheme val="minor"/>
          </rPr>
          <t>Drop
Cost: 3 mana
4 damage to the top-most enemy</t>
        </r>
      </text>
    </comment>
    <comment ref="H64" authorId="0" shapeId="0" xr:uid="{00000000-0006-0000-0100-000088010000}">
      <text>
        <r>
          <rPr>
            <sz val="10"/>
            <color rgb="FF000000"/>
            <rFont val="Arial"/>
            <scheme val="minor"/>
          </rPr>
          <t>1 damage
Poison, Plague</t>
        </r>
      </text>
    </comment>
    <comment ref="I64" authorId="0" shapeId="0" xr:uid="{00000000-0006-0000-0100-000089010000}">
      <text>
        <r>
          <rPr>
            <sz val="10"/>
            <color rgb="FF000000"/>
            <rFont val="Arial"/>
            <scheme val="minor"/>
          </rPr>
          <t>2 damage
Poison</t>
        </r>
      </text>
    </comment>
    <comment ref="J64" authorId="0" shapeId="0" xr:uid="{00000000-0006-0000-0100-00008A010000}">
      <text>
        <r>
          <rPr>
            <sz val="10"/>
            <color rgb="FF000000"/>
            <rFont val="Arial"/>
            <scheme val="minor"/>
          </rPr>
          <t>2 damage
Poison, Single-use</t>
        </r>
      </text>
    </comment>
    <comment ref="K64" authorId="0" shapeId="0" xr:uid="{00000000-0006-0000-0100-00008B010000}">
      <text>
        <r>
          <rPr>
            <sz val="10"/>
            <color rgb="FF000000"/>
            <rFont val="Arial"/>
            <scheme val="minor"/>
          </rPr>
          <t>2 damage
Poison, Single-use</t>
        </r>
      </text>
    </comment>
    <comment ref="L64" authorId="0" shapeId="0" xr:uid="{00000000-0006-0000-0100-00008C010000}">
      <text>
        <r>
          <rPr>
            <sz val="10"/>
            <color rgb="FF000000"/>
            <rFont val="Arial"/>
            <scheme val="minor"/>
          </rPr>
          <t>Heal 3
Cleanse</t>
        </r>
      </text>
    </comment>
    <comment ref="M64" authorId="0" shapeId="0" xr:uid="{00000000-0006-0000-0100-00008D010000}">
      <text>
        <r>
          <rPr>
            <sz val="10"/>
            <color rgb="FF000000"/>
            <rFont val="Arial"/>
            <scheme val="minor"/>
          </rPr>
          <t>blank</t>
        </r>
      </text>
    </comment>
    <comment ref="H65" authorId="0" shapeId="0" xr:uid="{00000000-0006-0000-0100-00008E010000}">
      <text>
        <r>
          <rPr>
            <sz val="10"/>
            <color rgb="FF000000"/>
            <rFont val="Arial"/>
            <scheme val="minor"/>
          </rPr>
          <t>3 damage
Poison, Single-use</t>
        </r>
      </text>
    </comment>
    <comment ref="I65" authorId="0" shapeId="0" xr:uid="{00000000-0006-0000-0100-00008F010000}">
      <text>
        <r>
          <rPr>
            <sz val="10"/>
            <color rgb="FF000000"/>
            <rFont val="Arial"/>
            <scheme val="minor"/>
          </rPr>
          <t>3 damage
Cruel</t>
        </r>
      </text>
    </comment>
    <comment ref="J65" authorId="0" shapeId="0" xr:uid="{00000000-0006-0000-0100-000090010000}">
      <text>
        <r>
          <rPr>
            <sz val="10"/>
            <color rgb="FF000000"/>
            <rFont val="Arial"/>
            <scheme val="minor"/>
          </rPr>
          <t>2 damage
Ranged, Engage</t>
        </r>
      </text>
    </comment>
    <comment ref="K65" authorId="0" shapeId="0" xr:uid="{00000000-0006-0000-0100-000091010000}">
      <text>
        <r>
          <rPr>
            <sz val="10"/>
            <color rgb="FF000000"/>
            <rFont val="Arial"/>
            <scheme val="minor"/>
          </rPr>
          <t>2 damage
Ranged, Engage</t>
        </r>
      </text>
    </comment>
    <comment ref="L65" authorId="0" shapeId="0" xr:uid="{00000000-0006-0000-0100-000092010000}">
      <text>
        <r>
          <rPr>
            <sz val="10"/>
            <color rgb="FF000000"/>
            <rFont val="Arial"/>
            <scheme val="minor"/>
          </rPr>
          <t>Dodge all enemy attacks/effects</t>
        </r>
      </text>
    </comment>
    <comment ref="M65" authorId="0" shapeId="0" xr:uid="{00000000-0006-0000-0100-000093010000}">
      <text>
        <r>
          <rPr>
            <sz val="10"/>
            <color rgb="FF000000"/>
            <rFont val="Arial"/>
            <scheme val="minor"/>
          </rPr>
          <t>blank</t>
        </r>
      </text>
    </comment>
    <comment ref="H66" authorId="0" shapeId="0" xr:uid="{00000000-0006-0000-0100-000094010000}">
      <text>
        <r>
          <rPr>
            <sz val="10"/>
            <color rgb="FF000000"/>
            <rFont val="Arial"/>
            <scheme val="minor"/>
          </rPr>
          <t>1 damage to all enemies
Rampage, Pain</t>
        </r>
      </text>
    </comment>
    <comment ref="I66" authorId="0" shapeId="0" xr:uid="{00000000-0006-0000-0100-000095010000}">
      <text>
        <r>
          <rPr>
            <sz val="10"/>
            <color rgb="FF000000"/>
            <rFont val="Arial"/>
            <scheme val="minor"/>
          </rPr>
          <t>Gain 1 reroll
Cantrip</t>
        </r>
      </text>
    </comment>
    <comment ref="J66" authorId="0" shapeId="0" xr:uid="{00000000-0006-0000-0100-000096010000}">
      <text>
        <r>
          <rPr>
            <sz val="10"/>
            <color rgb="FF000000"/>
            <rFont val="Arial"/>
            <scheme val="minor"/>
          </rPr>
          <t>1 damage
Cantrip</t>
        </r>
      </text>
    </comment>
    <comment ref="K66" authorId="0" shapeId="0" xr:uid="{00000000-0006-0000-0100-000097010000}">
      <text>
        <r>
          <rPr>
            <sz val="10"/>
            <color rgb="FF000000"/>
            <rFont val="Arial"/>
            <scheme val="minor"/>
          </rPr>
          <t>1 damage
Cantrip</t>
        </r>
      </text>
    </comment>
    <comment ref="L66" authorId="0" shapeId="0" xr:uid="{00000000-0006-0000-0100-000098010000}">
      <text>
        <r>
          <rPr>
            <sz val="10"/>
            <color rgb="FF000000"/>
            <rFont val="Arial"/>
            <scheme val="minor"/>
          </rPr>
          <t>3 damage</t>
        </r>
      </text>
    </comment>
    <comment ref="M66" authorId="0" shapeId="0" xr:uid="{00000000-0006-0000-0100-000099010000}">
      <text>
        <r>
          <rPr>
            <sz val="10"/>
            <color rgb="FF000000"/>
            <rFont val="Arial"/>
            <scheme val="minor"/>
          </rPr>
          <t>Dodge all enemy attacks/effects</t>
        </r>
      </text>
    </comment>
    <comment ref="H67" authorId="0" shapeId="0" xr:uid="{00000000-0006-0000-0100-00009A010000}">
      <text>
        <r>
          <rPr>
            <sz val="10"/>
            <color rgb="FF000000"/>
            <rFont val="Arial"/>
            <scheme val="minor"/>
          </rPr>
          <t>7 damage
Sticky, Mandatory, Death</t>
        </r>
      </text>
    </comment>
    <comment ref="I67" authorId="0" shapeId="0" xr:uid="{00000000-0006-0000-0100-00009B010000}">
      <text>
        <r>
          <rPr>
            <sz val="10"/>
            <color rgb="FF000000"/>
            <rFont val="Arial"/>
            <scheme val="minor"/>
          </rPr>
          <t>5 damage</t>
        </r>
      </text>
    </comment>
    <comment ref="J67" authorId="0" shapeId="0" xr:uid="{00000000-0006-0000-0100-00009C010000}">
      <text>
        <r>
          <rPr>
            <sz val="10"/>
            <color rgb="FF000000"/>
            <rFont val="Arial"/>
            <scheme val="minor"/>
          </rPr>
          <t>2 damage
Cantrip</t>
        </r>
      </text>
    </comment>
    <comment ref="K67" authorId="0" shapeId="0" xr:uid="{00000000-0006-0000-0100-00009D010000}">
      <text>
        <r>
          <rPr>
            <sz val="10"/>
            <color rgb="FF000000"/>
            <rFont val="Arial"/>
            <scheme val="minor"/>
          </rPr>
          <t>2 damage
Cantrip</t>
        </r>
      </text>
    </comment>
    <comment ref="L67" authorId="0" shapeId="0" xr:uid="{00000000-0006-0000-0100-00009E010000}">
      <text>
        <r>
          <rPr>
            <sz val="10"/>
            <color rgb="FF000000"/>
            <rFont val="Arial"/>
            <scheme val="minor"/>
          </rPr>
          <t>2 damage
Cleave</t>
        </r>
      </text>
    </comment>
    <comment ref="M67" authorId="0" shapeId="0" xr:uid="{00000000-0006-0000-0100-00009F010000}">
      <text>
        <r>
          <rPr>
            <sz val="10"/>
            <color rgb="FF000000"/>
            <rFont val="Arial"/>
            <scheme val="minor"/>
          </rPr>
          <t>2 damage
Cleave</t>
        </r>
      </text>
    </comment>
    <comment ref="H68" authorId="0" shapeId="0" xr:uid="{00000000-0006-0000-0100-0000A0010000}">
      <text>
        <r>
          <rPr>
            <sz val="10"/>
            <color rgb="FF000000"/>
            <rFont val="Arial"/>
            <scheme val="minor"/>
          </rPr>
          <t>6 damage</t>
        </r>
      </text>
    </comment>
    <comment ref="I68" authorId="0" shapeId="0" xr:uid="{00000000-0006-0000-0100-0000A1010000}">
      <text>
        <r>
          <rPr>
            <sz val="10"/>
            <color rgb="FF000000"/>
            <rFont val="Arial"/>
            <scheme val="minor"/>
          </rPr>
          <t>5 damage</t>
        </r>
      </text>
    </comment>
    <comment ref="J68" authorId="0" shapeId="0" xr:uid="{00000000-0006-0000-0100-0000A2010000}">
      <text>
        <r>
          <rPr>
            <sz val="10"/>
            <color rgb="FF000000"/>
            <rFont val="Arial"/>
            <scheme val="minor"/>
          </rPr>
          <t>4 damage</t>
        </r>
      </text>
    </comment>
    <comment ref="K68" authorId="0" shapeId="0" xr:uid="{00000000-0006-0000-0100-0000A3010000}">
      <text>
        <r>
          <rPr>
            <sz val="10"/>
            <color rgb="FF000000"/>
            <rFont val="Arial"/>
            <scheme val="minor"/>
          </rPr>
          <t>3 damage</t>
        </r>
      </text>
    </comment>
    <comment ref="L68" authorId="0" shapeId="0" xr:uid="{00000000-0006-0000-0100-0000A4010000}">
      <text>
        <r>
          <rPr>
            <sz val="10"/>
            <color rgb="FF000000"/>
            <rFont val="Arial"/>
            <scheme val="minor"/>
          </rPr>
          <t>1 damage</t>
        </r>
      </text>
    </comment>
    <comment ref="M68" authorId="0" shapeId="0" xr:uid="{00000000-0006-0000-0100-0000A5010000}">
      <text>
        <r>
          <rPr>
            <sz val="10"/>
            <color rgb="FF000000"/>
            <rFont val="Arial"/>
            <scheme val="minor"/>
          </rPr>
          <t>2 damage</t>
        </r>
      </text>
    </comment>
    <comment ref="H69" authorId="0" shapeId="0" xr:uid="{00000000-0006-0000-0100-0000A6010000}">
      <text>
        <r>
          <rPr>
            <sz val="10"/>
            <color rgb="FF000000"/>
            <rFont val="Arial"/>
            <scheme val="minor"/>
          </rPr>
          <t>3 damage
Pristine</t>
        </r>
      </text>
    </comment>
    <comment ref="I69" authorId="0" shapeId="0" xr:uid="{00000000-0006-0000-0100-0000A7010000}">
      <text>
        <r>
          <rPr>
            <sz val="10"/>
            <color rgb="FF000000"/>
            <rFont val="Arial"/>
            <scheme val="minor"/>
          </rPr>
          <t>1 damage to all enemies</t>
        </r>
      </text>
    </comment>
    <comment ref="J69" authorId="0" shapeId="0" xr:uid="{00000000-0006-0000-0100-0000A8010000}">
      <text>
        <r>
          <rPr>
            <sz val="10"/>
            <color rgb="FF000000"/>
            <rFont val="Arial"/>
            <scheme val="minor"/>
          </rPr>
          <t>2 damage
Double-use</t>
        </r>
      </text>
    </comment>
    <comment ref="K69" authorId="0" shapeId="0" xr:uid="{00000000-0006-0000-0100-0000A9010000}">
      <text>
        <r>
          <rPr>
            <sz val="10"/>
            <color rgb="FF000000"/>
            <rFont val="Arial"/>
            <scheme val="minor"/>
          </rPr>
          <t>2 damage
Double-use</t>
        </r>
      </text>
    </comment>
    <comment ref="L69" authorId="0" shapeId="0" xr:uid="{00000000-0006-0000-0100-0000AA010000}">
      <text>
        <r>
          <rPr>
            <sz val="10"/>
            <color rgb="FF000000"/>
            <rFont val="Arial"/>
            <scheme val="minor"/>
          </rPr>
          <t>1 damage to all enemies</t>
        </r>
      </text>
    </comment>
    <comment ref="M69" authorId="0" shapeId="0" xr:uid="{00000000-0006-0000-0100-0000AB010000}">
      <text>
        <r>
          <rPr>
            <sz val="10"/>
            <color rgb="FF000000"/>
            <rFont val="Arial"/>
            <scheme val="minor"/>
          </rPr>
          <t>Dodge all enemy attacks/effects</t>
        </r>
      </text>
    </comment>
    <comment ref="H70" authorId="0" shapeId="0" xr:uid="{00000000-0006-0000-0100-0000AC010000}">
      <text>
        <r>
          <rPr>
            <sz val="10"/>
            <color rgb="FF000000"/>
            <rFont val="Arial"/>
            <scheme val="minor"/>
          </rPr>
          <t>+3 mana</t>
        </r>
      </text>
    </comment>
    <comment ref="I70" authorId="0" shapeId="0" xr:uid="{00000000-0006-0000-0100-0000AD010000}">
      <text>
        <r>
          <rPr>
            <sz val="10"/>
            <color rgb="FF000000"/>
            <rFont val="Arial"/>
            <scheme val="minor"/>
          </rPr>
          <t>4 damage</t>
        </r>
      </text>
    </comment>
    <comment ref="J70" authorId="0" shapeId="0" xr:uid="{00000000-0006-0000-0100-0000AE010000}">
      <text>
        <r>
          <rPr>
            <sz val="10"/>
            <color rgb="FF000000"/>
            <rFont val="Arial"/>
            <scheme val="minor"/>
          </rPr>
          <t>3 damage</t>
        </r>
      </text>
    </comment>
    <comment ref="K70" authorId="0" shapeId="0" xr:uid="{00000000-0006-0000-0100-0000AF010000}">
      <text>
        <r>
          <rPr>
            <sz val="10"/>
            <color rgb="FF000000"/>
            <rFont val="Arial"/>
            <scheme val="minor"/>
          </rPr>
          <t>3 damage</t>
        </r>
      </text>
    </comment>
    <comment ref="L70" authorId="0" shapeId="0" xr:uid="{00000000-0006-0000-0100-0000B0010000}">
      <text>
        <r>
          <rPr>
            <sz val="10"/>
            <color rgb="FF000000"/>
            <rFont val="Arial"/>
            <scheme val="minor"/>
          </rPr>
          <t>Shield 5</t>
        </r>
      </text>
    </comment>
    <comment ref="M70" authorId="0" shapeId="0" xr:uid="{00000000-0006-0000-0100-0000B1010000}">
      <text>
        <r>
          <rPr>
            <sz val="10"/>
            <color rgb="FF000000"/>
            <rFont val="Arial"/>
            <scheme val="minor"/>
          </rPr>
          <t>Heal 5</t>
        </r>
      </text>
    </comment>
    <comment ref="H71" authorId="0" shapeId="0" xr:uid="{00000000-0006-0000-0100-0000B2010000}">
      <text>
        <r>
          <rPr>
            <sz val="10"/>
            <color rgb="FF000000"/>
            <rFont val="Arial"/>
            <scheme val="minor"/>
          </rPr>
          <t>Kill an enemy with 5 or less hp
Ranged</t>
        </r>
      </text>
    </comment>
    <comment ref="I71" authorId="0" shapeId="0" xr:uid="{00000000-0006-0000-0100-0000B3010000}">
      <text>
        <r>
          <rPr>
            <sz val="10"/>
            <color rgb="FF000000"/>
            <rFont val="Arial"/>
            <scheme val="minor"/>
          </rPr>
          <t>3 damage
Ranged</t>
        </r>
      </text>
    </comment>
    <comment ref="J71" authorId="0" shapeId="0" xr:uid="{00000000-0006-0000-0100-0000B4010000}">
      <text>
        <r>
          <rPr>
            <sz val="10"/>
            <color rgb="FF000000"/>
            <rFont val="Arial"/>
            <scheme val="minor"/>
          </rPr>
          <t>3 damage
Ranged</t>
        </r>
      </text>
    </comment>
    <comment ref="K71" authorId="0" shapeId="0" xr:uid="{00000000-0006-0000-0100-0000B5010000}">
      <text>
        <r>
          <rPr>
            <sz val="10"/>
            <color rgb="FF000000"/>
            <rFont val="Arial"/>
            <scheme val="minor"/>
          </rPr>
          <t>3 damage
Ranged</t>
        </r>
      </text>
    </comment>
    <comment ref="L71" authorId="0" shapeId="0" xr:uid="{00000000-0006-0000-0100-0000B6010000}">
      <text>
        <r>
          <rPr>
            <sz val="10"/>
            <color rgb="FF000000"/>
            <rFont val="Arial"/>
            <scheme val="minor"/>
          </rPr>
          <t>2 damage
Copycat</t>
        </r>
      </text>
    </comment>
    <comment ref="M71" authorId="0" shapeId="0" xr:uid="{00000000-0006-0000-0100-0000B7010000}">
      <text>
        <r>
          <rPr>
            <sz val="10"/>
            <color rgb="FF000000"/>
            <rFont val="Arial"/>
            <scheme val="minor"/>
          </rPr>
          <t>blank</t>
        </r>
      </text>
    </comment>
    <comment ref="H72" authorId="0" shapeId="0" xr:uid="{00000000-0006-0000-0100-0000B8010000}">
      <text>
        <r>
          <rPr>
            <sz val="10"/>
            <color rgb="FF000000"/>
            <rFont val="Arial"/>
            <scheme val="minor"/>
          </rPr>
          <t>10 damage
Death</t>
        </r>
      </text>
    </comment>
    <comment ref="I72" authorId="0" shapeId="0" xr:uid="{00000000-0006-0000-0100-0000B9010000}">
      <text>
        <r>
          <rPr>
            <sz val="10"/>
            <color rgb="FF000000"/>
            <rFont val="Arial"/>
            <scheme val="minor"/>
          </rPr>
          <t>8 damage
Pain</t>
        </r>
      </text>
    </comment>
    <comment ref="J72" authorId="0" shapeId="0" xr:uid="{00000000-0006-0000-0100-0000BA010000}">
      <text>
        <r>
          <rPr>
            <sz val="10"/>
            <color rgb="FF000000"/>
            <rFont val="Arial"/>
            <scheme val="minor"/>
          </rPr>
          <t>2 damage
Bloodlust</t>
        </r>
      </text>
    </comment>
    <comment ref="K72" authorId="0" shapeId="0" xr:uid="{00000000-0006-0000-0100-0000BB010000}">
      <text>
        <r>
          <rPr>
            <sz val="10"/>
            <color rgb="FF000000"/>
            <rFont val="Arial"/>
            <scheme val="minor"/>
          </rPr>
          <t>2 damage
Bloodlust</t>
        </r>
      </text>
    </comment>
    <comment ref="L72" authorId="0" shapeId="0" xr:uid="{00000000-0006-0000-0100-0000BC010000}">
      <text>
        <r>
          <rPr>
            <sz val="10"/>
            <color rgb="FF000000"/>
            <rFont val="Arial"/>
            <scheme val="minor"/>
          </rPr>
          <t>6 damage
Pain</t>
        </r>
      </text>
    </comment>
    <comment ref="M72" authorId="0" shapeId="0" xr:uid="{00000000-0006-0000-0100-0000BD010000}">
      <text>
        <r>
          <rPr>
            <sz val="10"/>
            <color rgb="FF000000"/>
            <rFont val="Arial"/>
            <scheme val="minor"/>
          </rPr>
          <t>4 damage
Pain</t>
        </r>
      </text>
    </comment>
    <comment ref="H73" authorId="0" shapeId="0" xr:uid="{00000000-0006-0000-0100-0000BE010000}">
      <text>
        <r>
          <rPr>
            <sz val="10"/>
            <color rgb="FF000000"/>
            <rFont val="Arial"/>
            <scheme val="minor"/>
          </rPr>
          <t>3 damage
Steel</t>
        </r>
      </text>
    </comment>
    <comment ref="I73" authorId="0" shapeId="0" xr:uid="{00000000-0006-0000-0100-0000BF010000}">
      <text>
        <r>
          <rPr>
            <sz val="10"/>
            <color rgb="FF000000"/>
            <rFont val="Arial"/>
            <scheme val="minor"/>
          </rPr>
          <t>3 damage
Self-shield</t>
        </r>
      </text>
    </comment>
    <comment ref="J73" authorId="0" shapeId="0" xr:uid="{00000000-0006-0000-0100-0000C0010000}">
      <text>
        <r>
          <rPr>
            <sz val="10"/>
            <color rgb="FF000000"/>
            <rFont val="Arial"/>
            <scheme val="minor"/>
          </rPr>
          <t>2 damage
Rampage</t>
        </r>
      </text>
    </comment>
    <comment ref="K73" authorId="0" shapeId="0" xr:uid="{00000000-0006-0000-0100-0000C1010000}">
      <text>
        <r>
          <rPr>
            <sz val="10"/>
            <color rgb="FF000000"/>
            <rFont val="Arial"/>
            <scheme val="minor"/>
          </rPr>
          <t>2 damage
Rampage</t>
        </r>
      </text>
    </comment>
    <comment ref="L73" authorId="0" shapeId="0" xr:uid="{00000000-0006-0000-0100-0000C2010000}">
      <text>
        <r>
          <rPr>
            <sz val="10"/>
            <color rgb="FF000000"/>
            <rFont val="Arial"/>
            <scheme val="minor"/>
          </rPr>
          <t>3 damage
Self-shield</t>
        </r>
      </text>
    </comment>
    <comment ref="M73" authorId="0" shapeId="0" xr:uid="{00000000-0006-0000-0100-0000C3010000}">
      <text>
        <r>
          <rPr>
            <sz val="10"/>
            <color rgb="FF000000"/>
            <rFont val="Arial"/>
            <scheme val="minor"/>
          </rPr>
          <t>blank</t>
        </r>
      </text>
    </comment>
    <comment ref="H74" authorId="0" shapeId="0" xr:uid="{00000000-0006-0000-0100-0000C4010000}">
      <text>
        <r>
          <rPr>
            <sz val="10"/>
            <color rgb="FF000000"/>
            <rFont val="Arial"/>
            <scheme val="minor"/>
          </rPr>
          <t>blank</t>
        </r>
      </text>
    </comment>
    <comment ref="I74" authorId="0" shapeId="0" xr:uid="{00000000-0006-0000-0100-0000C5010000}">
      <text>
        <r>
          <rPr>
            <sz val="10"/>
            <color rgb="FF000000"/>
            <rFont val="Arial"/>
            <scheme val="minor"/>
          </rPr>
          <t>blank</t>
        </r>
      </text>
    </comment>
    <comment ref="J74" authorId="0" shapeId="0" xr:uid="{00000000-0006-0000-0100-0000C6010000}">
      <text>
        <r>
          <rPr>
            <sz val="10"/>
            <color rgb="FF000000"/>
            <rFont val="Arial"/>
            <scheme val="minor"/>
          </rPr>
          <t>4 damage</t>
        </r>
      </text>
    </comment>
    <comment ref="K74" authorId="0" shapeId="0" xr:uid="{00000000-0006-0000-0100-0000C7010000}">
      <text>
        <r>
          <rPr>
            <sz val="10"/>
            <color rgb="FF000000"/>
            <rFont val="Arial"/>
            <scheme val="minor"/>
          </rPr>
          <t>blank</t>
        </r>
      </text>
    </comment>
    <comment ref="L74" authorId="0" shapeId="0" xr:uid="{00000000-0006-0000-0100-0000C8010000}">
      <text>
        <r>
          <rPr>
            <sz val="10"/>
            <color rgb="FF000000"/>
            <rFont val="Arial"/>
            <scheme val="minor"/>
          </rPr>
          <t>4 damage</t>
        </r>
      </text>
    </comment>
    <comment ref="M74" authorId="0" shapeId="0" xr:uid="{00000000-0006-0000-0100-0000C9010000}">
      <text>
        <r>
          <rPr>
            <sz val="10"/>
            <color rgb="FF000000"/>
            <rFont val="Arial"/>
            <scheme val="minor"/>
          </rPr>
          <t>4 damage
Descend</t>
        </r>
      </text>
    </comment>
    <comment ref="H75" authorId="0" shapeId="0" xr:uid="{00000000-0006-0000-0100-0000CA010000}">
      <text>
        <r>
          <rPr>
            <sz val="10"/>
            <color rgb="FF000000"/>
            <rFont val="Arial"/>
            <scheme val="minor"/>
          </rPr>
          <t>Target hero can use their dice again</t>
        </r>
      </text>
    </comment>
    <comment ref="I75" authorId="0" shapeId="0" xr:uid="{00000000-0006-0000-0100-0000CB010000}">
      <text>
        <r>
          <rPr>
            <sz val="10"/>
            <color rgb="FF000000"/>
            <rFont val="Arial"/>
            <scheme val="minor"/>
          </rPr>
          <t>2 damage
Duplicate</t>
        </r>
      </text>
    </comment>
    <comment ref="J75" authorId="0" shapeId="0" xr:uid="{00000000-0006-0000-0100-0000CC010000}">
      <text>
        <r>
          <rPr>
            <sz val="10"/>
            <color rgb="FF000000"/>
            <rFont val="Arial"/>
            <scheme val="minor"/>
          </rPr>
          <t>3 damage</t>
        </r>
      </text>
    </comment>
    <comment ref="K75" authorId="0" shapeId="0" xr:uid="{00000000-0006-0000-0100-0000CD010000}">
      <text>
        <r>
          <rPr>
            <sz val="10"/>
            <color rgb="FF000000"/>
            <rFont val="Arial"/>
            <scheme val="minor"/>
          </rPr>
          <t>3 damage</t>
        </r>
      </text>
    </comment>
    <comment ref="L75" authorId="0" shapeId="0" xr:uid="{00000000-0006-0000-0100-0000CE010000}">
      <text>
        <r>
          <rPr>
            <sz val="10"/>
            <color rgb="FF000000"/>
            <rFont val="Arial"/>
            <scheme val="minor"/>
          </rPr>
          <t>Shield 2
Smith</t>
        </r>
      </text>
    </comment>
    <comment ref="M75" authorId="0" shapeId="0" xr:uid="{00000000-0006-0000-0100-0000CF010000}">
      <text>
        <r>
          <rPr>
            <sz val="10"/>
            <color rgb="FF000000"/>
            <rFont val="Arial"/>
            <scheme val="minor"/>
          </rPr>
          <t>blank</t>
        </r>
      </text>
    </comment>
    <comment ref="H76" authorId="0" shapeId="0" xr:uid="{00000000-0006-0000-0100-0000D0010000}">
      <text>
        <r>
          <rPr>
            <sz val="10"/>
            <color rgb="FF000000"/>
            <rFont val="Arial"/>
            <scheme val="minor"/>
          </rPr>
          <t>1 damage
Inflict-pain, Single-use</t>
        </r>
      </text>
    </comment>
    <comment ref="I76" authorId="0" shapeId="0" xr:uid="{00000000-0006-0000-0100-0000D1010000}">
      <text>
        <r>
          <rPr>
            <sz val="10"/>
            <color rgb="FF000000"/>
            <rFont val="Arial"/>
            <scheme val="minor"/>
          </rPr>
          <t>1 damage
Quad-use</t>
        </r>
      </text>
    </comment>
    <comment ref="J76" authorId="0" shapeId="0" xr:uid="{00000000-0006-0000-0100-0000D2010000}">
      <text>
        <r>
          <rPr>
            <sz val="10"/>
            <color rgb="FF000000"/>
            <rFont val="Arial"/>
            <scheme val="minor"/>
          </rPr>
          <t>2 damage
Era</t>
        </r>
      </text>
    </comment>
    <comment ref="K76" authorId="0" shapeId="0" xr:uid="{00000000-0006-0000-0100-0000D3010000}">
      <text>
        <r>
          <rPr>
            <sz val="10"/>
            <color rgb="FF000000"/>
            <rFont val="Arial"/>
            <scheme val="minor"/>
          </rPr>
          <t>2 damage
Era</t>
        </r>
      </text>
    </comment>
    <comment ref="L76" authorId="0" shapeId="0" xr:uid="{00000000-0006-0000-0100-0000D4010000}">
      <text>
        <r>
          <rPr>
            <sz val="10"/>
            <color rgb="FF000000"/>
            <rFont val="Arial"/>
            <scheme val="minor"/>
          </rPr>
          <t>blank</t>
        </r>
      </text>
    </comment>
    <comment ref="M76" authorId="0" shapeId="0" xr:uid="{00000000-0006-0000-0100-0000D5010000}">
      <text>
        <r>
          <rPr>
            <sz val="10"/>
            <color rgb="FF000000"/>
            <rFont val="Arial"/>
            <scheme val="minor"/>
          </rPr>
          <t>blank</t>
        </r>
      </text>
    </comment>
    <comment ref="H77" authorId="0" shapeId="0" xr:uid="{00000000-0006-0000-0100-0000D6010000}">
      <text>
        <r>
          <rPr>
            <sz val="10"/>
            <color rgb="FF000000"/>
            <rFont val="Arial"/>
            <scheme val="minor"/>
          </rPr>
          <t>7 damage
Exert</t>
        </r>
      </text>
    </comment>
    <comment ref="I77" authorId="0" shapeId="0" xr:uid="{00000000-0006-0000-0100-0000D7010000}">
      <text>
        <r>
          <rPr>
            <sz val="10"/>
            <color rgb="FF000000"/>
            <rFont val="Arial"/>
            <scheme val="minor"/>
          </rPr>
          <t>2 damage
Steel</t>
        </r>
      </text>
    </comment>
    <comment ref="J77" authorId="0" shapeId="0" xr:uid="{00000000-0006-0000-0100-0000D8010000}">
      <text>
        <r>
          <rPr>
            <sz val="10"/>
            <color rgb="FF000000"/>
            <rFont val="Arial"/>
            <scheme val="minor"/>
          </rPr>
          <t>5 damage
Heavy</t>
        </r>
      </text>
    </comment>
    <comment ref="K77" authorId="0" shapeId="0" xr:uid="{00000000-0006-0000-0100-0000D9010000}">
      <text>
        <r>
          <rPr>
            <sz val="10"/>
            <color rgb="FF000000"/>
            <rFont val="Arial"/>
            <scheme val="minor"/>
          </rPr>
          <t>5 damage
Heavy</t>
        </r>
      </text>
    </comment>
    <comment ref="L77" authorId="0" shapeId="0" xr:uid="{00000000-0006-0000-0100-0000DA010000}">
      <text>
        <r>
          <rPr>
            <sz val="10"/>
            <color rgb="FF000000"/>
            <rFont val="Arial"/>
            <scheme val="minor"/>
          </rPr>
          <t>Stun an enemy with equal or less hp than you</t>
        </r>
      </text>
    </comment>
    <comment ref="M77" authorId="0" shapeId="0" xr:uid="{00000000-0006-0000-0100-0000DB010000}">
      <text>
        <r>
          <rPr>
            <sz val="10"/>
            <color rgb="FF000000"/>
            <rFont val="Arial"/>
            <scheme val="minor"/>
          </rPr>
          <t>blank</t>
        </r>
      </text>
    </comment>
    <comment ref="H78" authorId="0" shapeId="0" xr:uid="{00000000-0006-0000-0100-0000DC010000}">
      <text>
        <r>
          <rPr>
            <sz val="10"/>
            <color rgb="FF000000"/>
            <rFont val="Arial"/>
            <scheme val="minor"/>
          </rPr>
          <t>4 damage</t>
        </r>
      </text>
    </comment>
    <comment ref="I78" authorId="0" shapeId="0" xr:uid="{00000000-0006-0000-0100-0000DD010000}">
      <text>
        <r>
          <rPr>
            <sz val="10"/>
            <color rgb="FF000000"/>
            <rFont val="Arial"/>
            <scheme val="minor"/>
          </rPr>
          <t>4 damage</t>
        </r>
      </text>
    </comment>
    <comment ref="J78" authorId="0" shapeId="0" xr:uid="{00000000-0006-0000-0100-0000DE010000}">
      <text>
        <r>
          <rPr>
            <sz val="10"/>
            <color rgb="FF000000"/>
            <rFont val="Arial"/>
            <scheme val="minor"/>
          </rPr>
          <t>3 damage</t>
        </r>
      </text>
    </comment>
    <comment ref="K78" authorId="0" shapeId="0" xr:uid="{00000000-0006-0000-0100-0000DF010000}">
      <text>
        <r>
          <rPr>
            <sz val="10"/>
            <color rgb="FF000000"/>
            <rFont val="Arial"/>
            <scheme val="minor"/>
          </rPr>
          <t>3 damage</t>
        </r>
      </text>
    </comment>
    <comment ref="L78" authorId="0" shapeId="0" xr:uid="{00000000-0006-0000-0100-0000E0010000}">
      <text>
        <r>
          <rPr>
            <sz val="10"/>
            <color rgb="FF000000"/>
            <rFont val="Arial"/>
            <scheme val="minor"/>
          </rPr>
          <t>Shield 3</t>
        </r>
      </text>
    </comment>
    <comment ref="M78" authorId="0" shapeId="0" xr:uid="{00000000-0006-0000-0100-0000E1010000}">
      <text>
        <r>
          <rPr>
            <sz val="10"/>
            <color rgb="FF000000"/>
            <rFont val="Arial"/>
            <scheme val="minor"/>
          </rPr>
          <t>Shield 3</t>
        </r>
      </text>
    </comment>
    <comment ref="H79" authorId="0" shapeId="0" xr:uid="{00000000-0006-0000-0100-0000E2010000}">
      <text>
        <r>
          <rPr>
            <sz val="10"/>
            <color rgb="FF000000"/>
            <rFont val="Arial"/>
            <scheme val="minor"/>
          </rPr>
          <t>3 damage
Pristine</t>
        </r>
      </text>
    </comment>
    <comment ref="I79" authorId="0" shapeId="0" xr:uid="{00000000-0006-0000-0100-0000E3010000}">
      <text>
        <r>
          <rPr>
            <sz val="10"/>
            <color rgb="FF000000"/>
            <rFont val="Arial"/>
            <scheme val="minor"/>
          </rPr>
          <t>1 damage
Charged</t>
        </r>
      </text>
    </comment>
    <comment ref="J79" authorId="0" shapeId="0" xr:uid="{00000000-0006-0000-0100-0000E4010000}">
      <text>
        <r>
          <rPr>
            <sz val="10"/>
            <color rgb="FF000000"/>
            <rFont val="Arial"/>
            <scheme val="minor"/>
          </rPr>
          <t>1 damage
Steel</t>
        </r>
      </text>
    </comment>
    <comment ref="K79" authorId="0" shapeId="0" xr:uid="{00000000-0006-0000-0100-0000E5010000}">
      <text>
        <r>
          <rPr>
            <sz val="10"/>
            <color rgb="FF000000"/>
            <rFont val="Arial"/>
            <scheme val="minor"/>
          </rPr>
          <t>1 damage
Bloodlust</t>
        </r>
      </text>
    </comment>
    <comment ref="L79" authorId="0" shapeId="0" xr:uid="{00000000-0006-0000-0100-0000E6010000}">
      <text>
        <r>
          <rPr>
            <sz val="10"/>
            <color rgb="FF000000"/>
            <rFont val="Arial"/>
            <scheme val="minor"/>
          </rPr>
          <t>1 damage
Era</t>
        </r>
      </text>
    </comment>
    <comment ref="M79" authorId="0" shapeId="0" xr:uid="{00000000-0006-0000-0100-0000E7010000}">
      <text>
        <r>
          <rPr>
            <sz val="10"/>
            <color rgb="FF000000"/>
            <rFont val="Arial"/>
            <scheme val="minor"/>
          </rPr>
          <t>6 damage
Death</t>
        </r>
      </text>
    </comment>
    <comment ref="H80" authorId="0" shapeId="0" xr:uid="{00000000-0006-0000-0100-0000E8010000}">
      <text>
        <r>
          <rPr>
            <sz val="10"/>
            <color rgb="FF000000"/>
            <rFont val="Arial"/>
            <scheme val="minor"/>
          </rPr>
          <t>4 damage
Deathwish</t>
        </r>
      </text>
    </comment>
    <comment ref="I80" authorId="0" shapeId="0" xr:uid="{00000000-0006-0000-0100-0000E9010000}">
      <text>
        <r>
          <rPr>
            <sz val="10"/>
            <color rgb="FF000000"/>
            <rFont val="Arial"/>
            <scheme val="minor"/>
          </rPr>
          <t>Shield 2
Rescue</t>
        </r>
      </text>
    </comment>
    <comment ref="J80" authorId="0" shapeId="0" xr:uid="{00000000-0006-0000-0100-0000EA010000}">
      <text>
        <r>
          <rPr>
            <sz val="10"/>
            <color rgb="FF000000"/>
            <rFont val="Arial"/>
            <scheme val="minor"/>
          </rPr>
          <t>Target ally: Cannot be killed this turn</t>
        </r>
      </text>
    </comment>
    <comment ref="K80" authorId="0" shapeId="0" xr:uid="{00000000-0006-0000-0100-0000EB010000}">
      <text>
        <r>
          <rPr>
            <sz val="10"/>
            <color rgb="FF000000"/>
            <rFont val="Arial"/>
            <scheme val="minor"/>
          </rPr>
          <t>Target ally: Cannot be killed this turn</t>
        </r>
      </text>
    </comment>
    <comment ref="L80" authorId="0" shapeId="0" xr:uid="{00000000-0006-0000-0100-0000EC010000}">
      <text>
        <r>
          <rPr>
            <sz val="10"/>
            <color rgb="FF000000"/>
            <rFont val="Arial"/>
            <scheme val="minor"/>
          </rPr>
          <t>Revive the 2 top-most defeated allies</t>
        </r>
      </text>
    </comment>
    <comment ref="M80" authorId="0" shapeId="0" xr:uid="{00000000-0006-0000-0100-0000ED010000}">
      <text>
        <r>
          <rPr>
            <sz val="10"/>
            <color rgb="FF000000"/>
            <rFont val="Arial"/>
            <scheme val="minor"/>
          </rPr>
          <t>blank</t>
        </r>
      </text>
    </comment>
    <comment ref="H81" authorId="0" shapeId="0" xr:uid="{00000000-0006-0000-0100-0000EE010000}">
      <text>
        <r>
          <rPr>
            <sz val="10"/>
            <color rgb="FF000000"/>
            <rFont val="Arial"/>
            <scheme val="minor"/>
          </rPr>
          <t>Shield 2
Repel</t>
        </r>
      </text>
    </comment>
    <comment ref="I81" authorId="0" shapeId="0" xr:uid="{00000000-0006-0000-0100-0000EF010000}">
      <text>
        <r>
          <rPr>
            <sz val="10"/>
            <color rgb="FF000000"/>
            <rFont val="Arial"/>
            <scheme val="minor"/>
          </rPr>
          <t>Shield 2
Repel</t>
        </r>
      </text>
    </comment>
    <comment ref="J81" authorId="0" shapeId="0" xr:uid="{00000000-0006-0000-0100-0000F0010000}">
      <text>
        <r>
          <rPr>
            <sz val="10"/>
            <color rgb="FF000000"/>
            <rFont val="Arial"/>
            <scheme val="minor"/>
          </rPr>
          <t>Shield 5
Steel</t>
        </r>
      </text>
    </comment>
    <comment ref="K81" authorId="0" shapeId="0" xr:uid="{00000000-0006-0000-0100-0000F1010000}">
      <text>
        <r>
          <rPr>
            <sz val="10"/>
            <color rgb="FF000000"/>
            <rFont val="Arial"/>
            <scheme val="minor"/>
          </rPr>
          <t>Shield 5
Steel</t>
        </r>
      </text>
    </comment>
    <comment ref="L81" authorId="0" shapeId="0" xr:uid="{00000000-0006-0000-0100-0000F2010000}">
      <text>
        <r>
          <rPr>
            <sz val="10"/>
            <color rgb="FF000000"/>
            <rFont val="Arial"/>
            <scheme val="minor"/>
          </rPr>
          <t>Add Self-heal &amp; Self-shield to target's sides this turn</t>
        </r>
      </text>
    </comment>
    <comment ref="M81" authorId="0" shapeId="0" xr:uid="{00000000-0006-0000-0100-0000F3010000}">
      <text>
        <r>
          <rPr>
            <sz val="10"/>
            <color rgb="FF000000"/>
            <rFont val="Arial"/>
            <scheme val="minor"/>
          </rPr>
          <t>blank</t>
        </r>
      </text>
    </comment>
    <comment ref="H82" authorId="0" shapeId="0" xr:uid="{00000000-0006-0000-0100-0000F4010000}">
      <text>
        <r>
          <rPr>
            <sz val="10"/>
            <color rgb="FF000000"/>
            <rFont val="Arial"/>
            <scheme val="minor"/>
          </rPr>
          <t>Shield 1</t>
        </r>
      </text>
    </comment>
    <comment ref="I82" authorId="0" shapeId="0" xr:uid="{00000000-0006-0000-0100-0000F5010000}">
      <text>
        <r>
          <rPr>
            <sz val="10"/>
            <color rgb="FF000000"/>
            <rFont val="Arial"/>
            <scheme val="minor"/>
          </rPr>
          <t>Shield 1</t>
        </r>
      </text>
    </comment>
    <comment ref="J82" authorId="0" shapeId="0" xr:uid="{00000000-0006-0000-0100-0000F6010000}">
      <text>
        <r>
          <rPr>
            <sz val="10"/>
            <color rgb="FF000000"/>
            <rFont val="Arial"/>
            <scheme val="minor"/>
          </rPr>
          <t>Shield 1</t>
        </r>
      </text>
    </comment>
    <comment ref="K82" authorId="0" shapeId="0" xr:uid="{00000000-0006-0000-0100-0000F7010000}">
      <text>
        <r>
          <rPr>
            <sz val="10"/>
            <color rgb="FF000000"/>
            <rFont val="Arial"/>
            <scheme val="minor"/>
          </rPr>
          <t>Shield 1</t>
        </r>
      </text>
    </comment>
    <comment ref="L82" authorId="0" shapeId="0" xr:uid="{00000000-0006-0000-0100-0000F8010000}">
      <text>
        <r>
          <rPr>
            <sz val="10"/>
            <color rgb="FF000000"/>
            <rFont val="Arial"/>
            <scheme val="minor"/>
          </rPr>
          <t>Shield 1</t>
        </r>
      </text>
    </comment>
    <comment ref="M82" authorId="0" shapeId="0" xr:uid="{00000000-0006-0000-0100-0000F9010000}">
      <text>
        <r>
          <rPr>
            <sz val="10"/>
            <color rgb="FF000000"/>
            <rFont val="Arial"/>
            <scheme val="minor"/>
          </rPr>
          <t>blank</t>
        </r>
      </text>
    </comment>
    <comment ref="O82" authorId="0" shapeId="0" xr:uid="{00000000-0006-0000-0100-0000FA010000}">
      <text>
        <r>
          <rPr>
            <sz val="10"/>
            <color rgb="FF000000"/>
            <rFont val="Arial"/>
            <scheme val="minor"/>
          </rPr>
          <t>Twin: There is a copy of me who benefits from my items</t>
        </r>
      </text>
    </comment>
    <comment ref="H83" authorId="0" shapeId="0" xr:uid="{00000000-0006-0000-0100-0000FB010000}">
      <text>
        <r>
          <rPr>
            <sz val="10"/>
            <color rgb="FF000000"/>
            <rFont val="Arial"/>
            <scheme val="minor"/>
          </rPr>
          <t>Shield 1</t>
        </r>
      </text>
    </comment>
    <comment ref="I83" authorId="0" shapeId="0" xr:uid="{00000000-0006-0000-0100-0000FC010000}">
      <text>
        <r>
          <rPr>
            <sz val="10"/>
            <color rgb="FF000000"/>
            <rFont val="Arial"/>
            <scheme val="minor"/>
          </rPr>
          <t>Shield 1</t>
        </r>
      </text>
    </comment>
    <comment ref="J83" authorId="0" shapeId="0" xr:uid="{00000000-0006-0000-0100-0000FD010000}">
      <text>
        <r>
          <rPr>
            <sz val="10"/>
            <color rgb="FF000000"/>
            <rFont val="Arial"/>
            <scheme val="minor"/>
          </rPr>
          <t>Shield 1</t>
        </r>
      </text>
    </comment>
    <comment ref="K83" authorId="0" shapeId="0" xr:uid="{00000000-0006-0000-0100-0000FE010000}">
      <text>
        <r>
          <rPr>
            <sz val="10"/>
            <color rgb="FF000000"/>
            <rFont val="Arial"/>
            <scheme val="minor"/>
          </rPr>
          <t>Shield 1</t>
        </r>
      </text>
    </comment>
    <comment ref="L83" authorId="0" shapeId="0" xr:uid="{00000000-0006-0000-0100-0000FF010000}">
      <text>
        <r>
          <rPr>
            <sz val="10"/>
            <color rgb="FF000000"/>
            <rFont val="Arial"/>
            <scheme val="minor"/>
          </rPr>
          <t>Shield 1</t>
        </r>
      </text>
    </comment>
    <comment ref="M83" authorId="0" shapeId="0" xr:uid="{00000000-0006-0000-0100-000000020000}">
      <text>
        <r>
          <rPr>
            <sz val="10"/>
            <color rgb="FF000000"/>
            <rFont val="Arial"/>
            <scheme val="minor"/>
          </rPr>
          <t>blank</t>
        </r>
      </text>
    </comment>
    <comment ref="H84" authorId="0" shapeId="0" xr:uid="{00000000-0006-0000-0100-000001020000}">
      <text>
        <r>
          <rPr>
            <sz val="10"/>
            <color rgb="FF000000"/>
            <rFont val="Arial"/>
            <scheme val="minor"/>
          </rPr>
          <t>Shield 4
Cleanse</t>
        </r>
      </text>
    </comment>
    <comment ref="I84" authorId="0" shapeId="0" xr:uid="{00000000-0006-0000-0100-000002020000}">
      <text>
        <r>
          <rPr>
            <sz val="10"/>
            <color rgb="FF000000"/>
            <rFont val="Arial"/>
            <scheme val="minor"/>
          </rPr>
          <t>4 damage
Heavy</t>
        </r>
      </text>
    </comment>
    <comment ref="J84" authorId="0" shapeId="0" xr:uid="{00000000-0006-0000-0100-000003020000}">
      <text>
        <r>
          <rPr>
            <sz val="10"/>
            <color rgb="FF000000"/>
            <rFont val="Arial"/>
            <scheme val="minor"/>
          </rPr>
          <t>Heal and Shield 3</t>
        </r>
      </text>
    </comment>
    <comment ref="K84" authorId="0" shapeId="0" xr:uid="{00000000-0006-0000-0100-000004020000}">
      <text>
        <r>
          <rPr>
            <sz val="10"/>
            <color rgb="FF000000"/>
            <rFont val="Arial"/>
            <scheme val="minor"/>
          </rPr>
          <t>Heal and Shield 3</t>
        </r>
      </text>
    </comment>
    <comment ref="L84" authorId="0" shapeId="0" xr:uid="{00000000-0006-0000-0100-000005020000}">
      <text>
        <r>
          <rPr>
            <sz val="10"/>
            <color rgb="FF000000"/>
            <rFont val="Arial"/>
            <scheme val="minor"/>
          </rPr>
          <t>+2 mana</t>
        </r>
      </text>
    </comment>
    <comment ref="M84" authorId="0" shapeId="0" xr:uid="{00000000-0006-0000-0100-000006020000}">
      <text>
        <r>
          <rPr>
            <sz val="10"/>
            <color rgb="FF000000"/>
            <rFont val="Arial"/>
            <scheme val="minor"/>
          </rPr>
          <t>blank</t>
        </r>
      </text>
    </comment>
    <comment ref="H85" authorId="0" shapeId="0" xr:uid="{00000000-0006-0000-0100-000007020000}">
      <text>
        <r>
          <rPr>
            <sz val="10"/>
            <color rgb="FF000000"/>
            <rFont val="Arial"/>
            <scheme val="minor"/>
          </rPr>
          <t>Target hero can use their dice again</t>
        </r>
      </text>
    </comment>
    <comment ref="I85" authorId="0" shapeId="0" xr:uid="{00000000-0006-0000-0100-000008020000}">
      <text>
        <r>
          <rPr>
            <sz val="10"/>
            <color rgb="FF000000"/>
            <rFont val="Arial"/>
            <scheme val="minor"/>
          </rPr>
          <t>Shield 2 to all allies</t>
        </r>
      </text>
    </comment>
    <comment ref="J85" authorId="0" shapeId="0" xr:uid="{00000000-0006-0000-0100-000009020000}">
      <text>
        <r>
          <rPr>
            <sz val="10"/>
            <color rgb="FF000000"/>
            <rFont val="Arial"/>
            <scheme val="minor"/>
          </rPr>
          <t>Shield 2 
Charged</t>
        </r>
      </text>
    </comment>
    <comment ref="K85" authorId="0" shapeId="0" xr:uid="{00000000-0006-0000-0100-00000A020000}">
      <text>
        <r>
          <rPr>
            <sz val="10"/>
            <color rgb="FF000000"/>
            <rFont val="Arial"/>
            <scheme val="minor"/>
          </rPr>
          <t>Shield 2 
Charged</t>
        </r>
      </text>
    </comment>
    <comment ref="L85" authorId="0" shapeId="0" xr:uid="{00000000-0006-0000-0100-00000B020000}">
      <text>
        <r>
          <rPr>
            <sz val="10"/>
            <color rgb="FF000000"/>
            <rFont val="Arial"/>
            <scheme val="minor"/>
          </rPr>
          <t>Shield 1
Cantrip</t>
        </r>
      </text>
    </comment>
    <comment ref="M85" authorId="0" shapeId="0" xr:uid="{00000000-0006-0000-0100-00000C020000}">
      <text>
        <r>
          <rPr>
            <sz val="10"/>
            <color rgb="FF000000"/>
            <rFont val="Arial"/>
            <scheme val="minor"/>
          </rPr>
          <t>Shield 1
Cantrip</t>
        </r>
      </text>
    </comment>
    <comment ref="H86" authorId="0" shapeId="0" xr:uid="{00000000-0006-0000-0100-00000D020000}">
      <text>
        <r>
          <rPr>
            <sz val="10"/>
            <color rgb="FF000000"/>
            <rFont val="Arial"/>
            <scheme val="minor"/>
          </rPr>
          <t>Shield 2
Repel</t>
        </r>
      </text>
    </comment>
    <comment ref="I86" authorId="0" shapeId="0" xr:uid="{00000000-0006-0000-0100-00000E020000}">
      <text>
        <r>
          <rPr>
            <sz val="10"/>
            <color rgb="FF000000"/>
            <rFont val="Arial"/>
            <scheme val="minor"/>
          </rPr>
          <t>2 damage
Steel</t>
        </r>
      </text>
    </comment>
    <comment ref="J86" authorId="0" shapeId="0" xr:uid="{00000000-0006-0000-0100-00000F020000}">
      <text>
        <r>
          <rPr>
            <sz val="10"/>
            <color rgb="FF000000"/>
            <rFont val="Arial"/>
            <scheme val="minor"/>
          </rPr>
          <t>Redirect all enemy attack/effects from an ally to you
Self-shield 3</t>
        </r>
      </text>
    </comment>
    <comment ref="K86" authorId="0" shapeId="0" xr:uid="{00000000-0006-0000-0100-000010020000}">
      <text>
        <r>
          <rPr>
            <sz val="10"/>
            <color rgb="FF000000"/>
            <rFont val="Arial"/>
            <scheme val="minor"/>
          </rPr>
          <t>Redirect all enemy attack/effects from an ally to you
Self-shield 3</t>
        </r>
      </text>
    </comment>
    <comment ref="L86" authorId="0" shapeId="0" xr:uid="{00000000-0006-0000-0100-000011020000}">
      <text>
        <r>
          <rPr>
            <sz val="10"/>
            <color rgb="FF000000"/>
            <rFont val="Arial"/>
            <scheme val="minor"/>
          </rPr>
          <t>Stun an enemy with equal or less hp than you</t>
        </r>
      </text>
    </comment>
    <comment ref="M86" authorId="0" shapeId="0" xr:uid="{00000000-0006-0000-0100-000012020000}">
      <text>
        <r>
          <rPr>
            <sz val="10"/>
            <color rgb="FF000000"/>
            <rFont val="Arial"/>
            <scheme val="minor"/>
          </rPr>
          <t>blank</t>
        </r>
      </text>
    </comment>
    <comment ref="H87" authorId="0" shapeId="0" xr:uid="{00000000-0006-0000-0100-000013020000}">
      <text>
        <r>
          <rPr>
            <sz val="10"/>
            <color rgb="FF000000"/>
            <rFont val="Arial"/>
            <scheme val="minor"/>
          </rPr>
          <t>Shield 3
Cleanse</t>
        </r>
      </text>
    </comment>
    <comment ref="I87" authorId="0" shapeId="0" xr:uid="{00000000-0006-0000-0100-000014020000}">
      <text>
        <r>
          <rPr>
            <sz val="10"/>
            <color rgb="FF000000"/>
            <rFont val="Arial"/>
            <scheme val="minor"/>
          </rPr>
          <t>Shield 3
Cleanse</t>
        </r>
      </text>
    </comment>
    <comment ref="J87" authorId="0" shapeId="0" xr:uid="{00000000-0006-0000-0100-000015020000}">
      <text>
        <r>
          <rPr>
            <sz val="10"/>
            <color rgb="FF000000"/>
            <rFont val="Arial"/>
            <scheme val="minor"/>
          </rPr>
          <t>Shield 2
Cleave</t>
        </r>
      </text>
    </comment>
    <comment ref="K87" authorId="0" shapeId="0" xr:uid="{00000000-0006-0000-0100-000016020000}">
      <text>
        <r>
          <rPr>
            <sz val="10"/>
            <color rgb="FF000000"/>
            <rFont val="Arial"/>
            <scheme val="minor"/>
          </rPr>
          <t>Shield 2
Cleave</t>
        </r>
      </text>
    </comment>
    <comment ref="L87" authorId="0" shapeId="0" xr:uid="{00000000-0006-0000-0100-000017020000}">
      <text>
        <r>
          <rPr>
            <sz val="10"/>
            <color rgb="FF000000"/>
            <rFont val="Arial"/>
            <scheme val="minor"/>
          </rPr>
          <t>Shield 2
Double-use</t>
        </r>
      </text>
    </comment>
    <comment ref="M87" authorId="0" shapeId="0" xr:uid="{00000000-0006-0000-0100-000018020000}">
      <text>
        <r>
          <rPr>
            <sz val="10"/>
            <color rgb="FF000000"/>
            <rFont val="Arial"/>
            <scheme val="minor"/>
          </rPr>
          <t>5 damage
Exert</t>
        </r>
      </text>
    </comment>
    <comment ref="H88" authorId="0" shapeId="0" xr:uid="{00000000-0006-0000-0100-000019020000}">
      <text>
        <r>
          <rPr>
            <sz val="10"/>
            <color rgb="FF000000"/>
            <rFont val="Arial"/>
            <scheme val="minor"/>
          </rPr>
          <t>Target hero can use their dice again</t>
        </r>
      </text>
    </comment>
    <comment ref="I88" authorId="0" shapeId="0" xr:uid="{00000000-0006-0000-0100-00001A020000}">
      <text>
        <r>
          <rPr>
            <sz val="10"/>
            <color rgb="FF000000"/>
            <rFont val="Arial"/>
            <scheme val="minor"/>
          </rPr>
          <t>Shield 3
Duplicate</t>
        </r>
      </text>
    </comment>
    <comment ref="J88" authorId="0" shapeId="0" xr:uid="{00000000-0006-0000-0100-00001B020000}">
      <text>
        <r>
          <rPr>
            <sz val="10"/>
            <color rgb="FF000000"/>
            <rFont val="Arial"/>
            <scheme val="minor"/>
          </rPr>
          <t>blank</t>
        </r>
      </text>
    </comment>
    <comment ref="K88" authorId="0" shapeId="0" xr:uid="{00000000-0006-0000-0100-00001C020000}">
      <text>
        <r>
          <rPr>
            <sz val="10"/>
            <color rgb="FF000000"/>
            <rFont val="Arial"/>
            <scheme val="minor"/>
          </rPr>
          <t>blank</t>
        </r>
      </text>
    </comment>
    <comment ref="L88" authorId="0" shapeId="0" xr:uid="{00000000-0006-0000-0100-00001D020000}">
      <text>
        <r>
          <rPr>
            <sz val="10"/>
            <color rgb="FF000000"/>
            <rFont val="Arial"/>
            <scheme val="minor"/>
          </rPr>
          <t>Shield 2
Copycat</t>
        </r>
      </text>
    </comment>
    <comment ref="M88" authorId="0" shapeId="0" xr:uid="{00000000-0006-0000-0100-00001E020000}">
      <text>
        <r>
          <rPr>
            <sz val="10"/>
            <color rgb="FF000000"/>
            <rFont val="Arial"/>
            <scheme val="minor"/>
          </rPr>
          <t>blank</t>
        </r>
      </text>
    </comment>
    <comment ref="O88" authorId="0" shapeId="0" xr:uid="{00000000-0006-0000-0100-00001F020000}">
      <text>
        <r>
          <rPr>
            <sz val="10"/>
            <color rgb="FF000000"/>
            <rFont val="Arial"/>
            <scheme val="minor"/>
          </rPr>
          <t>Mimic: My top side is a copy of the top hero's top side, similar for my bottom side</t>
        </r>
      </text>
    </comment>
    <comment ref="H89" authorId="0" shapeId="0" xr:uid="{00000000-0006-0000-0100-000020020000}">
      <text>
        <r>
          <rPr>
            <sz val="10"/>
            <color rgb="FF000000"/>
            <rFont val="Arial"/>
            <scheme val="minor"/>
          </rPr>
          <t>1 damage to all heroes and monsters
Poison</t>
        </r>
      </text>
    </comment>
    <comment ref="I89" authorId="0" shapeId="0" xr:uid="{00000000-0006-0000-0100-000021020000}">
      <text>
        <r>
          <rPr>
            <sz val="10"/>
            <color rgb="FF000000"/>
            <rFont val="Arial"/>
            <scheme val="minor"/>
          </rPr>
          <t>Heal 2
Mana-gain</t>
        </r>
      </text>
    </comment>
    <comment ref="J89" authorId="0" shapeId="0" xr:uid="{00000000-0006-0000-0100-000022020000}">
      <text>
        <r>
          <rPr>
            <sz val="10"/>
            <color rgb="FF000000"/>
            <rFont val="Arial"/>
            <scheme val="minor"/>
          </rPr>
          <t>Heal 2
Regen</t>
        </r>
      </text>
    </comment>
    <comment ref="K89" authorId="0" shapeId="0" xr:uid="{00000000-0006-0000-0100-000023020000}">
      <text>
        <r>
          <rPr>
            <sz val="10"/>
            <color rgb="FF000000"/>
            <rFont val="Arial"/>
            <scheme val="minor"/>
          </rPr>
          <t>Heal 2
Regen</t>
        </r>
      </text>
    </comment>
    <comment ref="L89" authorId="0" shapeId="0" xr:uid="{00000000-0006-0000-0100-000024020000}">
      <text>
        <r>
          <rPr>
            <sz val="10"/>
            <color rgb="FF000000"/>
            <rFont val="Arial"/>
            <scheme val="minor"/>
          </rPr>
          <t>Heal 2
Mana-gain</t>
        </r>
      </text>
    </comment>
    <comment ref="M89" authorId="0" shapeId="0" xr:uid="{00000000-0006-0000-0100-000025020000}">
      <text>
        <r>
          <rPr>
            <sz val="10"/>
            <color rgb="FF000000"/>
            <rFont val="Arial"/>
            <scheme val="minor"/>
          </rPr>
          <t>blank</t>
        </r>
      </text>
    </comment>
    <comment ref="N89" authorId="0" shapeId="0" xr:uid="{00000000-0006-0000-0100-000026020000}">
      <text>
        <r>
          <rPr>
            <sz val="10"/>
            <color rgb="FF000000"/>
            <rFont val="Arial"/>
            <scheme val="minor"/>
          </rPr>
          <t>Liquor
Cost: 4 mana
Heal 20
Cleanse</t>
        </r>
      </text>
    </comment>
    <comment ref="H90" authorId="0" shapeId="0" xr:uid="{00000000-0006-0000-0100-000027020000}">
      <text>
        <r>
          <rPr>
            <sz val="10"/>
            <color rgb="FF000000"/>
            <rFont val="Arial"/>
            <scheme val="minor"/>
          </rPr>
          <t>Heal and shield 2
Mana-gain</t>
        </r>
      </text>
    </comment>
    <comment ref="I90" authorId="0" shapeId="0" xr:uid="{00000000-0006-0000-0100-000028020000}">
      <text>
        <r>
          <rPr>
            <sz val="10"/>
            <color rgb="FF000000"/>
            <rFont val="Arial"/>
            <scheme val="minor"/>
          </rPr>
          <t>Heal and shield 1
Mana-gain</t>
        </r>
      </text>
    </comment>
    <comment ref="J90" authorId="0" shapeId="0" xr:uid="{00000000-0006-0000-0100-000029020000}">
      <text>
        <r>
          <rPr>
            <sz val="10"/>
            <color rgb="FF000000"/>
            <rFont val="Arial"/>
            <scheme val="minor"/>
          </rPr>
          <t>+3 mana
Single-use</t>
        </r>
      </text>
    </comment>
    <comment ref="K90" authorId="0" shapeId="0" xr:uid="{00000000-0006-0000-0100-00002A020000}">
      <text>
        <r>
          <rPr>
            <sz val="10"/>
            <color rgb="FF000000"/>
            <rFont val="Arial"/>
            <scheme val="minor"/>
          </rPr>
          <t>+3 mana
Single-use</t>
        </r>
      </text>
    </comment>
    <comment ref="L90" authorId="0" shapeId="0" xr:uid="{00000000-0006-0000-0100-00002B020000}">
      <text>
        <r>
          <rPr>
            <sz val="10"/>
            <color rgb="FF000000"/>
            <rFont val="Arial"/>
            <scheme val="minor"/>
          </rPr>
          <t>Dodge all enemy attacks/effects</t>
        </r>
      </text>
    </comment>
    <comment ref="M90" authorId="0" shapeId="0" xr:uid="{00000000-0006-0000-0100-00002C020000}">
      <text>
        <r>
          <rPr>
            <sz val="10"/>
            <color rgb="FF000000"/>
            <rFont val="Arial"/>
            <scheme val="minor"/>
          </rPr>
          <t>blank</t>
        </r>
      </text>
    </comment>
    <comment ref="N90" authorId="0" shapeId="0" xr:uid="{00000000-0006-0000-0100-00002D020000}">
      <text>
        <r>
          <rPr>
            <sz val="10"/>
            <color rgb="FF000000"/>
            <rFont val="Arial"/>
            <scheme val="minor"/>
          </rPr>
          <t>Strand
Cost: 4 mana
Heal 2
Spell-rescue</t>
        </r>
      </text>
    </comment>
    <comment ref="H91" authorId="0" shapeId="0" xr:uid="{00000000-0006-0000-0100-00002E020000}">
      <text>
        <r>
          <rPr>
            <sz val="10"/>
            <color rgb="FF000000"/>
            <rFont val="Arial"/>
            <scheme val="minor"/>
          </rPr>
          <t>Heal 2
Mana-gain</t>
        </r>
      </text>
    </comment>
    <comment ref="I91" authorId="0" shapeId="0" xr:uid="{00000000-0006-0000-0100-00002F020000}">
      <text>
        <r>
          <rPr>
            <sz val="10"/>
            <color rgb="FF000000"/>
            <rFont val="Arial"/>
            <scheme val="minor"/>
          </rPr>
          <t>Heal 2
Mana-gain</t>
        </r>
      </text>
    </comment>
    <comment ref="J91" authorId="0" shapeId="0" xr:uid="{00000000-0006-0000-0100-000030020000}">
      <text>
        <r>
          <rPr>
            <sz val="10"/>
            <color rgb="FF000000"/>
            <rFont val="Arial"/>
            <scheme val="minor"/>
          </rPr>
          <t>Heal and shield 2</t>
        </r>
      </text>
    </comment>
    <comment ref="K91" authorId="0" shapeId="0" xr:uid="{00000000-0006-0000-0100-000031020000}">
      <text>
        <r>
          <rPr>
            <sz val="10"/>
            <color rgb="FF000000"/>
            <rFont val="Arial"/>
            <scheme val="minor"/>
          </rPr>
          <t>Heal and shield 2</t>
        </r>
      </text>
    </comment>
    <comment ref="L91" authorId="0" shapeId="0" xr:uid="{00000000-0006-0000-0100-000032020000}">
      <text>
        <r>
          <rPr>
            <sz val="10"/>
            <color rgb="FF000000"/>
            <rFont val="Arial"/>
            <scheme val="minor"/>
          </rPr>
          <t>Heal 2
Double-use</t>
        </r>
      </text>
    </comment>
    <comment ref="M91" authorId="0" shapeId="0" xr:uid="{00000000-0006-0000-0100-000033020000}">
      <text>
        <r>
          <rPr>
            <sz val="10"/>
            <color rgb="FF000000"/>
            <rFont val="Arial"/>
            <scheme val="minor"/>
          </rPr>
          <t>Heal 2
Double-use</t>
        </r>
      </text>
    </comment>
    <comment ref="N91" authorId="0" shapeId="0" xr:uid="{00000000-0006-0000-0100-000034020000}">
      <text>
        <r>
          <rPr>
            <sz val="10"/>
            <color rgb="FF000000"/>
            <rFont val="Arial"/>
            <scheme val="minor"/>
          </rPr>
          <t>Operate
Cost: 4 mana
Revive the top-most defeated ally
Deplete</t>
        </r>
      </text>
    </comment>
    <comment ref="H92" authorId="0" shapeId="0" xr:uid="{00000000-0006-0000-0100-000035020000}">
      <text>
        <r>
          <rPr>
            <sz val="10"/>
            <color rgb="FF000000"/>
            <rFont val="Arial"/>
            <scheme val="minor"/>
          </rPr>
          <t>+3 mana</t>
        </r>
      </text>
    </comment>
    <comment ref="I92" authorId="0" shapeId="0" xr:uid="{00000000-0006-0000-0100-000036020000}">
      <text>
        <r>
          <rPr>
            <sz val="10"/>
            <color rgb="FF000000"/>
            <rFont val="Arial"/>
            <scheme val="minor"/>
          </rPr>
          <t>Heal 5
Cleanse</t>
        </r>
      </text>
    </comment>
    <comment ref="J92" authorId="0" shapeId="0" xr:uid="{00000000-0006-0000-0100-000037020000}">
      <text>
        <r>
          <rPr>
            <sz val="10"/>
            <color rgb="FF000000"/>
            <rFont val="Arial"/>
            <scheme val="minor"/>
          </rPr>
          <t>Heal 1
Boost</t>
        </r>
      </text>
    </comment>
    <comment ref="K92" authorId="0" shapeId="0" xr:uid="{00000000-0006-0000-0100-000038020000}">
      <text>
        <r>
          <rPr>
            <sz val="10"/>
            <color rgb="FF000000"/>
            <rFont val="Arial"/>
            <scheme val="minor"/>
          </rPr>
          <t>1 damage
Weaken</t>
        </r>
      </text>
    </comment>
    <comment ref="L92" authorId="0" shapeId="0" xr:uid="{00000000-0006-0000-0100-000039020000}">
      <text>
        <r>
          <rPr>
            <sz val="10"/>
            <color rgb="FF000000"/>
            <rFont val="Arial"/>
            <scheme val="minor"/>
          </rPr>
          <t>Heal 3
Cleave</t>
        </r>
      </text>
    </comment>
    <comment ref="M92" authorId="0" shapeId="0" xr:uid="{00000000-0006-0000-0100-00003A020000}">
      <text>
        <r>
          <rPr>
            <sz val="10"/>
            <color rgb="FF000000"/>
            <rFont val="Arial"/>
            <scheme val="minor"/>
          </rPr>
          <t>blank</t>
        </r>
      </text>
    </comment>
    <comment ref="N92" authorId="0" shapeId="0" xr:uid="{00000000-0006-0000-0100-00003B020000}">
      <text>
        <r>
          <rPr>
            <sz val="10"/>
            <color rgb="FF000000"/>
            <rFont val="Arial"/>
            <scheme val="minor"/>
          </rPr>
          <t>Salve
Cost: 1 mana
Heal 2</t>
        </r>
      </text>
    </comment>
    <comment ref="H93" authorId="0" shapeId="0" xr:uid="{00000000-0006-0000-0100-00003C020000}">
      <text>
        <r>
          <rPr>
            <sz val="10"/>
            <color rgb="FF000000"/>
            <rFont val="Arial"/>
            <scheme val="minor"/>
          </rPr>
          <t>Heal 3
Rescue</t>
        </r>
      </text>
    </comment>
    <comment ref="I93" authorId="0" shapeId="0" xr:uid="{00000000-0006-0000-0100-00003D020000}">
      <text>
        <r>
          <rPr>
            <sz val="10"/>
            <color rgb="FF000000"/>
            <rFont val="Arial"/>
            <scheme val="minor"/>
          </rPr>
          <t>Heal 4
Vitality</t>
        </r>
      </text>
    </comment>
    <comment ref="J93" authorId="0" shapeId="0" xr:uid="{00000000-0006-0000-0100-00003E020000}">
      <text>
        <r>
          <rPr>
            <sz val="10"/>
            <color rgb="FF000000"/>
            <rFont val="Arial"/>
            <scheme val="minor"/>
          </rPr>
          <t>Heal 2
Mana-gain</t>
        </r>
      </text>
    </comment>
    <comment ref="K93" authorId="0" shapeId="0" xr:uid="{00000000-0006-0000-0100-00003F020000}">
      <text>
        <r>
          <rPr>
            <sz val="10"/>
            <color rgb="FF000000"/>
            <rFont val="Arial"/>
            <scheme val="minor"/>
          </rPr>
          <t>Heal 2
Mana-gain</t>
        </r>
      </text>
    </comment>
    <comment ref="L93" authorId="0" shapeId="0" xr:uid="{00000000-0006-0000-0100-000040020000}">
      <text>
        <r>
          <rPr>
            <sz val="10"/>
            <color rgb="FF000000"/>
            <rFont val="Arial"/>
            <scheme val="minor"/>
          </rPr>
          <t>Heal 4
Vitality</t>
        </r>
      </text>
    </comment>
    <comment ref="M93" authorId="0" shapeId="0" xr:uid="{00000000-0006-0000-0100-000041020000}">
      <text>
        <r>
          <rPr>
            <sz val="10"/>
            <color rgb="FF000000"/>
            <rFont val="Arial"/>
            <scheme val="minor"/>
          </rPr>
          <t>blank</t>
        </r>
      </text>
    </comment>
    <comment ref="N93" authorId="0" shapeId="0" xr:uid="{00000000-0006-0000-0100-000042020000}">
      <text>
        <r>
          <rPr>
            <sz val="10"/>
            <color rgb="FF000000"/>
            <rFont val="Arial"/>
            <scheme val="minor"/>
          </rPr>
          <t>Soothe
Cost: 4 mana
Heal 1 to all allies
Regen</t>
        </r>
      </text>
    </comment>
    <comment ref="H94" authorId="0" shapeId="0" xr:uid="{00000000-0006-0000-0100-000043020000}">
      <text>
        <r>
          <rPr>
            <sz val="10"/>
            <color rgb="FF000000"/>
            <rFont val="Arial"/>
            <scheme val="minor"/>
          </rPr>
          <t>+3 mana</t>
        </r>
      </text>
    </comment>
    <comment ref="I94" authorId="0" shapeId="0" xr:uid="{00000000-0006-0000-0100-000044020000}">
      <text>
        <r>
          <rPr>
            <sz val="10"/>
            <color rgb="FF000000"/>
            <rFont val="Arial"/>
            <scheme val="minor"/>
          </rPr>
          <t>Revive the 2 top-most defeated allies</t>
        </r>
      </text>
    </comment>
    <comment ref="J94" authorId="0" shapeId="0" xr:uid="{00000000-0006-0000-0100-000045020000}">
      <text>
        <r>
          <rPr>
            <sz val="10"/>
            <color rgb="FF000000"/>
            <rFont val="Arial"/>
            <scheme val="minor"/>
          </rPr>
          <t>blank</t>
        </r>
      </text>
    </comment>
    <comment ref="K94" authorId="0" shapeId="0" xr:uid="{00000000-0006-0000-0100-000046020000}">
      <text>
        <r>
          <rPr>
            <sz val="10"/>
            <color rgb="FF000000"/>
            <rFont val="Arial"/>
            <scheme val="minor"/>
          </rPr>
          <t>blank</t>
        </r>
      </text>
    </comment>
    <comment ref="L94" authorId="0" shapeId="0" xr:uid="{00000000-0006-0000-0100-000047020000}">
      <text>
        <r>
          <rPr>
            <sz val="10"/>
            <color rgb="FF000000"/>
            <rFont val="Arial"/>
            <scheme val="minor"/>
          </rPr>
          <t>Heal 2 to all other allies
Pain, Vitality</t>
        </r>
      </text>
    </comment>
    <comment ref="M94" authorId="0" shapeId="0" xr:uid="{00000000-0006-0000-0100-000048020000}">
      <text>
        <r>
          <rPr>
            <sz val="10"/>
            <color rgb="FF000000"/>
            <rFont val="Arial"/>
            <scheme val="minor"/>
          </rPr>
          <t>Heal 2 to all allies</t>
        </r>
      </text>
    </comment>
    <comment ref="N94" authorId="0" shapeId="0" xr:uid="{00000000-0006-0000-0100-000049020000}">
      <text>
        <r>
          <rPr>
            <sz val="10"/>
            <color rgb="FF000000"/>
            <rFont val="Arial"/>
            <scheme val="minor"/>
          </rPr>
          <t>Bind
Cost: 3 mana
Target ally becomes immune to damage this turn
-4 max hp this fight</t>
        </r>
      </text>
    </comment>
    <comment ref="H95" authorId="0" shapeId="0" xr:uid="{00000000-0006-0000-0100-00004A020000}">
      <text>
        <r>
          <rPr>
            <sz val="10"/>
            <color rgb="FF000000"/>
            <rFont val="Arial"/>
            <scheme val="minor"/>
          </rPr>
          <t>4 damage
Self-heal</t>
        </r>
      </text>
    </comment>
    <comment ref="I95" authorId="0" shapeId="0" xr:uid="{00000000-0006-0000-0100-00004B020000}">
      <text>
        <r>
          <rPr>
            <sz val="10"/>
            <color rgb="FF000000"/>
            <rFont val="Arial"/>
            <scheme val="minor"/>
          </rPr>
          <t>Add Self-heal &amp; Self-shield to target's sides this turn</t>
        </r>
      </text>
    </comment>
    <comment ref="J95" authorId="0" shapeId="0" xr:uid="{00000000-0006-0000-0100-00004C020000}">
      <text>
        <r>
          <rPr>
            <sz val="10"/>
            <color rgb="FF000000"/>
            <rFont val="Arial"/>
            <scheme val="minor"/>
          </rPr>
          <t>+2 mana</t>
        </r>
      </text>
    </comment>
    <comment ref="K95" authorId="0" shapeId="0" xr:uid="{00000000-0006-0000-0100-00004D020000}">
      <text>
        <r>
          <rPr>
            <sz val="10"/>
            <color rgb="FF000000"/>
            <rFont val="Arial"/>
            <scheme val="minor"/>
          </rPr>
          <t>+2 mana</t>
        </r>
      </text>
    </comment>
    <comment ref="L95" authorId="0" shapeId="0" xr:uid="{00000000-0006-0000-0100-00004E020000}">
      <text>
        <r>
          <rPr>
            <sz val="10"/>
            <color rgb="FF000000"/>
            <rFont val="Arial"/>
            <scheme val="minor"/>
          </rPr>
          <t>Dodge all enemy attacks/effects
Cantrip</t>
        </r>
      </text>
    </comment>
    <comment ref="M95" authorId="0" shapeId="0" xr:uid="{00000000-0006-0000-0100-00004F020000}">
      <text>
        <r>
          <rPr>
            <sz val="10"/>
            <color rgb="FF000000"/>
            <rFont val="Arial"/>
            <scheme val="minor"/>
          </rPr>
          <t>blank</t>
        </r>
      </text>
    </comment>
    <comment ref="N95" authorId="0" shapeId="0" xr:uid="{00000000-0006-0000-0100-000050020000}">
      <text>
        <r>
          <rPr>
            <sz val="10"/>
            <color rgb="FF000000"/>
            <rFont val="Arial"/>
            <scheme val="minor"/>
          </rPr>
          <t>Leech
Cost: 1
Kill an ally
Heal 5 to all allies
Cooldown</t>
        </r>
      </text>
    </comment>
    <comment ref="H96" authorId="0" shapeId="0" xr:uid="{00000000-0006-0000-0100-000051020000}">
      <text>
        <r>
          <rPr>
            <sz val="10"/>
            <color rgb="FF000000"/>
            <rFont val="Arial"/>
            <scheme val="minor"/>
          </rPr>
          <t>Heal 5
Vitality</t>
        </r>
      </text>
    </comment>
    <comment ref="I96" authorId="0" shapeId="0" xr:uid="{00000000-0006-0000-0100-000052020000}">
      <text>
        <r>
          <rPr>
            <sz val="10"/>
            <color rgb="FF000000"/>
            <rFont val="Arial"/>
            <scheme val="minor"/>
          </rPr>
          <t>Heal 10</t>
        </r>
      </text>
    </comment>
    <comment ref="J96" authorId="0" shapeId="0" xr:uid="{00000000-0006-0000-0100-000053020000}">
      <text>
        <r>
          <rPr>
            <sz val="10"/>
            <color rgb="FF000000"/>
            <rFont val="Arial"/>
            <scheme val="minor"/>
          </rPr>
          <t>3 damage
Growth</t>
        </r>
      </text>
    </comment>
    <comment ref="K96" authorId="0" shapeId="0" xr:uid="{00000000-0006-0000-0100-000054020000}">
      <text>
        <r>
          <rPr>
            <sz val="10"/>
            <color rgb="FF000000"/>
            <rFont val="Arial"/>
            <scheme val="minor"/>
          </rPr>
          <t>Shield 3
Growth</t>
        </r>
      </text>
    </comment>
    <comment ref="L96" authorId="0" shapeId="0" xr:uid="{00000000-0006-0000-0100-000055020000}">
      <text>
        <r>
          <rPr>
            <sz val="10"/>
            <color rgb="FF000000"/>
            <rFont val="Arial"/>
            <scheme val="minor"/>
          </rPr>
          <t>Heal 2
Mana-gain</t>
        </r>
      </text>
    </comment>
    <comment ref="M96" authorId="0" shapeId="0" xr:uid="{00000000-0006-0000-0100-000056020000}">
      <text>
        <r>
          <rPr>
            <sz val="10"/>
            <color rgb="FF000000"/>
            <rFont val="Arial"/>
            <scheme val="minor"/>
          </rPr>
          <t>blank</t>
        </r>
      </text>
    </comment>
    <comment ref="N96" authorId="0" shapeId="0" xr:uid="{00000000-0006-0000-0100-000057020000}">
      <text>
        <r>
          <rPr>
            <sz val="10"/>
            <color rgb="FF000000"/>
            <rFont val="Arial"/>
            <scheme val="minor"/>
          </rPr>
          <t>Ritual
Cost: 4 mana
Heal 2
Cleanse, Cleave</t>
        </r>
      </text>
    </comment>
    <comment ref="H97" authorId="0" shapeId="0" xr:uid="{00000000-0006-0000-0100-000058020000}">
      <text>
        <r>
          <rPr>
            <sz val="10"/>
            <color rgb="FF000000"/>
            <rFont val="Arial"/>
            <scheme val="minor"/>
          </rPr>
          <t>3 damage
Single-use, Self-heal</t>
        </r>
      </text>
    </comment>
    <comment ref="I97" authorId="0" shapeId="0" xr:uid="{00000000-0006-0000-0100-000059020000}">
      <text>
        <r>
          <rPr>
            <sz val="10"/>
            <color rgb="FF000000"/>
            <rFont val="Arial"/>
            <scheme val="minor"/>
          </rPr>
          <t>2 damage
Charged, Single-use</t>
        </r>
      </text>
    </comment>
    <comment ref="J97" authorId="0" shapeId="0" xr:uid="{00000000-0006-0000-0100-00005A020000}">
      <text>
        <r>
          <rPr>
            <sz val="10"/>
            <color rgb="FF000000"/>
            <rFont val="Arial"/>
            <scheme val="minor"/>
          </rPr>
          <t>+4 mana
Single-use</t>
        </r>
      </text>
    </comment>
    <comment ref="K97" authorId="0" shapeId="0" xr:uid="{00000000-0006-0000-0100-00005B020000}">
      <text>
        <r>
          <rPr>
            <sz val="10"/>
            <color rgb="FF000000"/>
            <rFont val="Arial"/>
            <scheme val="minor"/>
          </rPr>
          <t>+4 mana
Single-use</t>
        </r>
      </text>
    </comment>
    <comment ref="L97" authorId="0" shapeId="0" xr:uid="{00000000-0006-0000-0100-00005C020000}">
      <text>
        <r>
          <rPr>
            <sz val="10"/>
            <color rgb="FF000000"/>
            <rFont val="Arial"/>
            <scheme val="minor"/>
          </rPr>
          <t>2 damage
Poison, Single-use</t>
        </r>
      </text>
    </comment>
    <comment ref="M97" authorId="0" shapeId="0" xr:uid="{00000000-0006-0000-0100-00005D020000}">
      <text>
        <r>
          <rPr>
            <sz val="10"/>
            <color rgb="FF000000"/>
            <rFont val="Arial"/>
            <scheme val="minor"/>
          </rPr>
          <t>Heal 10
Single-use</t>
        </r>
      </text>
    </comment>
    <comment ref="N97" authorId="0" shapeId="0" xr:uid="{00000000-0006-0000-0100-00005E020000}">
      <text>
        <r>
          <rPr>
            <sz val="10"/>
            <color rgb="FF000000"/>
            <rFont val="Arial"/>
            <scheme val="minor"/>
          </rPr>
          <t>Blades
Cost: 4 mana
2 damage to all enemies</t>
        </r>
      </text>
    </comment>
    <comment ref="H98" authorId="0" shapeId="0" xr:uid="{00000000-0006-0000-0100-00005F020000}">
      <text>
        <r>
          <rPr>
            <sz val="10"/>
            <color rgb="FF000000"/>
            <rFont val="Arial"/>
            <scheme val="minor"/>
          </rPr>
          <t>+1 mana
Cantrip</t>
        </r>
      </text>
    </comment>
    <comment ref="I98" authorId="0" shapeId="0" xr:uid="{00000000-0006-0000-0100-000060020000}">
      <text>
        <r>
          <rPr>
            <sz val="10"/>
            <color rgb="FF000000"/>
            <rFont val="Arial"/>
            <scheme val="minor"/>
          </rPr>
          <t>Gain 1 reroll
Cantrip</t>
        </r>
      </text>
    </comment>
    <comment ref="J98" authorId="0" shapeId="0" xr:uid="{00000000-0006-0000-0100-000061020000}">
      <text>
        <r>
          <rPr>
            <sz val="10"/>
            <color rgb="FF000000"/>
            <rFont val="Arial"/>
            <scheme val="minor"/>
          </rPr>
          <t>+1 mana
Cantrip</t>
        </r>
      </text>
    </comment>
    <comment ref="K98" authorId="0" shapeId="0" xr:uid="{00000000-0006-0000-0100-000062020000}">
      <text>
        <r>
          <rPr>
            <sz val="10"/>
            <color rgb="FF000000"/>
            <rFont val="Arial"/>
            <scheme val="minor"/>
          </rPr>
          <t>+1 mana
Cantrip</t>
        </r>
      </text>
    </comment>
    <comment ref="L98" authorId="0" shapeId="0" xr:uid="{00000000-0006-0000-0100-000063020000}">
      <text>
        <r>
          <rPr>
            <sz val="10"/>
            <color rgb="FF000000"/>
            <rFont val="Arial"/>
            <scheme val="minor"/>
          </rPr>
          <t>blank</t>
        </r>
      </text>
    </comment>
    <comment ref="M98" authorId="0" shapeId="0" xr:uid="{00000000-0006-0000-0100-000064020000}">
      <text>
        <r>
          <rPr>
            <sz val="10"/>
            <color rgb="FF000000"/>
            <rFont val="Arial"/>
            <scheme val="minor"/>
          </rPr>
          <t>blank</t>
        </r>
      </text>
    </comment>
    <comment ref="N98" authorId="0" shapeId="0" xr:uid="{00000000-0006-0000-0100-000065020000}">
      <text>
        <r>
          <rPr>
            <sz val="10"/>
            <color rgb="FF000000"/>
            <rFont val="Arial"/>
            <scheme val="minor"/>
          </rPr>
          <t>Miasma
Cost: 3 mana
1 damage
Poison, Cleave</t>
        </r>
      </text>
    </comment>
    <comment ref="H99" authorId="0" shapeId="0" xr:uid="{00000000-0006-0000-0100-000066020000}">
      <text>
        <r>
          <rPr>
            <sz val="10"/>
            <color rgb="FF000000"/>
            <rFont val="Arial"/>
            <scheme val="minor"/>
          </rPr>
          <t>Shield 1
Single-use, Perma-boost</t>
        </r>
      </text>
    </comment>
    <comment ref="I99" authorId="0" shapeId="0" xr:uid="{00000000-0006-0000-0100-000067020000}">
      <text>
        <r>
          <rPr>
            <sz val="10"/>
            <color rgb="FF000000"/>
            <rFont val="Arial"/>
            <scheme val="minor"/>
          </rPr>
          <t>+1 mana
Cantrip</t>
        </r>
      </text>
    </comment>
    <comment ref="J99" authorId="0" shapeId="0" xr:uid="{00000000-0006-0000-0100-000068020000}">
      <text>
        <r>
          <rPr>
            <sz val="10"/>
            <color rgb="FF000000"/>
            <rFont val="Arial"/>
            <scheme val="minor"/>
          </rPr>
          <t>1 shield
Mana-gain</t>
        </r>
      </text>
    </comment>
    <comment ref="K99" authorId="0" shapeId="0" xr:uid="{00000000-0006-0000-0100-000069020000}">
      <text>
        <r>
          <rPr>
            <sz val="10"/>
            <color rgb="FF000000"/>
            <rFont val="Arial"/>
            <scheme val="minor"/>
          </rPr>
          <t>1 shield
Mana-gain</t>
        </r>
      </text>
    </comment>
    <comment ref="L99" authorId="0" shapeId="0" xr:uid="{00000000-0006-0000-0100-00006A020000}">
      <text>
        <r>
          <rPr>
            <sz val="10"/>
            <color rgb="FF000000"/>
            <rFont val="Arial"/>
            <scheme val="minor"/>
          </rPr>
          <t>1 damage
Mana-gain</t>
        </r>
      </text>
    </comment>
    <comment ref="M99" authorId="0" shapeId="0" xr:uid="{00000000-0006-0000-0100-00006B020000}">
      <text>
        <r>
          <rPr>
            <sz val="10"/>
            <color rgb="FF000000"/>
            <rFont val="Arial"/>
            <scheme val="minor"/>
          </rPr>
          <t>1 damage
Mana-gain</t>
        </r>
      </text>
    </comment>
    <comment ref="N99" authorId="0" shapeId="0" xr:uid="{00000000-0006-0000-0100-00006C020000}">
      <text>
        <r>
          <rPr>
            <sz val="10"/>
            <color rgb="FF000000"/>
            <rFont val="Arial"/>
            <scheme val="minor"/>
          </rPr>
          <t>Inspire
Cost: 4 mana
Target hero can use their dice again
Cooldown</t>
        </r>
      </text>
    </comment>
    <comment ref="H100" authorId="0" shapeId="0" xr:uid="{00000000-0006-0000-0100-00006D020000}">
      <text>
        <r>
          <rPr>
            <sz val="10"/>
            <color rgb="FF000000"/>
            <rFont val="Arial"/>
            <scheme val="minor"/>
          </rPr>
          <t>+2 mana
Bloodlust</t>
        </r>
      </text>
    </comment>
    <comment ref="I100" authorId="0" shapeId="0" xr:uid="{00000000-0006-0000-0100-00006E020000}">
      <text>
        <r>
          <rPr>
            <sz val="10"/>
            <color rgb="FF000000"/>
            <rFont val="Arial"/>
            <scheme val="minor"/>
          </rPr>
          <t>3 damage
Single-use, Self-heal</t>
        </r>
      </text>
    </comment>
    <comment ref="J100" authorId="0" shapeId="0" xr:uid="{00000000-0006-0000-0100-00006F020000}">
      <text>
        <r>
          <rPr>
            <sz val="10"/>
            <color rgb="FF000000"/>
            <rFont val="Arial"/>
            <scheme val="minor"/>
          </rPr>
          <t>+4 mana
Pain</t>
        </r>
      </text>
    </comment>
    <comment ref="K100" authorId="0" shapeId="0" xr:uid="{00000000-0006-0000-0100-000070020000}">
      <text>
        <r>
          <rPr>
            <sz val="10"/>
            <color rgb="FF000000"/>
            <rFont val="Arial"/>
            <scheme val="minor"/>
          </rPr>
          <t>+4 mana
Pain</t>
        </r>
      </text>
    </comment>
    <comment ref="L100" authorId="0" shapeId="0" xr:uid="{00000000-0006-0000-0100-000071020000}">
      <text>
        <r>
          <rPr>
            <sz val="10"/>
            <color rgb="FF000000"/>
            <rFont val="Arial"/>
            <scheme val="minor"/>
          </rPr>
          <t>blank</t>
        </r>
      </text>
    </comment>
    <comment ref="M100" authorId="0" shapeId="0" xr:uid="{00000000-0006-0000-0100-000072020000}">
      <text>
        <r>
          <rPr>
            <sz val="10"/>
            <color rgb="FF000000"/>
            <rFont val="Arial"/>
            <scheme val="minor"/>
          </rPr>
          <t>blank</t>
        </r>
      </text>
    </comment>
    <comment ref="N100" authorId="0" shapeId="0" xr:uid="{00000000-0006-0000-0100-000073020000}">
      <text>
        <r>
          <rPr>
            <sz val="10"/>
            <color rgb="FF000000"/>
            <rFont val="Arial"/>
            <scheme val="minor"/>
          </rPr>
          <t>Blaze
Cost: 6 mana
13 damage</t>
        </r>
      </text>
    </comment>
    <comment ref="H101" authorId="0" shapeId="0" xr:uid="{00000000-0006-0000-0100-000074020000}">
      <text>
        <r>
          <rPr>
            <sz val="10"/>
            <color rgb="FF000000"/>
            <rFont val="Arial"/>
            <scheme val="minor"/>
          </rPr>
          <t>+0 mana
Charged</t>
        </r>
      </text>
    </comment>
    <comment ref="I101" authorId="0" shapeId="0" xr:uid="{00000000-0006-0000-0100-000075020000}">
      <text>
        <r>
          <rPr>
            <sz val="10"/>
            <color rgb="FF000000"/>
            <rFont val="Arial"/>
            <scheme val="minor"/>
          </rPr>
          <t>+3 mana</t>
        </r>
      </text>
    </comment>
    <comment ref="J101" authorId="0" shapeId="0" xr:uid="{00000000-0006-0000-0100-000076020000}">
      <text>
        <r>
          <rPr>
            <sz val="10"/>
            <color rgb="FF000000"/>
            <rFont val="Arial"/>
            <scheme val="minor"/>
          </rPr>
          <t>+3 mana
Single-use</t>
        </r>
      </text>
    </comment>
    <comment ref="K101" authorId="0" shapeId="0" xr:uid="{00000000-0006-0000-0100-000077020000}">
      <text>
        <r>
          <rPr>
            <sz val="10"/>
            <color rgb="FF000000"/>
            <rFont val="Arial"/>
            <scheme val="minor"/>
          </rPr>
          <t>+3 mana
Single-use</t>
        </r>
      </text>
    </comment>
    <comment ref="L101" authorId="0" shapeId="0" xr:uid="{00000000-0006-0000-0100-000078020000}">
      <text>
        <r>
          <rPr>
            <sz val="10"/>
            <color rgb="FF000000"/>
            <rFont val="Arial"/>
            <scheme val="minor"/>
          </rPr>
          <t>Dodge all enemy attacks/effects</t>
        </r>
      </text>
    </comment>
    <comment ref="M101" authorId="0" shapeId="0" xr:uid="{00000000-0006-0000-0100-000079020000}">
      <text>
        <r>
          <rPr>
            <sz val="10"/>
            <color rgb="FF000000"/>
            <rFont val="Arial"/>
            <scheme val="minor"/>
          </rPr>
          <t>blank</t>
        </r>
      </text>
    </comment>
    <comment ref="N101" authorId="0" shapeId="0" xr:uid="{00000000-0006-0000-0100-00007A020000}">
      <text>
        <r>
          <rPr>
            <sz val="10"/>
            <color rgb="FF000000"/>
            <rFont val="Arial"/>
            <scheme val="minor"/>
          </rPr>
          <t>Crush
Cost: 3 mana
3 damage
Flanking</t>
        </r>
      </text>
    </comment>
    <comment ref="H102" authorId="0" shapeId="0" xr:uid="{00000000-0006-0000-0100-00007B020000}">
      <text>
        <r>
          <rPr>
            <sz val="10"/>
            <color rgb="FF000000"/>
            <rFont val="Arial"/>
            <scheme val="minor"/>
          </rPr>
          <t>Target hero can use their dice again</t>
        </r>
      </text>
    </comment>
    <comment ref="I102" authorId="0" shapeId="0" xr:uid="{00000000-0006-0000-0100-00007C020000}">
      <text>
        <r>
          <rPr>
            <sz val="10"/>
            <color rgb="FF000000"/>
            <rFont val="Arial"/>
            <scheme val="minor"/>
          </rPr>
          <t>Gain 1 reroll
Cantrip</t>
        </r>
      </text>
    </comment>
    <comment ref="J102" authorId="0" shapeId="0" xr:uid="{00000000-0006-0000-0100-00007D020000}">
      <text>
        <r>
          <rPr>
            <sz val="10"/>
            <color rgb="FF000000"/>
            <rFont val="Arial"/>
            <scheme val="minor"/>
          </rPr>
          <t>+2 mana
Growth</t>
        </r>
      </text>
    </comment>
    <comment ref="K102" authorId="0" shapeId="0" xr:uid="{00000000-0006-0000-0100-00007E020000}">
      <text>
        <r>
          <rPr>
            <sz val="10"/>
            <color rgb="FF000000"/>
            <rFont val="Arial"/>
            <scheme val="minor"/>
          </rPr>
          <t>+2 mana
Growth</t>
        </r>
      </text>
    </comment>
    <comment ref="L102" authorId="0" shapeId="0" xr:uid="{00000000-0006-0000-0100-00007F020000}">
      <text>
        <r>
          <rPr>
            <sz val="10"/>
            <color rgb="FF000000"/>
            <rFont val="Arial"/>
            <scheme val="minor"/>
          </rPr>
          <t>Dodge all enemy attacks/effects</t>
        </r>
      </text>
    </comment>
    <comment ref="M102" authorId="0" shapeId="0" xr:uid="{00000000-0006-0000-0100-000080020000}">
      <text>
        <r>
          <rPr>
            <sz val="10"/>
            <color rgb="FF000000"/>
            <rFont val="Arial"/>
            <scheme val="minor"/>
          </rPr>
          <t>blank</t>
        </r>
      </text>
    </comment>
    <comment ref="N102" authorId="0" shapeId="0" xr:uid="{00000000-0006-0000-0100-000081020000}">
      <text>
        <r>
          <rPr>
            <sz val="10"/>
            <color rgb="FF000000"/>
            <rFont val="Arial"/>
            <scheme val="minor"/>
          </rPr>
          <t>Slow
Cost: 4 mana
1 damage
Weaken, Cleave</t>
        </r>
      </text>
    </comment>
    <comment ref="H103" authorId="0" shapeId="0" xr:uid="{00000000-0006-0000-0100-000082020000}">
      <text>
        <r>
          <rPr>
            <sz val="10"/>
            <color rgb="FF000000"/>
            <rFont val="Arial"/>
            <scheme val="minor"/>
          </rPr>
          <t>+3 mana
Triple</t>
        </r>
      </text>
    </comment>
    <comment ref="I103" authorId="0" shapeId="0" xr:uid="{00000000-0006-0000-0100-000083020000}">
      <text>
        <r>
          <rPr>
            <sz val="10"/>
            <color rgb="FF000000"/>
            <rFont val="Arial"/>
            <scheme val="minor"/>
          </rPr>
          <t>+2 mana
Pair</t>
        </r>
      </text>
    </comment>
    <comment ref="J103" authorId="0" shapeId="0" xr:uid="{00000000-0006-0000-0100-000084020000}">
      <text>
        <r>
          <rPr>
            <sz val="10"/>
            <color rgb="FF000000"/>
            <rFont val="Arial"/>
            <scheme val="minor"/>
          </rPr>
          <t>blank</t>
        </r>
      </text>
    </comment>
    <comment ref="K103" authorId="0" shapeId="0" xr:uid="{00000000-0006-0000-0100-000085020000}">
      <text>
        <r>
          <rPr>
            <sz val="10"/>
            <color rgb="FF000000"/>
            <rFont val="Arial"/>
            <scheme val="minor"/>
          </rPr>
          <t>blank</t>
        </r>
      </text>
    </comment>
    <comment ref="L103" authorId="0" shapeId="0" xr:uid="{00000000-0006-0000-0100-000086020000}">
      <text>
        <r>
          <rPr>
            <sz val="10"/>
            <color rgb="FF000000"/>
            <rFont val="Arial"/>
            <scheme val="minor"/>
          </rPr>
          <t>+1 mana</t>
        </r>
      </text>
    </comment>
    <comment ref="M103" authorId="0" shapeId="0" xr:uid="{00000000-0006-0000-0100-000087020000}">
      <text>
        <r>
          <rPr>
            <sz val="10"/>
            <color rgb="FF000000"/>
            <rFont val="Arial"/>
            <scheme val="minor"/>
          </rPr>
          <t>blank</t>
        </r>
      </text>
    </comment>
    <comment ref="N103" authorId="0" shapeId="0" xr:uid="{00000000-0006-0000-0100-000088020000}">
      <text>
        <r>
          <rPr>
            <sz val="10"/>
            <color rgb="FF000000"/>
            <rFont val="Arial"/>
            <scheme val="minor"/>
          </rPr>
          <t>Draw
Cost: 3 mana
Shield 1
Boost</t>
        </r>
      </text>
    </comment>
    <comment ref="H104" authorId="0" shapeId="0" xr:uid="{00000000-0006-0000-0100-000089020000}">
      <text>
        <r>
          <rPr>
            <sz val="10"/>
            <color rgb="FF000000"/>
            <rFont val="Arial"/>
            <scheme val="minor"/>
          </rPr>
          <t>+5 mana
Death</t>
        </r>
      </text>
    </comment>
    <comment ref="I104" authorId="0" shapeId="0" xr:uid="{00000000-0006-0000-0100-00008A020000}">
      <text>
        <r>
          <rPr>
            <sz val="10"/>
            <color rgb="FF000000"/>
            <rFont val="Arial"/>
            <scheme val="minor"/>
          </rPr>
          <t>+2 mana</t>
        </r>
      </text>
    </comment>
    <comment ref="J104" authorId="0" shapeId="0" xr:uid="{00000000-0006-0000-0100-00008B020000}">
      <text>
        <r>
          <rPr>
            <sz val="10"/>
            <color rgb="FF000000"/>
            <rFont val="Arial"/>
            <scheme val="minor"/>
          </rPr>
          <t>2 damage
Weaken, Single-use</t>
        </r>
      </text>
    </comment>
    <comment ref="K104" authorId="0" shapeId="0" xr:uid="{00000000-0006-0000-0100-00008C020000}">
      <text>
        <r>
          <rPr>
            <sz val="10"/>
            <color rgb="FF000000"/>
            <rFont val="Arial"/>
            <scheme val="minor"/>
          </rPr>
          <t>2 damage
Weaken, Single-use</t>
        </r>
      </text>
    </comment>
    <comment ref="L104" authorId="0" shapeId="0" xr:uid="{00000000-0006-0000-0100-00008D020000}">
      <text>
        <r>
          <rPr>
            <sz val="10"/>
            <color rgb="FF000000"/>
            <rFont val="Arial"/>
            <scheme val="minor"/>
          </rPr>
          <t>+1 mana</t>
        </r>
      </text>
    </comment>
    <comment ref="M104" authorId="0" shapeId="0" xr:uid="{00000000-0006-0000-0100-00008E020000}">
      <text>
        <r>
          <rPr>
            <sz val="10"/>
            <color rgb="FF000000"/>
            <rFont val="Arial"/>
            <scheme val="minor"/>
          </rPr>
          <t>blank</t>
        </r>
      </text>
    </comment>
    <comment ref="N104" authorId="0" shapeId="0" xr:uid="{00000000-0006-0000-0100-00008F020000}">
      <text>
        <r>
          <rPr>
            <sz val="10"/>
            <color rgb="FF000000"/>
            <rFont val="Arial"/>
            <scheme val="minor"/>
          </rPr>
          <t>Harvest
Cost: 1 mana
Kill an enemy with exactly 1 hp
+3 mana
Cooldown</t>
        </r>
      </text>
    </comment>
    <comment ref="H105" authorId="0" shapeId="0" xr:uid="{00000000-0006-0000-0100-000090020000}">
      <text>
        <r>
          <rPr>
            <sz val="10"/>
            <color rgb="FF000000"/>
            <rFont val="Arial"/>
            <scheme val="minor"/>
          </rPr>
          <t>Shield 1
Single-use, Perma-boost</t>
        </r>
      </text>
    </comment>
    <comment ref="I105" authorId="0" shapeId="0" xr:uid="{00000000-0006-0000-0100-000091020000}">
      <text>
        <r>
          <rPr>
            <sz val="10"/>
            <color rgb="FF000000"/>
            <rFont val="Arial"/>
            <scheme val="minor"/>
          </rPr>
          <t>blank</t>
        </r>
      </text>
    </comment>
    <comment ref="J105" authorId="0" shapeId="0" xr:uid="{00000000-0006-0000-0100-000092020000}">
      <text>
        <r>
          <rPr>
            <sz val="10"/>
            <color rgb="FF000000"/>
            <rFont val="Arial"/>
            <scheme val="minor"/>
          </rPr>
          <t>Stun an enemy
Single-use</t>
        </r>
      </text>
    </comment>
    <comment ref="K105" authorId="0" shapeId="0" xr:uid="{00000000-0006-0000-0100-000093020000}">
      <text>
        <r>
          <rPr>
            <sz val="10"/>
            <color rgb="FF000000"/>
            <rFont val="Arial"/>
            <scheme val="minor"/>
          </rPr>
          <t>Shield 1
Repel, Rescue, Rampage</t>
        </r>
      </text>
    </comment>
    <comment ref="L105" authorId="0" shapeId="0" xr:uid="{00000000-0006-0000-0100-000094020000}">
      <text>
        <r>
          <rPr>
            <sz val="10"/>
            <color rgb="FF000000"/>
            <rFont val="Arial"/>
            <scheme val="minor"/>
          </rPr>
          <t>Heal 666
Rampage</t>
        </r>
      </text>
    </comment>
    <comment ref="M105" authorId="0" shapeId="0" xr:uid="{00000000-0006-0000-0100-000095020000}">
      <text>
        <r>
          <rPr>
            <sz val="10"/>
            <color rgb="FF000000"/>
            <rFont val="Arial"/>
            <scheme val="minor"/>
          </rPr>
          <t>blank</t>
        </r>
      </text>
    </comment>
    <comment ref="N105" authorId="0" shapeId="0" xr:uid="{00000000-0006-0000-0100-000096020000}">
      <text>
        <r>
          <rPr>
            <sz val="10"/>
            <color rgb="FF000000"/>
            <rFont val="Arial"/>
            <scheme val="minor"/>
          </rPr>
          <t>Abyss
Cost: 1 mana
Kill an ally
+5 mana
Single-cast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0200-000001000000}">
      <text>
        <r>
          <rPr>
            <sz val="10"/>
            <color rgb="FF000000"/>
            <rFont val="Arial"/>
            <scheme val="minor"/>
          </rPr>
          <t>Left</t>
        </r>
      </text>
    </comment>
    <comment ref="H3" authorId="0" shapeId="0" xr:uid="{00000000-0006-0000-0200-000002000000}">
      <text>
        <r>
          <rPr>
            <sz val="10"/>
            <color rgb="FF000000"/>
            <rFont val="Arial"/>
            <scheme val="minor"/>
          </rPr>
          <t>Middle</t>
        </r>
      </text>
    </comment>
    <comment ref="I3" authorId="0" shapeId="0" xr:uid="{00000000-0006-0000-0200-000003000000}">
      <text>
        <r>
          <rPr>
            <sz val="10"/>
            <color rgb="FF000000"/>
            <rFont val="Arial"/>
            <scheme val="minor"/>
          </rPr>
          <t>Top</t>
        </r>
      </text>
    </comment>
    <comment ref="J3" authorId="0" shapeId="0" xr:uid="{00000000-0006-0000-0200-000004000000}">
      <text>
        <r>
          <rPr>
            <sz val="10"/>
            <color rgb="FF000000"/>
            <rFont val="Arial"/>
            <scheme val="minor"/>
          </rPr>
          <t>Bottom</t>
        </r>
      </text>
    </comment>
    <comment ref="K3" authorId="0" shapeId="0" xr:uid="{00000000-0006-0000-0200-000005000000}">
      <text>
        <r>
          <rPr>
            <sz val="10"/>
            <color rgb="FF000000"/>
            <rFont val="Arial"/>
            <scheme val="minor"/>
          </rPr>
          <t>Right</t>
        </r>
      </text>
    </comment>
    <comment ref="L3" authorId="0" shapeId="0" xr:uid="{00000000-0006-0000-0200-000006000000}">
      <text>
        <r>
          <rPr>
            <sz val="10"/>
            <color rgb="FF000000"/>
            <rFont val="Arial"/>
            <scheme val="minor"/>
          </rPr>
          <t>Rightmost</t>
        </r>
      </text>
    </comment>
    <comment ref="E4" authorId="0" shapeId="0" xr:uid="{00000000-0006-0000-0200-000007000000}">
      <text>
        <r>
          <rPr>
            <sz val="10"/>
            <color rgb="FF000000"/>
            <rFont val="Arial"/>
            <scheme val="minor"/>
          </rPr>
          <t>4 hp</t>
        </r>
      </text>
    </comment>
    <comment ref="G4" authorId="0" shapeId="0" xr:uid="{00000000-0006-0000-0200-000008000000}">
      <text>
        <r>
          <rPr>
            <sz val="10"/>
            <color rgb="FF000000"/>
            <rFont val="Arial"/>
            <scheme val="minor"/>
          </rPr>
          <t>4 damage</t>
        </r>
      </text>
    </comment>
    <comment ref="H4" authorId="0" shapeId="0" xr:uid="{00000000-0006-0000-0200-000009000000}">
      <text>
        <r>
          <rPr>
            <sz val="10"/>
            <color rgb="FF000000"/>
            <rFont val="Arial"/>
            <scheme val="minor"/>
          </rPr>
          <t>4 damage</t>
        </r>
      </text>
    </comment>
    <comment ref="I4" authorId="0" shapeId="0" xr:uid="{00000000-0006-0000-0200-00000A000000}">
      <text>
        <r>
          <rPr>
            <sz val="10"/>
            <color rgb="FF000000"/>
            <rFont val="Arial"/>
            <scheme val="minor"/>
          </rPr>
          <t>4 damage</t>
        </r>
      </text>
    </comment>
    <comment ref="J4" authorId="0" shapeId="0" xr:uid="{00000000-0006-0000-0200-00000B000000}">
      <text>
        <r>
          <rPr>
            <sz val="10"/>
            <color rgb="FF000000"/>
            <rFont val="Arial"/>
            <scheme val="minor"/>
          </rPr>
          <t>4 damage</t>
        </r>
      </text>
    </comment>
    <comment ref="K4" authorId="0" shapeId="0" xr:uid="{00000000-0006-0000-0200-00000C000000}">
      <text>
        <r>
          <rPr>
            <sz val="10"/>
            <color rgb="FF000000"/>
            <rFont val="Arial"/>
            <scheme val="minor"/>
          </rPr>
          <t>3 damage</t>
        </r>
      </text>
    </comment>
    <comment ref="L4" authorId="0" shapeId="0" xr:uid="{00000000-0006-0000-0200-00000D000000}">
      <text>
        <r>
          <rPr>
            <sz val="10"/>
            <color rgb="FF000000"/>
            <rFont val="Arial"/>
            <scheme val="minor"/>
          </rPr>
          <t>3 damage</t>
        </r>
      </text>
    </comment>
    <comment ref="D5" authorId="0" shapeId="0" xr:uid="{00000000-0006-0000-0200-00000E000000}">
      <text>
        <r>
          <rPr>
            <sz val="10"/>
            <color rgb="FF000000"/>
            <rFont val="Arial"/>
            <scheme val="minor"/>
          </rPr>
          <t>slimelet</t>
        </r>
      </text>
    </comment>
    <comment ref="E5" authorId="0" shapeId="0" xr:uid="{00000000-0006-0000-0200-00000F000000}">
      <text>
        <r>
          <rPr>
            <sz val="10"/>
            <color rgb="FF000000"/>
            <rFont val="Arial"/>
            <scheme val="minor"/>
          </rPr>
          <t>2 hp</t>
        </r>
      </text>
    </comment>
    <comment ref="G5" authorId="0" shapeId="0" xr:uid="{00000000-0006-0000-0200-000010000000}">
      <text>
        <r>
          <rPr>
            <sz val="10"/>
            <color rgb="FF000000"/>
            <rFont val="Arial"/>
            <scheme val="minor"/>
          </rPr>
          <t>3 damage</t>
        </r>
      </text>
    </comment>
    <comment ref="H5" authorId="0" shapeId="0" xr:uid="{00000000-0006-0000-0200-000011000000}">
      <text>
        <r>
          <rPr>
            <sz val="10"/>
            <color rgb="FF000000"/>
            <rFont val="Arial"/>
            <scheme val="minor"/>
          </rPr>
          <t>3 damage</t>
        </r>
      </text>
    </comment>
    <comment ref="I5" authorId="0" shapeId="0" xr:uid="{00000000-0006-0000-0200-000012000000}">
      <text>
        <r>
          <rPr>
            <sz val="10"/>
            <color rgb="FF000000"/>
            <rFont val="Arial"/>
            <scheme val="minor"/>
          </rPr>
          <t>3 damage</t>
        </r>
      </text>
    </comment>
    <comment ref="J5" authorId="0" shapeId="0" xr:uid="{00000000-0006-0000-0200-000013000000}">
      <text>
        <r>
          <rPr>
            <sz val="10"/>
            <color rgb="FF000000"/>
            <rFont val="Arial"/>
            <scheme val="minor"/>
          </rPr>
          <t>3 damage</t>
        </r>
      </text>
    </comment>
    <comment ref="K5" authorId="0" shapeId="0" xr:uid="{00000000-0006-0000-0200-000014000000}">
      <text>
        <r>
          <rPr>
            <sz val="10"/>
            <color rgb="FF000000"/>
            <rFont val="Arial"/>
            <scheme val="minor"/>
          </rPr>
          <t>blank</t>
        </r>
      </text>
    </comment>
    <comment ref="L5" authorId="0" shapeId="0" xr:uid="{00000000-0006-0000-0200-000015000000}">
      <text>
        <r>
          <rPr>
            <sz val="10"/>
            <color rgb="FF000000"/>
            <rFont val="Arial"/>
            <scheme val="minor"/>
          </rPr>
          <t>blank</t>
        </r>
      </text>
    </comment>
    <comment ref="E6" authorId="0" shapeId="0" xr:uid="{00000000-0006-0000-0200-000016000000}">
      <text>
        <r>
          <rPr>
            <sz val="10"/>
            <color rgb="FF000000"/>
            <rFont val="Arial"/>
            <scheme val="minor"/>
          </rPr>
          <t>1 hp</t>
        </r>
      </text>
    </comment>
    <comment ref="G6" authorId="0" shapeId="0" xr:uid="{00000000-0006-0000-0200-000017000000}">
      <text>
        <r>
          <rPr>
            <sz val="10"/>
            <color rgb="FF000000"/>
            <rFont val="Arial"/>
            <scheme val="minor"/>
          </rPr>
          <t>2 damage
Weaken</t>
        </r>
      </text>
    </comment>
    <comment ref="H6" authorId="0" shapeId="0" xr:uid="{00000000-0006-0000-0200-000018000000}">
      <text>
        <r>
          <rPr>
            <sz val="10"/>
            <color rgb="FF000000"/>
            <rFont val="Arial"/>
            <scheme val="minor"/>
          </rPr>
          <t>1 damage
Weaken</t>
        </r>
      </text>
    </comment>
    <comment ref="I6" authorId="0" shapeId="0" xr:uid="{00000000-0006-0000-0200-000019000000}">
      <text>
        <r>
          <rPr>
            <sz val="10"/>
            <color rgb="FF000000"/>
            <rFont val="Arial"/>
            <scheme val="minor"/>
          </rPr>
          <t>1 damage
Petrify</t>
        </r>
      </text>
    </comment>
    <comment ref="J6" authorId="0" shapeId="0" xr:uid="{00000000-0006-0000-0200-00001A000000}">
      <text>
        <r>
          <rPr>
            <sz val="10"/>
            <color rgb="FF000000"/>
            <rFont val="Arial"/>
            <scheme val="minor"/>
          </rPr>
          <t>1 damage
Petrify</t>
        </r>
      </text>
    </comment>
    <comment ref="K6" authorId="0" shapeId="0" xr:uid="{00000000-0006-0000-0200-00001B000000}">
      <text>
        <r>
          <rPr>
            <sz val="10"/>
            <color rgb="FF000000"/>
            <rFont val="Arial"/>
            <scheme val="minor"/>
          </rPr>
          <t>1 damage
Weaken</t>
        </r>
      </text>
    </comment>
    <comment ref="L6" authorId="0" shapeId="0" xr:uid="{00000000-0006-0000-0200-00001C000000}">
      <text>
        <r>
          <rPr>
            <sz val="10"/>
            <color rgb="FF000000"/>
            <rFont val="Arial"/>
            <scheme val="minor"/>
          </rPr>
          <t>1 damage
Weaken</t>
        </r>
      </text>
    </comment>
    <comment ref="E7" authorId="0" shapeId="0" xr:uid="{00000000-0006-0000-0200-00001D000000}">
      <text>
        <r>
          <rPr>
            <sz val="10"/>
            <color rgb="FF000000"/>
            <rFont val="Arial"/>
            <scheme val="minor"/>
          </rPr>
          <t>4 hp</t>
        </r>
      </text>
    </comment>
    <comment ref="G7" authorId="0" shapeId="0" xr:uid="{00000000-0006-0000-0200-00001E000000}">
      <text>
        <r>
          <rPr>
            <sz val="10"/>
            <color rgb="FF000000"/>
            <rFont val="Arial"/>
            <scheme val="minor"/>
          </rPr>
          <t>4 damage</t>
        </r>
      </text>
    </comment>
    <comment ref="H7" authorId="0" shapeId="0" xr:uid="{00000000-0006-0000-0200-00001F000000}">
      <text>
        <r>
          <rPr>
            <sz val="10"/>
            <color rgb="FF000000"/>
            <rFont val="Arial"/>
            <scheme val="minor"/>
          </rPr>
          <t>4 damage</t>
        </r>
      </text>
    </comment>
    <comment ref="I7" authorId="0" shapeId="0" xr:uid="{00000000-0006-0000-0200-000020000000}">
      <text>
        <r>
          <rPr>
            <sz val="10"/>
            <color rgb="FF000000"/>
            <rFont val="Arial"/>
            <scheme val="minor"/>
          </rPr>
          <t>1 damage
Poison</t>
        </r>
      </text>
    </comment>
    <comment ref="J7" authorId="0" shapeId="0" xr:uid="{00000000-0006-0000-0200-000021000000}">
      <text>
        <r>
          <rPr>
            <sz val="10"/>
            <color rgb="FF000000"/>
            <rFont val="Arial"/>
            <scheme val="minor"/>
          </rPr>
          <t>1 damage
Poison</t>
        </r>
      </text>
    </comment>
    <comment ref="K7" authorId="0" shapeId="0" xr:uid="{00000000-0006-0000-0200-000022000000}">
      <text>
        <r>
          <rPr>
            <sz val="10"/>
            <color rgb="FF000000"/>
            <rFont val="Arial"/>
            <scheme val="minor"/>
          </rPr>
          <t>4 damage</t>
        </r>
      </text>
    </comment>
    <comment ref="L7" authorId="0" shapeId="0" xr:uid="{00000000-0006-0000-0200-000023000000}">
      <text>
        <r>
          <rPr>
            <sz val="10"/>
            <color rgb="FF000000"/>
            <rFont val="Arial"/>
            <scheme val="minor"/>
          </rPr>
          <t>Summon a bones</t>
        </r>
      </text>
    </comment>
    <comment ref="E8" authorId="0" shapeId="0" xr:uid="{00000000-0006-0000-0200-000024000000}">
      <text>
        <r>
          <rPr>
            <sz val="10"/>
            <color rgb="FF000000"/>
            <rFont val="Arial"/>
            <scheme val="minor"/>
          </rPr>
          <t>3 hp</t>
        </r>
      </text>
    </comment>
    <comment ref="G8" authorId="0" shapeId="0" xr:uid="{00000000-0006-0000-0200-000025000000}">
      <text>
        <r>
          <rPr>
            <sz val="10"/>
            <color rgb="FF000000"/>
            <rFont val="Arial"/>
            <scheme val="minor"/>
          </rPr>
          <t>5 damage</t>
        </r>
      </text>
    </comment>
    <comment ref="H8" authorId="0" shapeId="0" xr:uid="{00000000-0006-0000-0200-000026000000}">
      <text>
        <r>
          <rPr>
            <sz val="10"/>
            <color rgb="FF000000"/>
            <rFont val="Arial"/>
            <scheme val="minor"/>
          </rPr>
          <t>5 damage</t>
        </r>
      </text>
    </comment>
    <comment ref="I8" authorId="0" shapeId="0" xr:uid="{00000000-0006-0000-0200-000027000000}">
      <text>
        <r>
          <rPr>
            <sz val="10"/>
            <color rgb="FF000000"/>
            <rFont val="Arial"/>
            <scheme val="minor"/>
          </rPr>
          <t>5 damage</t>
        </r>
      </text>
    </comment>
    <comment ref="J8" authorId="0" shapeId="0" xr:uid="{00000000-0006-0000-0200-000028000000}">
      <text>
        <r>
          <rPr>
            <sz val="10"/>
            <color rgb="FF000000"/>
            <rFont val="Arial"/>
            <scheme val="minor"/>
          </rPr>
          <t>5 damage</t>
        </r>
      </text>
    </comment>
    <comment ref="K8" authorId="0" shapeId="0" xr:uid="{00000000-0006-0000-0200-000029000000}">
      <text>
        <r>
          <rPr>
            <sz val="10"/>
            <color rgb="FF000000"/>
            <rFont val="Arial"/>
            <scheme val="minor"/>
          </rPr>
          <t>4 damage
Eliminate</t>
        </r>
      </text>
    </comment>
    <comment ref="L8" authorId="0" shapeId="0" xr:uid="{00000000-0006-0000-0200-00002A000000}">
      <text>
        <r>
          <rPr>
            <sz val="10"/>
            <color rgb="FF000000"/>
            <rFont val="Arial"/>
            <scheme val="minor"/>
          </rPr>
          <t>4 damage
Eliminate</t>
        </r>
      </text>
    </comment>
    <comment ref="E9" authorId="0" shapeId="0" xr:uid="{00000000-0006-0000-0200-00002B000000}">
      <text>
        <r>
          <rPr>
            <sz val="10"/>
            <color rgb="FF000000"/>
            <rFont val="Arial"/>
            <scheme val="minor"/>
          </rPr>
          <t xml:space="preserve">5 hp
HP 3: +1 mana
</t>
        </r>
      </text>
    </comment>
    <comment ref="G9" authorId="0" shapeId="0" xr:uid="{00000000-0006-0000-0200-00002C000000}">
      <text>
        <r>
          <rPr>
            <sz val="10"/>
            <color rgb="FF000000"/>
            <rFont val="Arial"/>
            <scheme val="minor"/>
          </rPr>
          <t>2 damage
Inflict-pain</t>
        </r>
      </text>
    </comment>
    <comment ref="H9" authorId="0" shapeId="0" xr:uid="{00000000-0006-0000-0200-00002D000000}">
      <text>
        <r>
          <rPr>
            <sz val="10"/>
            <color rgb="FF000000"/>
            <rFont val="Arial"/>
            <scheme val="minor"/>
          </rPr>
          <t>2 damage
Inflict-pain</t>
        </r>
      </text>
    </comment>
    <comment ref="I9" authorId="0" shapeId="0" xr:uid="{00000000-0006-0000-0200-00002E000000}">
      <text>
        <r>
          <rPr>
            <sz val="10"/>
            <color rgb="FF000000"/>
            <rFont val="Arial"/>
            <scheme val="minor"/>
          </rPr>
          <t>2 damage
Inflict-pain</t>
        </r>
      </text>
    </comment>
    <comment ref="J9" authorId="0" shapeId="0" xr:uid="{00000000-0006-0000-0200-00002F000000}">
      <text>
        <r>
          <rPr>
            <sz val="10"/>
            <color rgb="FF000000"/>
            <rFont val="Arial"/>
            <scheme val="minor"/>
          </rPr>
          <t>2 damage
Inflict-pain</t>
        </r>
      </text>
    </comment>
    <comment ref="K9" authorId="0" shapeId="0" xr:uid="{00000000-0006-0000-0200-000030000000}">
      <text>
        <r>
          <rPr>
            <sz val="10"/>
            <color rgb="FF000000"/>
            <rFont val="Arial"/>
            <scheme val="minor"/>
          </rPr>
          <t>Summon a bones</t>
        </r>
      </text>
    </comment>
    <comment ref="L9" authorId="0" shapeId="0" xr:uid="{00000000-0006-0000-0200-000031000000}">
      <text>
        <r>
          <rPr>
            <sz val="10"/>
            <color rgb="FF000000"/>
            <rFont val="Arial"/>
            <scheme val="minor"/>
          </rPr>
          <t>Summon a bones</t>
        </r>
      </text>
    </comment>
    <comment ref="E10" authorId="0" shapeId="0" xr:uid="{00000000-0006-0000-0200-000032000000}">
      <text>
        <r>
          <rPr>
            <sz val="10"/>
            <color rgb="FF000000"/>
            <rFont val="Arial"/>
            <scheme val="minor"/>
          </rPr>
          <t>3 hp</t>
        </r>
      </text>
    </comment>
    <comment ref="G10" authorId="0" shapeId="0" xr:uid="{00000000-0006-0000-0200-000033000000}">
      <text>
        <r>
          <rPr>
            <sz val="10"/>
            <color rgb="FF000000"/>
            <rFont val="Arial"/>
            <scheme val="minor"/>
          </rPr>
          <t>3 damage</t>
        </r>
      </text>
    </comment>
    <comment ref="H10" authorId="0" shapeId="0" xr:uid="{00000000-0006-0000-0200-000034000000}">
      <text>
        <r>
          <rPr>
            <sz val="10"/>
            <color rgb="FF000000"/>
            <rFont val="Arial"/>
            <scheme val="minor"/>
          </rPr>
          <t>3 damage</t>
        </r>
      </text>
    </comment>
    <comment ref="I10" authorId="0" shapeId="0" xr:uid="{00000000-0006-0000-0200-000035000000}">
      <text>
        <r>
          <rPr>
            <sz val="10"/>
            <color rgb="FF000000"/>
            <rFont val="Arial"/>
            <scheme val="minor"/>
          </rPr>
          <t>3 damage</t>
        </r>
      </text>
    </comment>
    <comment ref="J10" authorId="0" shapeId="0" xr:uid="{00000000-0006-0000-0200-000036000000}">
      <text>
        <r>
          <rPr>
            <sz val="10"/>
            <color rgb="FF000000"/>
            <rFont val="Arial"/>
            <scheme val="minor"/>
          </rPr>
          <t>3 damage</t>
        </r>
      </text>
    </comment>
    <comment ref="K10" authorId="0" shapeId="0" xr:uid="{00000000-0006-0000-0200-000037000000}">
      <text>
        <r>
          <rPr>
            <sz val="10"/>
            <color rgb="FF000000"/>
            <rFont val="Arial"/>
            <scheme val="minor"/>
          </rPr>
          <t>2 damage</t>
        </r>
      </text>
    </comment>
    <comment ref="L10" authorId="0" shapeId="0" xr:uid="{00000000-0006-0000-0200-000038000000}">
      <text>
        <r>
          <rPr>
            <sz val="10"/>
            <color rgb="FF000000"/>
            <rFont val="Arial"/>
            <scheme val="minor"/>
          </rPr>
          <t>2 damage</t>
        </r>
      </text>
    </comment>
    <comment ref="E11" authorId="0" shapeId="0" xr:uid="{00000000-0006-0000-0200-000039000000}">
      <text>
        <r>
          <rPr>
            <sz val="10"/>
            <color rgb="FF000000"/>
            <rFont val="Arial"/>
            <scheme val="minor"/>
          </rPr>
          <t>2 hp</t>
        </r>
      </text>
    </comment>
    <comment ref="G11" authorId="0" shapeId="0" xr:uid="{00000000-0006-0000-0200-00003A000000}">
      <text>
        <r>
          <rPr>
            <sz val="10"/>
            <color rgb="FF000000"/>
            <rFont val="Arial"/>
            <scheme val="minor"/>
          </rPr>
          <t>3 damage</t>
        </r>
      </text>
    </comment>
    <comment ref="H11" authorId="0" shapeId="0" xr:uid="{00000000-0006-0000-0200-00003B000000}">
      <text>
        <r>
          <rPr>
            <sz val="10"/>
            <color rgb="FF000000"/>
            <rFont val="Arial"/>
            <scheme val="minor"/>
          </rPr>
          <t>3 damage</t>
        </r>
      </text>
    </comment>
    <comment ref="I11" authorId="0" shapeId="0" xr:uid="{00000000-0006-0000-0200-00003C000000}">
      <text>
        <r>
          <rPr>
            <sz val="10"/>
            <color rgb="FF000000"/>
            <rFont val="Arial"/>
            <scheme val="minor"/>
          </rPr>
          <t>2 damage</t>
        </r>
      </text>
    </comment>
    <comment ref="J11" authorId="0" shapeId="0" xr:uid="{00000000-0006-0000-0200-00003D000000}">
      <text>
        <r>
          <rPr>
            <sz val="10"/>
            <color rgb="FF000000"/>
            <rFont val="Arial"/>
            <scheme val="minor"/>
          </rPr>
          <t>2 damage</t>
        </r>
      </text>
    </comment>
    <comment ref="K11" authorId="0" shapeId="0" xr:uid="{00000000-0006-0000-0200-00003E000000}">
      <text>
        <r>
          <rPr>
            <sz val="10"/>
            <color rgb="FF000000"/>
            <rFont val="Arial"/>
            <scheme val="minor"/>
          </rPr>
          <t>2 damage</t>
        </r>
      </text>
    </comment>
    <comment ref="L11" authorId="0" shapeId="0" xr:uid="{00000000-0006-0000-0200-00003F000000}">
      <text>
        <r>
          <rPr>
            <sz val="10"/>
            <color rgb="FF000000"/>
            <rFont val="Arial"/>
            <scheme val="minor"/>
          </rPr>
          <t>2 damage</t>
        </r>
      </text>
    </comment>
    <comment ref="E12" authorId="0" shapeId="0" xr:uid="{00000000-0006-0000-0200-000040000000}">
      <text>
        <r>
          <rPr>
            <sz val="10"/>
            <color rgb="FF000000"/>
            <rFont val="Arial"/>
            <scheme val="minor"/>
          </rPr>
          <t>2 hp</t>
        </r>
      </text>
    </comment>
    <comment ref="G12" authorId="0" shapeId="0" xr:uid="{00000000-0006-0000-0200-000041000000}">
      <text>
        <r>
          <rPr>
            <sz val="10"/>
            <color rgb="FF000000"/>
            <rFont val="Arial"/>
            <scheme val="minor"/>
          </rPr>
          <t>4 damage
Eliminate</t>
        </r>
      </text>
    </comment>
    <comment ref="H12" authorId="0" shapeId="0" xr:uid="{00000000-0006-0000-0200-000042000000}">
      <text>
        <r>
          <rPr>
            <sz val="10"/>
            <color rgb="FF000000"/>
            <rFont val="Arial"/>
            <scheme val="minor"/>
          </rPr>
          <t>4 damage
Eliminate</t>
        </r>
      </text>
    </comment>
    <comment ref="I12" authorId="0" shapeId="0" xr:uid="{00000000-0006-0000-0200-000043000000}">
      <text>
        <r>
          <rPr>
            <sz val="10"/>
            <color rgb="FF000000"/>
            <rFont val="Arial"/>
            <scheme val="minor"/>
          </rPr>
          <t>2 damage
Petrify</t>
        </r>
      </text>
    </comment>
    <comment ref="J12" authorId="0" shapeId="0" xr:uid="{00000000-0006-0000-0200-000044000000}">
      <text>
        <r>
          <rPr>
            <sz val="10"/>
            <color rgb="FF000000"/>
            <rFont val="Arial"/>
            <scheme val="minor"/>
          </rPr>
          <t>2 damage
Petrify</t>
        </r>
      </text>
    </comment>
    <comment ref="K12" authorId="0" shapeId="0" xr:uid="{00000000-0006-0000-0200-000045000000}">
      <text>
        <r>
          <rPr>
            <sz val="10"/>
            <color rgb="FF000000"/>
            <rFont val="Arial"/>
            <scheme val="minor"/>
          </rPr>
          <t>1 damage
Petrify</t>
        </r>
      </text>
    </comment>
    <comment ref="L12" authorId="0" shapeId="0" xr:uid="{00000000-0006-0000-0200-000046000000}">
      <text>
        <r>
          <rPr>
            <sz val="10"/>
            <color rgb="FF000000"/>
            <rFont val="Arial"/>
            <scheme val="minor"/>
          </rPr>
          <t>1 damage
Petrify</t>
        </r>
      </text>
    </comment>
    <comment ref="E13" authorId="0" shapeId="0" xr:uid="{00000000-0006-0000-0200-000047000000}">
      <text>
        <r>
          <rPr>
            <sz val="10"/>
            <color rgb="FF000000"/>
            <rFont val="Arial"/>
            <scheme val="minor"/>
          </rPr>
          <t>4 hp</t>
        </r>
      </text>
    </comment>
    <comment ref="G13" authorId="0" shapeId="0" xr:uid="{00000000-0006-0000-0200-000048000000}">
      <text>
        <r>
          <rPr>
            <sz val="10"/>
            <color rgb="FF000000"/>
            <rFont val="Arial"/>
            <scheme val="minor"/>
          </rPr>
          <t>3 damage</t>
        </r>
      </text>
    </comment>
    <comment ref="H13" authorId="0" shapeId="0" xr:uid="{00000000-0006-0000-0200-000049000000}">
      <text>
        <r>
          <rPr>
            <sz val="10"/>
            <color rgb="FF000000"/>
            <rFont val="Arial"/>
            <scheme val="minor"/>
          </rPr>
          <t>3 damage</t>
        </r>
      </text>
    </comment>
    <comment ref="I13" authorId="0" shapeId="0" xr:uid="{00000000-0006-0000-0200-00004A000000}">
      <text>
        <r>
          <rPr>
            <sz val="10"/>
            <color rgb="FF000000"/>
            <rFont val="Arial"/>
            <scheme val="minor"/>
          </rPr>
          <t>3 damage</t>
        </r>
      </text>
    </comment>
    <comment ref="J13" authorId="0" shapeId="0" xr:uid="{00000000-0006-0000-0200-00004B000000}">
      <text>
        <r>
          <rPr>
            <sz val="10"/>
            <color rgb="FF000000"/>
            <rFont val="Arial"/>
            <scheme val="minor"/>
          </rPr>
          <t>3 damage</t>
        </r>
      </text>
    </comment>
    <comment ref="K13" authorId="0" shapeId="0" xr:uid="{00000000-0006-0000-0200-00004C000000}">
      <text>
        <r>
          <rPr>
            <sz val="10"/>
            <color rgb="FF000000"/>
            <rFont val="Arial"/>
            <scheme val="minor"/>
          </rPr>
          <t>1 damage
Poison</t>
        </r>
      </text>
    </comment>
    <comment ref="L13" authorId="0" shapeId="0" xr:uid="{00000000-0006-0000-0200-00004D000000}">
      <text>
        <r>
          <rPr>
            <sz val="10"/>
            <color rgb="FF000000"/>
            <rFont val="Arial"/>
            <scheme val="minor"/>
          </rPr>
          <t>1 damage
Poison</t>
        </r>
      </text>
    </comment>
    <comment ref="E14" authorId="0" shapeId="0" xr:uid="{00000000-0006-0000-0200-00004E000000}">
      <text>
        <r>
          <rPr>
            <sz val="10"/>
            <color rgb="FF000000"/>
            <rFont val="Arial"/>
            <scheme val="minor"/>
          </rPr>
          <t>3 hp
HP 1,2,3: these hp must be removed individually</t>
        </r>
      </text>
    </comment>
    <comment ref="G14" authorId="0" shapeId="0" xr:uid="{00000000-0006-0000-0200-00004F000000}">
      <text>
        <r>
          <rPr>
            <sz val="10"/>
            <color rgb="FF000000"/>
            <rFont val="Arial"/>
            <scheme val="minor"/>
          </rPr>
          <t>Summon a bones</t>
        </r>
      </text>
    </comment>
    <comment ref="H14" authorId="0" shapeId="0" xr:uid="{00000000-0006-0000-0200-000050000000}">
      <text>
        <r>
          <rPr>
            <sz val="10"/>
            <color rgb="FF000000"/>
            <rFont val="Arial"/>
            <scheme val="minor"/>
          </rPr>
          <t>Summon a bones</t>
        </r>
      </text>
    </comment>
    <comment ref="I14" authorId="0" shapeId="0" xr:uid="{00000000-0006-0000-0200-000051000000}">
      <text>
        <r>
          <rPr>
            <sz val="10"/>
            <color rgb="FF000000"/>
            <rFont val="Arial"/>
            <scheme val="minor"/>
          </rPr>
          <t>Summon a bones</t>
        </r>
      </text>
    </comment>
    <comment ref="J14" authorId="0" shapeId="0" xr:uid="{00000000-0006-0000-0200-000052000000}">
      <text>
        <r>
          <rPr>
            <sz val="10"/>
            <color rgb="FF000000"/>
            <rFont val="Arial"/>
            <scheme val="minor"/>
          </rPr>
          <t>Summon a bones</t>
        </r>
      </text>
    </comment>
    <comment ref="K14" authorId="0" shapeId="0" xr:uid="{00000000-0006-0000-0200-000053000000}">
      <text>
        <r>
          <rPr>
            <sz val="10"/>
            <color rgb="FF000000"/>
            <rFont val="Arial"/>
            <scheme val="minor"/>
          </rPr>
          <t>Summon a bones</t>
        </r>
      </text>
    </comment>
    <comment ref="L14" authorId="0" shapeId="0" xr:uid="{00000000-0006-0000-0200-000054000000}">
      <text>
        <r>
          <rPr>
            <sz val="10"/>
            <color rgb="FF000000"/>
            <rFont val="Arial"/>
            <scheme val="minor"/>
          </rPr>
          <t>Summon a bones</t>
        </r>
      </text>
    </comment>
    <comment ref="E15" authorId="0" shapeId="0" xr:uid="{00000000-0006-0000-0200-000055000000}">
      <text>
        <r>
          <rPr>
            <sz val="10"/>
            <color rgb="FF000000"/>
            <rFont val="Arial"/>
            <scheme val="minor"/>
          </rPr>
          <t>4 hp</t>
        </r>
      </text>
    </comment>
    <comment ref="G15" authorId="0" shapeId="0" xr:uid="{00000000-0006-0000-0200-000056000000}">
      <text>
        <r>
          <rPr>
            <sz val="10"/>
            <color rgb="FF000000"/>
            <rFont val="Arial"/>
            <scheme val="minor"/>
          </rPr>
          <t>Summon a caw
Death</t>
        </r>
      </text>
    </comment>
    <comment ref="H15" authorId="0" shapeId="0" xr:uid="{00000000-0006-0000-0200-000057000000}">
      <text>
        <r>
          <rPr>
            <sz val="10"/>
            <color rgb="FF000000"/>
            <rFont val="Arial"/>
            <scheme val="minor"/>
          </rPr>
          <t>Summon a caw
Death</t>
        </r>
      </text>
    </comment>
    <comment ref="I15" authorId="0" shapeId="0" xr:uid="{00000000-0006-0000-0200-000058000000}">
      <text>
        <r>
          <rPr>
            <sz val="10"/>
            <color rgb="FF000000"/>
            <rFont val="Arial"/>
            <scheme val="minor"/>
          </rPr>
          <t>blank</t>
        </r>
      </text>
    </comment>
    <comment ref="J15" authorId="0" shapeId="0" xr:uid="{00000000-0006-0000-0200-000059000000}">
      <text>
        <r>
          <rPr>
            <sz val="10"/>
            <color rgb="FF000000"/>
            <rFont val="Arial"/>
            <scheme val="minor"/>
          </rPr>
          <t>blank</t>
        </r>
      </text>
    </comment>
    <comment ref="K15" authorId="0" shapeId="0" xr:uid="{00000000-0006-0000-0200-00005A000000}">
      <text>
        <r>
          <rPr>
            <sz val="10"/>
            <color rgb="FF000000"/>
            <rFont val="Arial"/>
            <scheme val="minor"/>
          </rPr>
          <t>Summon a caw
Death</t>
        </r>
      </text>
    </comment>
    <comment ref="L15" authorId="0" shapeId="0" xr:uid="{00000000-0006-0000-0200-00005B000000}">
      <text>
        <r>
          <rPr>
            <sz val="10"/>
            <color rgb="FF000000"/>
            <rFont val="Arial"/>
            <scheme val="minor"/>
          </rPr>
          <t>blank</t>
        </r>
      </text>
    </comment>
    <comment ref="E16" authorId="0" shapeId="0" xr:uid="{00000000-0006-0000-0200-00005C000000}">
      <text>
        <r>
          <rPr>
            <sz val="10"/>
            <color rgb="FF000000"/>
            <rFont val="Arial"/>
            <scheme val="minor"/>
          </rPr>
          <t>5 hp
HP 5: this hp must be removed individually</t>
        </r>
      </text>
    </comment>
    <comment ref="G17" authorId="0" shapeId="0" xr:uid="{00000000-0006-0000-0200-00005D000000}">
      <text>
        <r>
          <rPr>
            <sz val="10"/>
            <color rgb="FF000000"/>
            <rFont val="Arial"/>
            <scheme val="minor"/>
          </rPr>
          <t>5 damage</t>
        </r>
      </text>
    </comment>
    <comment ref="H17" authorId="0" shapeId="0" xr:uid="{00000000-0006-0000-0200-00005E000000}">
      <text>
        <r>
          <rPr>
            <sz val="10"/>
            <color rgb="FF000000"/>
            <rFont val="Arial"/>
            <scheme val="minor"/>
          </rPr>
          <t>5 damage</t>
        </r>
      </text>
    </comment>
    <comment ref="I17" authorId="0" shapeId="0" xr:uid="{00000000-0006-0000-0200-00005F000000}">
      <text>
        <r>
          <rPr>
            <sz val="10"/>
            <color rgb="FF000000"/>
            <rFont val="Arial"/>
            <scheme val="minor"/>
          </rPr>
          <t>2 damage
Petrify</t>
        </r>
      </text>
    </comment>
    <comment ref="J17" authorId="0" shapeId="0" xr:uid="{00000000-0006-0000-0200-000060000000}">
      <text>
        <r>
          <rPr>
            <sz val="10"/>
            <color rgb="FF000000"/>
            <rFont val="Arial"/>
            <scheme val="minor"/>
          </rPr>
          <t>2 damage
Petrify</t>
        </r>
      </text>
    </comment>
    <comment ref="K17" authorId="0" shapeId="0" xr:uid="{00000000-0006-0000-0200-000061000000}">
      <text>
        <r>
          <rPr>
            <sz val="10"/>
            <color rgb="FF000000"/>
            <rFont val="Arial"/>
            <scheme val="minor"/>
          </rPr>
          <t>Summon a bones</t>
        </r>
      </text>
    </comment>
    <comment ref="L17" authorId="0" shapeId="0" xr:uid="{00000000-0006-0000-0200-000062000000}">
      <text>
        <r>
          <rPr>
            <sz val="10"/>
            <color rgb="FF000000"/>
            <rFont val="Arial"/>
            <scheme val="minor"/>
          </rPr>
          <t>Summon a bones</t>
        </r>
      </text>
    </comment>
    <comment ref="E19" authorId="0" shapeId="0" xr:uid="{00000000-0006-0000-0200-000063000000}">
      <text>
        <r>
          <rPr>
            <sz val="10"/>
            <color rgb="FF000000"/>
            <rFont val="Arial"/>
            <scheme val="minor"/>
          </rPr>
          <t>7 hp
HP 3: Dies if this hp is removed and no further</t>
        </r>
      </text>
    </comment>
    <comment ref="G19" authorId="0" shapeId="0" xr:uid="{00000000-0006-0000-0200-000064000000}">
      <text>
        <r>
          <rPr>
            <sz val="10"/>
            <color rgb="FF000000"/>
            <rFont val="Arial"/>
            <scheme val="minor"/>
          </rPr>
          <t>5 damage
Inflict single-use</t>
        </r>
      </text>
    </comment>
    <comment ref="H19" authorId="0" shapeId="0" xr:uid="{00000000-0006-0000-0200-000065000000}">
      <text>
        <r>
          <rPr>
            <sz val="10"/>
            <color rgb="FF000000"/>
            <rFont val="Arial"/>
            <scheme val="minor"/>
          </rPr>
          <t>5 damage
Inflict single-use</t>
        </r>
      </text>
    </comment>
    <comment ref="I19" authorId="0" shapeId="0" xr:uid="{00000000-0006-0000-0200-000066000000}">
      <text>
        <r>
          <rPr>
            <sz val="10"/>
            <color rgb="FF000000"/>
            <rFont val="Arial"/>
            <scheme val="minor"/>
          </rPr>
          <t>2 damage
Weaken</t>
        </r>
      </text>
    </comment>
    <comment ref="J19" authorId="0" shapeId="0" xr:uid="{00000000-0006-0000-0200-000067000000}">
      <text>
        <r>
          <rPr>
            <sz val="10"/>
            <color rgb="FF000000"/>
            <rFont val="Arial"/>
            <scheme val="minor"/>
          </rPr>
          <t>2 damage
Weaken</t>
        </r>
      </text>
    </comment>
    <comment ref="K19" authorId="0" shapeId="0" xr:uid="{00000000-0006-0000-0200-000068000000}">
      <text>
        <r>
          <rPr>
            <sz val="10"/>
            <color rgb="FF000000"/>
            <rFont val="Arial"/>
            <scheme val="minor"/>
          </rPr>
          <t>2 damage
Weaken</t>
        </r>
      </text>
    </comment>
    <comment ref="L19" authorId="0" shapeId="0" xr:uid="{00000000-0006-0000-0200-000069000000}">
      <text>
        <r>
          <rPr>
            <sz val="10"/>
            <color rgb="FF000000"/>
            <rFont val="Arial"/>
            <scheme val="minor"/>
          </rPr>
          <t>2 damage
Weaken</t>
        </r>
      </text>
    </comment>
    <comment ref="E20" authorId="0" shapeId="0" xr:uid="{00000000-0006-0000-0200-00006A000000}">
      <text>
        <r>
          <rPr>
            <sz val="10"/>
            <color rgb="FF000000"/>
            <rFont val="Arial"/>
            <scheme val="minor"/>
          </rPr>
          <t>6 hp</t>
        </r>
      </text>
    </comment>
    <comment ref="G20" authorId="0" shapeId="0" xr:uid="{00000000-0006-0000-0200-00006B000000}">
      <text>
        <r>
          <rPr>
            <sz val="10"/>
            <color rgb="FF000000"/>
            <rFont val="Arial"/>
            <scheme val="minor"/>
          </rPr>
          <t>4 damage</t>
        </r>
      </text>
    </comment>
    <comment ref="H20" authorId="0" shapeId="0" xr:uid="{00000000-0006-0000-0200-00006C000000}">
      <text>
        <r>
          <rPr>
            <sz val="10"/>
            <color rgb="FF000000"/>
            <rFont val="Arial"/>
            <scheme val="minor"/>
          </rPr>
          <t>4 damage</t>
        </r>
      </text>
    </comment>
    <comment ref="I20" authorId="0" shapeId="0" xr:uid="{00000000-0006-0000-0200-00006D000000}">
      <text>
        <r>
          <rPr>
            <sz val="10"/>
            <color rgb="FF000000"/>
            <rFont val="Arial"/>
            <scheme val="minor"/>
          </rPr>
          <t>3 damage</t>
        </r>
      </text>
    </comment>
    <comment ref="J20" authorId="0" shapeId="0" xr:uid="{00000000-0006-0000-0200-00006E000000}">
      <text>
        <r>
          <rPr>
            <sz val="10"/>
            <color rgb="FF000000"/>
            <rFont val="Arial"/>
            <scheme val="minor"/>
          </rPr>
          <t>3 damage</t>
        </r>
      </text>
    </comment>
    <comment ref="K20" authorId="0" shapeId="0" xr:uid="{00000000-0006-0000-0200-00006F000000}">
      <text>
        <r>
          <rPr>
            <sz val="10"/>
            <color rgb="FF000000"/>
            <rFont val="Arial"/>
            <scheme val="minor"/>
          </rPr>
          <t>1 damage
Cleave</t>
        </r>
      </text>
    </comment>
    <comment ref="L20" authorId="0" shapeId="0" xr:uid="{00000000-0006-0000-0200-000070000000}">
      <text>
        <r>
          <rPr>
            <sz val="10"/>
            <color rgb="FF000000"/>
            <rFont val="Arial"/>
            <scheme val="minor"/>
          </rPr>
          <t>1 damage
Cleave</t>
        </r>
      </text>
    </comment>
    <comment ref="E21" authorId="0" shapeId="0" xr:uid="{00000000-0006-0000-0200-000071000000}">
      <text>
        <r>
          <rPr>
            <sz val="10"/>
            <color rgb="FF000000"/>
            <rFont val="Arial"/>
            <scheme val="minor"/>
          </rPr>
          <t>5 hp</t>
        </r>
      </text>
    </comment>
    <comment ref="G21" authorId="0" shapeId="0" xr:uid="{00000000-0006-0000-0200-000072000000}">
      <text>
        <r>
          <rPr>
            <sz val="10"/>
            <color rgb="FF000000"/>
            <rFont val="Arial"/>
            <scheme val="minor"/>
          </rPr>
          <t>2 damage
Poison</t>
        </r>
      </text>
    </comment>
    <comment ref="H21" authorId="0" shapeId="0" xr:uid="{00000000-0006-0000-0200-000073000000}">
      <text>
        <r>
          <rPr>
            <sz val="10"/>
            <color rgb="FF000000"/>
            <rFont val="Arial"/>
            <scheme val="minor"/>
          </rPr>
          <t>2 damage
Poison</t>
        </r>
      </text>
    </comment>
    <comment ref="I21" authorId="0" shapeId="0" xr:uid="{00000000-0006-0000-0200-000074000000}">
      <text>
        <r>
          <rPr>
            <sz val="10"/>
            <color rgb="FF000000"/>
            <rFont val="Arial"/>
            <scheme val="minor"/>
          </rPr>
          <t>1 damage
Poison</t>
        </r>
      </text>
    </comment>
    <comment ref="J21" authorId="0" shapeId="0" xr:uid="{00000000-0006-0000-0200-000075000000}">
      <text>
        <r>
          <rPr>
            <sz val="10"/>
            <color rgb="FF000000"/>
            <rFont val="Arial"/>
            <scheme val="minor"/>
          </rPr>
          <t>1 damage
Poison</t>
        </r>
      </text>
    </comment>
    <comment ref="K21" authorId="0" shapeId="0" xr:uid="{00000000-0006-0000-0200-000076000000}">
      <text>
        <r>
          <rPr>
            <sz val="10"/>
            <color rgb="FF000000"/>
            <rFont val="Arial"/>
            <scheme val="minor"/>
          </rPr>
          <t>1 damage
Poison</t>
        </r>
      </text>
    </comment>
    <comment ref="L21" authorId="0" shapeId="0" xr:uid="{00000000-0006-0000-0200-000077000000}">
      <text>
        <r>
          <rPr>
            <sz val="10"/>
            <color rgb="FF000000"/>
            <rFont val="Arial"/>
            <scheme val="minor"/>
          </rPr>
          <t>1 damage
Poison</t>
        </r>
      </text>
    </comment>
    <comment ref="E22" authorId="0" shapeId="0" xr:uid="{00000000-0006-0000-0200-000078000000}">
      <text>
        <r>
          <rPr>
            <sz val="10"/>
            <color rgb="FF000000"/>
            <rFont val="Arial"/>
            <scheme val="minor"/>
          </rPr>
          <t>13 hp</t>
        </r>
      </text>
    </comment>
    <comment ref="G22" authorId="0" shapeId="0" xr:uid="{00000000-0006-0000-0200-000079000000}">
      <text>
        <r>
          <rPr>
            <sz val="10"/>
            <color rgb="FF000000"/>
            <rFont val="Arial"/>
            <scheme val="minor"/>
          </rPr>
          <t>8 damage
Pain</t>
        </r>
      </text>
    </comment>
    <comment ref="H22" authorId="0" shapeId="0" xr:uid="{00000000-0006-0000-0200-00007A000000}">
      <text>
        <r>
          <rPr>
            <sz val="10"/>
            <color rgb="FF000000"/>
            <rFont val="Arial"/>
            <scheme val="minor"/>
          </rPr>
          <t>8 damage
Pain</t>
        </r>
      </text>
    </comment>
    <comment ref="I22" authorId="0" shapeId="0" xr:uid="{00000000-0006-0000-0200-00007B000000}">
      <text>
        <r>
          <rPr>
            <sz val="10"/>
            <color rgb="FF000000"/>
            <rFont val="Arial"/>
            <scheme val="minor"/>
          </rPr>
          <t>6 damage
Pain</t>
        </r>
      </text>
    </comment>
    <comment ref="J22" authorId="0" shapeId="0" xr:uid="{00000000-0006-0000-0200-00007C000000}">
      <text>
        <r>
          <rPr>
            <sz val="10"/>
            <color rgb="FF000000"/>
            <rFont val="Arial"/>
            <scheme val="minor"/>
          </rPr>
          <t>6 damage
Pain</t>
        </r>
      </text>
    </comment>
    <comment ref="K22" authorId="0" shapeId="0" xr:uid="{00000000-0006-0000-0200-00007D000000}">
      <text>
        <r>
          <rPr>
            <sz val="10"/>
            <color rgb="FF000000"/>
            <rFont val="Arial"/>
            <scheme val="minor"/>
          </rPr>
          <t>4 damage
Pain</t>
        </r>
      </text>
    </comment>
    <comment ref="L22" authorId="0" shapeId="0" xr:uid="{00000000-0006-0000-0200-00007E000000}">
      <text>
        <r>
          <rPr>
            <sz val="10"/>
            <color rgb="FF000000"/>
            <rFont val="Arial"/>
            <scheme val="minor"/>
          </rPr>
          <t>4 damage
Pain</t>
        </r>
      </text>
    </comment>
    <comment ref="E23" authorId="0" shapeId="0" xr:uid="{00000000-0006-0000-0200-00007F000000}">
      <text>
        <r>
          <rPr>
            <sz val="10"/>
            <color rgb="FF000000"/>
            <rFont val="Arial"/>
            <scheme val="minor"/>
          </rPr>
          <t>3 hp</t>
        </r>
      </text>
    </comment>
    <comment ref="G23" authorId="0" shapeId="0" xr:uid="{00000000-0006-0000-0200-000080000000}">
      <text>
        <r>
          <rPr>
            <sz val="10"/>
            <color rgb="FF000000"/>
            <rFont val="Arial"/>
            <scheme val="minor"/>
          </rPr>
          <t>5 damage
Heavy</t>
        </r>
      </text>
    </comment>
    <comment ref="H23" authorId="0" shapeId="0" xr:uid="{00000000-0006-0000-0200-000081000000}">
      <text>
        <r>
          <rPr>
            <sz val="10"/>
            <color rgb="FF000000"/>
            <rFont val="Arial"/>
            <scheme val="minor"/>
          </rPr>
          <t>5 damage
Heavy</t>
        </r>
      </text>
    </comment>
    <comment ref="I23" authorId="0" shapeId="0" xr:uid="{00000000-0006-0000-0200-000082000000}">
      <text>
        <r>
          <rPr>
            <sz val="10"/>
            <color rgb="FF000000"/>
            <rFont val="Arial"/>
            <scheme val="minor"/>
          </rPr>
          <t>6 damage
Exert</t>
        </r>
      </text>
    </comment>
    <comment ref="J23" authorId="0" shapeId="0" xr:uid="{00000000-0006-0000-0200-000083000000}">
      <text>
        <r>
          <rPr>
            <sz val="10"/>
            <color rgb="FF000000"/>
            <rFont val="Arial"/>
            <scheme val="minor"/>
          </rPr>
          <t>6 damage
Exert</t>
        </r>
      </text>
    </comment>
    <comment ref="K23" authorId="0" shapeId="0" xr:uid="{00000000-0006-0000-0200-000084000000}">
      <text>
        <r>
          <rPr>
            <sz val="10"/>
            <color rgb="FF000000"/>
            <rFont val="Arial"/>
            <scheme val="minor"/>
          </rPr>
          <t>4 damage
Heavy</t>
        </r>
      </text>
    </comment>
    <comment ref="L23" authorId="0" shapeId="0" xr:uid="{00000000-0006-0000-0200-000085000000}">
      <text>
        <r>
          <rPr>
            <sz val="10"/>
            <color rgb="FF000000"/>
            <rFont val="Arial"/>
            <scheme val="minor"/>
          </rPr>
          <t>4 damage
Heavy</t>
        </r>
      </text>
    </comment>
    <comment ref="E24" authorId="0" shapeId="0" xr:uid="{00000000-0006-0000-0200-000086000000}">
      <text>
        <r>
          <rPr>
            <sz val="10"/>
            <color rgb="FF000000"/>
            <rFont val="Arial"/>
            <scheme val="minor"/>
          </rPr>
          <t>5 hp</t>
        </r>
      </text>
    </comment>
    <comment ref="G24" authorId="0" shapeId="0" xr:uid="{00000000-0006-0000-0200-000087000000}">
      <text>
        <r>
          <rPr>
            <sz val="10"/>
            <color rgb="FF000000"/>
            <rFont val="Arial"/>
            <scheme val="minor"/>
          </rPr>
          <t>4 damage</t>
        </r>
      </text>
    </comment>
    <comment ref="H24" authorId="0" shapeId="0" xr:uid="{00000000-0006-0000-0200-000088000000}">
      <text>
        <r>
          <rPr>
            <sz val="10"/>
            <color rgb="FF000000"/>
            <rFont val="Arial"/>
            <scheme val="minor"/>
          </rPr>
          <t>4 damage</t>
        </r>
      </text>
    </comment>
    <comment ref="I24" authorId="0" shapeId="0" xr:uid="{00000000-0006-0000-0200-000089000000}">
      <text>
        <r>
          <rPr>
            <sz val="10"/>
            <color rgb="FF000000"/>
            <rFont val="Arial"/>
            <scheme val="minor"/>
          </rPr>
          <t>3 damage
Eliminate</t>
        </r>
      </text>
    </comment>
    <comment ref="J24" authorId="0" shapeId="0" xr:uid="{00000000-0006-0000-0200-00008A000000}">
      <text>
        <r>
          <rPr>
            <sz val="10"/>
            <color rgb="FF000000"/>
            <rFont val="Arial"/>
            <scheme val="minor"/>
          </rPr>
          <t>3 damage
Eliminate</t>
        </r>
      </text>
    </comment>
    <comment ref="K24" authorId="0" shapeId="0" xr:uid="{00000000-0006-0000-0200-00008B000000}">
      <text>
        <r>
          <rPr>
            <sz val="10"/>
            <color rgb="FF000000"/>
            <rFont val="Arial"/>
            <scheme val="minor"/>
          </rPr>
          <t>1 damage
Cleave</t>
        </r>
      </text>
    </comment>
    <comment ref="L24" authorId="0" shapeId="0" xr:uid="{00000000-0006-0000-0200-00008C000000}">
      <text>
        <r>
          <rPr>
            <sz val="10"/>
            <color rgb="FF000000"/>
            <rFont val="Arial"/>
            <scheme val="minor"/>
          </rPr>
          <t>1 damage
Cleave</t>
        </r>
      </text>
    </comment>
    <comment ref="E25" authorId="0" shapeId="0" xr:uid="{00000000-0006-0000-0200-00008D000000}">
      <text>
        <r>
          <rPr>
            <sz val="10"/>
            <color rgb="FF000000"/>
            <rFont val="Arial"/>
            <scheme val="minor"/>
          </rPr>
          <t>6 hp</t>
        </r>
      </text>
    </comment>
    <comment ref="G25" authorId="0" shapeId="0" xr:uid="{00000000-0006-0000-0200-00008E000000}">
      <text>
        <r>
          <rPr>
            <sz val="10"/>
            <color rgb="FF000000"/>
            <rFont val="Arial"/>
            <scheme val="minor"/>
          </rPr>
          <t>2 damage</t>
        </r>
      </text>
    </comment>
    <comment ref="H25" authorId="0" shapeId="0" xr:uid="{00000000-0006-0000-0200-00008F000000}">
      <text>
        <r>
          <rPr>
            <sz val="10"/>
            <color rgb="FF000000"/>
            <rFont val="Arial"/>
            <scheme val="minor"/>
          </rPr>
          <t>1 damage</t>
        </r>
      </text>
    </comment>
    <comment ref="I25" authorId="0" shapeId="0" xr:uid="{00000000-0006-0000-0200-000090000000}">
      <text>
        <r>
          <rPr>
            <sz val="10"/>
            <color rgb="FF000000"/>
            <rFont val="Arial"/>
            <scheme val="minor"/>
          </rPr>
          <t>4 damage</t>
        </r>
      </text>
    </comment>
    <comment ref="J25" authorId="0" shapeId="0" xr:uid="{00000000-0006-0000-0200-000091000000}">
      <text>
        <r>
          <rPr>
            <sz val="10"/>
            <color rgb="FF000000"/>
            <rFont val="Arial"/>
            <scheme val="minor"/>
          </rPr>
          <t>3 damage</t>
        </r>
      </text>
    </comment>
    <comment ref="K25" authorId="0" shapeId="0" xr:uid="{00000000-0006-0000-0200-000092000000}">
      <text>
        <r>
          <rPr>
            <sz val="10"/>
            <color rgb="FF000000"/>
            <rFont val="Arial"/>
            <scheme val="minor"/>
          </rPr>
          <t>5 damage</t>
        </r>
      </text>
    </comment>
    <comment ref="L25" authorId="0" shapeId="0" xr:uid="{00000000-0006-0000-0200-000093000000}">
      <text>
        <r>
          <rPr>
            <sz val="10"/>
            <color rgb="FF000000"/>
            <rFont val="Arial"/>
            <scheme val="minor"/>
          </rPr>
          <t>6 damage</t>
        </r>
      </text>
    </comment>
    <comment ref="E26" authorId="0" shapeId="0" xr:uid="{00000000-0006-0000-0200-000094000000}">
      <text>
        <r>
          <rPr>
            <sz val="10"/>
            <color rgb="FF000000"/>
            <rFont val="Arial"/>
            <scheme val="minor"/>
          </rPr>
          <t>10 hp</t>
        </r>
      </text>
    </comment>
    <comment ref="G26" authorId="0" shapeId="0" xr:uid="{00000000-0006-0000-0200-000095000000}">
      <text>
        <r>
          <rPr>
            <sz val="10"/>
            <color rgb="FF000000"/>
            <rFont val="Arial"/>
            <scheme val="minor"/>
          </rPr>
          <t>12 damage
Death</t>
        </r>
      </text>
    </comment>
    <comment ref="H26" authorId="0" shapeId="0" xr:uid="{00000000-0006-0000-0200-000096000000}">
      <text>
        <r>
          <rPr>
            <sz val="10"/>
            <color rgb="FF000000"/>
            <rFont val="Arial"/>
            <scheme val="minor"/>
          </rPr>
          <t>5 damage</t>
        </r>
      </text>
    </comment>
    <comment ref="I26" authorId="0" shapeId="0" xr:uid="{00000000-0006-0000-0200-000097000000}">
      <text>
        <r>
          <rPr>
            <sz val="10"/>
            <color rgb="FF000000"/>
            <rFont val="Arial"/>
            <scheme val="minor"/>
          </rPr>
          <t>8 damage
Exert</t>
        </r>
      </text>
    </comment>
    <comment ref="J26" authorId="0" shapeId="0" xr:uid="{00000000-0006-0000-0200-000098000000}">
      <text>
        <r>
          <rPr>
            <sz val="10"/>
            <color rgb="FF000000"/>
            <rFont val="Arial"/>
            <scheme val="minor"/>
          </rPr>
          <t>8 damage
Exert</t>
        </r>
      </text>
    </comment>
    <comment ref="K26" authorId="0" shapeId="0" xr:uid="{00000000-0006-0000-0200-000099000000}">
      <text>
        <r>
          <rPr>
            <sz val="10"/>
            <color rgb="FF000000"/>
            <rFont val="Arial"/>
            <scheme val="minor"/>
          </rPr>
          <t>5 damage</t>
        </r>
      </text>
    </comment>
    <comment ref="L26" authorId="0" shapeId="0" xr:uid="{00000000-0006-0000-0200-00009A000000}">
      <text>
        <r>
          <rPr>
            <sz val="10"/>
            <color rgb="FF000000"/>
            <rFont val="Arial"/>
            <scheme val="minor"/>
          </rPr>
          <t>5 damage</t>
        </r>
      </text>
    </comment>
    <comment ref="E27" authorId="0" shapeId="0" xr:uid="{00000000-0006-0000-0200-00009B000000}">
      <text>
        <r>
          <rPr>
            <sz val="10"/>
            <color rgb="FF000000"/>
            <rFont val="Arial"/>
            <scheme val="minor"/>
          </rPr>
          <t>7 hp</t>
        </r>
      </text>
    </comment>
    <comment ref="G27" authorId="0" shapeId="0" xr:uid="{00000000-0006-0000-0200-00009C000000}">
      <text>
        <r>
          <rPr>
            <sz val="10"/>
            <color rgb="FF000000"/>
            <rFont val="Arial"/>
            <scheme val="minor"/>
          </rPr>
          <t>2 damage</t>
        </r>
      </text>
    </comment>
    <comment ref="H27" authorId="0" shapeId="0" xr:uid="{00000000-0006-0000-0200-00009D000000}">
      <text>
        <r>
          <rPr>
            <sz val="10"/>
            <color rgb="FF000000"/>
            <rFont val="Arial"/>
            <scheme val="minor"/>
          </rPr>
          <t>2 damage</t>
        </r>
      </text>
    </comment>
    <comment ref="I27" authorId="0" shapeId="0" xr:uid="{00000000-0006-0000-0200-00009E000000}">
      <text>
        <r>
          <rPr>
            <sz val="10"/>
            <color rgb="FF000000"/>
            <rFont val="Arial"/>
            <scheme val="minor"/>
          </rPr>
          <t>2 damage</t>
        </r>
      </text>
    </comment>
    <comment ref="J27" authorId="0" shapeId="0" xr:uid="{00000000-0006-0000-0200-00009F000000}">
      <text>
        <r>
          <rPr>
            <sz val="10"/>
            <color rgb="FF000000"/>
            <rFont val="Arial"/>
            <scheme val="minor"/>
          </rPr>
          <t>2 damage</t>
        </r>
      </text>
    </comment>
    <comment ref="K27" authorId="0" shapeId="0" xr:uid="{00000000-0006-0000-0200-0000A0000000}">
      <text>
        <r>
          <rPr>
            <sz val="10"/>
            <color rgb="FF000000"/>
            <rFont val="Arial"/>
            <scheme val="minor"/>
          </rPr>
          <t>2 damage</t>
        </r>
      </text>
    </comment>
    <comment ref="L27" authorId="0" shapeId="0" xr:uid="{00000000-0006-0000-0200-0000A1000000}">
      <text>
        <r>
          <rPr>
            <sz val="10"/>
            <color rgb="FF000000"/>
            <rFont val="Arial"/>
            <scheme val="minor"/>
          </rPr>
          <t>2 damage</t>
        </r>
      </text>
    </comment>
    <comment ref="E28" authorId="0" shapeId="0" xr:uid="{00000000-0006-0000-0200-0000A2000000}">
      <text>
        <r>
          <rPr>
            <sz val="10"/>
            <color rgb="FF000000"/>
            <rFont val="Arial"/>
            <scheme val="minor"/>
          </rPr>
          <t>8 hp</t>
        </r>
      </text>
    </comment>
    <comment ref="G28" authorId="0" shapeId="0" xr:uid="{00000000-0006-0000-0200-0000A3000000}">
      <text>
        <r>
          <rPr>
            <sz val="10"/>
            <color rgb="FF000000"/>
            <rFont val="Arial"/>
            <scheme val="minor"/>
          </rPr>
          <t>6 damage</t>
        </r>
      </text>
    </comment>
    <comment ref="H28" authorId="0" shapeId="0" xr:uid="{00000000-0006-0000-0200-0000A4000000}">
      <text>
        <r>
          <rPr>
            <sz val="10"/>
            <color rgb="FF000000"/>
            <rFont val="Arial"/>
            <scheme val="minor"/>
          </rPr>
          <t>6 damage</t>
        </r>
      </text>
    </comment>
    <comment ref="I28" authorId="0" shapeId="0" xr:uid="{00000000-0006-0000-0200-0000A5000000}">
      <text>
        <r>
          <rPr>
            <sz val="10"/>
            <color rgb="FF000000"/>
            <rFont val="Arial"/>
            <scheme val="minor"/>
          </rPr>
          <t>5 damage</t>
        </r>
      </text>
    </comment>
    <comment ref="J28" authorId="0" shapeId="0" xr:uid="{00000000-0006-0000-0200-0000A6000000}">
      <text>
        <r>
          <rPr>
            <sz val="10"/>
            <color rgb="FF000000"/>
            <rFont val="Arial"/>
            <scheme val="minor"/>
          </rPr>
          <t>5 damage</t>
        </r>
      </text>
    </comment>
    <comment ref="K28" authorId="0" shapeId="0" xr:uid="{00000000-0006-0000-0200-0000A7000000}">
      <text>
        <r>
          <rPr>
            <sz val="10"/>
            <color rgb="FF000000"/>
            <rFont val="Arial"/>
            <scheme val="minor"/>
          </rPr>
          <t>2 damage
Poison</t>
        </r>
      </text>
    </comment>
    <comment ref="L28" authorId="0" shapeId="0" xr:uid="{00000000-0006-0000-0200-0000A8000000}">
      <text>
        <r>
          <rPr>
            <sz val="10"/>
            <color rgb="FF000000"/>
            <rFont val="Arial"/>
            <scheme val="minor"/>
          </rPr>
          <t>1 damage
Poison</t>
        </r>
      </text>
    </comment>
    <comment ref="E29" authorId="0" shapeId="0" xr:uid="{00000000-0006-0000-0200-0000A9000000}">
      <text>
        <r>
          <rPr>
            <sz val="10"/>
            <color rgb="FF000000"/>
            <rFont val="Arial"/>
            <scheme val="minor"/>
          </rPr>
          <t>6 hp</t>
        </r>
      </text>
    </comment>
    <comment ref="G29" authorId="0" shapeId="0" xr:uid="{00000000-0006-0000-0200-0000AA000000}">
      <text>
        <r>
          <rPr>
            <sz val="10"/>
            <color rgb="FF000000"/>
            <rFont val="Arial"/>
            <scheme val="minor"/>
          </rPr>
          <t>blank</t>
        </r>
      </text>
    </comment>
    <comment ref="H29" authorId="0" shapeId="0" xr:uid="{00000000-0006-0000-0200-0000AB000000}">
      <text>
        <r>
          <rPr>
            <sz val="10"/>
            <color rgb="FF000000"/>
            <rFont val="Arial"/>
            <scheme val="minor"/>
          </rPr>
          <t>blank</t>
        </r>
      </text>
    </comment>
    <comment ref="I29" authorId="0" shapeId="0" xr:uid="{00000000-0006-0000-0200-0000AC000000}">
      <text>
        <r>
          <rPr>
            <sz val="10"/>
            <color rgb="FF000000"/>
            <rFont val="Arial"/>
            <scheme val="minor"/>
          </rPr>
          <t>blank</t>
        </r>
      </text>
    </comment>
    <comment ref="J29" authorId="0" shapeId="0" xr:uid="{00000000-0006-0000-0200-0000AD000000}">
      <text>
        <r>
          <rPr>
            <sz val="10"/>
            <color rgb="FF000000"/>
            <rFont val="Arial"/>
            <scheme val="minor"/>
          </rPr>
          <t>blank</t>
        </r>
      </text>
    </comment>
    <comment ref="K29" authorId="0" shapeId="0" xr:uid="{00000000-0006-0000-0200-0000AE000000}">
      <text>
        <r>
          <rPr>
            <sz val="10"/>
            <color rgb="FF000000"/>
            <rFont val="Arial"/>
            <scheme val="minor"/>
          </rPr>
          <t>blank</t>
        </r>
      </text>
    </comment>
    <comment ref="L29" authorId="0" shapeId="0" xr:uid="{00000000-0006-0000-0200-0000AF000000}">
      <text>
        <r>
          <rPr>
            <sz val="10"/>
            <color rgb="FF000000"/>
            <rFont val="Arial"/>
            <scheme val="minor"/>
          </rPr>
          <t>blank</t>
        </r>
      </text>
    </comment>
    <comment ref="E30" authorId="0" shapeId="0" xr:uid="{00000000-0006-0000-0200-0000B0000000}">
      <text>
        <r>
          <rPr>
            <sz val="10"/>
            <color rgb="FF000000"/>
            <rFont val="Arial"/>
            <scheme val="minor"/>
          </rPr>
          <t>6 hp</t>
        </r>
      </text>
    </comment>
    <comment ref="G30" authorId="0" shapeId="0" xr:uid="{00000000-0006-0000-0200-0000B1000000}">
      <text>
        <r>
          <rPr>
            <sz val="10"/>
            <color rgb="FF000000"/>
            <rFont val="Arial"/>
            <scheme val="minor"/>
          </rPr>
          <t>Summon a dragon
Death</t>
        </r>
      </text>
    </comment>
    <comment ref="H30" authorId="0" shapeId="0" xr:uid="{00000000-0006-0000-0200-0000B2000000}">
      <text>
        <r>
          <rPr>
            <sz val="10"/>
            <color rgb="FF000000"/>
            <rFont val="Arial"/>
            <scheme val="minor"/>
          </rPr>
          <t>Summon a dragon
Death</t>
        </r>
      </text>
    </comment>
    <comment ref="I30" authorId="0" shapeId="0" xr:uid="{00000000-0006-0000-0200-0000B3000000}">
      <text>
        <r>
          <rPr>
            <sz val="10"/>
            <color rgb="FF000000"/>
            <rFont val="Arial"/>
            <scheme val="minor"/>
          </rPr>
          <t>blank</t>
        </r>
      </text>
    </comment>
    <comment ref="J30" authorId="0" shapeId="0" xr:uid="{00000000-0006-0000-0200-0000B4000000}">
      <text>
        <r>
          <rPr>
            <sz val="10"/>
            <color rgb="FF000000"/>
            <rFont val="Arial"/>
            <scheme val="minor"/>
          </rPr>
          <t>blank</t>
        </r>
      </text>
    </comment>
    <comment ref="K30" authorId="0" shapeId="0" xr:uid="{00000000-0006-0000-0200-0000B5000000}">
      <text>
        <r>
          <rPr>
            <sz val="10"/>
            <color rgb="FF000000"/>
            <rFont val="Arial"/>
            <scheme val="minor"/>
          </rPr>
          <t>blank</t>
        </r>
      </text>
    </comment>
    <comment ref="L30" authorId="0" shapeId="0" xr:uid="{00000000-0006-0000-0200-0000B6000000}">
      <text>
        <r>
          <rPr>
            <sz val="10"/>
            <color rgb="FF000000"/>
            <rFont val="Arial"/>
            <scheme val="minor"/>
          </rPr>
          <t>blank</t>
        </r>
      </text>
    </comment>
    <comment ref="E31" authorId="0" shapeId="0" xr:uid="{00000000-0006-0000-0200-0000B7000000}">
      <text>
        <r>
          <rPr>
            <sz val="10"/>
            <color rgb="FF000000"/>
            <rFont val="Arial"/>
            <scheme val="minor"/>
          </rPr>
          <t>10 hp</t>
        </r>
      </text>
    </comment>
    <comment ref="G31" authorId="0" shapeId="0" xr:uid="{00000000-0006-0000-0200-0000B8000000}">
      <text>
        <r>
          <rPr>
            <sz val="10"/>
            <color rgb="FF000000"/>
            <rFont val="Arial"/>
            <scheme val="minor"/>
          </rPr>
          <t>3 damage
Cleave</t>
        </r>
      </text>
    </comment>
    <comment ref="H31" authorId="0" shapeId="0" xr:uid="{00000000-0006-0000-0200-0000B9000000}">
      <text>
        <r>
          <rPr>
            <sz val="10"/>
            <color rgb="FF000000"/>
            <rFont val="Arial"/>
            <scheme val="minor"/>
          </rPr>
          <t>3 damage
Cleave</t>
        </r>
      </text>
    </comment>
    <comment ref="I31" authorId="0" shapeId="0" xr:uid="{00000000-0006-0000-0200-0000BA000000}">
      <text>
        <r>
          <rPr>
            <sz val="10"/>
            <color rgb="FF000000"/>
            <rFont val="Arial"/>
            <scheme val="minor"/>
          </rPr>
          <t>2 damage
Poison</t>
        </r>
      </text>
    </comment>
    <comment ref="J31" authorId="0" shapeId="0" xr:uid="{00000000-0006-0000-0200-0000BB000000}">
      <text>
        <r>
          <rPr>
            <sz val="10"/>
            <color rgb="FF000000"/>
            <rFont val="Arial"/>
            <scheme val="minor"/>
          </rPr>
          <t>2 damage
Poison</t>
        </r>
      </text>
    </comment>
    <comment ref="K31" authorId="0" shapeId="0" xr:uid="{00000000-0006-0000-0200-0000BC000000}">
      <text>
        <r>
          <rPr>
            <sz val="10"/>
            <color rgb="FF000000"/>
            <rFont val="Arial"/>
            <scheme val="minor"/>
          </rPr>
          <t>2 damage
Cleave</t>
        </r>
      </text>
    </comment>
    <comment ref="L31" authorId="0" shapeId="0" xr:uid="{00000000-0006-0000-0200-0000BD000000}">
      <text>
        <r>
          <rPr>
            <sz val="10"/>
            <color rgb="FF000000"/>
            <rFont val="Arial"/>
            <scheme val="minor"/>
          </rPr>
          <t>2 damage
Cleave</t>
        </r>
      </text>
    </comment>
    <comment ref="E32" authorId="0" shapeId="0" xr:uid="{00000000-0006-0000-0200-0000BE000000}">
      <text>
        <r>
          <rPr>
            <sz val="10"/>
            <color rgb="FF000000"/>
            <rFont val="Arial"/>
            <scheme val="minor"/>
          </rPr>
          <t>10 hp</t>
        </r>
      </text>
    </comment>
    <comment ref="G32" authorId="0" shapeId="0" xr:uid="{00000000-0006-0000-0200-0000BF000000}">
      <text>
        <r>
          <rPr>
            <sz val="10"/>
            <color rgb="FF000000"/>
            <rFont val="Arial"/>
            <scheme val="minor"/>
          </rPr>
          <t>3 damage
Cleave</t>
        </r>
      </text>
    </comment>
    <comment ref="H32" authorId="0" shapeId="0" xr:uid="{00000000-0006-0000-0200-0000C0000000}">
      <text>
        <r>
          <rPr>
            <sz val="10"/>
            <color rgb="FF000000"/>
            <rFont val="Arial"/>
            <scheme val="minor"/>
          </rPr>
          <t>3 damage
Cleave</t>
        </r>
      </text>
    </comment>
    <comment ref="I32" authorId="0" shapeId="0" xr:uid="{00000000-0006-0000-0200-0000C1000000}">
      <text>
        <r>
          <rPr>
            <sz val="10"/>
            <color rgb="FF000000"/>
            <rFont val="Arial"/>
            <scheme val="minor"/>
          </rPr>
          <t>2 damage
Poison</t>
        </r>
      </text>
    </comment>
    <comment ref="J32" authorId="0" shapeId="0" xr:uid="{00000000-0006-0000-0200-0000C2000000}">
      <text>
        <r>
          <rPr>
            <sz val="10"/>
            <color rgb="FF000000"/>
            <rFont val="Arial"/>
            <scheme val="minor"/>
          </rPr>
          <t>2 damage
Poison</t>
        </r>
      </text>
    </comment>
    <comment ref="K32" authorId="0" shapeId="0" xr:uid="{00000000-0006-0000-0200-0000C3000000}">
      <text>
        <r>
          <rPr>
            <sz val="10"/>
            <color rgb="FF000000"/>
            <rFont val="Arial"/>
            <scheme val="minor"/>
          </rPr>
          <t>2 damage
Cleave</t>
        </r>
      </text>
    </comment>
    <comment ref="L32" authorId="0" shapeId="0" xr:uid="{00000000-0006-0000-0200-0000C4000000}">
      <text>
        <r>
          <rPr>
            <sz val="10"/>
            <color rgb="FF000000"/>
            <rFont val="Arial"/>
            <scheme val="minor"/>
          </rPr>
          <t>2 damage
Cleave</t>
        </r>
      </text>
    </comment>
    <comment ref="E33" authorId="0" shapeId="0" xr:uid="{00000000-0006-0000-0200-0000C5000000}">
      <text>
        <r>
          <rPr>
            <sz val="10"/>
            <color rgb="FF000000"/>
            <rFont val="Arial"/>
            <scheme val="minor"/>
          </rPr>
          <t>6 hp
HP 3: 2 damage to the top-most enemy</t>
        </r>
      </text>
    </comment>
    <comment ref="G33" authorId="0" shapeId="0" xr:uid="{00000000-0006-0000-0200-0000C6000000}">
      <text>
        <r>
          <rPr>
            <sz val="10"/>
            <color rgb="FF000000"/>
            <rFont val="Arial"/>
            <scheme val="minor"/>
          </rPr>
          <t>5 damage
Heavy</t>
        </r>
      </text>
    </comment>
    <comment ref="H33" authorId="0" shapeId="0" xr:uid="{00000000-0006-0000-0200-0000C7000000}">
      <text>
        <r>
          <rPr>
            <sz val="10"/>
            <color rgb="FF000000"/>
            <rFont val="Arial"/>
            <scheme val="minor"/>
          </rPr>
          <t>5 damage
Heavy</t>
        </r>
      </text>
    </comment>
    <comment ref="I33" authorId="0" shapeId="0" xr:uid="{00000000-0006-0000-0200-0000C8000000}">
      <text>
        <r>
          <rPr>
            <sz val="10"/>
            <color rgb="FF000000"/>
            <rFont val="Arial"/>
            <scheme val="minor"/>
          </rPr>
          <t>3 damage
Descend</t>
        </r>
      </text>
    </comment>
    <comment ref="J33" authorId="0" shapeId="0" xr:uid="{00000000-0006-0000-0200-0000C9000000}">
      <text>
        <r>
          <rPr>
            <sz val="10"/>
            <color rgb="FF000000"/>
            <rFont val="Arial"/>
            <scheme val="minor"/>
          </rPr>
          <t>3 damage
Descend</t>
        </r>
      </text>
    </comment>
    <comment ref="K33" authorId="0" shapeId="0" xr:uid="{00000000-0006-0000-0200-0000CA000000}">
      <text>
        <r>
          <rPr>
            <sz val="10"/>
            <color rgb="FF000000"/>
            <rFont val="Arial"/>
            <scheme val="minor"/>
          </rPr>
          <t>5 damage
Heavy</t>
        </r>
      </text>
    </comment>
    <comment ref="L33" authorId="0" shapeId="0" xr:uid="{00000000-0006-0000-0200-0000CB000000}">
      <text>
        <r>
          <rPr>
            <sz val="10"/>
            <color rgb="FF000000"/>
            <rFont val="Arial"/>
            <scheme val="minor"/>
          </rPr>
          <t>2 damage
Poison</t>
        </r>
      </text>
    </comment>
    <comment ref="E34" authorId="0" shapeId="0" xr:uid="{00000000-0006-0000-0200-0000CC000000}">
      <text>
        <r>
          <rPr>
            <sz val="10"/>
            <color rgb="FF000000"/>
            <rFont val="Arial"/>
            <scheme val="minor"/>
          </rPr>
          <t>7 hp
HP 1: this hp must be removed individually</t>
        </r>
      </text>
    </comment>
    <comment ref="G34" authorId="0" shapeId="0" xr:uid="{00000000-0006-0000-0200-0000CD000000}">
      <text>
        <r>
          <rPr>
            <sz val="10"/>
            <color rgb="FF000000"/>
            <rFont val="Arial"/>
            <scheme val="minor"/>
          </rPr>
          <t>4 damage</t>
        </r>
      </text>
    </comment>
    <comment ref="H34" authorId="0" shapeId="0" xr:uid="{00000000-0006-0000-0200-0000CE000000}">
      <text>
        <r>
          <rPr>
            <sz val="10"/>
            <color rgb="FF000000"/>
            <rFont val="Arial"/>
            <scheme val="minor"/>
          </rPr>
          <t>4 damage</t>
        </r>
      </text>
    </comment>
    <comment ref="I34" authorId="0" shapeId="0" xr:uid="{00000000-0006-0000-0200-0000CF000000}">
      <text>
        <r>
          <rPr>
            <sz val="10"/>
            <color rgb="FF000000"/>
            <rFont val="Arial"/>
            <scheme val="minor"/>
          </rPr>
          <t>4 damage</t>
        </r>
      </text>
    </comment>
    <comment ref="J34" authorId="0" shapeId="0" xr:uid="{00000000-0006-0000-0200-0000D0000000}">
      <text>
        <r>
          <rPr>
            <sz val="10"/>
            <color rgb="FF000000"/>
            <rFont val="Arial"/>
            <scheme val="minor"/>
          </rPr>
          <t>4 damage</t>
        </r>
      </text>
    </comment>
    <comment ref="K34" authorId="0" shapeId="0" xr:uid="{00000000-0006-0000-0200-0000D1000000}">
      <text>
        <r>
          <rPr>
            <sz val="10"/>
            <color rgb="FF000000"/>
            <rFont val="Arial"/>
            <scheme val="minor"/>
          </rPr>
          <t>2 damage
Flanking</t>
        </r>
      </text>
    </comment>
    <comment ref="L34" authorId="0" shapeId="0" xr:uid="{00000000-0006-0000-0200-0000D2000000}">
      <text>
        <r>
          <rPr>
            <sz val="10"/>
            <color rgb="FF000000"/>
            <rFont val="Arial"/>
            <scheme val="minor"/>
          </rPr>
          <t>2 damage
Flanking</t>
        </r>
      </text>
    </comment>
    <comment ref="E35" authorId="0" shapeId="0" xr:uid="{00000000-0006-0000-0200-0000D3000000}">
      <text>
        <r>
          <rPr>
            <sz val="10"/>
            <color rgb="FF000000"/>
            <rFont val="Arial"/>
            <scheme val="minor"/>
          </rPr>
          <t>7 hp
HP 2, 5: summon a slimelet</t>
        </r>
      </text>
    </comment>
    <comment ref="G35" authorId="0" shapeId="0" xr:uid="{00000000-0006-0000-0200-0000D4000000}">
      <text>
        <r>
          <rPr>
            <sz val="10"/>
            <color rgb="FF000000"/>
            <rFont val="Arial"/>
            <scheme val="minor"/>
          </rPr>
          <t>2 damage
Cleave</t>
        </r>
      </text>
    </comment>
    <comment ref="H35" authorId="0" shapeId="0" xr:uid="{00000000-0006-0000-0200-0000D5000000}">
      <text>
        <r>
          <rPr>
            <sz val="10"/>
            <color rgb="FF000000"/>
            <rFont val="Arial"/>
            <scheme val="minor"/>
          </rPr>
          <t>2 damage
Cleave</t>
        </r>
      </text>
    </comment>
    <comment ref="I35" authorId="0" shapeId="0" xr:uid="{00000000-0006-0000-0200-0000D6000000}">
      <text>
        <r>
          <rPr>
            <sz val="10"/>
            <color rgb="FF000000"/>
            <rFont val="Arial"/>
            <scheme val="minor"/>
          </rPr>
          <t>3 damage
Flanking</t>
        </r>
      </text>
    </comment>
    <comment ref="J35" authorId="0" shapeId="0" xr:uid="{00000000-0006-0000-0200-0000D7000000}">
      <text>
        <r>
          <rPr>
            <sz val="10"/>
            <color rgb="FF000000"/>
            <rFont val="Arial"/>
            <scheme val="minor"/>
          </rPr>
          <t>3 damage
Flanking</t>
        </r>
      </text>
    </comment>
    <comment ref="K35" authorId="0" shapeId="0" xr:uid="{00000000-0006-0000-0200-0000D8000000}">
      <text>
        <r>
          <rPr>
            <sz val="10"/>
            <color rgb="FF000000"/>
            <rFont val="Arial"/>
            <scheme val="minor"/>
          </rPr>
          <t>2 damage
Cleave</t>
        </r>
      </text>
    </comment>
    <comment ref="L35" authorId="0" shapeId="0" xr:uid="{00000000-0006-0000-0200-0000D9000000}">
      <text>
        <r>
          <rPr>
            <sz val="10"/>
            <color rgb="FF000000"/>
            <rFont val="Arial"/>
            <scheme val="minor"/>
          </rPr>
          <t>2 damage
Cleave</t>
        </r>
      </text>
    </comment>
    <comment ref="E36" authorId="0" shapeId="0" xr:uid="{00000000-0006-0000-0200-0000DA000000}">
      <text>
        <r>
          <rPr>
            <sz val="10"/>
            <color rgb="FF000000"/>
            <rFont val="Arial"/>
            <scheme val="minor"/>
          </rPr>
          <t>10 hp
HP 3, 8: +1 to all sides this fight</t>
        </r>
      </text>
    </comment>
    <comment ref="G36" authorId="0" shapeId="0" xr:uid="{00000000-0006-0000-0200-0000DB000000}">
      <text>
        <r>
          <rPr>
            <sz val="10"/>
            <color rgb="FF000000"/>
            <rFont val="Arial"/>
            <scheme val="minor"/>
          </rPr>
          <t>1 damage to all enemies</t>
        </r>
      </text>
    </comment>
    <comment ref="H36" authorId="0" shapeId="0" xr:uid="{00000000-0006-0000-0200-0000DC000000}">
      <text>
        <r>
          <rPr>
            <sz val="10"/>
            <color rgb="FF000000"/>
            <rFont val="Arial"/>
            <scheme val="minor"/>
          </rPr>
          <t>1 damage to all enemies</t>
        </r>
      </text>
    </comment>
    <comment ref="I36" authorId="0" shapeId="0" xr:uid="{00000000-0006-0000-0200-0000DD000000}">
      <text>
        <r>
          <rPr>
            <sz val="10"/>
            <color rgb="FF000000"/>
            <rFont val="Arial"/>
            <scheme val="minor"/>
          </rPr>
          <t>2 damage 
Cleave</t>
        </r>
      </text>
    </comment>
    <comment ref="J36" authorId="0" shapeId="0" xr:uid="{00000000-0006-0000-0200-0000DE000000}">
      <text>
        <r>
          <rPr>
            <sz val="10"/>
            <color rgb="FF000000"/>
            <rFont val="Arial"/>
            <scheme val="minor"/>
          </rPr>
          <t>2 damage 
Cleave</t>
        </r>
      </text>
    </comment>
    <comment ref="K36" authorId="0" shapeId="0" xr:uid="{00000000-0006-0000-0200-0000DF000000}">
      <text>
        <r>
          <rPr>
            <sz val="10"/>
            <color rgb="FF000000"/>
            <rFont val="Arial"/>
            <scheme val="minor"/>
          </rPr>
          <t>1 damage to all enemies</t>
        </r>
      </text>
    </comment>
    <comment ref="L36" authorId="0" shapeId="0" xr:uid="{00000000-0006-0000-0200-0000E0000000}">
      <text>
        <r>
          <rPr>
            <sz val="10"/>
            <color rgb="FF000000"/>
            <rFont val="Arial"/>
            <scheme val="minor"/>
          </rPr>
          <t>1 damage to all enemies</t>
        </r>
      </text>
    </comment>
    <comment ref="E37" authorId="0" shapeId="0" xr:uid="{00000000-0006-0000-0200-0000E1000000}">
      <text>
        <r>
          <rPr>
            <sz val="10"/>
            <color rgb="FF000000"/>
            <rFont val="Arial"/>
            <scheme val="minor"/>
          </rPr>
          <t>8 hp</t>
        </r>
      </text>
    </comment>
    <comment ref="G37" authorId="0" shapeId="0" xr:uid="{00000000-0006-0000-0200-0000E2000000}">
      <text>
        <r>
          <rPr>
            <sz val="10"/>
            <color rgb="FF000000"/>
            <rFont val="Arial"/>
            <scheme val="minor"/>
          </rPr>
          <t>3 damage
Cleave</t>
        </r>
      </text>
    </comment>
    <comment ref="H37" authorId="0" shapeId="0" xr:uid="{00000000-0006-0000-0200-0000E3000000}">
      <text>
        <r>
          <rPr>
            <sz val="10"/>
            <color rgb="FF000000"/>
            <rFont val="Arial"/>
            <scheme val="minor"/>
          </rPr>
          <t>3 damage
Cleave</t>
        </r>
      </text>
    </comment>
    <comment ref="I37" authorId="0" shapeId="0" xr:uid="{00000000-0006-0000-0200-0000E4000000}">
      <text>
        <r>
          <rPr>
            <sz val="10"/>
            <color rgb="FF000000"/>
            <rFont val="Arial"/>
            <scheme val="minor"/>
          </rPr>
          <t>2 damage to all enemies</t>
        </r>
      </text>
    </comment>
    <comment ref="J37" authorId="0" shapeId="0" xr:uid="{00000000-0006-0000-0200-0000E5000000}">
      <text>
        <r>
          <rPr>
            <sz val="10"/>
            <color rgb="FF000000"/>
            <rFont val="Arial"/>
            <scheme val="minor"/>
          </rPr>
          <t>2 damage to all enemies</t>
        </r>
      </text>
    </comment>
    <comment ref="K37" authorId="0" shapeId="0" xr:uid="{00000000-0006-0000-0200-0000E6000000}">
      <text>
        <r>
          <rPr>
            <sz val="10"/>
            <color rgb="FF000000"/>
            <rFont val="Arial"/>
            <scheme val="minor"/>
          </rPr>
          <t>Summon 2 bones</t>
        </r>
      </text>
    </comment>
    <comment ref="L37" authorId="0" shapeId="0" xr:uid="{00000000-0006-0000-0200-0000E7000000}">
      <text>
        <r>
          <rPr>
            <sz val="10"/>
            <color rgb="FF000000"/>
            <rFont val="Arial"/>
            <scheme val="minor"/>
          </rPr>
          <t>Summon 2 bones</t>
        </r>
      </text>
    </comment>
    <comment ref="N37" authorId="0" shapeId="0" xr:uid="{00000000-0006-0000-0200-0000E8000000}">
      <text>
        <r>
          <rPr>
            <sz val="10"/>
            <color rgb="FF000000"/>
            <rFont val="Arial"/>
            <scheme val="minor"/>
          </rPr>
          <t>Jinx names:
Jinx-3m: -3 max mana
Jinx-ss: Slow spells+
Jinx-nb: No Burst
Jinx-bp: Bottom Poison+
Jinx-ds: Death Shield+
Jinx-md: Mana Debt+
Jinx-s: Second single-use
Jinx-sd: Slippery Dice
Jinx-sg: Stony Grasp
Jinx-hw: Heavy Weapon
Jinx-f: Frail Edges
Jinx-ml: Monster Left +3</t>
        </r>
      </text>
    </comment>
    <comment ref="E40" authorId="0" shapeId="0" xr:uid="{00000000-0006-0000-0200-0000E9000000}">
      <text>
        <r>
          <rPr>
            <sz val="10"/>
            <color rgb="FF000000"/>
            <rFont val="Arial"/>
            <scheme val="minor"/>
          </rPr>
          <t>6 hp
HP 4: Become immune to damage this turn</t>
        </r>
      </text>
    </comment>
    <comment ref="G40" authorId="0" shapeId="0" xr:uid="{00000000-0006-0000-0200-0000EA000000}">
      <text>
        <r>
          <rPr>
            <sz val="10"/>
            <color rgb="FF000000"/>
            <rFont val="Arial"/>
            <scheme val="minor"/>
          </rPr>
          <t>6 damage
Eliminate</t>
        </r>
      </text>
    </comment>
    <comment ref="H40" authorId="0" shapeId="0" xr:uid="{00000000-0006-0000-0200-0000EB000000}">
      <text>
        <r>
          <rPr>
            <sz val="10"/>
            <color rgb="FF000000"/>
            <rFont val="Arial"/>
            <scheme val="minor"/>
          </rPr>
          <t>6 damage
Eliminate</t>
        </r>
      </text>
    </comment>
    <comment ref="I40" authorId="0" shapeId="0" xr:uid="{00000000-0006-0000-0200-0000EC000000}">
      <text>
        <r>
          <rPr>
            <sz val="10"/>
            <color rgb="FF000000"/>
            <rFont val="Arial"/>
            <scheme val="minor"/>
          </rPr>
          <t>4 damage
Descend</t>
        </r>
      </text>
    </comment>
    <comment ref="J40" authorId="0" shapeId="0" xr:uid="{00000000-0006-0000-0200-0000ED000000}">
      <text>
        <r>
          <rPr>
            <sz val="10"/>
            <color rgb="FF000000"/>
            <rFont val="Arial"/>
            <scheme val="minor"/>
          </rPr>
          <t>4 damage
Descend</t>
        </r>
      </text>
    </comment>
    <comment ref="K40" authorId="0" shapeId="0" xr:uid="{00000000-0006-0000-0200-0000EE000000}">
      <text>
        <r>
          <rPr>
            <sz val="10"/>
            <color rgb="FF000000"/>
            <rFont val="Arial"/>
            <scheme val="minor"/>
          </rPr>
          <t>2 damage
Poison</t>
        </r>
      </text>
    </comment>
    <comment ref="L40" authorId="0" shapeId="0" xr:uid="{00000000-0006-0000-0200-0000EF000000}">
      <text>
        <r>
          <rPr>
            <sz val="10"/>
            <color rgb="FF000000"/>
            <rFont val="Arial"/>
            <scheme val="minor"/>
          </rPr>
          <t>2 damage
Poison</t>
        </r>
      </text>
    </comment>
    <comment ref="E41" authorId="0" shapeId="0" xr:uid="{00000000-0006-0000-0200-0000F0000000}">
      <text>
        <r>
          <rPr>
            <sz val="10"/>
            <color rgb="FF000000"/>
            <rFont val="Arial"/>
            <scheme val="minor"/>
          </rPr>
          <t>7 hp</t>
        </r>
      </text>
    </comment>
    <comment ref="G41" authorId="0" shapeId="0" xr:uid="{00000000-0006-0000-0200-0000F1000000}">
      <text>
        <r>
          <rPr>
            <sz val="10"/>
            <color rgb="FF000000"/>
            <rFont val="Arial"/>
            <scheme val="minor"/>
          </rPr>
          <t>7 damage</t>
        </r>
      </text>
    </comment>
    <comment ref="H41" authorId="0" shapeId="0" xr:uid="{00000000-0006-0000-0200-0000F2000000}">
      <text>
        <r>
          <rPr>
            <sz val="10"/>
            <color rgb="FF000000"/>
            <rFont val="Arial"/>
            <scheme val="minor"/>
          </rPr>
          <t>7 damage</t>
        </r>
      </text>
    </comment>
    <comment ref="I41" authorId="0" shapeId="0" xr:uid="{00000000-0006-0000-0200-0000F3000000}">
      <text>
        <r>
          <rPr>
            <sz val="10"/>
            <color rgb="FF000000"/>
            <rFont val="Arial"/>
            <scheme val="minor"/>
          </rPr>
          <t>7 damage</t>
        </r>
      </text>
    </comment>
    <comment ref="J41" authorId="0" shapeId="0" xr:uid="{00000000-0006-0000-0200-0000F4000000}">
      <text>
        <r>
          <rPr>
            <sz val="10"/>
            <color rgb="FF000000"/>
            <rFont val="Arial"/>
            <scheme val="minor"/>
          </rPr>
          <t>7 damage</t>
        </r>
      </text>
    </comment>
    <comment ref="K41" authorId="0" shapeId="0" xr:uid="{00000000-0006-0000-0200-0000F5000000}">
      <text>
        <r>
          <rPr>
            <sz val="10"/>
            <color rgb="FF000000"/>
            <rFont val="Arial"/>
            <scheme val="minor"/>
          </rPr>
          <t>3 damage
Cleave</t>
        </r>
      </text>
    </comment>
    <comment ref="L41" authorId="0" shapeId="0" xr:uid="{00000000-0006-0000-0200-0000F6000000}">
      <text>
        <r>
          <rPr>
            <sz val="10"/>
            <color rgb="FF000000"/>
            <rFont val="Arial"/>
            <scheme val="minor"/>
          </rPr>
          <t>3 damage
Cleave</t>
        </r>
      </text>
    </comment>
    <comment ref="E42" authorId="0" shapeId="0" xr:uid="{00000000-0006-0000-0200-0000F7000000}">
      <text>
        <r>
          <rPr>
            <sz val="10"/>
            <color rgb="FF000000"/>
            <rFont val="Arial"/>
            <scheme val="minor"/>
          </rPr>
          <t>10 hp</t>
        </r>
      </text>
    </comment>
    <comment ref="G42" authorId="0" shapeId="0" xr:uid="{00000000-0006-0000-0200-0000F8000000}">
      <text>
        <r>
          <rPr>
            <sz val="10"/>
            <color rgb="FF000000"/>
            <rFont val="Arial"/>
            <scheme val="minor"/>
          </rPr>
          <t>4 damage
Weaken</t>
        </r>
      </text>
    </comment>
    <comment ref="H42" authorId="0" shapeId="0" xr:uid="{00000000-0006-0000-0200-0000F9000000}">
      <text>
        <r>
          <rPr>
            <sz val="10"/>
            <color rgb="FF000000"/>
            <rFont val="Arial"/>
            <scheme val="minor"/>
          </rPr>
          <t>4 damage
Weaken</t>
        </r>
      </text>
    </comment>
    <comment ref="I42" authorId="0" shapeId="0" xr:uid="{00000000-0006-0000-0200-0000FA000000}">
      <text>
        <r>
          <rPr>
            <sz val="10"/>
            <color rgb="FF000000"/>
            <rFont val="Arial"/>
            <scheme val="minor"/>
          </rPr>
          <t>5 damage
Descend</t>
        </r>
      </text>
    </comment>
    <comment ref="J42" authorId="0" shapeId="0" xr:uid="{00000000-0006-0000-0200-0000FB000000}">
      <text>
        <r>
          <rPr>
            <sz val="10"/>
            <color rgb="FF000000"/>
            <rFont val="Arial"/>
            <scheme val="minor"/>
          </rPr>
          <t>5 damage
Descend</t>
        </r>
      </text>
    </comment>
    <comment ref="K42" authorId="0" shapeId="0" xr:uid="{00000000-0006-0000-0200-0000FC000000}">
      <text>
        <r>
          <rPr>
            <sz val="10"/>
            <color rgb="FF000000"/>
            <rFont val="Arial"/>
            <scheme val="minor"/>
          </rPr>
          <t>3 damage
Poison</t>
        </r>
      </text>
    </comment>
    <comment ref="L42" authorId="0" shapeId="0" xr:uid="{00000000-0006-0000-0200-0000FD000000}">
      <text>
        <r>
          <rPr>
            <sz val="10"/>
            <color rgb="FF000000"/>
            <rFont val="Arial"/>
            <scheme val="minor"/>
          </rPr>
          <t>3 damage
Poison</t>
        </r>
      </text>
    </comment>
    <comment ref="E43" authorId="0" shapeId="0" xr:uid="{00000000-0006-0000-0200-0000FE000000}">
      <text>
        <r>
          <rPr>
            <sz val="10"/>
            <color rgb="FF000000"/>
            <rFont val="Arial"/>
            <scheme val="minor"/>
          </rPr>
          <t>5 hp
HP 1, 2, 3, 4, 5: these hp must be removed individually</t>
        </r>
      </text>
    </comment>
    <comment ref="G43" authorId="0" shapeId="0" xr:uid="{00000000-0006-0000-0200-0000FF000000}">
      <text>
        <r>
          <rPr>
            <sz val="10"/>
            <color rgb="FF000000"/>
            <rFont val="Arial"/>
            <scheme val="minor"/>
          </rPr>
          <t>7 damage</t>
        </r>
      </text>
    </comment>
    <comment ref="H43" authorId="0" shapeId="0" xr:uid="{00000000-0006-0000-0200-000000010000}">
      <text>
        <r>
          <rPr>
            <sz val="10"/>
            <color rgb="FF000000"/>
            <rFont val="Arial"/>
            <scheme val="minor"/>
          </rPr>
          <t>7 damage</t>
        </r>
      </text>
    </comment>
    <comment ref="I43" authorId="0" shapeId="0" xr:uid="{00000000-0006-0000-0200-000001010000}">
      <text>
        <r>
          <rPr>
            <sz val="10"/>
            <color rgb="FF000000"/>
            <rFont val="Arial"/>
            <scheme val="minor"/>
          </rPr>
          <t>7 damage</t>
        </r>
      </text>
    </comment>
    <comment ref="J43" authorId="0" shapeId="0" xr:uid="{00000000-0006-0000-0200-000002010000}">
      <text>
        <r>
          <rPr>
            <sz val="10"/>
            <color rgb="FF000000"/>
            <rFont val="Arial"/>
            <scheme val="minor"/>
          </rPr>
          <t>7 damage</t>
        </r>
      </text>
    </comment>
    <comment ref="K43" authorId="0" shapeId="0" xr:uid="{00000000-0006-0000-0200-000003010000}">
      <text>
        <r>
          <rPr>
            <sz val="10"/>
            <color rgb="FF000000"/>
            <rFont val="Arial"/>
            <scheme val="minor"/>
          </rPr>
          <t>2 damage to all enemies</t>
        </r>
      </text>
    </comment>
    <comment ref="L43" authorId="0" shapeId="0" xr:uid="{00000000-0006-0000-0200-000004010000}">
      <text>
        <r>
          <rPr>
            <sz val="10"/>
            <color rgb="FF000000"/>
            <rFont val="Arial"/>
            <scheme val="minor"/>
          </rPr>
          <t>2 damage to all enemies</t>
        </r>
      </text>
    </comment>
    <comment ref="E44" authorId="0" shapeId="0" xr:uid="{00000000-0006-0000-0200-000005010000}">
      <text>
        <r>
          <rPr>
            <sz val="10"/>
            <color rgb="FF000000"/>
            <rFont val="Arial"/>
            <scheme val="minor"/>
          </rPr>
          <t>5 hp
HP 4: Stunned this turn</t>
        </r>
      </text>
    </comment>
    <comment ref="G44" authorId="0" shapeId="0" xr:uid="{00000000-0006-0000-0200-000006010000}">
      <text>
        <r>
          <rPr>
            <sz val="10"/>
            <color rgb="FF000000"/>
            <rFont val="Arial"/>
            <scheme val="minor"/>
          </rPr>
          <t>4 damage
Weaken</t>
        </r>
      </text>
    </comment>
    <comment ref="H44" authorId="0" shapeId="0" xr:uid="{00000000-0006-0000-0200-000007010000}">
      <text>
        <r>
          <rPr>
            <sz val="10"/>
            <color rgb="FF000000"/>
            <rFont val="Arial"/>
            <scheme val="minor"/>
          </rPr>
          <t>Heal 3 to all allies</t>
        </r>
      </text>
    </comment>
    <comment ref="I44" authorId="0" shapeId="0" xr:uid="{00000000-0006-0000-0200-000008010000}">
      <text>
        <r>
          <rPr>
            <sz val="10"/>
            <color rgb="FF000000"/>
            <rFont val="Arial"/>
            <scheme val="minor"/>
          </rPr>
          <t>2 damage to all enemies</t>
        </r>
      </text>
    </comment>
    <comment ref="J44" authorId="0" shapeId="0" xr:uid="{00000000-0006-0000-0200-000009010000}">
      <text>
        <r>
          <rPr>
            <sz val="10"/>
            <color rgb="FF000000"/>
            <rFont val="Arial"/>
            <scheme val="minor"/>
          </rPr>
          <t>2 damage to all enemies</t>
        </r>
      </text>
    </comment>
    <comment ref="K44" authorId="0" shapeId="0" xr:uid="{00000000-0006-0000-0200-00000A010000}">
      <text>
        <r>
          <rPr>
            <sz val="10"/>
            <color rgb="FF000000"/>
            <rFont val="Arial"/>
            <scheme val="minor"/>
          </rPr>
          <t>Summon 2 bones</t>
        </r>
      </text>
    </comment>
    <comment ref="L44" authorId="0" shapeId="0" xr:uid="{00000000-0006-0000-0200-00000B010000}">
      <text>
        <r>
          <rPr>
            <sz val="10"/>
            <color rgb="FF000000"/>
            <rFont val="Arial"/>
            <scheme val="minor"/>
          </rPr>
          <t>Summon 2 bones</t>
        </r>
      </text>
    </comment>
    <comment ref="E45" authorId="0" shapeId="0" xr:uid="{00000000-0006-0000-0200-00000C010000}">
      <text>
        <r>
          <rPr>
            <sz val="10"/>
            <color rgb="FF000000"/>
            <rFont val="Arial"/>
            <scheme val="minor"/>
          </rPr>
          <t>12 hp</t>
        </r>
      </text>
    </comment>
    <comment ref="G45" authorId="0" shapeId="0" xr:uid="{00000000-0006-0000-0200-00000D010000}">
      <text>
        <r>
          <rPr>
            <sz val="10"/>
            <color rgb="FF000000"/>
            <rFont val="Arial"/>
            <scheme val="minor"/>
          </rPr>
          <t>2 damage
Cleave</t>
        </r>
      </text>
    </comment>
    <comment ref="H45" authorId="0" shapeId="0" xr:uid="{00000000-0006-0000-0200-00000E010000}">
      <text>
        <r>
          <rPr>
            <sz val="10"/>
            <color rgb="FF000000"/>
            <rFont val="Arial"/>
            <scheme val="minor"/>
          </rPr>
          <t>2 damage
Cleave</t>
        </r>
      </text>
    </comment>
    <comment ref="I45" authorId="0" shapeId="0" xr:uid="{00000000-0006-0000-0200-00000F010000}">
      <text>
        <r>
          <rPr>
            <sz val="10"/>
            <color rgb="FF000000"/>
            <rFont val="Arial"/>
            <scheme val="minor"/>
          </rPr>
          <t>2 damage
Poison</t>
        </r>
      </text>
    </comment>
    <comment ref="J45" authorId="0" shapeId="0" xr:uid="{00000000-0006-0000-0200-000010010000}">
      <text>
        <r>
          <rPr>
            <sz val="10"/>
            <color rgb="FF000000"/>
            <rFont val="Arial"/>
            <scheme val="minor"/>
          </rPr>
          <t>2 damage
Poison</t>
        </r>
      </text>
    </comment>
    <comment ref="K45" authorId="0" shapeId="0" xr:uid="{00000000-0006-0000-0200-000011010000}">
      <text>
        <r>
          <rPr>
            <sz val="10"/>
            <color rgb="FF000000"/>
            <rFont val="Arial"/>
            <scheme val="minor"/>
          </rPr>
          <t>2 damage
Cleave</t>
        </r>
      </text>
    </comment>
    <comment ref="L45" authorId="0" shapeId="0" xr:uid="{00000000-0006-0000-0200-000012010000}">
      <text>
        <r>
          <rPr>
            <sz val="10"/>
            <color rgb="FF000000"/>
            <rFont val="Arial"/>
            <scheme val="minor"/>
          </rPr>
          <t>1 damage
Weaken, Cleave</t>
        </r>
      </text>
    </comment>
    <comment ref="E46" authorId="0" shapeId="0" xr:uid="{00000000-0006-0000-0200-000013010000}">
      <text>
        <r>
          <rPr>
            <sz val="10"/>
            <color rgb="FF000000"/>
            <rFont val="Arial"/>
            <scheme val="minor"/>
          </rPr>
          <t>12 hp
HP 5: On-hit: 6 damage to the attacker</t>
        </r>
      </text>
    </comment>
    <comment ref="G46" authorId="0" shapeId="0" xr:uid="{00000000-0006-0000-0200-000014010000}">
      <text>
        <r>
          <rPr>
            <sz val="10"/>
            <color rgb="FF000000"/>
            <rFont val="Arial"/>
            <scheme val="minor"/>
          </rPr>
          <t>6 damage
Inflict-pain</t>
        </r>
      </text>
    </comment>
    <comment ref="H46" authorId="0" shapeId="0" xr:uid="{00000000-0006-0000-0200-000015010000}">
      <text>
        <r>
          <rPr>
            <sz val="10"/>
            <color rgb="FF000000"/>
            <rFont val="Arial"/>
            <scheme val="minor"/>
          </rPr>
          <t>6 damage
Inflict-pain</t>
        </r>
      </text>
    </comment>
    <comment ref="I46" authorId="0" shapeId="0" xr:uid="{00000000-0006-0000-0200-000016010000}">
      <text>
        <r>
          <rPr>
            <sz val="10"/>
            <color rgb="FF000000"/>
            <rFont val="Arial"/>
            <scheme val="minor"/>
          </rPr>
          <t>2 damage to all enemies</t>
        </r>
      </text>
    </comment>
    <comment ref="J46" authorId="0" shapeId="0" xr:uid="{00000000-0006-0000-0200-000017010000}">
      <text>
        <r>
          <rPr>
            <sz val="10"/>
            <color rgb="FF000000"/>
            <rFont val="Arial"/>
            <scheme val="minor"/>
          </rPr>
          <t>2 damage to all enemies</t>
        </r>
      </text>
    </comment>
    <comment ref="K46" authorId="0" shapeId="0" xr:uid="{00000000-0006-0000-0200-000018010000}">
      <text>
        <r>
          <rPr>
            <sz val="10"/>
            <color rgb="FF000000"/>
            <rFont val="Arial"/>
            <scheme val="minor"/>
          </rPr>
          <t>Summon an imp</t>
        </r>
      </text>
    </comment>
    <comment ref="L46" authorId="0" shapeId="0" xr:uid="{00000000-0006-0000-0200-000019010000}">
      <text>
        <r>
          <rPr>
            <sz val="10"/>
            <color rgb="FF000000"/>
            <rFont val="Arial"/>
            <scheme val="minor"/>
          </rPr>
          <t>Summon an imp</t>
        </r>
      </text>
    </comment>
    <comment ref="E47" authorId="0" shapeId="0" xr:uid="{00000000-0006-0000-0200-00001A010000}">
      <text>
        <r>
          <rPr>
            <sz val="10"/>
            <color rgb="FF000000"/>
            <rFont val="Arial"/>
            <scheme val="minor"/>
          </rPr>
          <t>13 hp</t>
        </r>
      </text>
    </comment>
    <comment ref="G47" authorId="0" shapeId="0" xr:uid="{00000000-0006-0000-0200-00001B010000}">
      <text>
        <r>
          <rPr>
            <sz val="10"/>
            <color rgb="FF000000"/>
            <rFont val="Arial"/>
            <scheme val="minor"/>
          </rPr>
          <t>7 damage</t>
        </r>
      </text>
    </comment>
    <comment ref="H47" authorId="0" shapeId="0" xr:uid="{00000000-0006-0000-0200-00001C010000}">
      <text>
        <r>
          <rPr>
            <sz val="10"/>
            <color rgb="FF000000"/>
            <rFont val="Arial"/>
            <scheme val="minor"/>
          </rPr>
          <t>7 damage</t>
        </r>
      </text>
    </comment>
    <comment ref="I47" authorId="0" shapeId="0" xr:uid="{00000000-0006-0000-0200-00001D010000}">
      <text>
        <r>
          <rPr>
            <sz val="10"/>
            <color rgb="FF000000"/>
            <rFont val="Arial"/>
            <scheme val="minor"/>
          </rPr>
          <t>7 damage</t>
        </r>
      </text>
    </comment>
    <comment ref="J47" authorId="0" shapeId="0" xr:uid="{00000000-0006-0000-0200-00001E010000}">
      <text>
        <r>
          <rPr>
            <sz val="10"/>
            <color rgb="FF000000"/>
            <rFont val="Arial"/>
            <scheme val="minor"/>
          </rPr>
          <t>7 damage</t>
        </r>
      </text>
    </comment>
    <comment ref="K47" authorId="0" shapeId="0" xr:uid="{00000000-0006-0000-0200-00001F010000}">
      <text>
        <r>
          <rPr>
            <sz val="10"/>
            <color rgb="FF000000"/>
            <rFont val="Arial"/>
            <scheme val="minor"/>
          </rPr>
          <t>2 damage to all enemies</t>
        </r>
      </text>
    </comment>
    <comment ref="L47" authorId="0" shapeId="0" xr:uid="{00000000-0006-0000-0200-000020010000}">
      <text>
        <r>
          <rPr>
            <sz val="10"/>
            <color rgb="FF000000"/>
            <rFont val="Arial"/>
            <scheme val="minor"/>
          </rPr>
          <t>2 damage to all enemies</t>
        </r>
      </text>
    </comment>
    <comment ref="E48" authorId="0" shapeId="0" xr:uid="{00000000-0006-0000-0200-000021010000}">
      <text>
        <r>
          <rPr>
            <sz val="10"/>
            <color rgb="FF000000"/>
            <rFont val="Arial"/>
            <scheme val="minor"/>
          </rPr>
          <t>15 hp
HP 8: Stunned this turn</t>
        </r>
      </text>
    </comment>
    <comment ref="G48" authorId="0" shapeId="0" xr:uid="{00000000-0006-0000-0200-000022010000}">
      <text>
        <r>
          <rPr>
            <sz val="10"/>
            <color rgb="FF000000"/>
            <rFont val="Arial"/>
            <scheme val="minor"/>
          </rPr>
          <t>3 damage to all enemies</t>
        </r>
      </text>
    </comment>
    <comment ref="H48" authorId="0" shapeId="0" xr:uid="{00000000-0006-0000-0200-000023010000}">
      <text>
        <r>
          <rPr>
            <sz val="10"/>
            <color rgb="FF000000"/>
            <rFont val="Arial"/>
            <scheme val="minor"/>
          </rPr>
          <t>3 damage to all enemies</t>
        </r>
      </text>
    </comment>
    <comment ref="I48" authorId="0" shapeId="0" xr:uid="{00000000-0006-0000-0200-000024010000}">
      <text>
        <r>
          <rPr>
            <sz val="10"/>
            <color rgb="FF000000"/>
            <rFont val="Arial"/>
            <scheme val="minor"/>
          </rPr>
          <t>4 damage
Cleave</t>
        </r>
      </text>
    </comment>
    <comment ref="J48" authorId="0" shapeId="0" xr:uid="{00000000-0006-0000-0200-000025010000}">
      <text>
        <r>
          <rPr>
            <sz val="10"/>
            <color rgb="FF000000"/>
            <rFont val="Arial"/>
            <scheme val="minor"/>
          </rPr>
          <t>4 damage
Cleave</t>
        </r>
      </text>
    </comment>
    <comment ref="K48" authorId="0" shapeId="0" xr:uid="{00000000-0006-0000-0200-000026010000}">
      <text>
        <r>
          <rPr>
            <sz val="10"/>
            <color rgb="FF000000"/>
            <rFont val="Arial"/>
            <scheme val="minor"/>
          </rPr>
          <t>2 damage to all enemies</t>
        </r>
      </text>
    </comment>
    <comment ref="L48" authorId="0" shapeId="0" xr:uid="{00000000-0006-0000-0200-000027010000}">
      <text>
        <r>
          <rPr>
            <sz val="10"/>
            <color rgb="FF000000"/>
            <rFont val="Arial"/>
            <scheme val="minor"/>
          </rPr>
          <t>2 damage to all enemies</t>
        </r>
      </text>
    </comment>
    <comment ref="E49" authorId="0" shapeId="0" xr:uid="{00000000-0006-0000-0200-000028010000}">
      <text>
        <r>
          <rPr>
            <sz val="10"/>
            <color rgb="FF000000"/>
            <rFont val="Arial"/>
            <scheme val="minor"/>
          </rPr>
          <t>20 hp</t>
        </r>
      </text>
    </comment>
    <comment ref="G49" authorId="0" shapeId="0" xr:uid="{00000000-0006-0000-0200-000029010000}">
      <text>
        <r>
          <rPr>
            <sz val="10"/>
            <color rgb="FF000000"/>
            <rFont val="Arial"/>
            <scheme val="minor"/>
          </rPr>
          <t>5 damage
Cleave</t>
        </r>
      </text>
    </comment>
    <comment ref="H49" authorId="0" shapeId="0" xr:uid="{00000000-0006-0000-0200-00002A010000}">
      <text>
        <r>
          <rPr>
            <sz val="10"/>
            <color rgb="FF000000"/>
            <rFont val="Arial"/>
            <scheme val="minor"/>
          </rPr>
          <t>5 damage
Cleave</t>
        </r>
      </text>
    </comment>
    <comment ref="I49" authorId="0" shapeId="0" xr:uid="{00000000-0006-0000-0200-00002B010000}">
      <text>
        <r>
          <rPr>
            <sz val="10"/>
            <color rgb="FF000000"/>
            <rFont val="Arial"/>
            <scheme val="minor"/>
          </rPr>
          <t>10 damage</t>
        </r>
      </text>
    </comment>
    <comment ref="J49" authorId="0" shapeId="0" xr:uid="{00000000-0006-0000-0200-00002C010000}">
      <text>
        <r>
          <rPr>
            <sz val="10"/>
            <color rgb="FF000000"/>
            <rFont val="Arial"/>
            <scheme val="minor"/>
          </rPr>
          <t>10 damage</t>
        </r>
      </text>
    </comment>
    <comment ref="K49" authorId="0" shapeId="0" xr:uid="{00000000-0006-0000-0200-00002D010000}">
      <text>
        <r>
          <rPr>
            <sz val="10"/>
            <color rgb="FF000000"/>
            <rFont val="Arial"/>
            <scheme val="minor"/>
          </rPr>
          <t>5 damage
Cleave</t>
        </r>
      </text>
    </comment>
    <comment ref="L49" authorId="0" shapeId="0" xr:uid="{00000000-0006-0000-0200-00002E010000}">
      <text>
        <r>
          <rPr>
            <sz val="10"/>
            <color rgb="FF000000"/>
            <rFont val="Arial"/>
            <scheme val="minor"/>
          </rPr>
          <t>2 damage
Weaken, Cleave</t>
        </r>
      </text>
    </comment>
    <comment ref="E50" authorId="0" shapeId="0" xr:uid="{00000000-0006-0000-0200-00002F010000}">
      <text>
        <r>
          <rPr>
            <sz val="10"/>
            <color rgb="FF000000"/>
            <rFont val="Arial"/>
            <scheme val="minor"/>
          </rPr>
          <t>13 hp</t>
        </r>
      </text>
    </comment>
    <comment ref="G50" authorId="0" shapeId="0" xr:uid="{00000000-0006-0000-0200-000030010000}">
      <text>
        <r>
          <rPr>
            <sz val="10"/>
            <color rgb="FF000000"/>
            <rFont val="Arial"/>
            <scheme val="minor"/>
          </rPr>
          <t>2 damage
Cleave</t>
        </r>
      </text>
    </comment>
    <comment ref="H50" authorId="0" shapeId="0" xr:uid="{00000000-0006-0000-0200-000031010000}">
      <text>
        <r>
          <rPr>
            <sz val="10"/>
            <color rgb="FF000000"/>
            <rFont val="Arial"/>
            <scheme val="minor"/>
          </rPr>
          <t>2 damage
Cleave</t>
        </r>
      </text>
    </comment>
    <comment ref="I50" authorId="0" shapeId="0" xr:uid="{00000000-0006-0000-0200-000032010000}">
      <text>
        <r>
          <rPr>
            <sz val="10"/>
            <color rgb="FF000000"/>
            <rFont val="Arial"/>
            <scheme val="minor"/>
          </rPr>
          <t>6 damage</t>
        </r>
      </text>
    </comment>
    <comment ref="J50" authorId="0" shapeId="0" xr:uid="{00000000-0006-0000-0200-000033010000}">
      <text>
        <r>
          <rPr>
            <sz val="10"/>
            <color rgb="FF000000"/>
            <rFont val="Arial"/>
            <scheme val="minor"/>
          </rPr>
          <t>6 damage</t>
        </r>
      </text>
    </comment>
    <comment ref="K50" authorId="0" shapeId="0" xr:uid="{00000000-0006-0000-0200-000034010000}">
      <text>
        <r>
          <rPr>
            <sz val="10"/>
            <color rgb="FF000000"/>
            <rFont val="Arial"/>
            <scheme val="minor"/>
          </rPr>
          <t>Summon a wolf</t>
        </r>
      </text>
    </comment>
    <comment ref="L50" authorId="0" shapeId="0" xr:uid="{00000000-0006-0000-0200-000035010000}">
      <text>
        <r>
          <rPr>
            <sz val="10"/>
            <color rgb="FF000000"/>
            <rFont val="Arial"/>
            <scheme val="minor"/>
          </rPr>
          <t>Summon a wolf</t>
        </r>
      </text>
    </comment>
    <comment ref="E51" authorId="0" shapeId="0" xr:uid="{00000000-0006-0000-0200-000036010000}">
      <text>
        <r>
          <rPr>
            <sz val="10"/>
            <color rgb="FF000000"/>
            <rFont val="Arial"/>
            <scheme val="minor"/>
          </rPr>
          <t>15 hp</t>
        </r>
      </text>
    </comment>
    <comment ref="G51" authorId="0" shapeId="0" xr:uid="{00000000-0006-0000-0200-000037010000}">
      <text>
        <r>
          <rPr>
            <sz val="10"/>
            <color rgb="FF000000"/>
            <rFont val="Arial"/>
            <scheme val="minor"/>
          </rPr>
          <t>3 damage
Cleave</t>
        </r>
      </text>
    </comment>
    <comment ref="H51" authorId="0" shapeId="0" xr:uid="{00000000-0006-0000-0200-000038010000}">
      <text>
        <r>
          <rPr>
            <sz val="10"/>
            <color rgb="FF000000"/>
            <rFont val="Arial"/>
            <scheme val="minor"/>
          </rPr>
          <t>3 damage
Cleave</t>
        </r>
      </text>
    </comment>
    <comment ref="I51" authorId="0" shapeId="0" xr:uid="{00000000-0006-0000-0200-000039010000}">
      <text>
        <r>
          <rPr>
            <sz val="10"/>
            <color rgb="FF000000"/>
            <rFont val="Arial"/>
            <scheme val="minor"/>
          </rPr>
          <t>2 damage to all enemies</t>
        </r>
      </text>
    </comment>
    <comment ref="J51" authorId="0" shapeId="0" xr:uid="{00000000-0006-0000-0200-00003A010000}">
      <text>
        <r>
          <rPr>
            <sz val="10"/>
            <color rgb="FF000000"/>
            <rFont val="Arial"/>
            <scheme val="minor"/>
          </rPr>
          <t>2 damage to all enemies</t>
        </r>
      </text>
    </comment>
    <comment ref="K51" authorId="0" shapeId="0" xr:uid="{00000000-0006-0000-0200-00003B010000}">
      <text>
        <r>
          <rPr>
            <sz val="10"/>
            <color rgb="FF000000"/>
            <rFont val="Arial"/>
            <scheme val="minor"/>
          </rPr>
          <t>3 damage
Cleave</t>
        </r>
      </text>
    </comment>
    <comment ref="L51" authorId="0" shapeId="0" xr:uid="{00000000-0006-0000-0200-00003C010000}">
      <text>
        <r>
          <rPr>
            <sz val="10"/>
            <color rgb="FF000000"/>
            <rFont val="Arial"/>
            <scheme val="minor"/>
          </rPr>
          <t>1 damage
Cleave, Poison</t>
        </r>
      </text>
    </comment>
    <comment ref="E52" authorId="0" shapeId="0" xr:uid="{00000000-0006-0000-0200-00003D010000}">
      <text>
        <r>
          <rPr>
            <sz val="10"/>
            <color rgb="FF000000"/>
            <rFont val="Arial"/>
            <scheme val="minor"/>
          </rPr>
          <t>11 hp</t>
        </r>
      </text>
    </comment>
    <comment ref="G52" authorId="0" shapeId="0" xr:uid="{00000000-0006-0000-0200-00003E010000}">
      <text>
        <r>
          <rPr>
            <sz val="10"/>
            <color rgb="FF000000"/>
            <rFont val="Arial"/>
            <scheme val="minor"/>
          </rPr>
          <t>7 damage</t>
        </r>
      </text>
    </comment>
    <comment ref="H52" authorId="0" shapeId="0" xr:uid="{00000000-0006-0000-0200-00003F010000}">
      <text>
        <r>
          <rPr>
            <sz val="10"/>
            <color rgb="FF000000"/>
            <rFont val="Arial"/>
            <scheme val="minor"/>
          </rPr>
          <t>7 damage</t>
        </r>
      </text>
    </comment>
    <comment ref="I52" authorId="0" shapeId="0" xr:uid="{00000000-0006-0000-0200-000040010000}">
      <text>
        <r>
          <rPr>
            <sz val="10"/>
            <color rgb="FF000000"/>
            <rFont val="Arial"/>
            <scheme val="minor"/>
          </rPr>
          <t>3 damage
Cleave</t>
        </r>
      </text>
    </comment>
    <comment ref="J52" authorId="0" shapeId="0" xr:uid="{00000000-0006-0000-0200-000041010000}">
      <text>
        <r>
          <rPr>
            <sz val="10"/>
            <color rgb="FF000000"/>
            <rFont val="Arial"/>
            <scheme val="minor"/>
          </rPr>
          <t>3 damage
Cleave</t>
        </r>
      </text>
    </comment>
    <comment ref="K52" authorId="0" shapeId="0" xr:uid="{00000000-0006-0000-0200-000042010000}">
      <text>
        <r>
          <rPr>
            <sz val="10"/>
            <color rgb="FF000000"/>
            <rFont val="Arial"/>
            <scheme val="minor"/>
          </rPr>
          <t>2 damage
Poison</t>
        </r>
      </text>
    </comment>
    <comment ref="L52" authorId="0" shapeId="0" xr:uid="{00000000-0006-0000-0200-000043010000}">
      <text>
        <r>
          <rPr>
            <sz val="10"/>
            <color rgb="FF000000"/>
            <rFont val="Arial"/>
            <scheme val="minor"/>
          </rPr>
          <t>2 damage
Poison</t>
        </r>
      </text>
    </comment>
    <comment ref="E53" authorId="0" shapeId="0" xr:uid="{00000000-0006-0000-0200-000044010000}">
      <text>
        <r>
          <rPr>
            <sz val="10"/>
            <color rgb="FF000000"/>
            <rFont val="Arial"/>
            <scheme val="minor"/>
          </rPr>
          <t>7 hp
HP 3: 2 damage to the top-most enemy</t>
        </r>
      </text>
    </comment>
    <comment ref="G53" authorId="0" shapeId="0" xr:uid="{00000000-0006-0000-0200-000045010000}">
      <text>
        <r>
          <rPr>
            <sz val="10"/>
            <color rgb="FF000000"/>
            <rFont val="Arial"/>
            <scheme val="minor"/>
          </rPr>
          <t>1 damage to all enemies</t>
        </r>
      </text>
    </comment>
    <comment ref="H53" authorId="0" shapeId="0" xr:uid="{00000000-0006-0000-0200-000046010000}">
      <text>
        <r>
          <rPr>
            <sz val="10"/>
            <color rgb="FF000000"/>
            <rFont val="Arial"/>
            <scheme val="minor"/>
          </rPr>
          <t>1 damage to all enemies</t>
        </r>
      </text>
    </comment>
    <comment ref="I53" authorId="0" shapeId="0" xr:uid="{00000000-0006-0000-0200-000047010000}">
      <text>
        <r>
          <rPr>
            <sz val="10"/>
            <color rgb="FF000000"/>
            <rFont val="Arial"/>
            <scheme val="minor"/>
          </rPr>
          <t>1 damage to all enemies</t>
        </r>
      </text>
    </comment>
    <comment ref="J53" authorId="0" shapeId="0" xr:uid="{00000000-0006-0000-0200-000048010000}">
      <text>
        <r>
          <rPr>
            <sz val="10"/>
            <color rgb="FF000000"/>
            <rFont val="Arial"/>
            <scheme val="minor"/>
          </rPr>
          <t>1 damage to all enemies</t>
        </r>
      </text>
    </comment>
    <comment ref="K53" authorId="0" shapeId="0" xr:uid="{00000000-0006-0000-0200-000049010000}">
      <text>
        <r>
          <rPr>
            <sz val="10"/>
            <color rgb="FF000000"/>
            <rFont val="Arial"/>
            <scheme val="minor"/>
          </rPr>
          <t>Summon a wolf</t>
        </r>
      </text>
    </comment>
    <comment ref="L53" authorId="0" shapeId="0" xr:uid="{00000000-0006-0000-0200-00004A010000}">
      <text>
        <r>
          <rPr>
            <sz val="10"/>
            <color rgb="FF000000"/>
            <rFont val="Arial"/>
            <scheme val="minor"/>
          </rPr>
          <t>Summon a wolf</t>
        </r>
      </text>
    </comment>
    <comment ref="E54" authorId="0" shapeId="0" xr:uid="{00000000-0006-0000-0200-00004B010000}">
      <text>
        <r>
          <rPr>
            <sz val="10"/>
            <color rgb="FF000000"/>
            <rFont val="Arial"/>
            <scheme val="minor"/>
          </rPr>
          <t>7 hp
HP 3: 2 damage to the middle enemy</t>
        </r>
      </text>
    </comment>
    <comment ref="G54" authorId="0" shapeId="0" xr:uid="{00000000-0006-0000-0200-00004C010000}">
      <text>
        <r>
          <rPr>
            <sz val="10"/>
            <color rgb="FF000000"/>
            <rFont val="Arial"/>
            <scheme val="minor"/>
          </rPr>
          <t>7 damage
Heavy</t>
        </r>
      </text>
    </comment>
    <comment ref="H54" authorId="0" shapeId="0" xr:uid="{00000000-0006-0000-0200-00004D010000}">
      <text>
        <r>
          <rPr>
            <sz val="10"/>
            <color rgb="FF000000"/>
            <rFont val="Arial"/>
            <scheme val="minor"/>
          </rPr>
          <t>7 damage
Heavy</t>
        </r>
      </text>
    </comment>
    <comment ref="I54" authorId="0" shapeId="0" xr:uid="{00000000-0006-0000-0200-00004E010000}">
      <text>
        <r>
          <rPr>
            <sz val="10"/>
            <color rgb="FF000000"/>
            <rFont val="Arial"/>
            <scheme val="minor"/>
          </rPr>
          <t>7 damage
Heavy</t>
        </r>
      </text>
    </comment>
    <comment ref="J54" authorId="0" shapeId="0" xr:uid="{00000000-0006-0000-0200-00004F010000}">
      <text>
        <r>
          <rPr>
            <sz val="10"/>
            <color rgb="FF000000"/>
            <rFont val="Arial"/>
            <scheme val="minor"/>
          </rPr>
          <t>7 damage
Heavy</t>
        </r>
      </text>
    </comment>
    <comment ref="K54" authorId="0" shapeId="0" xr:uid="{00000000-0006-0000-0200-000050010000}">
      <text>
        <r>
          <rPr>
            <sz val="10"/>
            <color rgb="FF000000"/>
            <rFont val="Arial"/>
            <scheme val="minor"/>
          </rPr>
          <t>1 damage
Weaken, Cleave</t>
        </r>
      </text>
    </comment>
    <comment ref="L54" authorId="0" shapeId="0" xr:uid="{00000000-0006-0000-0200-000051010000}">
      <text>
        <r>
          <rPr>
            <sz val="10"/>
            <color rgb="FF000000"/>
            <rFont val="Arial"/>
            <scheme val="minor"/>
          </rPr>
          <t>1 damage
Weaken, Cleave</t>
        </r>
      </text>
    </comment>
    <comment ref="E55" authorId="0" shapeId="0" xr:uid="{00000000-0006-0000-0200-000052010000}">
      <text>
        <r>
          <rPr>
            <sz val="10"/>
            <color rgb="FF000000"/>
            <rFont val="Arial"/>
            <scheme val="minor"/>
          </rPr>
          <t>7 hp
HP 3: 2 damage to the bottom-most enemy</t>
        </r>
      </text>
    </comment>
    <comment ref="G55" authorId="0" shapeId="0" xr:uid="{00000000-0006-0000-0200-000053010000}">
      <text>
        <r>
          <rPr>
            <sz val="10"/>
            <color rgb="FF000000"/>
            <rFont val="Arial"/>
            <scheme val="minor"/>
          </rPr>
          <t>3 damage
Descend</t>
        </r>
      </text>
    </comment>
    <comment ref="H55" authorId="0" shapeId="0" xr:uid="{00000000-0006-0000-0200-000054010000}">
      <text>
        <r>
          <rPr>
            <sz val="10"/>
            <color rgb="FF000000"/>
            <rFont val="Arial"/>
            <scheme val="minor"/>
          </rPr>
          <t>3 damage
Descend</t>
        </r>
      </text>
    </comment>
    <comment ref="I55" authorId="0" shapeId="0" xr:uid="{00000000-0006-0000-0200-000055010000}">
      <text>
        <r>
          <rPr>
            <sz val="10"/>
            <color rgb="FF000000"/>
            <rFont val="Arial"/>
            <scheme val="minor"/>
          </rPr>
          <t>3 damage
Descend</t>
        </r>
      </text>
    </comment>
    <comment ref="J55" authorId="0" shapeId="0" xr:uid="{00000000-0006-0000-0200-000056010000}">
      <text>
        <r>
          <rPr>
            <sz val="10"/>
            <color rgb="FF000000"/>
            <rFont val="Arial"/>
            <scheme val="minor"/>
          </rPr>
          <t>3 damage
Descend</t>
        </r>
      </text>
    </comment>
    <comment ref="K55" authorId="0" shapeId="0" xr:uid="{00000000-0006-0000-0200-000057010000}">
      <text>
        <r>
          <rPr>
            <sz val="10"/>
            <color rgb="FF000000"/>
            <rFont val="Arial"/>
            <scheme val="minor"/>
          </rPr>
          <t>2 damage
Poison</t>
        </r>
      </text>
    </comment>
    <comment ref="L55" authorId="0" shapeId="0" xr:uid="{00000000-0006-0000-0200-000058010000}">
      <text>
        <r>
          <rPr>
            <sz val="10"/>
            <color rgb="FF000000"/>
            <rFont val="Arial"/>
            <scheme val="minor"/>
          </rPr>
          <t>2 damage
Poison</t>
        </r>
      </text>
    </comment>
    <comment ref="E56" authorId="0" shapeId="0" xr:uid="{00000000-0006-0000-0200-000059010000}">
      <text>
        <r>
          <rPr>
            <sz val="10"/>
            <color rgb="FF000000"/>
            <rFont val="Arial"/>
            <scheme val="minor"/>
          </rPr>
          <t>13 hp
HP 5, 10: summon a slimer</t>
        </r>
      </text>
    </comment>
    <comment ref="G56" authorId="0" shapeId="0" xr:uid="{00000000-0006-0000-0200-00005A010000}">
      <text>
        <r>
          <rPr>
            <sz val="10"/>
            <color rgb="FF000000"/>
            <rFont val="Arial"/>
            <scheme val="minor"/>
          </rPr>
          <t>9 damage
Heavy</t>
        </r>
      </text>
    </comment>
    <comment ref="H56" authorId="0" shapeId="0" xr:uid="{00000000-0006-0000-0200-00005B010000}">
      <text>
        <r>
          <rPr>
            <sz val="10"/>
            <color rgb="FF000000"/>
            <rFont val="Arial"/>
            <scheme val="minor"/>
          </rPr>
          <t>4 damage
Cleave</t>
        </r>
      </text>
    </comment>
    <comment ref="I56" authorId="0" shapeId="0" xr:uid="{00000000-0006-0000-0200-00005C010000}">
      <text>
        <r>
          <rPr>
            <sz val="10"/>
            <color rgb="FF000000"/>
            <rFont val="Arial"/>
            <scheme val="minor"/>
          </rPr>
          <t>5 damage
Flanking</t>
        </r>
      </text>
    </comment>
    <comment ref="J56" authorId="0" shapeId="0" xr:uid="{00000000-0006-0000-0200-00005D010000}">
      <text>
        <r>
          <rPr>
            <sz val="10"/>
            <color rgb="FF000000"/>
            <rFont val="Arial"/>
            <scheme val="minor"/>
          </rPr>
          <t>5 damage
Flanking</t>
        </r>
      </text>
    </comment>
    <comment ref="K56" authorId="0" shapeId="0" xr:uid="{00000000-0006-0000-0200-00005E010000}">
      <text>
        <r>
          <rPr>
            <sz val="10"/>
            <color rgb="FF000000"/>
            <rFont val="Arial"/>
            <scheme val="minor"/>
          </rPr>
          <t>3 damage
Cleave</t>
        </r>
      </text>
    </comment>
    <comment ref="L56" authorId="0" shapeId="0" xr:uid="{00000000-0006-0000-0200-00005F010000}">
      <text>
        <r>
          <rPr>
            <sz val="10"/>
            <color rgb="FF000000"/>
            <rFont val="Arial"/>
            <scheme val="minor"/>
          </rPr>
          <t>3 damage
Cleave</t>
        </r>
      </text>
    </comment>
    <comment ref="E57" authorId="0" shapeId="0" xr:uid="{00000000-0006-0000-0200-000060010000}">
      <text>
        <r>
          <rPr>
            <sz val="10"/>
            <color rgb="FF000000"/>
            <rFont val="Arial"/>
            <scheme val="minor"/>
          </rPr>
          <t>25 hp</t>
        </r>
      </text>
    </comment>
    <comment ref="G57" authorId="0" shapeId="0" xr:uid="{00000000-0006-0000-0200-000061010000}">
      <text>
        <r>
          <rPr>
            <sz val="10"/>
            <color rgb="FF000000"/>
            <rFont val="Arial"/>
            <scheme val="minor"/>
          </rPr>
          <t>7 damage
Heavy</t>
        </r>
      </text>
    </comment>
    <comment ref="H57" authorId="0" shapeId="0" xr:uid="{00000000-0006-0000-0200-000062010000}">
      <text>
        <r>
          <rPr>
            <sz val="10"/>
            <color rgb="FF000000"/>
            <rFont val="Arial"/>
            <scheme val="minor"/>
          </rPr>
          <t>7 damage
Heavy</t>
        </r>
      </text>
    </comment>
    <comment ref="I57" authorId="0" shapeId="0" xr:uid="{00000000-0006-0000-0200-000063010000}">
      <text>
        <r>
          <rPr>
            <sz val="10"/>
            <color rgb="FF000000"/>
            <rFont val="Arial"/>
            <scheme val="minor"/>
          </rPr>
          <t>2 damage
Cleave</t>
        </r>
      </text>
    </comment>
    <comment ref="J57" authorId="0" shapeId="0" xr:uid="{00000000-0006-0000-0200-000064010000}">
      <text>
        <r>
          <rPr>
            <sz val="10"/>
            <color rgb="FF000000"/>
            <rFont val="Arial"/>
            <scheme val="minor"/>
          </rPr>
          <t>2 damage
Cleave</t>
        </r>
      </text>
    </comment>
    <comment ref="K57" authorId="0" shapeId="0" xr:uid="{00000000-0006-0000-0200-000065010000}">
      <text>
        <r>
          <rPr>
            <sz val="10"/>
            <color rgb="FF000000"/>
            <rFont val="Arial"/>
            <scheme val="minor"/>
          </rPr>
          <t>Summon an imp</t>
        </r>
      </text>
    </comment>
    <comment ref="L57" authorId="0" shapeId="0" xr:uid="{00000000-0006-0000-0200-000066010000}">
      <text>
        <r>
          <rPr>
            <sz val="10"/>
            <color rgb="FF000000"/>
            <rFont val="Arial"/>
            <scheme val="minor"/>
          </rPr>
          <t>Summon an imp</t>
        </r>
      </text>
    </comment>
    <comment ref="E58" authorId="0" shapeId="0" xr:uid="{00000000-0006-0000-0200-000067010000}">
      <text>
        <r>
          <rPr>
            <sz val="10"/>
            <color rgb="FF000000"/>
            <rFont val="Arial"/>
            <scheme val="minor"/>
          </rPr>
          <t>20 hp
HP 5,10,15: Summon a bones</t>
        </r>
      </text>
    </comment>
    <comment ref="G58" authorId="0" shapeId="0" xr:uid="{00000000-0006-0000-0200-000068010000}">
      <text>
        <r>
          <rPr>
            <sz val="10"/>
            <color rgb="FF000000"/>
            <rFont val="Arial"/>
            <scheme val="minor"/>
          </rPr>
          <t>2 damage
Petrify</t>
        </r>
      </text>
    </comment>
    <comment ref="H58" authorId="0" shapeId="0" xr:uid="{00000000-0006-0000-0200-000069010000}">
      <text>
        <r>
          <rPr>
            <sz val="10"/>
            <color rgb="FF000000"/>
            <rFont val="Arial"/>
            <scheme val="minor"/>
          </rPr>
          <t>2 damage
Petrify</t>
        </r>
      </text>
    </comment>
    <comment ref="I58" authorId="0" shapeId="0" xr:uid="{00000000-0006-0000-0200-00006A010000}">
      <text>
        <r>
          <rPr>
            <sz val="10"/>
            <color rgb="FF000000"/>
            <rFont val="Arial"/>
            <scheme val="minor"/>
          </rPr>
          <t>Summon 2 bones</t>
        </r>
      </text>
    </comment>
    <comment ref="J58" authorId="0" shapeId="0" xr:uid="{00000000-0006-0000-0200-00006B010000}">
      <text>
        <r>
          <rPr>
            <sz val="10"/>
            <color rgb="FF000000"/>
            <rFont val="Arial"/>
            <scheme val="minor"/>
          </rPr>
          <t>Summon 2 bones</t>
        </r>
      </text>
    </comment>
    <comment ref="K58" authorId="0" shapeId="0" xr:uid="{00000000-0006-0000-0200-00006C010000}">
      <text>
        <r>
          <rPr>
            <sz val="10"/>
            <color rgb="FF000000"/>
            <rFont val="Arial"/>
            <scheme val="minor"/>
          </rPr>
          <t>1 damage to all enemies
Weaken</t>
        </r>
      </text>
    </comment>
    <comment ref="L58" authorId="0" shapeId="0" xr:uid="{00000000-0006-0000-0200-00006D010000}">
      <text>
        <r>
          <rPr>
            <sz val="10"/>
            <color rgb="FF000000"/>
            <rFont val="Arial"/>
            <scheme val="minor"/>
          </rPr>
          <t>1 damage to all enemies
Weaken</t>
        </r>
      </text>
    </comment>
    <comment ref="E59" authorId="0" shapeId="0" xr:uid="{00000000-0006-0000-0200-00006E010000}">
      <text>
        <r>
          <rPr>
            <sz val="10"/>
            <color rgb="FF000000"/>
            <rFont val="Arial"/>
            <scheme val="minor"/>
          </rPr>
          <t>18 hp</t>
        </r>
      </text>
    </comment>
    <comment ref="G59" authorId="0" shapeId="0" xr:uid="{00000000-0006-0000-0200-00006F010000}">
      <text>
        <r>
          <rPr>
            <sz val="10"/>
            <color rgb="FF000000"/>
            <rFont val="Arial"/>
            <scheme val="minor"/>
          </rPr>
          <t>6 damage
Heavy</t>
        </r>
      </text>
    </comment>
    <comment ref="H59" authorId="0" shapeId="0" xr:uid="{00000000-0006-0000-0200-000070010000}">
      <text>
        <r>
          <rPr>
            <sz val="10"/>
            <color rgb="FF000000"/>
            <rFont val="Arial"/>
            <scheme val="minor"/>
          </rPr>
          <t>6 damage
Heavy</t>
        </r>
      </text>
    </comment>
    <comment ref="I59" authorId="0" shapeId="0" xr:uid="{00000000-0006-0000-0200-000071010000}">
      <text>
        <r>
          <rPr>
            <sz val="10"/>
            <color rgb="FF000000"/>
            <rFont val="Arial"/>
            <scheme val="minor"/>
          </rPr>
          <t>Summon an imp</t>
        </r>
      </text>
    </comment>
    <comment ref="J59" authorId="0" shapeId="0" xr:uid="{00000000-0006-0000-0200-000072010000}">
      <text>
        <r>
          <rPr>
            <sz val="10"/>
            <color rgb="FF000000"/>
            <rFont val="Arial"/>
            <scheme val="minor"/>
          </rPr>
          <t>Summon an imp</t>
        </r>
      </text>
    </comment>
    <comment ref="K59" authorId="0" shapeId="0" xr:uid="{00000000-0006-0000-0200-000073010000}">
      <text>
        <r>
          <rPr>
            <sz val="10"/>
            <color rgb="FF000000"/>
            <rFont val="Arial"/>
            <scheme val="minor"/>
          </rPr>
          <t>1 damage
Poison, Cleave</t>
        </r>
      </text>
    </comment>
    <comment ref="L59" authorId="0" shapeId="0" xr:uid="{00000000-0006-0000-0200-000074010000}">
      <text>
        <r>
          <rPr>
            <sz val="10"/>
            <color rgb="FF000000"/>
            <rFont val="Arial"/>
            <scheme val="minor"/>
          </rPr>
          <t>1 damage
Poison, Cleave</t>
        </r>
      </text>
    </comment>
    <comment ref="E60" authorId="0" shapeId="0" xr:uid="{00000000-0006-0000-0200-000075010000}">
      <text>
        <r>
          <rPr>
            <sz val="10"/>
            <color rgb="FF000000"/>
            <rFont val="Arial"/>
            <scheme val="minor"/>
          </rPr>
          <t>25 hp
HP 2, 4, 6, 8, 10, 12, 14, 16, 18, 20, 22, 24: +1 mana</t>
        </r>
      </text>
    </comment>
    <comment ref="G60" authorId="0" shapeId="0" xr:uid="{00000000-0006-0000-0200-000076010000}">
      <text>
        <r>
          <rPr>
            <sz val="10"/>
            <color rgb="FF000000"/>
            <rFont val="Arial"/>
            <scheme val="minor"/>
          </rPr>
          <t>9 damage
Heavy</t>
        </r>
      </text>
    </comment>
    <comment ref="H60" authorId="0" shapeId="0" xr:uid="{00000000-0006-0000-0200-000077010000}">
      <text>
        <r>
          <rPr>
            <sz val="10"/>
            <color rgb="FF000000"/>
            <rFont val="Arial"/>
            <scheme val="minor"/>
          </rPr>
          <t>9 damage
Heavy</t>
        </r>
      </text>
    </comment>
    <comment ref="I60" authorId="0" shapeId="0" xr:uid="{00000000-0006-0000-0200-000078010000}">
      <text>
        <r>
          <rPr>
            <sz val="10"/>
            <color rgb="FF000000"/>
            <rFont val="Arial"/>
            <scheme val="minor"/>
          </rPr>
          <t>Summon 2 bones</t>
        </r>
      </text>
    </comment>
    <comment ref="J60" authorId="0" shapeId="0" xr:uid="{00000000-0006-0000-0200-000079010000}">
      <text>
        <r>
          <rPr>
            <sz val="10"/>
            <color rgb="FF000000"/>
            <rFont val="Arial"/>
            <scheme val="minor"/>
          </rPr>
          <t>Summon 2 bones</t>
        </r>
      </text>
    </comment>
    <comment ref="K60" authorId="0" shapeId="0" xr:uid="{00000000-0006-0000-0200-00007A010000}">
      <text>
        <r>
          <rPr>
            <sz val="10"/>
            <color rgb="FF000000"/>
            <rFont val="Arial"/>
            <scheme val="minor"/>
          </rPr>
          <t>9 damage
Heavy</t>
        </r>
      </text>
    </comment>
    <comment ref="L60" authorId="0" shapeId="0" xr:uid="{00000000-0006-0000-0200-00007B010000}">
      <text>
        <r>
          <rPr>
            <sz val="10"/>
            <color rgb="FF000000"/>
            <rFont val="Arial"/>
            <scheme val="minor"/>
          </rPr>
          <t>1 damage
Poison, Cleave</t>
        </r>
      </text>
    </comment>
    <comment ref="E61" authorId="0" shapeId="0" xr:uid="{00000000-0006-0000-0200-00007C010000}">
      <text>
        <r>
          <rPr>
            <sz val="10"/>
            <color rgb="FF000000"/>
            <rFont val="Arial"/>
            <scheme val="minor"/>
          </rPr>
          <t>20 hp</t>
        </r>
      </text>
    </comment>
    <comment ref="G61" authorId="0" shapeId="0" xr:uid="{00000000-0006-0000-0200-00007D010000}">
      <text>
        <r>
          <rPr>
            <sz val="10"/>
            <color rgb="FF000000"/>
            <rFont val="Arial"/>
            <scheme val="minor"/>
          </rPr>
          <t>5 damage
Cleave</t>
        </r>
      </text>
    </comment>
    <comment ref="H61" authorId="0" shapeId="0" xr:uid="{00000000-0006-0000-0200-00007E010000}">
      <text>
        <r>
          <rPr>
            <sz val="10"/>
            <color rgb="FF000000"/>
            <rFont val="Arial"/>
            <scheme val="minor"/>
          </rPr>
          <t>5 damage
Cleave</t>
        </r>
      </text>
    </comment>
    <comment ref="I61" authorId="0" shapeId="0" xr:uid="{00000000-0006-0000-0200-00007F010000}">
      <text>
        <r>
          <rPr>
            <sz val="10"/>
            <color rgb="FF000000"/>
            <rFont val="Arial"/>
            <scheme val="minor"/>
          </rPr>
          <t>3 damage to all enemies</t>
        </r>
      </text>
    </comment>
    <comment ref="J61" authorId="0" shapeId="0" xr:uid="{00000000-0006-0000-0200-000080010000}">
      <text>
        <r>
          <rPr>
            <sz val="10"/>
            <color rgb="FF000000"/>
            <rFont val="Arial"/>
            <scheme val="minor"/>
          </rPr>
          <t>3 damage to all enemies</t>
        </r>
      </text>
    </comment>
    <comment ref="K61" authorId="0" shapeId="0" xr:uid="{00000000-0006-0000-0200-000081010000}">
      <text>
        <r>
          <rPr>
            <sz val="10"/>
            <color rgb="FF000000"/>
            <rFont val="Arial"/>
            <scheme val="minor"/>
          </rPr>
          <t>5 damage
Cleave</t>
        </r>
      </text>
    </comment>
    <comment ref="L61" authorId="0" shapeId="0" xr:uid="{00000000-0006-0000-0200-000082010000}">
      <text>
        <r>
          <rPr>
            <sz val="10"/>
            <color rgb="FF000000"/>
            <rFont val="Arial"/>
            <scheme val="minor"/>
          </rPr>
          <t>2 damage
Poison, Cleave</t>
        </r>
      </text>
    </comment>
    <comment ref="E62" authorId="0" shapeId="0" xr:uid="{00000000-0006-0000-0200-000083010000}">
      <text>
        <r>
          <rPr>
            <sz val="10"/>
            <color rgb="FF000000"/>
            <rFont val="Arial"/>
            <scheme val="minor"/>
          </rPr>
          <t>25 hp
HP 10: kill the top-most enemy</t>
        </r>
      </text>
    </comment>
    <comment ref="G62" authorId="0" shapeId="0" xr:uid="{00000000-0006-0000-0200-000084010000}">
      <text>
        <r>
          <rPr>
            <sz val="10"/>
            <color rgb="FF000000"/>
            <rFont val="Arial"/>
            <scheme val="minor"/>
          </rPr>
          <t>12 damage</t>
        </r>
      </text>
    </comment>
    <comment ref="H62" authorId="0" shapeId="0" xr:uid="{00000000-0006-0000-0200-000085010000}">
      <text>
        <r>
          <rPr>
            <sz val="10"/>
            <color rgb="FF000000"/>
            <rFont val="Arial"/>
            <scheme val="minor"/>
          </rPr>
          <t>12 damage</t>
        </r>
      </text>
    </comment>
    <comment ref="I62" authorId="0" shapeId="0" xr:uid="{00000000-0006-0000-0200-000086010000}">
      <text>
        <r>
          <rPr>
            <sz val="10"/>
            <color rgb="FF000000"/>
            <rFont val="Arial"/>
            <scheme val="minor"/>
          </rPr>
          <t>3 damage
Poison, Weaken</t>
        </r>
      </text>
    </comment>
    <comment ref="J62" authorId="0" shapeId="0" xr:uid="{00000000-0006-0000-0200-000087010000}">
      <text>
        <r>
          <rPr>
            <sz val="10"/>
            <color rgb="FF000000"/>
            <rFont val="Arial"/>
            <scheme val="minor"/>
          </rPr>
          <t>3 damage
Poison, Weaken</t>
        </r>
      </text>
    </comment>
    <comment ref="K62" authorId="0" shapeId="0" xr:uid="{00000000-0006-0000-0200-000088010000}">
      <text>
        <r>
          <rPr>
            <sz val="10"/>
            <color rgb="FF000000"/>
            <rFont val="Arial"/>
            <scheme val="minor"/>
          </rPr>
          <t>Summon 3 spiders</t>
        </r>
      </text>
    </comment>
    <comment ref="L62" authorId="0" shapeId="0" xr:uid="{00000000-0006-0000-0200-000089010000}">
      <text>
        <r>
          <rPr>
            <sz val="10"/>
            <color rgb="FF000000"/>
            <rFont val="Arial"/>
            <scheme val="minor"/>
          </rPr>
          <t>Summon 2 spiders</t>
        </r>
      </text>
    </comment>
    <comment ref="E63" authorId="0" shapeId="0" xr:uid="{00000000-0006-0000-0200-00008A010000}">
      <text>
        <r>
          <rPr>
            <sz val="10"/>
            <color rgb="FF000000"/>
            <rFont val="Arial"/>
            <scheme val="minor"/>
          </rPr>
          <t>40 hp</t>
        </r>
      </text>
    </comment>
    <comment ref="G63" authorId="0" shapeId="0" xr:uid="{00000000-0006-0000-0200-00008B010000}">
      <text>
        <r>
          <rPr>
            <sz val="10"/>
            <color rgb="FF000000"/>
            <rFont val="Arial"/>
            <scheme val="minor"/>
          </rPr>
          <t>4 damage
Weaken, Flanking</t>
        </r>
      </text>
    </comment>
    <comment ref="H63" authorId="0" shapeId="0" xr:uid="{00000000-0006-0000-0200-00008C010000}">
      <text>
        <r>
          <rPr>
            <sz val="10"/>
            <color rgb="FF000000"/>
            <rFont val="Arial"/>
            <scheme val="minor"/>
          </rPr>
          <t>4 damage
Weaken, Flanking</t>
        </r>
      </text>
    </comment>
    <comment ref="I63" authorId="0" shapeId="0" xr:uid="{00000000-0006-0000-0200-00008D010000}">
      <text>
        <r>
          <rPr>
            <sz val="10"/>
            <color rgb="FF000000"/>
            <rFont val="Arial"/>
            <scheme val="minor"/>
          </rPr>
          <t>9 damage
Inflict-death</t>
        </r>
      </text>
    </comment>
    <comment ref="J63" authorId="0" shapeId="0" xr:uid="{00000000-0006-0000-0200-00008E010000}">
      <text>
        <r>
          <rPr>
            <sz val="10"/>
            <color rgb="FF000000"/>
            <rFont val="Arial"/>
            <scheme val="minor"/>
          </rPr>
          <t>9 damage
Inflict-death</t>
        </r>
      </text>
    </comment>
    <comment ref="K63" authorId="0" shapeId="0" xr:uid="{00000000-0006-0000-0200-00008F010000}">
      <text>
        <r>
          <rPr>
            <sz val="10"/>
            <color rgb="FF000000"/>
            <rFont val="Arial"/>
            <scheme val="minor"/>
          </rPr>
          <t>Summon a slate</t>
        </r>
      </text>
    </comment>
    <comment ref="L63" authorId="0" shapeId="0" xr:uid="{00000000-0006-0000-0200-000090010000}">
      <text>
        <r>
          <rPr>
            <sz val="10"/>
            <color rgb="FF000000"/>
            <rFont val="Arial"/>
            <scheme val="minor"/>
          </rPr>
          <t>Summon a slate</t>
        </r>
      </text>
    </comment>
    <comment ref="E64" authorId="0" shapeId="0" xr:uid="{00000000-0006-0000-0200-000091010000}">
      <text>
        <r>
          <rPr>
            <sz val="10"/>
            <color rgb="FF000000"/>
            <rFont val="Arial"/>
            <scheme val="minor"/>
          </rPr>
          <t>40 hp</t>
        </r>
      </text>
    </comment>
    <comment ref="G64" authorId="0" shapeId="0" xr:uid="{00000000-0006-0000-0200-000092010000}">
      <text>
        <r>
          <rPr>
            <sz val="10"/>
            <color rgb="FF000000"/>
            <rFont val="Arial"/>
            <scheme val="minor"/>
          </rPr>
          <t>5 damage to all enemies</t>
        </r>
      </text>
    </comment>
    <comment ref="H64" authorId="0" shapeId="0" xr:uid="{00000000-0006-0000-0200-000093010000}">
      <text>
        <r>
          <rPr>
            <sz val="10"/>
            <color rgb="FF000000"/>
            <rFont val="Arial"/>
            <scheme val="minor"/>
          </rPr>
          <t>5 damage to all enemies</t>
        </r>
      </text>
    </comment>
    <comment ref="I64" authorId="0" shapeId="0" xr:uid="{00000000-0006-0000-0200-000094010000}">
      <text>
        <r>
          <rPr>
            <sz val="10"/>
            <color rgb="FF000000"/>
            <rFont val="Arial"/>
            <scheme val="minor"/>
          </rPr>
          <t>15 damage
Heavy</t>
        </r>
      </text>
    </comment>
    <comment ref="J64" authorId="0" shapeId="0" xr:uid="{00000000-0006-0000-0200-000095010000}">
      <text>
        <r>
          <rPr>
            <sz val="10"/>
            <color rgb="FF000000"/>
            <rFont val="Arial"/>
            <scheme val="minor"/>
          </rPr>
          <t>15 damage
Heavy</t>
        </r>
      </text>
    </comment>
    <comment ref="K64" authorId="0" shapeId="0" xr:uid="{00000000-0006-0000-0200-000096010000}">
      <text>
        <r>
          <rPr>
            <sz val="10"/>
            <color rgb="FF000000"/>
            <rFont val="Arial"/>
            <scheme val="minor"/>
          </rPr>
          <t>3 damage
Poison, Cleave</t>
        </r>
      </text>
    </comment>
    <comment ref="L64" authorId="0" shapeId="0" xr:uid="{00000000-0006-0000-0200-000097010000}">
      <text>
        <r>
          <rPr>
            <sz val="10"/>
            <color rgb="FF000000"/>
            <rFont val="Arial"/>
            <scheme val="minor"/>
          </rPr>
          <t>3 damage
Poison, Cleave</t>
        </r>
      </text>
    </comment>
    <comment ref="E65" authorId="0" shapeId="0" xr:uid="{00000000-0006-0000-0200-000098010000}">
      <text>
        <r>
          <rPr>
            <sz val="10"/>
            <color rgb="FF000000"/>
            <rFont val="Arial"/>
            <scheme val="minor"/>
          </rPr>
          <t>30 hp</t>
        </r>
      </text>
    </comment>
    <comment ref="G65" authorId="0" shapeId="0" xr:uid="{00000000-0006-0000-0200-000099010000}">
      <text>
        <r>
          <rPr>
            <sz val="10"/>
            <color rgb="FF000000"/>
            <rFont val="Arial"/>
            <scheme val="minor"/>
          </rPr>
          <t>8 damage
Descend, Inflict-pain</t>
        </r>
      </text>
    </comment>
    <comment ref="H65" authorId="0" shapeId="0" xr:uid="{00000000-0006-0000-0200-00009A010000}">
      <text>
        <r>
          <rPr>
            <sz val="10"/>
            <color rgb="FF000000"/>
            <rFont val="Arial"/>
            <scheme val="minor"/>
          </rPr>
          <t>8 damage
Descend, Inflict-pain</t>
        </r>
      </text>
    </comment>
    <comment ref="I65" authorId="0" shapeId="0" xr:uid="{00000000-0006-0000-0200-00009B010000}">
      <text>
        <r>
          <rPr>
            <sz val="10"/>
            <color rgb="FF000000"/>
            <rFont val="Arial"/>
            <scheme val="minor"/>
          </rPr>
          <t>4 damage
Petrify</t>
        </r>
      </text>
    </comment>
    <comment ref="J65" authorId="0" shapeId="0" xr:uid="{00000000-0006-0000-0200-00009C010000}">
      <text>
        <r>
          <rPr>
            <sz val="10"/>
            <color rgb="FF000000"/>
            <rFont val="Arial"/>
            <scheme val="minor"/>
          </rPr>
          <t>4 damage
Petrify</t>
        </r>
      </text>
    </comment>
    <comment ref="K65" authorId="0" shapeId="0" xr:uid="{00000000-0006-0000-0200-00009D010000}">
      <text>
        <r>
          <rPr>
            <sz val="10"/>
            <color rgb="FF000000"/>
            <rFont val="Arial"/>
            <scheme val="minor"/>
          </rPr>
          <t>Summon a demon</t>
        </r>
      </text>
    </comment>
    <comment ref="L65" authorId="0" shapeId="0" xr:uid="{00000000-0006-0000-0200-00009E010000}">
      <text>
        <r>
          <rPr>
            <sz val="10"/>
            <color rgb="FF000000"/>
            <rFont val="Arial"/>
            <scheme val="minor"/>
          </rPr>
          <t>Summon a demon</t>
        </r>
      </text>
    </comment>
    <comment ref="E66" authorId="0" shapeId="0" xr:uid="{00000000-0006-0000-0200-00009F010000}">
      <text>
        <r>
          <rPr>
            <sz val="10"/>
            <color rgb="FF000000"/>
            <rFont val="Arial"/>
            <scheme val="minor"/>
          </rPr>
          <t>40 hp</t>
        </r>
      </text>
    </comment>
    <comment ref="G66" authorId="0" shapeId="0" xr:uid="{00000000-0006-0000-0200-0000A0010000}">
      <text>
        <r>
          <rPr>
            <sz val="10"/>
            <color rgb="FF000000"/>
            <rFont val="Arial"/>
            <scheme val="minor"/>
          </rPr>
          <t>10 damage
Petrify</t>
        </r>
      </text>
    </comment>
    <comment ref="H66" authorId="0" shapeId="0" xr:uid="{00000000-0006-0000-0200-0000A1010000}">
      <text>
        <r>
          <rPr>
            <sz val="10"/>
            <color rgb="FF000000"/>
            <rFont val="Arial"/>
            <scheme val="minor"/>
          </rPr>
          <t>10 damage
Cleave</t>
        </r>
      </text>
    </comment>
    <comment ref="I66" authorId="0" shapeId="0" xr:uid="{00000000-0006-0000-0200-0000A2010000}">
      <text>
        <r>
          <rPr>
            <sz val="10"/>
            <color rgb="FF000000"/>
            <rFont val="Arial"/>
            <scheme val="minor"/>
          </rPr>
          <t>Summon 3 sabers</t>
        </r>
      </text>
    </comment>
    <comment ref="J66" authorId="0" shapeId="0" xr:uid="{00000000-0006-0000-0200-0000A3010000}">
      <text>
        <r>
          <rPr>
            <sz val="10"/>
            <color rgb="FF000000"/>
            <rFont val="Arial"/>
            <scheme val="minor"/>
          </rPr>
          <t>Summon 3 sabers</t>
        </r>
      </text>
    </comment>
    <comment ref="K66" authorId="0" shapeId="0" xr:uid="{00000000-0006-0000-0200-0000A4010000}">
      <text>
        <r>
          <rPr>
            <sz val="10"/>
            <color rgb="FF000000"/>
            <rFont val="Arial"/>
            <scheme val="minor"/>
          </rPr>
          <t>7 damage to all enemies</t>
        </r>
      </text>
    </comment>
    <comment ref="L66" authorId="0" shapeId="0" xr:uid="{00000000-0006-0000-0200-0000A5010000}">
      <text>
        <r>
          <rPr>
            <sz val="10"/>
            <color rgb="FF000000"/>
            <rFont val="Arial"/>
            <scheme val="minor"/>
          </rPr>
          <t>4 damage
Poison, Cleave</t>
        </r>
      </text>
    </comment>
    <comment ref="E67" authorId="0" shapeId="0" xr:uid="{00000000-0006-0000-0200-0000A6010000}">
      <text>
        <r>
          <rPr>
            <sz val="10"/>
            <color rgb="FF000000"/>
            <rFont val="Arial"/>
            <scheme val="minor"/>
          </rPr>
          <t>5 hp</t>
        </r>
      </text>
    </comment>
    <comment ref="G67" authorId="0" shapeId="0" xr:uid="{00000000-0006-0000-0200-0000A7010000}">
      <text>
        <r>
          <rPr>
            <sz val="10"/>
            <color rgb="FF000000"/>
            <rFont val="Arial"/>
            <scheme val="minor"/>
          </rPr>
          <t>3 damage
Single-use, Cleave, Engage, 
Self-heal, Weaken, Vulnerable</t>
        </r>
      </text>
    </comment>
    <comment ref="H67" authorId="0" shapeId="0" xr:uid="{00000000-0006-0000-0200-0000A8010000}">
      <text>
        <r>
          <rPr>
            <sz val="10"/>
            <color rgb="FF000000"/>
            <rFont val="Arial"/>
            <scheme val="minor"/>
          </rPr>
          <t>blank</t>
        </r>
      </text>
    </comment>
    <comment ref="I67" authorId="0" shapeId="0" xr:uid="{00000000-0006-0000-0200-0000A9010000}">
      <text>
        <r>
          <rPr>
            <sz val="10"/>
            <color rgb="FF000000"/>
            <rFont val="Arial"/>
            <scheme val="minor"/>
          </rPr>
          <t>153 damage
Death</t>
        </r>
      </text>
    </comment>
    <comment ref="J67" authorId="0" shapeId="0" xr:uid="{00000000-0006-0000-0200-0000AA010000}">
      <text>
        <r>
          <rPr>
            <sz val="10"/>
            <color rgb="FF000000"/>
            <rFont val="Arial"/>
            <scheme val="minor"/>
          </rPr>
          <t>blank</t>
        </r>
      </text>
    </comment>
    <comment ref="K67" authorId="0" shapeId="0" xr:uid="{00000000-0006-0000-0200-0000AB010000}">
      <text>
        <r>
          <rPr>
            <sz val="10"/>
            <color rgb="FF000000"/>
            <rFont val="Arial"/>
            <scheme val="minor"/>
          </rPr>
          <t>blank</t>
        </r>
      </text>
    </comment>
    <comment ref="L67" authorId="0" shapeId="0" xr:uid="{00000000-0006-0000-0200-0000AC010000}">
      <text>
        <r>
          <rPr>
            <sz val="10"/>
            <color rgb="FF000000"/>
            <rFont val="Arial"/>
            <scheme val="minor"/>
          </rPr>
          <t>9 damage
Cleave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500-000001000000}">
      <text>
        <r>
          <rPr>
            <sz val="10"/>
            <color rgb="FF000000"/>
            <rFont val="Arial"/>
            <scheme val="minor"/>
          </rPr>
          <t>blank
No target</t>
        </r>
      </text>
    </comment>
    <comment ref="D2" authorId="0" shapeId="0" xr:uid="{00000000-0006-0000-0500-000002000000}">
      <text>
        <r>
          <rPr>
            <sz val="10"/>
            <color rgb="FF000000"/>
            <rFont val="Arial"/>
            <scheme val="minor"/>
          </rPr>
          <t>1 damage
Target enemies only</t>
        </r>
      </text>
    </comment>
    <comment ref="E2" authorId="0" shapeId="0" xr:uid="{00000000-0006-0000-0500-000003000000}">
      <text>
        <r>
          <rPr>
            <sz val="10"/>
            <color rgb="FF000000"/>
            <rFont val="Arial"/>
            <scheme val="minor"/>
          </rPr>
          <t>Shield 1
Target allies only</t>
        </r>
      </text>
    </comment>
    <comment ref="F2" authorId="0" shapeId="0" xr:uid="{00000000-0006-0000-0500-000004000000}">
      <text>
        <r>
          <rPr>
            <sz val="10"/>
            <color rgb="FF000000"/>
            <rFont val="Arial"/>
            <scheme val="minor"/>
          </rPr>
          <t>Heal 1
Target allies only</t>
        </r>
      </text>
    </comment>
    <comment ref="G2" authorId="0" shapeId="0" xr:uid="{00000000-0006-0000-0500-000005000000}">
      <text>
        <r>
          <rPr>
            <sz val="10"/>
            <color rgb="FF000000"/>
            <rFont val="Arial"/>
            <scheme val="minor"/>
          </rPr>
          <t>Heal and shield 1
Target allies only</t>
        </r>
      </text>
    </comment>
    <comment ref="H2" authorId="0" shapeId="0" xr:uid="{00000000-0006-0000-0500-000006000000}">
      <text>
        <r>
          <rPr>
            <sz val="10"/>
            <color rgb="FF000000"/>
            <rFont val="Arial"/>
            <scheme val="minor"/>
          </rPr>
          <t>1 mana
No target</t>
        </r>
      </text>
    </comment>
    <comment ref="I2" authorId="0" shapeId="0" xr:uid="{00000000-0006-0000-0500-000007000000}">
      <text>
        <r>
          <rPr>
            <sz val="10"/>
            <color rgb="FF000000"/>
            <rFont val="Arial"/>
            <scheme val="minor"/>
          </rPr>
          <t>Kill an enemy with 1 or less hp
Ranged
Target enemies only
(Can still avoid on-hit passives without ranged)</t>
        </r>
      </text>
    </comment>
    <comment ref="J2" authorId="0" shapeId="0" xr:uid="{00000000-0006-0000-0500-000008000000}">
      <text>
        <r>
          <rPr>
            <sz val="10"/>
            <color rgb="FF000000"/>
            <rFont val="Arial"/>
            <scheme val="minor"/>
          </rPr>
          <t>Redirect all enemy attack/effects from an ally to you
Self-shield 1
Target allies only</t>
        </r>
      </text>
    </comment>
    <comment ref="K2" authorId="0" shapeId="0" xr:uid="{00000000-0006-0000-0500-000009000000}">
      <text>
        <r>
          <rPr>
            <sz val="10"/>
            <color rgb="FF000000"/>
            <rFont val="Arial"/>
            <scheme val="minor"/>
          </rPr>
          <t>1 damage to all enemies
Affect enemies only
No target</t>
        </r>
      </text>
    </comment>
    <comment ref="L2" authorId="0" shapeId="0" xr:uid="{00000000-0006-0000-0500-00000A000000}">
      <text>
        <r>
          <rPr>
            <sz val="10"/>
            <color rgb="FF000000"/>
            <rFont val="Arial"/>
            <scheme val="minor"/>
          </rPr>
          <t>1 damage to all heroes and monsters
Poison
No target</t>
        </r>
      </text>
    </comment>
    <comment ref="M2" authorId="0" shapeId="0" xr:uid="{00000000-0006-0000-0500-00000B000000}">
      <text>
        <r>
          <rPr>
            <sz val="10"/>
            <color rgb="FF000000"/>
            <rFont val="Arial"/>
            <scheme val="minor"/>
          </rPr>
          <t>Shield 1 to all allies
Affect allies only
No target</t>
        </r>
      </text>
    </comment>
    <comment ref="N2" authorId="0" shapeId="0" xr:uid="{00000000-0006-0000-0500-00000C000000}">
      <text>
        <r>
          <rPr>
            <sz val="10"/>
            <color rgb="FF000000"/>
            <rFont val="Arial"/>
            <scheme val="minor"/>
          </rPr>
          <t>Heal 1 to all other allies
Pain, Vitality
Affect all allies but self
No target</t>
        </r>
      </text>
    </comment>
    <comment ref="O2" authorId="0" shapeId="0" xr:uid="{00000000-0006-0000-0500-00000D000000}">
      <text>
        <r>
          <rPr>
            <sz val="10"/>
            <color rgb="FF000000"/>
            <rFont val="Arial"/>
            <scheme val="minor"/>
          </rPr>
          <t>Heal 1 to all allies
Affect allies only
No target</t>
        </r>
      </text>
    </comment>
    <comment ref="P2" authorId="0" shapeId="0" xr:uid="{00000000-0006-0000-0500-00000E000000}">
      <text>
        <r>
          <rPr>
            <sz val="10"/>
            <color rgb="FF000000"/>
            <rFont val="Arial"/>
            <scheme val="minor"/>
          </rPr>
          <t>Revive the top-most defeated ally
Affect allies only
No target</t>
        </r>
      </text>
    </comment>
    <comment ref="Q2" authorId="0" shapeId="0" xr:uid="{00000000-0006-0000-0500-00000F000000}">
      <text>
        <r>
          <rPr>
            <sz val="10"/>
            <color rgb="FF000000"/>
            <rFont val="Arial"/>
            <scheme val="minor"/>
          </rPr>
          <t>Gain 1 reroll
Cantrip
No target</t>
        </r>
      </text>
    </comment>
    <comment ref="R2" authorId="0" shapeId="0" xr:uid="{00000000-0006-0000-0500-000010000000}">
      <text>
        <r>
          <rPr>
            <sz val="10"/>
            <color rgb="FF000000"/>
            <rFont val="Arial"/>
            <scheme val="minor"/>
          </rPr>
          <t>1 self damage
Cantrip
Target self</t>
        </r>
      </text>
    </comment>
    <comment ref="S2" authorId="0" shapeId="0" xr:uid="{00000000-0006-0000-0500-000011000000}">
      <text>
        <r>
          <rPr>
            <sz val="10"/>
            <color rgb="FF000000"/>
            <rFont val="Arial"/>
            <scheme val="minor"/>
          </rPr>
          <t>Target hero can use their dice again
Target allies only</t>
        </r>
      </text>
    </comment>
    <comment ref="T2" authorId="0" shapeId="0" xr:uid="{00000000-0006-0000-0500-000012000000}">
      <text>
        <r>
          <rPr>
            <sz val="10"/>
            <color rgb="FF000000"/>
            <rFont val="Arial"/>
            <scheme val="minor"/>
          </rPr>
          <t>Target ally: Cannot be killed this turn
Target allies only</t>
        </r>
      </text>
    </comment>
    <comment ref="U2" authorId="0" shapeId="0" xr:uid="{00000000-0006-0000-0500-000013000000}">
      <text>
        <r>
          <rPr>
            <sz val="10"/>
            <color rgb="FF000000"/>
            <rFont val="Arial"/>
            <scheme val="minor"/>
          </rPr>
          <t>Stun an enemy with equal or less hp than you
Target enemies only</t>
        </r>
      </text>
    </comment>
    <comment ref="V2" authorId="0" shapeId="0" xr:uid="{00000000-0006-0000-0500-000014000000}">
      <text>
        <r>
          <rPr>
            <sz val="10"/>
            <color rgb="FF000000"/>
            <rFont val="Arial"/>
            <scheme val="minor"/>
          </rPr>
          <t>Stun an enemy
Single-use
Target enemies only</t>
        </r>
      </text>
    </comment>
    <comment ref="W2" authorId="0" shapeId="0" xr:uid="{00000000-0006-0000-0500-000015000000}">
      <text>
        <r>
          <rPr>
            <sz val="10"/>
            <color rgb="FF000000"/>
            <rFont val="Arial"/>
            <scheme val="minor"/>
          </rPr>
          <t>Dodge all enemy attacks/effects
Target self</t>
        </r>
      </text>
    </comment>
    <comment ref="X2" authorId="0" shapeId="0" xr:uid="{00000000-0006-0000-0500-000016000000}">
      <text>
        <r>
          <rPr>
            <sz val="10"/>
            <color rgb="FF000000"/>
            <rFont val="Arial"/>
            <scheme val="minor"/>
          </rPr>
          <t>Redirect all enemy attack/effects from an ally to you
Cleave
Target allies only</t>
        </r>
      </text>
    </comment>
    <comment ref="Y2" authorId="0" shapeId="0" xr:uid="{00000000-0006-0000-0500-000017000000}">
      <text>
        <r>
          <rPr>
            <sz val="10"/>
            <color rgb="FF000000"/>
            <rFont val="Arial"/>
            <scheme val="minor"/>
          </rPr>
          <t>Add self-heal &amp; self-shield to target's sides this turn
Target allies only</t>
        </r>
      </text>
    </comment>
    <comment ref="Z2" authorId="0" shapeId="0" xr:uid="{00000000-0006-0000-0500-000018000000}">
      <text>
        <r>
          <rPr>
            <sz val="10"/>
            <color rgb="FF000000"/>
            <rFont val="Arial"/>
            <scheme val="minor"/>
          </rPr>
          <t>Add self-shield to target's sides this turn
Target allies only</t>
        </r>
      </text>
    </comment>
    <comment ref="AA2" authorId="0" shapeId="0" xr:uid="{00000000-0006-0000-0500-000019000000}">
      <text>
        <r>
          <rPr>
            <sz val="10"/>
            <color rgb="FF000000"/>
            <rFont val="Arial"/>
            <scheme val="minor"/>
          </rPr>
          <t>Add self-heal to target's sides this turn
Target allies only</t>
        </r>
      </text>
    </comment>
    <comment ref="AB2" authorId="0" shapeId="0" xr:uid="{00000000-0006-0000-0500-00001A000000}">
      <text>
        <r>
          <rPr>
            <sz val="10"/>
            <color rgb="FF000000"/>
            <rFont val="Arial"/>
            <scheme val="minor"/>
          </rPr>
          <t>Add growth to target's sides this turn
Target allies only</t>
        </r>
      </text>
    </comment>
    <comment ref="AC2" authorId="0" shapeId="0" xr:uid="{00000000-0006-0000-0500-00001B000000}">
      <text>
        <r>
          <rPr>
            <sz val="10"/>
            <color rgb="FF000000"/>
            <rFont val="Arial"/>
            <scheme val="minor"/>
          </rPr>
          <t>Add mana-gain &amp; pain to target's sides this turn
Target allies only</t>
        </r>
      </text>
    </comment>
    <comment ref="AD2" authorId="0" shapeId="0" xr:uid="{00000000-0006-0000-0500-00001C000000}">
      <text>
        <r>
          <rPr>
            <sz val="10"/>
            <color rgb="FF000000"/>
            <rFont val="Arial"/>
            <scheme val="minor"/>
          </rPr>
          <t>Spells</t>
        </r>
      </text>
    </comment>
    <comment ref="A5" authorId="0" shapeId="0" xr:uid="{00000000-0006-0000-0500-00001D000000}">
      <text>
        <r>
          <rPr>
            <sz val="10"/>
            <color rgb="FF000000"/>
            <rFont val="Arial"/>
            <scheme val="minor"/>
          </rPr>
          <t>It is not possible to get flanking on hero sides in a normal game</t>
        </r>
      </text>
    </comment>
    <comment ref="I9" authorId="0" shapeId="0" xr:uid="{00000000-0006-0000-0500-00001E000000}">
      <text>
        <r>
          <rPr>
            <sz val="10"/>
            <color rgb="FF000000"/>
            <rFont val="Arial"/>
            <scheme val="minor"/>
          </rPr>
          <t>Kill adjacent enemies as well regardless of their hp</t>
        </r>
      </text>
    </comment>
    <comment ref="S9" authorId="0" shapeId="0" xr:uid="{00000000-0006-0000-0500-00001F000000}">
      <text>
        <r>
          <rPr>
            <sz val="10"/>
            <color rgb="FF000000"/>
            <rFont val="Arial"/>
            <scheme val="minor"/>
          </rPr>
          <t>This is an infinite setup</t>
        </r>
      </text>
    </comment>
    <comment ref="R11" authorId="0" shapeId="0" xr:uid="{00000000-0006-0000-0500-000020000000}">
      <text>
        <r>
          <rPr>
            <sz val="10"/>
            <color rgb="FF000000"/>
            <rFont val="Arial"/>
            <scheme val="minor"/>
          </rPr>
          <t>Applies effect on self</t>
        </r>
      </text>
    </comment>
    <comment ref="D44" authorId="0" shapeId="0" xr:uid="{00000000-0006-0000-0500-000021000000}">
      <text>
        <r>
          <rPr>
            <sz val="10"/>
            <color rgb="FF000000"/>
            <rFont val="Arial"/>
            <scheme val="minor"/>
          </rPr>
          <t>Cannot be obtained by any side using Enduring. Only present in Venom's original side (and generated  orange heroes). 
If that side loses the Plague keyword, it cannot regain Plague</t>
        </r>
      </text>
    </comment>
    <comment ref="P54" authorId="0" shapeId="0" xr:uid="{00000000-0006-0000-0500-000022000000}">
      <text>
        <r>
          <rPr>
            <sz val="10"/>
            <color rgb="FF000000"/>
            <rFont val="Arial"/>
            <scheme val="minor"/>
          </rPr>
          <t>Cantrip revive is banned</t>
        </r>
      </text>
    </comment>
    <comment ref="L55" authorId="0" shapeId="0" xr:uid="{00000000-0006-0000-0500-000023000000}">
      <text>
        <r>
          <rPr>
            <sz val="10"/>
            <color rgb="FF000000"/>
            <rFont val="Arial"/>
            <scheme val="minor"/>
          </rPr>
          <t xml:space="preserve">Remove both heroes (Twin, Tw1n and Mimic) and monsters traits </t>
        </r>
      </text>
    </comment>
    <comment ref="A56" authorId="0" shapeId="0" xr:uid="{00000000-0006-0000-0500-000024000000}">
      <text>
        <r>
          <rPr>
            <sz val="10"/>
            <color rgb="FF000000"/>
            <rFont val="Arial"/>
            <scheme val="minor"/>
          </rPr>
          <t>It is not possible to get petrify on hero sides in a normal game</t>
        </r>
      </text>
    </comment>
    <comment ref="E56" authorId="0" shapeId="0" xr:uid="{00000000-0006-0000-0500-000025000000}">
      <text>
        <r>
          <rPr>
            <sz val="10"/>
            <color rgb="FF000000"/>
            <rFont val="Arial"/>
            <scheme val="minor"/>
          </rPr>
          <t>Only applicable on this side once it has repel
Applies effect on enemy targetting the repel</t>
        </r>
      </text>
    </comment>
    <comment ref="R56" authorId="0" shapeId="0" xr:uid="{00000000-0006-0000-0500-000026000000}">
      <text>
        <r>
          <rPr>
            <sz val="10"/>
            <color rgb="FF000000"/>
            <rFont val="Arial"/>
            <scheme val="minor"/>
          </rPr>
          <t>Applies effect on self
Applies ADDITIONAL effect on enemy with Repel</t>
        </r>
      </text>
    </comment>
    <comment ref="K58" authorId="0" shapeId="0" xr:uid="{00000000-0006-0000-0500-000027000000}">
      <text>
        <r>
          <rPr>
            <sz val="10"/>
            <color rgb="FF000000"/>
            <rFont val="Arial"/>
            <scheme val="minor"/>
          </rPr>
          <t>Not understood why Vulnerable can't apply to AoE attacks</t>
        </r>
      </text>
    </comment>
    <comment ref="A60" authorId="0" shapeId="0" xr:uid="{00000000-0006-0000-0500-000028000000}">
      <text>
        <r>
          <rPr>
            <sz val="10"/>
            <color rgb="FF000000"/>
            <rFont val="Arial"/>
            <scheme val="minor"/>
          </rPr>
          <t>it is not possible to get inflict-death on hero sides in a normal game</t>
        </r>
      </text>
    </comment>
    <comment ref="P60" authorId="0" shapeId="0" xr:uid="{00000000-0006-0000-0500-000029000000}">
      <text>
        <r>
          <rPr>
            <sz val="10"/>
            <color rgb="FF000000"/>
            <rFont val="Arial"/>
            <scheme val="minor"/>
          </rPr>
          <t>Inflicts status on revived heroes</t>
        </r>
      </text>
    </comment>
    <comment ref="W60" authorId="0" shapeId="0" xr:uid="{00000000-0006-0000-0500-00002A000000}">
      <text>
        <r>
          <rPr>
            <sz val="10"/>
            <color rgb="FF000000"/>
            <rFont val="Arial"/>
            <scheme val="minor"/>
          </rPr>
          <t>Inflicts status on self</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600-000001000000}">
      <text>
        <r>
          <rPr>
            <sz val="10"/>
            <color rgb="FF000000"/>
            <rFont val="Arial"/>
            <scheme val="minor"/>
          </rPr>
          <t>Curses with lower rarity means they have less chance to show up than normal curses. Curses without a rarity means they have a rarity of 1
(have equal chance of showing up)</t>
        </r>
      </text>
    </comment>
    <comment ref="C337" authorId="0" shapeId="0" xr:uid="{00000000-0006-0000-0600-000002000000}">
      <text>
        <r>
          <rPr>
            <sz val="10"/>
            <color rgb="FF000000"/>
            <rFont val="Arial"/>
            <scheme val="minor"/>
          </rPr>
          <t>Only de-level the first, third and fifth hero in your team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800-000001000000}">
      <text>
        <r>
          <rPr>
            <sz val="10"/>
            <color rgb="FF000000"/>
            <rFont val="Arial"/>
            <scheme val="minor"/>
          </rPr>
          <t>Blessings with lower rarity means they have less chance to show up than normal blessings. Blessings without a rarity means they have a rarity of 1 (have equal chance of showing up)</t>
        </r>
      </text>
    </comment>
    <comment ref="A5" authorId="0" shapeId="0" xr:uid="{00000000-0006-0000-0800-000002000000}">
      <text>
        <r>
          <rPr>
            <sz val="10"/>
            <color rgb="FF000000"/>
            <rFont val="Arial"/>
            <scheme val="minor"/>
          </rPr>
          <t>best blessing of all time</t>
        </r>
      </text>
    </comment>
    <comment ref="G5" authorId="0" shapeId="0" xr:uid="{00000000-0006-0000-0800-000003000000}">
      <text>
        <r>
          <rPr>
            <sz val="10"/>
            <color rgb="FF000000"/>
            <rFont val="Arial"/>
            <scheme val="minor"/>
          </rPr>
          <t>best blessing of all time</t>
        </r>
      </text>
    </comment>
    <comment ref="C97" authorId="0" shapeId="0" xr:uid="{00000000-0006-0000-0800-000004000000}">
      <text>
        <r>
          <rPr>
            <sz val="10"/>
            <color rgb="FF000000"/>
            <rFont val="Arial"/>
            <scheme val="minor"/>
          </rPr>
          <t>Only level-up the first, third and fifth hero in your team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45" authorId="0" shapeId="0" xr:uid="{00000000-0006-0000-0B00-000001000000}">
      <text>
        <r>
          <rPr>
            <sz val="10"/>
            <color rgb="FF000000"/>
            <rFont val="Arial"/>
            <scheme val="minor"/>
          </rPr>
          <t>Default is no rerolls left.</t>
        </r>
      </text>
    </comment>
    <comment ref="D45" authorId="0" shapeId="0" xr:uid="{00000000-0006-0000-0B00-000002000000}">
      <text>
        <r>
          <rPr>
            <sz val="10"/>
            <color rgb="FF000000"/>
            <rFont val="Arial"/>
            <scheme val="minor"/>
          </rPr>
          <t>This includes heroes and monsters.</t>
        </r>
      </text>
    </comment>
    <comment ref="E45" authorId="0" shapeId="0" xr:uid="{00000000-0006-0000-0B00-000003000000}">
      <text>
        <r>
          <rPr>
            <sz val="10"/>
            <color rgb="FF000000"/>
            <rFont val="Arial"/>
            <scheme val="minor"/>
          </rPr>
          <t>Dice face that shows up on the screen. (Default is top side if you leave any cells blank)</t>
        </r>
      </text>
    </comment>
    <comment ref="I45" authorId="0" shapeId="0" xr:uid="{00000000-0006-0000-0B00-000004000000}">
      <text>
        <r>
          <rPr>
            <sz val="10"/>
            <color rgb="FF000000"/>
            <rFont val="Arial"/>
            <scheme val="minor"/>
          </rPr>
          <t>Which party the character doing the action belongs to.</t>
        </r>
      </text>
    </comment>
    <comment ref="J45" authorId="0" shapeId="0" xr:uid="{00000000-0006-0000-0B00-000005000000}">
      <text>
        <r>
          <rPr>
            <sz val="10"/>
            <color rgb="FF000000"/>
            <rFont val="Arial"/>
            <scheme val="minor"/>
          </rPr>
          <t>The character performing the action. If the party is spell, you can put the position of the spell (from left to right, start from 0).</t>
        </r>
      </text>
    </comment>
    <comment ref="K45" authorId="0" shapeId="0" xr:uid="{00000000-0006-0000-0B00-000006000000}">
      <text>
        <r>
          <rPr>
            <sz val="10"/>
            <color rgb="FF000000"/>
            <rFont val="Arial"/>
            <scheme val="minor"/>
          </rPr>
          <t>The target of the action. If the action has no target (e.g. 1 damage to all enemies) then write 'Z' in the cell.</t>
        </r>
      </text>
    </comment>
    <comment ref="L45" authorId="0" shapeId="0" xr:uid="{00000000-0006-0000-0B00-000007000000}">
      <text>
        <r>
          <rPr>
            <sz val="10"/>
            <color rgb="FF000000"/>
            <rFont val="Arial"/>
            <scheme val="minor"/>
          </rPr>
          <t>Basically what action is being performed. Leave this cell blank if the party is spell. If you leave the cells blank, it will automatically take the character's current dice face (Recommended to leave the cells that doesn't have cantrip proc blank).</t>
        </r>
      </text>
    </comment>
    <comment ref="M45" authorId="0" shapeId="0" xr:uid="{00000000-0006-0000-0B00-000008000000}">
      <text>
        <r>
          <rPr>
            <sz val="10"/>
            <color rgb="FF000000"/>
            <rFont val="Arial"/>
            <scheme val="minor"/>
          </rPr>
          <t>Was this action performed by cantrip? (Write TRUE if it was performed by cantrip)</t>
        </r>
      </text>
    </comment>
  </commentList>
</comments>
</file>

<file path=xl/sharedStrings.xml><?xml version="1.0" encoding="utf-8"?>
<sst xmlns="http://schemas.openxmlformats.org/spreadsheetml/2006/main" count="11124" uniqueCount="4355">
  <si>
    <t>176 achievements (131 normal achievements, 45 secret achievements)</t>
  </si>
  <si>
    <t>Category</t>
  </si>
  <si>
    <t>Achievement name</t>
  </si>
  <si>
    <t>Requirement</t>
  </si>
  <si>
    <t>Unlocks</t>
  </si>
  <si>
    <t>Unlock type</t>
  </si>
  <si>
    <t>Achievements
completed</t>
  </si>
  <si>
    <t>10 Achievements</t>
  </si>
  <si>
    <t>Complete any 10 Achievements</t>
  </si>
  <si>
    <t>Scoundrel (T1), Brigand (T1), Buckle (T1), Acolyte (T1), 
Student (T1)</t>
  </si>
  <si>
    <t>Heroes</t>
  </si>
  <si>
    <t>20 Achievements</t>
  </si>
  <si>
    <t>Complete any 20 Achievements</t>
  </si>
  <si>
    <t>Lost (T1), Ruffian (T1), Squire (T1), Mystic (T1), Initiate (T1)</t>
  </si>
  <si>
    <t>30 Achievements</t>
  </si>
  <si>
    <t>Complete any 30 Achievements</t>
  </si>
  <si>
    <t>Mimic (T3), Twin (T3)</t>
  </si>
  <si>
    <t>40 Achievements</t>
  </si>
  <si>
    <t>Complete any 40 Achievements</t>
  </si>
  <si>
    <t>Infused Herbs (T1), Origami (T2), 2 of Hearts (T2), First-aid Kit (T2),
Leather Gloves (T2), Bonesaw (T4), Abacus (T3), Golden 
Thread (T2), Nunchaku (T6), Diving Suit (T4), Mana Bomb (T4),
Flawed Diamond (T4), PowerStone (T4), Demon Horn (T5),
Ladder (T5), Blindfold (T5), Karma (T6), Wax Seal (T7), Stasis (T7),
Spell: Heat (T5), Bowl (T3)</t>
  </si>
  <si>
    <t>Items</t>
  </si>
  <si>
    <t>50 Achievements</t>
  </si>
  <si>
    <t>Complete any 50 Achievements</t>
  </si>
  <si>
    <t>Urn (T3), Whey (T2), Clumsy Hammer (T3), Liqueur (T2), Iron
Heart (T2), Foil (T1), Stake (T1), Flickering Blade (T2), Glass
Blade (T3)</t>
  </si>
  <si>
    <t>60 Achievements</t>
  </si>
  <si>
    <t>Complete any 60 Achievements</t>
  </si>
  <si>
    <t>Simple</t>
  </si>
  <si>
    <t>Mode</t>
  </si>
  <si>
    <t>70 Achievements</t>
  </si>
  <si>
    <t>Complete any 70 Achievements</t>
  </si>
  <si>
    <t>Mortal (T-1), Mortal+ (T-2), Mortal++ (T-3), Mortal+++ (T-4), 
Mortal++++ (T-5), Mortal+++++ (T-7), Mortal++++++ (T-10), 
Mortal+++++++ (T-15), Mortal++++++++ (T-25),
Mortal+++++++++ (T-40), Mortal++++++++++ (T-100)</t>
  </si>
  <si>
    <t>Curses</t>
  </si>
  <si>
    <t>Fights won</t>
  </si>
  <si>
    <t>Victory</t>
  </si>
  <si>
    <t>Win 25 fights</t>
  </si>
  <si>
    <t>Custom Party</t>
  </si>
  <si>
    <t>Victory+</t>
  </si>
  <si>
    <t>Win 50 fights</t>
  </si>
  <si>
    <t>Shortcut</t>
  </si>
  <si>
    <t>Victory++</t>
  </si>
  <si>
    <t>Win 75 fights</t>
  </si>
  <si>
    <t>Paste</t>
  </si>
  <si>
    <t>Victory+++</t>
  </si>
  <si>
    <t>Win 100 fights</t>
  </si>
  <si>
    <t>Generate</t>
  </si>
  <si>
    <t>Victory++++</t>
  </si>
  <si>
    <t>Win 150 fights</t>
  </si>
  <si>
    <t>Instant</t>
  </si>
  <si>
    <t>Victory+++++</t>
  </si>
  <si>
    <t>Win 200 fights</t>
  </si>
  <si>
    <t>Old</t>
  </si>
  <si>
    <t>Victory++++++</t>
  </si>
  <si>
    <t>Win 500 fights</t>
  </si>
  <si>
    <t>Show Rarity</t>
  </si>
  <si>
    <t>Option</t>
  </si>
  <si>
    <t>Challenges</t>
  </si>
  <si>
    <t>Challenger</t>
  </si>
  <si>
    <t>Accept 3 Challenges</t>
  </si>
  <si>
    <t>Chest</t>
  </si>
  <si>
    <t>Enemy</t>
  </si>
  <si>
    <t>Challenger+</t>
  </si>
  <si>
    <t>Accept 10 Challenges</t>
  </si>
  <si>
    <t>Treasure Chest (T5)</t>
  </si>
  <si>
    <t>Item</t>
  </si>
  <si>
    <t>Wisdom</t>
  </si>
  <si>
    <t>Reject 20 Challenges</t>
  </si>
  <si>
    <t>Graph</t>
  </si>
  <si>
    <t>Almanac Page</t>
  </si>
  <si>
    <t>Hero Deaths</t>
  </si>
  <si>
    <t>25 Deaths</t>
  </si>
  <si>
    <t>25 Hero Deaths</t>
  </si>
  <si>
    <t>Ambrosia (T5)</t>
  </si>
  <si>
    <t>50 Deaths</t>
  </si>
  <si>
    <t>50 Hero Deaths</t>
  </si>
  <si>
    <t>Early Grave (T6)</t>
  </si>
  <si>
    <t>75 Deaths</t>
  </si>
  <si>
    <t>75 Hero Deaths</t>
  </si>
  <si>
    <t>Ritual Dagger (T4)</t>
  </si>
  <si>
    <t>100 Deaths</t>
  </si>
  <si>
    <t>100 Hero Deaths</t>
  </si>
  <si>
    <t>Wraith (T3)</t>
  </si>
  <si>
    <t>Hero</t>
  </si>
  <si>
    <t>150 Deaths</t>
  </si>
  <si>
    <t>150 Hero Deaths</t>
  </si>
  <si>
    <t>Roulette (T3)</t>
  </si>
  <si>
    <t>200 Deaths</t>
  </si>
  <si>
    <t>200 Hero Deaths</t>
  </si>
  <si>
    <t>Permadeath (T-4)</t>
  </si>
  <si>
    <t>Curse</t>
  </si>
  <si>
    <t>Enemy Kills</t>
  </si>
  <si>
    <t>Pile of Bones</t>
  </si>
  <si>
    <t>Kill 100 Bones</t>
  </si>
  <si>
    <t>Grave</t>
  </si>
  <si>
    <t>Pile of Bones+</t>
  </si>
  <si>
    <t>Kill 500 Bones</t>
  </si>
  <si>
    <t>Bones Defeated</t>
  </si>
  <si>
    <t>Leaderboard</t>
  </si>
  <si>
    <t>Spines</t>
  </si>
  <si>
    <t>Kill 20 Imps</t>
  </si>
  <si>
    <t>Thorn</t>
  </si>
  <si>
    <t>Spines+</t>
  </si>
  <si>
    <t>Kill 100 Imps</t>
  </si>
  <si>
    <t>Silver Imp (T2)</t>
  </si>
  <si>
    <t>Brambles</t>
  </si>
  <si>
    <t>Kill 10 Thorns</t>
  </si>
  <si>
    <t>Bramble</t>
  </si>
  <si>
    <t>Enemy (Boss)</t>
  </si>
  <si>
    <t>GONG</t>
  </si>
  <si>
    <t>Kill 10 Fanatics</t>
  </si>
  <si>
    <t>Bell</t>
  </si>
  <si>
    <t>Troll Slayer</t>
  </si>
  <si>
    <t>Kill 2 Trolls</t>
  </si>
  <si>
    <t>Troll's Nose (T4)</t>
  </si>
  <si>
    <t>Troll Nemesis</t>
  </si>
  <si>
    <t>Kill 10 Trolls</t>
  </si>
  <si>
    <t>Troll's Blood (T7)</t>
  </si>
  <si>
    <t>Anger the Ghosts</t>
  </si>
  <si>
    <t>Kill 5 Ghosts</t>
  </si>
  <si>
    <t>Baron</t>
  </si>
  <si>
    <t>Stone Revenge</t>
  </si>
  <si>
    <t>Kill 5 Slates</t>
  </si>
  <si>
    <t>Quartz</t>
  </si>
  <si>
    <t>Stone Revenge+</t>
  </si>
  <si>
    <t>Kill 15 Slates</t>
  </si>
  <si>
    <t>Basalt</t>
  </si>
  <si>
    <t>Hidden Emerald</t>
  </si>
  <si>
    <t>Kill 10 Slimers</t>
  </si>
  <si>
    <t>Emerald Shard (T1)</t>
  </si>
  <si>
    <t>Caw Eggs</t>
  </si>
  <si>
    <t>Kill 10 Caws</t>
  </si>
  <si>
    <t>Caw Egg</t>
  </si>
  <si>
    <t>Dragon Eggs</t>
  </si>
  <si>
    <t>Kill 3 Dragons</t>
  </si>
  <si>
    <t>Dragon Egg</t>
  </si>
  <si>
    <t>Fading</t>
  </si>
  <si>
    <t>Kill 15 Wisps</t>
  </si>
  <si>
    <t>Illusion</t>
  </si>
  <si>
    <t>Lich's Secret</t>
  </si>
  <si>
    <t>Kill 5 Liches</t>
  </si>
  <si>
    <t>Lich's Tome (T3)</t>
  </si>
  <si>
    <t>Hero Picks</t>
  </si>
  <si>
    <t>Gambler-pick</t>
  </si>
  <si>
    <t>Choose Gambler twice</t>
  </si>
  <si>
    <t>Gambler's Ace (T2)</t>
  </si>
  <si>
    <t>Ludus-pick</t>
  </si>
  <si>
    <t>Choose Ludus twice</t>
  </si>
  <si>
    <t>Sudul</t>
  </si>
  <si>
    <t>Dancer-pick</t>
  </si>
  <si>
    <t>Choose Dancer twice</t>
  </si>
  <si>
    <t>Ballet Shoes (T1)</t>
  </si>
  <si>
    <t>Bard-pick</t>
  </si>
  <si>
    <t>Choose Bard twice</t>
  </si>
  <si>
    <t>Enchanted Harp (T5)</t>
  </si>
  <si>
    <t>Dabbler-pick</t>
  </si>
  <si>
    <t>Choose Dabbler twice</t>
  </si>
  <si>
    <t>Dabblest (T3)</t>
  </si>
  <si>
    <t>Dabblest-pick</t>
  </si>
  <si>
    <t>Choose Dabblest twice</t>
  </si>
  <si>
    <t>Dabble (T1)</t>
  </si>
  <si>
    <t>Statue-pick</t>
  </si>
  <si>
    <t>Choose Statue twice</t>
  </si>
  <si>
    <t>Statuette (T2)</t>
  </si>
  <si>
    <t>Collector-pick</t>
  </si>
  <si>
    <t>Choose Collector twice</t>
  </si>
  <si>
    <t>Hoarder (T1)</t>
  </si>
  <si>
    <t>Curator-pick</t>
  </si>
  <si>
    <t>Choose Curator twice</t>
  </si>
  <si>
    <t>Alloy (T1)</t>
  </si>
  <si>
    <t>Fiend-pick</t>
  </si>
  <si>
    <t>Choose Fiend twice</t>
  </si>
  <si>
    <t>Cultist (T1)</t>
  </si>
  <si>
    <t>Artificer-pick</t>
  </si>
  <si>
    <t>Choose Artificer twice</t>
  </si>
  <si>
    <t>Splint (T1)</t>
  </si>
  <si>
    <t>Herbalist-pick</t>
  </si>
  <si>
    <t>Choose Herbalist twice</t>
  </si>
  <si>
    <t>Potion Shard (T0), Revive Potion (T1), Cleanse Potion (T1), 
Courage Potion (T1), Mana Potion (T2), Titanbane Potion (T2),
Regen Potion (T2)</t>
  </si>
  <si>
    <t>Jester-pick</t>
  </si>
  <si>
    <t>Choose Jester 4 times</t>
  </si>
  <si>
    <t>Jester's Cap (T4)</t>
  </si>
  <si>
    <t>Ace-pick</t>
  </si>
  <si>
    <t>Choose Ace twice</t>
  </si>
  <si>
    <t>Cheater's Sleeves (T2)</t>
  </si>
  <si>
    <t>Poet-pick</t>
  </si>
  <si>
    <t>Choose Poet twice</t>
  </si>
  <si>
    <t>Poem (T6)</t>
  </si>
  <si>
    <t>Item Picks</t>
  </si>
  <si>
    <t>Pocket Mirror-pick</t>
  </si>
  <si>
    <t>Choose Pocket Mirror twice</t>
  </si>
  <si>
    <t>rorriM tekcoP (T0)</t>
  </si>
  <si>
    <t>Pocket Phylactery-pick</t>
  </si>
  <si>
    <t>Choose Pocket Phylactery twice</t>
  </si>
  <si>
    <t>Cracked Phylactery (T0)</t>
  </si>
  <si>
    <t>Emerald Shard-pick</t>
  </si>
  <si>
    <t>Choose Emerald Shard once</t>
  </si>
  <si>
    <t>Polished Emerald (T5)</t>
  </si>
  <si>
    <t>Polished Emerald-pick</t>
  </si>
  <si>
    <t>Choose Polished Emerald once</t>
  </si>
  <si>
    <t>Emerald Mirror (T9)</t>
  </si>
  <si>
    <t>Emerald Mirror-pick</t>
  </si>
  <si>
    <t>Choose Emerald Mirror once</t>
  </si>
  <si>
    <t>Cracked Emerald (T0)</t>
  </si>
  <si>
    <t>Pair of Kings-pick</t>
  </si>
  <si>
    <t>Choose Pair of Kings once</t>
  </si>
  <si>
    <t>Ace (T3)</t>
  </si>
  <si>
    <t>Sling-pick</t>
  </si>
  <si>
    <t>Choose Sling once</t>
  </si>
  <si>
    <t>Updog (T5)</t>
  </si>
  <si>
    <t>Updog-pick</t>
  </si>
  <si>
    <t>Choose Updog once</t>
  </si>
  <si>
    <t>Poodle (T6)</t>
  </si>
  <si>
    <t>Soul Link-pick</t>
  </si>
  <si>
    <t>Choose Soul Link once</t>
  </si>
  <si>
    <t>Wretched Crown (T-2)</t>
  </si>
  <si>
    <t>Stats</t>
  </si>
  <si>
    <t>Awoo!</t>
  </si>
  <si>
    <t>Lose to Alpha 10 times</t>
  </si>
  <si>
    <t>Losses to Alpha</t>
  </si>
  <si>
    <t>Caster</t>
  </si>
  <si>
    <t>Cast 100 Spells</t>
  </si>
  <si>
    <t>Spellblade (T2)</t>
  </si>
  <si>
    <t>Caster+</t>
  </si>
  <si>
    <t>Cast 200 Spells</t>
  </si>
  <si>
    <t>Banshee</t>
  </si>
  <si>
    <t>Caster++</t>
  </si>
  <si>
    <t>Cast 300 Spells</t>
  </si>
  <si>
    <t>Wisp</t>
  </si>
  <si>
    <t>Cursed Bolt</t>
  </si>
  <si>
    <t>Cast 1000 Spells</t>
  </si>
  <si>
    <t>Cursed Bolt (T2)</t>
  </si>
  <si>
    <t>Heal</t>
  </si>
  <si>
    <t>Heal for 300 total</t>
  </si>
  <si>
    <t>Scar (T1)</t>
  </si>
  <si>
    <t>Change of Heart</t>
  </si>
  <si>
    <t>Heal for 1000 total</t>
  </si>
  <si>
    <t>Change of Heart (T1)</t>
  </si>
  <si>
    <t>Heal+</t>
  </si>
  <si>
    <t>Heal for 2000 total</t>
  </si>
  <si>
    <t>Ichor Chalice (T7)</t>
  </si>
  <si>
    <t>Blessed Ring</t>
  </si>
  <si>
    <t>Shield for 300 Total</t>
  </si>
  <si>
    <t>Blessed Ring (T2)</t>
  </si>
  <si>
    <t>Statue</t>
  </si>
  <si>
    <t>Roll 300 Crosses</t>
  </si>
  <si>
    <t>Statue (T2)</t>
  </si>
  <si>
    <t>Steady Hands</t>
  </si>
  <si>
    <t>Roll 2000 Dice</t>
  </si>
  <si>
    <t>Coin (T1)</t>
  </si>
  <si>
    <t>Benevolence</t>
  </si>
  <si>
    <t>Allow enemies to flee 20 times</t>
  </si>
  <si>
    <t>Friendship Bracelet (T2)</t>
  </si>
  <si>
    <t>Expert</t>
  </si>
  <si>
    <t>Defeat 500 Monsters</t>
  </si>
  <si>
    <t>Events</t>
  </si>
  <si>
    <t>Feature</t>
  </si>
  <si>
    <t>Streak</t>
  </si>
  <si>
    <t>Classic Hard Streak</t>
  </si>
  <si>
    <t>Get to a streak of 2 on Classic Hard</t>
  </si>
  <si>
    <t>The Hand</t>
  </si>
  <si>
    <t>Classic Unfair Streak</t>
  </si>
  <si>
    <t>Get to a streak of 2 on Classic Unfair</t>
  </si>
  <si>
    <t>10% roll force</t>
  </si>
  <si>
    <t>Undo</t>
  </si>
  <si>
    <t>Indecisive</t>
  </si>
  <si>
    <t>Undo 100 Times</t>
  </si>
  <si>
    <t>Jester (T2)</t>
  </si>
  <si>
    <t>I wish I could undo this achievement</t>
  </si>
  <si>
    <t>Undo 500 Times</t>
  </si>
  <si>
    <t>Snake Oil (T0), Bond Certificate (T0), Toy Sword (T0), Fidget 
Spinner (T0), Hidden Strength (T0), Trick Deck (T0), Flea (T0),
Corroded Bomb (T0), Grass (T0), Bent Fork (T0), Spanner (T0)</t>
  </si>
  <si>
    <t>Rolling</t>
  </si>
  <si>
    <t>Y***zee</t>
  </si>
  <si>
    <t>Roll all sides 3 pips</t>
  </si>
  <si>
    <t>Ordinary Triangle (T5)</t>
  </si>
  <si>
    <t>Straight</t>
  </si>
  <si>
    <t>Roll sides with values 1,2,3,4,5</t>
  </si>
  <si>
    <t>Golden D6 (T12)</t>
  </si>
  <si>
    <t>Snake-eyes</t>
  </si>
  <si>
    <t>Roll 5 Blank sides</t>
  </si>
  <si>
    <t>Bent Spoon (T0)</t>
  </si>
  <si>
    <t>Wand Regret</t>
  </si>
  <si>
    <t>Roll 3 Single-Use Blank sides</t>
  </si>
  <si>
    <t>Wand of Wand (T5)</t>
  </si>
  <si>
    <t>Petrified</t>
  </si>
  <si>
    <t>Roll 3 Petrified sides</t>
  </si>
  <si>
    <t>Basilisk Scale (T1)</t>
  </si>
  <si>
    <t>Equip</t>
  </si>
  <si>
    <t>7 Damage!</t>
  </si>
  <si>
    <t>Equip Gambler's Ace to Gambler</t>
  </si>
  <si>
    <t>Gambler's Two (T0)</t>
  </si>
  <si>
    <t>Encumbered</t>
  </si>
  <si>
    <t>Equip 2 Curse items to the same hero</t>
  </si>
  <si>
    <t>Soul Link (T-2), Martyr (T-1)</t>
  </si>
  <si>
    <t>Fight End</t>
  </si>
  <si>
    <t>Cheat Death</t>
  </si>
  <si>
    <t>Win the Tarantus Fight with no dead heroes</t>
  </si>
  <si>
    <t>Determination (T5)</t>
  </si>
  <si>
    <t>Draw</t>
  </si>
  <si>
    <t>Win and lose a fight at the same time</t>
  </si>
  <si>
    <t>Knife Bag (T1)</t>
  </si>
  <si>
    <t>Survivor</t>
  </si>
  <si>
    <t>Win a fight with only one surviving hero</t>
  </si>
  <si>
    <t>Candle (T6)</t>
  </si>
  <si>
    <t>Alpha Strike</t>
  </si>
  <si>
    <t>Win a fight on the first turn</t>
  </si>
  <si>
    <t>Hourglass (T6)</t>
  </si>
  <si>
    <t>Crushed</t>
  </si>
  <si>
    <t>Beat a boss fight on the first turn</t>
  </si>
  <si>
    <t>Spell: Infinity (T10)</t>
  </si>
  <si>
    <t>Crushed+</t>
  </si>
  <si>
    <t>Beat the final boss fight on the first turn</t>
  </si>
  <si>
    <t>Roman Numerals</t>
  </si>
  <si>
    <t>Last Legs</t>
  </si>
  <si>
    <t>Win a fight with 4+ heroes on 1 HP</t>
  </si>
  <si>
    <t>Relic (T2)</t>
  </si>
  <si>
    <t>Curse Mastery</t>
  </si>
  <si>
    <t>Win a fight with 7 curses</t>
  </si>
  <si>
    <t>Jinx</t>
  </si>
  <si>
    <t>Curse Mastery+</t>
  </si>
  <si>
    <t>Win a fight with 13 curses</t>
  </si>
  <si>
    <t>Curse-Hyper</t>
  </si>
  <si>
    <t>Curse Mastery++</t>
  </si>
  <si>
    <t>Win a fight with 21 curses</t>
  </si>
  <si>
    <t>Cursed-Instant</t>
  </si>
  <si>
    <t>Run End</t>
  </si>
  <si>
    <t>Hard victory</t>
  </si>
  <si>
    <t>Complete any mode on Hard or harder</t>
  </si>
  <si>
    <t>Unfair</t>
  </si>
  <si>
    <t>Difficulty</t>
  </si>
  <si>
    <t>Unfair victory</t>
  </si>
  <si>
    <t>Complete any mode on Unfair or harder</t>
  </si>
  <si>
    <t>Brutal</t>
  </si>
  <si>
    <t>Brutal victory</t>
  </si>
  <si>
    <t>Complete any mode on Brutal or harder</t>
  </si>
  <si>
    <t xml:space="preserve">Hell, Heaven </t>
  </si>
  <si>
    <t>Classic Hard Victory</t>
  </si>
  <si>
    <t>Complete Classic on Hard or harder</t>
  </si>
  <si>
    <t>Cursed</t>
  </si>
  <si>
    <t>Custom Party 3x</t>
  </si>
  <si>
    <t>Complete Custom Party on Normal or harder with 3 of one hero colour</t>
  </si>
  <si>
    <t>Spell: Light (T8)</t>
  </si>
  <si>
    <t>Custom Party 4x</t>
  </si>
  <si>
    <t>Complete Custom Party on Hard or harder with 4 of one hero color</t>
  </si>
  <si>
    <t>Red Flag (T5)</t>
  </si>
  <si>
    <t>Custom Party 5x</t>
  </si>
  <si>
    <t>Complete Custom Party on Unfair or harder with 5 of one hero color</t>
  </si>
  <si>
    <t>Lightning Rod (T3)</t>
  </si>
  <si>
    <t>All T2</t>
  </si>
  <si>
    <t>Win a Classic run with only T2 heroes</t>
  </si>
  <si>
    <t>De-level Top (T-4), De-level Middle (T-4), De-level Bottom (T-4)</t>
  </si>
  <si>
    <t>Loot Mode</t>
  </si>
  <si>
    <t>Complete any mode with 12+ items</t>
  </si>
  <si>
    <t>Loot</t>
  </si>
  <si>
    <t>Raid Mode</t>
  </si>
  <si>
    <t>Complete any mode with no items equipped on the final level</t>
  </si>
  <si>
    <t>Raid</t>
  </si>
  <si>
    <t>Generate Victory</t>
  </si>
  <si>
    <t>Complete Generate</t>
  </si>
  <si>
    <t>5% Generated Heroes</t>
  </si>
  <si>
    <t>Generate Victory Unfair</t>
  </si>
  <si>
    <t>Complete Generate on Unfair or harder</t>
  </si>
  <si>
    <t>Cursed Defeat</t>
  </si>
  <si>
    <t>Get defeated on Cursed</t>
  </si>
  <si>
    <t>Blursed</t>
  </si>
  <si>
    <t>Unfair Defeat</t>
  </si>
  <si>
    <t>Get defeated on Classic on Unfair or harder</t>
  </si>
  <si>
    <t>Complex Hard/Easy</t>
  </si>
  <si>
    <t>Turns taken &lt;= 50</t>
  </si>
  <si>
    <t>Complete Classic with 50 or fewer turns-taken</t>
  </si>
  <si>
    <t>Compass (T1)</t>
  </si>
  <si>
    <t>Turns taken &lt;= 40</t>
  </si>
  <si>
    <t>Complete Classic with 40 or fewer turns-taken</t>
  </si>
  <si>
    <t>Balance</t>
  </si>
  <si>
    <t>Turns taken &lt;= 35</t>
  </si>
  <si>
    <t>Complete Classic with 35 or fewer turns-taken</t>
  </si>
  <si>
    <t>Pick</t>
  </si>
  <si>
    <t>Snapshot</t>
  </si>
  <si>
    <t>Overgrowth</t>
  </si>
  <si>
    <t>Activate Growth on a single side 4 times</t>
  </si>
  <si>
    <t>Smelly Manure (T4)</t>
  </si>
  <si>
    <t>Ironclad</t>
  </si>
  <si>
    <t>Shield a single hero for 10</t>
  </si>
  <si>
    <t>Quicksilver (T4)</t>
  </si>
  <si>
    <t>Inner Strength</t>
  </si>
  <si>
    <t>Give a hero +10 Max HP</t>
  </si>
  <si>
    <t>Siphon (T4)</t>
  </si>
  <si>
    <t>Immortality</t>
  </si>
  <si>
    <t>Give a hero +20 Max HP</t>
  </si>
  <si>
    <t>Viscera (T4)</t>
  </si>
  <si>
    <t>Wizard</t>
  </si>
  <si>
    <t>Cast 6 spells in a single turn</t>
  </si>
  <si>
    <t>Deadly Bolt (T8)</t>
  </si>
  <si>
    <t>NOT FAIR!</t>
  </si>
  <si>
    <t>Stun an enemy with 20+ Max HP</t>
  </si>
  <si>
    <t>Wand of Stun (T7)</t>
  </si>
  <si>
    <t>Mandrake</t>
  </si>
  <si>
    <t>Have 10+ poison on an enemy</t>
  </si>
  <si>
    <t>Horned Viper (T9)</t>
  </si>
  <si>
    <t>Green Blood</t>
  </si>
  <si>
    <t>Have 5+ poison on an ally</t>
  </si>
  <si>
    <t>Wine (T1)</t>
  </si>
  <si>
    <t>Manastorm</t>
  </si>
  <si>
    <t>Accumulate 10 mana</t>
  </si>
  <si>
    <t>Mana Jelly (T4)</t>
  </si>
  <si>
    <t>Manastorm+</t>
  </si>
  <si>
    <t>Accumulate 100 mana</t>
  </si>
  <si>
    <t>Lich Finger (T4)</t>
  </si>
  <si>
    <t>Chaos</t>
  </si>
  <si>
    <t>Use a side with 4+ keywords</t>
  </si>
  <si>
    <t>Enchanter (T2)</t>
  </si>
  <si>
    <t>Chaos+</t>
  </si>
  <si>
    <t>Use a side with 5+ keywords</t>
  </si>
  <si>
    <t>Ninja (T2)</t>
  </si>
  <si>
    <t>Chaos++</t>
  </si>
  <si>
    <t>Use a side with 6+ keywords</t>
  </si>
  <si>
    <t>Chaos Wand (T9)</t>
  </si>
  <si>
    <t>One ability</t>
  </si>
  <si>
    <t>Saviour</t>
  </si>
  <si>
    <t>Save 3 heroes with a single ability</t>
  </si>
  <si>
    <t>Shimmering Halo (T6)</t>
  </si>
  <si>
    <t>Reaper</t>
  </si>
  <si>
    <t>Kill 5 monsters with a single ability</t>
  </si>
  <si>
    <t>Demonic Deal (T6)</t>
  </si>
  <si>
    <t>Oops</t>
  </si>
  <si>
    <t>Lose a hero by using an ability</t>
  </si>
  <si>
    <t>Thimble (T6)</t>
  </si>
  <si>
    <t>Oops+</t>
  </si>
  <si>
    <t>Lose 2 heroes by using an ability</t>
  </si>
  <si>
    <t>Glass Helm (T1)</t>
  </si>
  <si>
    <t xml:space="preserve">Secret achievements (Note: Secret achievements don't unlock anything and probably aren't fun to attempt!)					</t>
  </si>
  <si>
    <t>999 Achievements</t>
  </si>
  <si>
    <t>Complete any 999 Achievements</t>
  </si>
  <si>
    <t>?</t>
  </si>
  <si>
    <t>Victory+++++++</t>
  </si>
  <si>
    <t>Win 1000 fights</t>
  </si>
  <si>
    <t>Victory++++++++</t>
  </si>
  <si>
    <t>Win 10000 fights</t>
  </si>
  <si>
    <t>Classic Normal Streak</t>
  </si>
  <si>
    <t>Get to a streak of 2 on Classic Normal</t>
  </si>
  <si>
    <t>Classic Brutal Streak</t>
  </si>
  <si>
    <t>Get to a streak of 2 on Classic Brutal</t>
  </si>
  <si>
    <t>Classic Hell Streak</t>
  </si>
  <si>
    <t>Get to a streak of 2 on Classic Hell</t>
  </si>
  <si>
    <t>Fully Petrified</t>
  </si>
  <si>
    <t>Roll 5 Petrified sides</t>
  </si>
  <si>
    <t>Blanked</t>
  </si>
  <si>
    <t>Roll 4+ different types of Blank</t>
  </si>
  <si>
    <t>Bedtime</t>
  </si>
  <si>
    <t>Equip Pillow and Duvet to the same hero</t>
  </si>
  <si>
    <t>Hoard</t>
  </si>
  <si>
    <t>Equip 3 Items to Hoarder</t>
  </si>
  <si>
    <t>Collection</t>
  </si>
  <si>
    <t>Equip 3 Items to Collector</t>
  </si>
  <si>
    <t>Museum</t>
  </si>
  <si>
    <t>Equip 3 Items to Curator</t>
  </si>
  <si>
    <t>Barrel Roll</t>
  </si>
  <si>
    <t>Allow a Barrel to flee</t>
  </si>
  <si>
    <t>Dragon Flight</t>
  </si>
  <si>
    <t>Allow a Dragon to flee</t>
  </si>
  <si>
    <t>Hell victory</t>
  </si>
  <si>
    <t>Complete any mode on Hell or harder</t>
  </si>
  <si>
    <t>Speedrun</t>
  </si>
  <si>
    <t>Win a run on Classic on Normal with a time of 45m or less</t>
  </si>
  <si>
    <t>Quick Shortcut</t>
  </si>
  <si>
    <t>Win a run on Shortcut on Normal or harder in 15m or less</t>
  </si>
  <si>
    <t>Brute Force</t>
  </si>
  <si>
    <t>Complete Custom Party on Unfair or harder with no Red or Blue heroes</t>
  </si>
  <si>
    <t>Custom Party Masochist</t>
  </si>
  <si>
    <t>Beat Custom Party with every combination of 5x the same hero</t>
  </si>
  <si>
    <t>All T1</t>
  </si>
  <si>
    <t>Win a Classic run with only T1 heroes</t>
  </si>
  <si>
    <t>Alone</t>
  </si>
  <si>
    <t>Complete Classic with a single hero in your party</t>
  </si>
  <si>
    <t>Turns taken &lt;= 30</t>
  </si>
  <si>
    <t>Complete Classic with 30 or fewer turns-taken</t>
  </si>
  <si>
    <t>Turns taken &lt;= 25</t>
  </si>
  <si>
    <t>Complete Classic with 25 or fewer turns-taken</t>
  </si>
  <si>
    <t>Total-deaths 0</t>
  </si>
  <si>
    <t>Complete Classic with 0 total-deaths</t>
  </si>
  <si>
    <t xml:space="preserve">Undo-count 0 </t>
  </si>
  <si>
    <t>Complete Classic with 0 undo-count</t>
  </si>
  <si>
    <t>Crosses-rolled 0</t>
  </si>
  <si>
    <t>Complete Classic with 0 crosses-rolled</t>
  </si>
  <si>
    <t>Total-kills 0</t>
  </si>
  <si>
    <t>Complete Classic with 0 total-kills</t>
  </si>
  <si>
    <t>Dmg-taken 0</t>
  </si>
  <si>
    <t>Complete Classic with 0 damage-taken</t>
  </si>
  <si>
    <t>Total-blocked 0</t>
  </si>
  <si>
    <t>Complete Classic with 0 total-blocked</t>
  </si>
  <si>
    <t>Total-healing 0</t>
  </si>
  <si>
    <t>Complete Classic with 0 total-healing</t>
  </si>
  <si>
    <t>Spells-cast 0</t>
  </si>
  <si>
    <t>Complete Classic with 0 spells-cast</t>
  </si>
  <si>
    <t>Chaos+++</t>
  </si>
  <si>
    <t>Use a side with 10+ keywords</t>
  </si>
  <si>
    <t>Dead Horse</t>
  </si>
  <si>
    <t>Overkill an enemy by 10+</t>
  </si>
  <si>
    <t>Challenge Accepted</t>
  </si>
  <si>
    <t>Defeat a Dragon before level 20</t>
  </si>
  <si>
    <t>Oops++</t>
  </si>
  <si>
    <t>Lose 3 heroes by using an ability</t>
  </si>
  <si>
    <t>Oops+++</t>
  </si>
  <si>
    <t>Lose 4 heroes by using an ability</t>
  </si>
  <si>
    <t>Oops++++</t>
  </si>
  <si>
    <t>Lose 5 heroes by using an ability</t>
  </si>
  <si>
    <t>Oops+++++</t>
  </si>
  <si>
    <t>Lose 6 heroes by using an ability</t>
  </si>
  <si>
    <t>Double-revive</t>
  </si>
  <si>
    <t>Revive 2 heroes with a single action</t>
  </si>
  <si>
    <t>Triple-revive</t>
  </si>
  <si>
    <t>Revive 3 heroes with a single action</t>
  </si>
  <si>
    <t>Quadruple-revive</t>
  </si>
  <si>
    <t>Revive 4 heroes with a single action</t>
  </si>
  <si>
    <t>Quintuple-revive</t>
  </si>
  <si>
    <t>Revive 5 heroes with a single action</t>
  </si>
  <si>
    <t>X6-revive</t>
  </si>
  <si>
    <t>Revive 6 heroes with a single action</t>
  </si>
  <si>
    <t>Spell Targets</t>
  </si>
  <si>
    <t>Hex hex</t>
  </si>
  <si>
    <t>Cast Hex on Hexia</t>
  </si>
  <si>
    <t>Die!</t>
  </si>
  <si>
    <t>Cast Blaze on Illusion</t>
  </si>
  <si>
    <t>100 non-generated normal heroes (+2 special cases)</t>
  </si>
  <si>
    <t>Color</t>
  </si>
  <si>
    <t>Tier</t>
  </si>
  <si>
    <t>Hero Pic</t>
  </si>
  <si>
    <t>Hero Name</t>
  </si>
  <si>
    <t>HP</t>
  </si>
  <si>
    <t>Special Hero?</t>
  </si>
  <si>
    <t>Side Images</t>
  </si>
  <si>
    <t>Spell</t>
  </si>
  <si>
    <t>Passive Ability</t>
  </si>
  <si>
    <t>Comment</t>
  </si>
  <si>
    <t>L</t>
  </si>
  <si>
    <t>M</t>
  </si>
  <si>
    <t>T</t>
  </si>
  <si>
    <t>B</t>
  </si>
  <si>
    <t>R</t>
  </si>
  <si>
    <t>RR</t>
  </si>
  <si>
    <t>Orange</t>
  </si>
  <si>
    <t>Thief</t>
  </si>
  <si>
    <t>Scoundrel</t>
  </si>
  <si>
    <t>Achieve "10 Achievements" to unlock</t>
  </si>
  <si>
    <t>Lost</t>
  </si>
  <si>
    <t>Achieve "20 Achievements" to unlock</t>
  </si>
  <si>
    <t>Dabble</t>
  </si>
  <si>
    <t>Achieve "Dabblest-pick" to unlock</t>
  </si>
  <si>
    <t>Yellow</t>
  </si>
  <si>
    <t>Fighter</t>
  </si>
  <si>
    <t>Brigand</t>
  </si>
  <si>
    <t>Ruffian</t>
  </si>
  <si>
    <t>Hoarder</t>
  </si>
  <si>
    <t>Achieve "Collector-pick" to unlock</t>
  </si>
  <si>
    <t>Grey</t>
  </si>
  <si>
    <t>Defender</t>
  </si>
  <si>
    <t>Buckle</t>
  </si>
  <si>
    <t>Squire</t>
  </si>
  <si>
    <t>Alloy</t>
  </si>
  <si>
    <t>Achieve "Curator-pick" to unlock</t>
  </si>
  <si>
    <t>Red</t>
  </si>
  <si>
    <t>Healer</t>
  </si>
  <si>
    <t>Acolyte</t>
  </si>
  <si>
    <t>Mystic</t>
  </si>
  <si>
    <t>Splint</t>
  </si>
  <si>
    <t>Achieve "Artificer-pick" to unlock</t>
  </si>
  <si>
    <t>Blue</t>
  </si>
  <si>
    <t>Mage</t>
  </si>
  <si>
    <t>Student</t>
  </si>
  <si>
    <t>Initiate</t>
  </si>
  <si>
    <t>Cultist</t>
  </si>
  <si>
    <t>Achieve "Fiend-pick" to unlock</t>
  </si>
  <si>
    <t>Spellblade</t>
  </si>
  <si>
    <t>Achieve "Caster" to unlock</t>
  </si>
  <si>
    <t>Trapper</t>
  </si>
  <si>
    <t>Juggler</t>
  </si>
  <si>
    <t>Ninja</t>
  </si>
  <si>
    <t>Achieve "Chaos+" to unlock</t>
  </si>
  <si>
    <t>Rogue</t>
  </si>
  <si>
    <t>Dabbler</t>
  </si>
  <si>
    <t>Ranger</t>
  </si>
  <si>
    <t>Gambler</t>
  </si>
  <si>
    <t>Berserker</t>
  </si>
  <si>
    <t>Scrapper</t>
  </si>
  <si>
    <t>Brute</t>
  </si>
  <si>
    <t>Sinew</t>
  </si>
  <si>
    <t>Gladiator</t>
  </si>
  <si>
    <t>Whirl</t>
  </si>
  <si>
    <t>Collector</t>
  </si>
  <si>
    <t>Soldier</t>
  </si>
  <si>
    <t>Knight</t>
  </si>
  <si>
    <t>Warden</t>
  </si>
  <si>
    <t>Armorer</t>
  </si>
  <si>
    <t>Monk</t>
  </si>
  <si>
    <t>Cleric</t>
  </si>
  <si>
    <t>Guardian</t>
  </si>
  <si>
    <t>Bard</t>
  </si>
  <si>
    <t>Achieve "Statue" to unlock</t>
  </si>
  <si>
    <t>Druid</t>
  </si>
  <si>
    <t>Herbalist</t>
  </si>
  <si>
    <t>Fey</t>
  </si>
  <si>
    <t>Disciple</t>
  </si>
  <si>
    <t>Vampire</t>
  </si>
  <si>
    <t>Medic</t>
  </si>
  <si>
    <t>Priestess</t>
  </si>
  <si>
    <t>Enchanter</t>
  </si>
  <si>
    <t>Achieve "Chaos" to unlock</t>
  </si>
  <si>
    <t>Caldera</t>
  </si>
  <si>
    <t>Fiend</t>
  </si>
  <si>
    <t>Jester</t>
  </si>
  <si>
    <t>Achieve "Indecisive" to unlock</t>
  </si>
  <si>
    <t>Myco</t>
  </si>
  <si>
    <t>Sparky</t>
  </si>
  <si>
    <t>Glacia</t>
  </si>
  <si>
    <t>Seer</t>
  </si>
  <si>
    <t>Evoker</t>
  </si>
  <si>
    <t>Venom</t>
  </si>
  <si>
    <t>Assassin</t>
  </si>
  <si>
    <t>Dancer</t>
  </si>
  <si>
    <t>Roulette</t>
  </si>
  <si>
    <t>Achieve "150 Deaths" to unlock</t>
  </si>
  <si>
    <t>Ludus</t>
  </si>
  <si>
    <t>Fencer</t>
  </si>
  <si>
    <t>Dabblest</t>
  </si>
  <si>
    <t>Achieve "Dabbler-pick" to unlock</t>
  </si>
  <si>
    <t>Sharpshot</t>
  </si>
  <si>
    <t>Barbarian</t>
  </si>
  <si>
    <t>Brawler</t>
  </si>
  <si>
    <t>Eccentric</t>
  </si>
  <si>
    <t>Leader</t>
  </si>
  <si>
    <t>Wanderer</t>
  </si>
  <si>
    <t>Bash</t>
  </si>
  <si>
    <t>Veteran</t>
  </si>
  <si>
    <t>Curator</t>
  </si>
  <si>
    <t>Valkyrie</t>
  </si>
  <si>
    <t>Keeper</t>
  </si>
  <si>
    <t>Twin</t>
  </si>
  <si>
    <t>On pick, adds Tw1n (hero) positioned under Twin
Achieve "30 Achievements" to unlock</t>
  </si>
  <si>
    <t>Tw1n</t>
  </si>
  <si>
    <t>Tw1n copies all items from all Twin available (similar to Emeralds)</t>
  </si>
  <si>
    <t>Paladin</t>
  </si>
  <si>
    <t>Poet</t>
  </si>
  <si>
    <t>Granite</t>
  </si>
  <si>
    <t>Stalwart</t>
  </si>
  <si>
    <t>Mimic</t>
  </si>
  <si>
    <t>Mimic copies hero base sides
Achieve "30 Achievements" to unlock</t>
  </si>
  <si>
    <t>Doctor</t>
  </si>
  <si>
    <t>Fate</t>
  </si>
  <si>
    <t>Surgeon</t>
  </si>
  <si>
    <t>Witch</t>
  </si>
  <si>
    <t>Prophet</t>
  </si>
  <si>
    <t>Forsaken</t>
  </si>
  <si>
    <t>Wraith</t>
  </si>
  <si>
    <t>Achieve "100 Deaths" to unlock</t>
  </si>
  <si>
    <t>Shaman</t>
  </si>
  <si>
    <t>Artificer</t>
  </si>
  <si>
    <t>Sorcerer</t>
  </si>
  <si>
    <t>Warlock</t>
  </si>
  <si>
    <t>Weaver</t>
  </si>
  <si>
    <t>Chronos</t>
  </si>
  <si>
    <t>Ace</t>
  </si>
  <si>
    <t>Achieve "Pair of Kings-pick" to unlock</t>
  </si>
  <si>
    <t>Ghast</t>
  </si>
  <si>
    <t>Glitch</t>
  </si>
  <si>
    <t>Failsafe hero (Earned by levelling up tier 9 hero, or entering wrong hero name in paste)</t>
  </si>
  <si>
    <t>Generated heroes</t>
  </si>
  <si>
    <t>Generated heroes are heroes that are generated by an algorithm that evaluate each dice face's value and generate heroes that are equal in value to current non-generated heroes. It can also generate hero tiers that don't exist among current non-generated heroes (tier 0 and tier 4 to tier 9 heroes). The sides of the generated heroes are based on current non-generated heroes that you have unlocked (so if you unlock a new hero mid-game, the sides of your generated heroes might change). Each color and tier have 1000 generated heroes, coded from 0 to 999. In a name of a generated hero, the first character stands for their color (o is orange, y is yellow, g is grey, r is red and b is blue), second character is their tier, and the 3 numbers behind the dash is their code (e.g. g3-495 means this is a tier 3 grey hero that has the code 495).</t>
  </si>
  <si>
    <t>Generated heroes are heroes that are generated by an algorithm that evaluate each dice face's value and generate heroes that are roughly equal in value to current non-generated heroes.</t>
  </si>
  <si>
    <r>
      <rPr>
        <sz val="12"/>
        <color theme="1"/>
        <rFont val="Calibri"/>
      </rPr>
      <t xml:space="preserve">Example: "o1-123" is a tier 1 generated </t>
    </r>
    <r>
      <rPr>
        <b/>
        <u/>
        <sz val="12"/>
        <color theme="1"/>
        <rFont val="Calibri"/>
      </rPr>
      <t>o</t>
    </r>
    <r>
      <rPr>
        <sz val="12"/>
        <color theme="1"/>
        <rFont val="Calibri"/>
      </rPr>
      <t>range hero number #123</t>
    </r>
  </si>
  <si>
    <r>
      <rPr>
        <sz val="12"/>
        <color theme="1"/>
        <rFont val="Calibri"/>
      </rPr>
      <t>Generated heroes can range from tier 0 to tier 9, with hero number ranging from 0 to 999, with 5 hero color codes (</t>
    </r>
    <r>
      <rPr>
        <b/>
        <u/>
        <sz val="12"/>
        <color theme="1"/>
        <rFont val="Calibri"/>
      </rPr>
      <t>o</t>
    </r>
    <r>
      <rPr>
        <sz val="12"/>
        <color theme="1"/>
        <rFont val="Calibri"/>
      </rPr>
      <t xml:space="preserve">range, </t>
    </r>
    <r>
      <rPr>
        <b/>
        <u/>
        <sz val="12"/>
        <color theme="1"/>
        <rFont val="Calibri"/>
      </rPr>
      <t>y</t>
    </r>
    <r>
      <rPr>
        <sz val="12"/>
        <color theme="1"/>
        <rFont val="Calibri"/>
      </rPr>
      <t xml:space="preserve">ellow, </t>
    </r>
    <r>
      <rPr>
        <b/>
        <u/>
        <sz val="12"/>
        <color theme="1"/>
        <rFont val="Calibri"/>
      </rPr>
      <t>g</t>
    </r>
    <r>
      <rPr>
        <sz val="12"/>
        <color theme="1"/>
        <rFont val="Calibri"/>
      </rPr>
      <t xml:space="preserve">rey, </t>
    </r>
    <r>
      <rPr>
        <b/>
        <u/>
        <sz val="12"/>
        <color theme="1"/>
        <rFont val="Calibri"/>
      </rPr>
      <t>r</t>
    </r>
    <r>
      <rPr>
        <sz val="12"/>
        <color theme="1"/>
        <rFont val="Calibri"/>
      </rPr>
      <t xml:space="preserve">ed, </t>
    </r>
    <r>
      <rPr>
        <b/>
        <u/>
        <sz val="12"/>
        <color theme="1"/>
        <rFont val="Calibri"/>
      </rPr>
      <t>b</t>
    </r>
    <r>
      <rPr>
        <sz val="12"/>
        <color theme="1"/>
        <rFont val="Calibri"/>
      </rPr>
      <t>lue)</t>
    </r>
  </si>
  <si>
    <t>Available generated hero sides of a certain color depend on CURRENTLY UNLOCKED/MET hero sides of the same color.</t>
  </si>
  <si>
    <t>For example if you have not met Doctor in the current save at all (0 picks 0 rejects), generated red heroes cannot have '1 damage to all heroes and monsters poison' side</t>
  </si>
  <si>
    <t>As a result, generated hero codes may be different for different savefiles</t>
  </si>
  <si>
    <t>59 monsters (not including failsafe)</t>
  </si>
  <si>
    <t>Size</t>
  </si>
  <si>
    <t>Monster Name</t>
  </si>
  <si>
    <t>Monster Pic</t>
  </si>
  <si>
    <t>Rarity</t>
  </si>
  <si>
    <t>Trait</t>
  </si>
  <si>
    <t>Tiny</t>
  </si>
  <si>
    <t>Bones</t>
  </si>
  <si>
    <r>
      <rPr>
        <b/>
        <sz val="12"/>
        <color theme="1"/>
        <rFont val="Calibri"/>
      </rPr>
      <t>Bone-shards</t>
    </r>
    <r>
      <rPr>
        <sz val="12"/>
        <color theme="1"/>
        <rFont val="Calibri"/>
      </rPr>
      <t>: 1 damage to adjacent allies upon death</t>
    </r>
  </si>
  <si>
    <t>Slimelet</t>
  </si>
  <si>
    <t>slimelet</t>
  </si>
  <si>
    <t>1/3</t>
  </si>
  <si>
    <t>Achieve "Fading" to unlock</t>
  </si>
  <si>
    <t>Imp</t>
  </si>
  <si>
    <r>
      <rPr>
        <b/>
        <sz val="12"/>
        <color theme="1"/>
        <rFont val="Calibri"/>
      </rPr>
      <t>Spiky 1</t>
    </r>
    <r>
      <rPr>
        <sz val="12"/>
        <color theme="1"/>
        <rFont val="Calibri"/>
      </rPr>
      <t>: On-hit: damage the attacker for 1</t>
    </r>
  </si>
  <si>
    <t>Sniper</t>
  </si>
  <si>
    <r>
      <rPr>
        <b/>
        <sz val="12"/>
        <color theme="1"/>
        <rFont val="Calibri"/>
      </rPr>
      <t>Back-row</t>
    </r>
    <r>
      <rPr>
        <sz val="12"/>
        <color theme="1"/>
        <rFont val="Calibri"/>
      </rPr>
      <t>: Starts at the back</t>
    </r>
  </si>
  <si>
    <r>
      <rPr>
        <b/>
        <sz val="12"/>
        <color theme="1"/>
        <rFont val="Calibri"/>
      </rPr>
      <t xml:space="preserve">Infused </t>
    </r>
    <r>
      <rPr>
        <sz val="12"/>
        <color theme="1"/>
        <rFont val="Calibri"/>
      </rPr>
      <t>(HP 3):</t>
    </r>
    <r>
      <rPr>
        <b/>
        <sz val="12"/>
        <color theme="1"/>
        <rFont val="Calibri"/>
      </rPr>
      <t xml:space="preserve"> </t>
    </r>
    <r>
      <rPr>
        <sz val="12"/>
        <color theme="1"/>
        <rFont val="Calibri"/>
      </rPr>
      <t>+1 mana</t>
    </r>
  </si>
  <si>
    <t>Achieve "Caster++" to unlock</t>
  </si>
  <si>
    <t>Rat</t>
  </si>
  <si>
    <t>Archer</t>
  </si>
  <si>
    <r>
      <rPr>
        <b/>
        <sz val="12"/>
        <color theme="1"/>
        <rFont val="Calibri"/>
      </rPr>
      <t>Back-row</t>
    </r>
    <r>
      <rPr>
        <sz val="12"/>
        <color theme="1"/>
        <rFont val="Calibri"/>
      </rPr>
      <t>: Starts at the back</t>
    </r>
  </si>
  <si>
    <r>
      <rPr>
        <b/>
        <sz val="12"/>
        <color theme="1"/>
        <rFont val="Calibri"/>
      </rPr>
      <t xml:space="preserve">Refractive: </t>
    </r>
    <r>
      <rPr>
        <sz val="12"/>
        <color theme="1"/>
        <rFont val="Calibri"/>
      </rPr>
      <t xml:space="preserve">Immune to spells
</t>
    </r>
    <r>
      <rPr>
        <b/>
        <sz val="12"/>
        <color theme="1"/>
        <rFont val="Calibri"/>
      </rPr>
      <t>Spiky 5</t>
    </r>
    <r>
      <rPr>
        <sz val="12"/>
        <color theme="1"/>
        <rFont val="Calibri"/>
      </rPr>
      <t>: On-hit: damage the attacker for 5</t>
    </r>
  </si>
  <si>
    <t>Achieve "Spines" to unlock</t>
  </si>
  <si>
    <t>Spider</t>
  </si>
  <si>
    <r>
      <rPr>
        <b/>
        <sz val="12"/>
        <color theme="1"/>
        <rFont val="Calibri"/>
      </rPr>
      <t xml:space="preserve">Tough </t>
    </r>
    <r>
      <rPr>
        <sz val="12"/>
        <color theme="1"/>
        <rFont val="Calibri"/>
      </rPr>
      <t>(HP 1,2,3): these hp must be removed individually</t>
    </r>
  </si>
  <si>
    <t>Achieve "Pile of Bones" to unlock</t>
  </si>
  <si>
    <t>1/5</t>
  </si>
  <si>
    <t>Achieve "Caw Eggs" to unlock</t>
  </si>
  <si>
    <r>
      <rPr>
        <b/>
        <sz val="12"/>
        <color theme="1"/>
        <rFont val="Calibri"/>
      </rPr>
      <t>Riches</t>
    </r>
    <r>
      <rPr>
        <sz val="12"/>
        <color theme="1"/>
        <rFont val="Calibri"/>
      </rPr>
      <t xml:space="preserve">: Flees at the end of the turn. 
Drops a t0-t2 item if defeated. 
</t>
    </r>
    <r>
      <rPr>
        <b/>
        <sz val="12"/>
        <color theme="1"/>
        <rFont val="Calibri"/>
      </rPr>
      <t xml:space="preserve">Tough </t>
    </r>
    <r>
      <rPr>
        <sz val="12"/>
        <color theme="1"/>
        <rFont val="Calibri"/>
      </rPr>
      <t>(HP 5): this hp must be 
removed individually</t>
    </r>
  </si>
  <si>
    <t>Achieve "Challenger" to unlock</t>
  </si>
  <si>
    <t>Hero-sized</t>
  </si>
  <si>
    <r>
      <rPr>
        <b/>
        <sz val="12"/>
        <color theme="1"/>
        <rFont val="Calibri"/>
      </rPr>
      <t xml:space="preserve">Shatter </t>
    </r>
    <r>
      <rPr>
        <sz val="12"/>
        <color theme="1"/>
        <rFont val="Calibri"/>
      </rPr>
      <t>(HP 3): Dies if this hp is removed and no further</t>
    </r>
  </si>
  <si>
    <t>Achieve "Stone Revenge" to unlock</t>
  </si>
  <si>
    <t>Wolf</t>
  </si>
  <si>
    <t>Snake</t>
  </si>
  <si>
    <t>Fanatic</t>
  </si>
  <si>
    <t>Gnoll</t>
  </si>
  <si>
    <r>
      <rPr>
        <b/>
        <sz val="12"/>
        <color theme="1"/>
        <rFont val="Calibri"/>
      </rPr>
      <t>Armour 1</t>
    </r>
    <r>
      <rPr>
        <sz val="12"/>
        <color theme="1"/>
        <rFont val="Calibri"/>
      </rPr>
      <t>: Reduce damage taken from spells and dice by 1</t>
    </r>
  </si>
  <si>
    <t>Goblin</t>
  </si>
  <si>
    <r>
      <rPr>
        <b/>
        <sz val="12"/>
        <color theme="1"/>
        <rFont val="Calibri"/>
      </rPr>
      <t>I'm outta here</t>
    </r>
    <r>
      <rPr>
        <sz val="12"/>
        <color theme="1"/>
        <rFont val="Calibri"/>
      </rPr>
      <t>: Flees if alone</t>
    </r>
  </si>
  <si>
    <t>1/2</t>
  </si>
  <si>
    <t>Achieve "Ludus-pick" to unlock</t>
  </si>
  <si>
    <t>Saber</t>
  </si>
  <si>
    <t>Warchief</t>
  </si>
  <si>
    <r>
      <rPr>
        <b/>
        <sz val="12"/>
        <color theme="1"/>
        <rFont val="Calibri"/>
      </rPr>
      <t>Commander</t>
    </r>
    <r>
      <rPr>
        <sz val="12"/>
        <color theme="1"/>
        <rFont val="Calibri"/>
      </rPr>
      <t>: All monsters: +1 to all sides</t>
    </r>
  </si>
  <si>
    <t>Bandit</t>
  </si>
  <si>
    <r>
      <rPr>
        <b/>
        <sz val="12"/>
        <color theme="1"/>
        <rFont val="Calibri"/>
      </rPr>
      <t>Mercenary</t>
    </r>
    <r>
      <rPr>
        <sz val="12"/>
        <color theme="1"/>
        <rFont val="Calibri"/>
      </rPr>
      <t>: Flees if an adjacent monster is overkilled by 2 or more</t>
    </r>
  </si>
  <si>
    <t>Barrel</t>
  </si>
  <si>
    <t>2/3</t>
  </si>
  <si>
    <r>
      <rPr>
        <b/>
        <sz val="12"/>
        <color theme="1"/>
        <rFont val="Calibri"/>
      </rPr>
      <t>Explode</t>
    </r>
    <r>
      <rPr>
        <sz val="12"/>
        <color theme="1"/>
        <rFont val="Calibri"/>
      </rPr>
      <t>: 5 damage to adjacent allies upon death</t>
    </r>
  </si>
  <si>
    <t>1/50</t>
  </si>
  <si>
    <t>Achieve "Dragon Eggs" to unlock</t>
  </si>
  <si>
    <t>Zombie</t>
  </si>
  <si>
    <r>
      <rPr>
        <b/>
        <sz val="12"/>
        <color theme="1"/>
        <rFont val="Calibri"/>
      </rPr>
      <t>Rotting</t>
    </r>
    <r>
      <rPr>
        <sz val="12"/>
        <color theme="1"/>
        <rFont val="Calibri"/>
      </rPr>
      <t>: Dies if takes 4 or more damage in a single attack</t>
    </r>
  </si>
  <si>
    <t>Z0mbie</t>
  </si>
  <si>
    <t>1/500</t>
  </si>
  <si>
    <r>
      <rPr>
        <b/>
        <sz val="12"/>
        <color theme="1"/>
        <rFont val="Calibri"/>
      </rPr>
      <t>Tr0lled</t>
    </r>
    <r>
      <rPr>
        <sz val="12"/>
        <color theme="1"/>
        <rFont val="Calibri"/>
      </rPr>
      <t>: Attacker dies if I take 4 or more damage in a single attack</t>
    </r>
  </si>
  <si>
    <t>Big</t>
  </si>
  <si>
    <t>Crone</t>
  </si>
  <si>
    <r>
      <rPr>
        <b/>
        <sz val="12"/>
        <color theme="1"/>
        <rFont val="Calibri"/>
      </rPr>
      <t>Top Spark</t>
    </r>
    <r>
      <rPr>
        <sz val="12"/>
        <color theme="1"/>
        <rFont val="Calibri"/>
      </rPr>
      <t xml:space="preserve"> (HP 3): 2 damage to the top-most enemy</t>
    </r>
  </si>
  <si>
    <t>Boar</t>
  </si>
  <si>
    <r>
      <rPr>
        <b/>
        <sz val="12"/>
        <color theme="1"/>
        <rFont val="Calibri"/>
      </rPr>
      <t>Determination</t>
    </r>
    <r>
      <rPr>
        <sz val="12"/>
        <color theme="1"/>
        <rFont val="Calibri"/>
      </rPr>
      <t xml:space="preserve"> (HP 1): this hp must be removed individually</t>
    </r>
  </si>
  <si>
    <t>Slimer</t>
  </si>
  <si>
    <r>
      <rPr>
        <b/>
        <sz val="12"/>
        <color theme="1"/>
        <rFont val="Calibri"/>
      </rPr>
      <t>Split</t>
    </r>
    <r>
      <rPr>
        <sz val="12"/>
        <color theme="1"/>
        <rFont val="Calibri"/>
      </rPr>
      <t xml:space="preserve"> (HP 2, 5): summon a slimelet</t>
    </r>
  </si>
  <si>
    <t>Ogre</t>
  </si>
  <si>
    <r>
      <rPr>
        <b/>
        <sz val="12"/>
        <color theme="1"/>
        <rFont val="Calibri"/>
      </rPr>
      <t>Provoke</t>
    </r>
    <r>
      <rPr>
        <sz val="12"/>
        <color theme="1"/>
        <rFont val="Calibri"/>
      </rPr>
      <t xml:space="preserve"> (HP 3, 8): +1 to all sides this fight</t>
    </r>
  </si>
  <si>
    <r>
      <rPr>
        <b/>
        <sz val="12"/>
        <color theme="1"/>
        <rFont val="Calibri"/>
      </rPr>
      <t>Random curse:</t>
    </r>
    <r>
      <rPr>
        <sz val="12"/>
        <color theme="1"/>
        <rFont val="Calibri"/>
      </rPr>
      <t xml:space="preserve"> A random tier 2 or 3 curse</t>
    </r>
  </si>
  <si>
    <t>Possible curses: -3 Max Mana (T-2), Slow Spell+ (T-2), No Burst (T-3), Bottom Poison+ (T-2), Death Shield+ (T-2), Mana Debt+ (T-2), Second Single-use (T-2), Slippery Dice (T-2), Stony Grasp (T-3), Heavy Weapon (T-4), Frail Edges (T-3), Monster Left +3 (T-3)
Achieve "Curse Mastery" to unlock</t>
  </si>
  <si>
    <t>Ghost</t>
  </si>
  <si>
    <r>
      <rPr>
        <b/>
        <sz val="12"/>
        <color theme="1"/>
        <rFont val="Calibri"/>
      </rPr>
      <t>Ethereal</t>
    </r>
    <r>
      <rPr>
        <sz val="12"/>
        <color theme="1"/>
        <rFont val="Calibri"/>
      </rPr>
      <t xml:space="preserve"> (HP 4): Become immune to damage this turn</t>
    </r>
  </si>
  <si>
    <t>Caw</t>
  </si>
  <si>
    <r>
      <rPr>
        <b/>
        <sz val="12"/>
        <color theme="1"/>
        <rFont val="Calibri"/>
      </rPr>
      <t>Flight</t>
    </r>
    <r>
      <rPr>
        <sz val="12"/>
        <color theme="1"/>
        <rFont val="Calibri"/>
      </rPr>
      <t>: After taking damage for the first time each turn, move back this turn</t>
    </r>
  </si>
  <si>
    <r>
      <rPr>
        <b/>
        <sz val="12"/>
        <color theme="1"/>
        <rFont val="Calibri"/>
      </rPr>
      <t>Wail</t>
    </r>
    <r>
      <rPr>
        <sz val="12"/>
        <color theme="1"/>
        <rFont val="Calibri"/>
      </rPr>
      <t>: After the first spell each turn is cast, 1 damage to all enemies</t>
    </r>
  </si>
  <si>
    <t>Achieve "Caster+" to unlock</t>
  </si>
  <si>
    <t>Slate</t>
  </si>
  <si>
    <r>
      <rPr>
        <b/>
        <sz val="12"/>
        <color theme="1"/>
        <rFont val="Calibri"/>
      </rPr>
      <t xml:space="preserve">Tough </t>
    </r>
    <r>
      <rPr>
        <sz val="12"/>
        <color theme="1"/>
        <rFont val="Calibri"/>
      </rPr>
      <t>(HP 1, 2, 3, 4, 5): these hp must be removed individually</t>
    </r>
  </si>
  <si>
    <t>Wizz</t>
  </si>
  <si>
    <r>
      <rPr>
        <b/>
        <sz val="12"/>
        <color theme="1"/>
        <rFont val="Calibri"/>
      </rPr>
      <t>Back-row</t>
    </r>
    <r>
      <rPr>
        <sz val="12"/>
        <color theme="1"/>
        <rFont val="Calibri"/>
      </rPr>
      <t xml:space="preserve">: Starts at the back
</t>
    </r>
    <r>
      <rPr>
        <b/>
        <sz val="12"/>
        <color theme="1"/>
        <rFont val="Calibri"/>
      </rPr>
      <t>Concentration</t>
    </r>
    <r>
      <rPr>
        <sz val="12"/>
        <color theme="1"/>
        <rFont val="Calibri"/>
      </rPr>
      <t xml:space="preserve"> (HP 4): Stunned this turn</t>
    </r>
  </si>
  <si>
    <t>Basilisk</t>
  </si>
  <si>
    <r>
      <rPr>
        <b/>
        <sz val="12"/>
        <color theme="1"/>
        <rFont val="Calibri"/>
      </rPr>
      <t>Petrify</t>
    </r>
    <r>
      <rPr>
        <sz val="12"/>
        <color theme="1"/>
        <rFont val="Calibri"/>
      </rPr>
      <t>: On-hit: turn the attacking side to stone</t>
    </r>
  </si>
  <si>
    <t>Demon</t>
  </si>
  <si>
    <r>
      <rPr>
        <b/>
        <sz val="12"/>
        <color theme="1"/>
        <rFont val="Calibri"/>
      </rPr>
      <t>Hellfire</t>
    </r>
    <r>
      <rPr>
        <sz val="12"/>
        <color theme="1"/>
        <rFont val="Calibri"/>
      </rPr>
      <t xml:space="preserve"> (HP 5): On-hit: 6 damage to the attacker</t>
    </r>
  </si>
  <si>
    <t>Spiker</t>
  </si>
  <si>
    <r>
      <rPr>
        <b/>
        <sz val="12"/>
        <color theme="1"/>
        <rFont val="Calibri"/>
      </rPr>
      <t>Spiky 2</t>
    </r>
    <r>
      <rPr>
        <sz val="12"/>
        <color theme="1"/>
        <rFont val="Calibri"/>
      </rPr>
      <t>: On-hit: damage the attacker for 2</t>
    </r>
  </si>
  <si>
    <t>Cyclops</t>
  </si>
  <si>
    <r>
      <rPr>
        <b/>
        <sz val="12"/>
        <color theme="1"/>
        <rFont val="Calibri"/>
      </rPr>
      <t>Blind</t>
    </r>
    <r>
      <rPr>
        <sz val="12"/>
        <color theme="1"/>
        <rFont val="Calibri"/>
      </rPr>
      <t xml:space="preserve"> (HP 8): Stunned this turn</t>
    </r>
  </si>
  <si>
    <t>Hydra</t>
  </si>
  <si>
    <r>
      <rPr>
        <b/>
        <sz val="12"/>
        <color theme="1"/>
        <rFont val="Calibri"/>
      </rPr>
      <t>5 heads</t>
    </r>
    <r>
      <rPr>
        <sz val="12"/>
        <color theme="1"/>
        <rFont val="Calibri"/>
      </rPr>
      <t>: Dies if damaged 5 times in a turn</t>
    </r>
  </si>
  <si>
    <t>Alpha</t>
  </si>
  <si>
    <t>Possible level 4 boss</t>
  </si>
  <si>
    <t>Troll</t>
  </si>
  <si>
    <r>
      <rPr>
        <b/>
        <sz val="12"/>
        <color theme="1"/>
        <rFont val="Calibri"/>
      </rPr>
      <t>Regen 1</t>
    </r>
    <r>
      <rPr>
        <sz val="12"/>
        <color theme="1"/>
        <rFont val="Calibri"/>
      </rPr>
      <t>: Regenerate 1 health at the end of each turn</t>
    </r>
  </si>
  <si>
    <r>
      <rPr>
        <b/>
        <sz val="12"/>
        <color theme="1"/>
        <rFont val="Calibri"/>
      </rPr>
      <t>Knotted Bark</t>
    </r>
    <r>
      <rPr>
        <sz val="12"/>
        <color theme="1"/>
        <rFont val="Calibri"/>
      </rPr>
      <t>: All heroes: Add single-use to all sides</t>
    </r>
  </si>
  <si>
    <t>Possible level 4 boss
Achieve "Brambles" to unlock</t>
  </si>
  <si>
    <t>Agnes</t>
  </si>
  <si>
    <r>
      <rPr>
        <b/>
        <sz val="12"/>
        <color theme="1"/>
        <rFont val="Calibri"/>
      </rPr>
      <t xml:space="preserve">Top Flame </t>
    </r>
    <r>
      <rPr>
        <sz val="12"/>
        <color theme="1"/>
        <rFont val="Calibri"/>
      </rPr>
      <t>(HP 3): 2 damage to the top-most enemy</t>
    </r>
  </si>
  <si>
    <t>Possible level 8 bosses</t>
  </si>
  <si>
    <t>Gytha</t>
  </si>
  <si>
    <r>
      <rPr>
        <b/>
        <sz val="12"/>
        <color theme="1"/>
        <rFont val="Calibri"/>
      </rPr>
      <t>Middle Flame</t>
    </r>
    <r>
      <rPr>
        <sz val="12"/>
        <color theme="1"/>
        <rFont val="Calibri"/>
      </rPr>
      <t xml:space="preserve"> (HP 3): 2 damage to the middle enemy</t>
    </r>
  </si>
  <si>
    <t>Magrat</t>
  </si>
  <si>
    <r>
      <rPr>
        <b/>
        <sz val="12"/>
        <color theme="1"/>
        <rFont val="Calibri"/>
      </rPr>
      <t>Bottom Flame</t>
    </r>
    <r>
      <rPr>
        <sz val="12"/>
        <color theme="1"/>
        <rFont val="Calibri"/>
      </rPr>
      <t xml:space="preserve"> (HP 3): 2 damage to the bottom-most enemy</t>
    </r>
  </si>
  <si>
    <t>Huge</t>
  </si>
  <si>
    <t>Slime Queen</t>
  </si>
  <si>
    <r>
      <rPr>
        <b/>
        <sz val="12"/>
        <color theme="1"/>
        <rFont val="Calibri"/>
      </rPr>
      <t>Split</t>
    </r>
    <r>
      <rPr>
        <sz val="12"/>
        <color theme="1"/>
        <rFont val="Calibri"/>
      </rPr>
      <t xml:space="preserve"> (HP 5, 10): summon a slimer</t>
    </r>
  </si>
  <si>
    <t>Possible level 8 boss</t>
  </si>
  <si>
    <r>
      <rPr>
        <b/>
        <sz val="12"/>
        <color theme="1"/>
        <rFont val="Calibri"/>
      </rPr>
      <t>Gong</t>
    </r>
    <r>
      <rPr>
        <sz val="12"/>
        <color theme="1"/>
        <rFont val="Calibri"/>
      </rPr>
      <t>: At the end of each turn, 1 damage to all heroes and 5 damage to me</t>
    </r>
  </si>
  <si>
    <t>Possible level 8 boss
Achieve "GONG" to unlock</t>
  </si>
  <si>
    <t>Lich</t>
  </si>
  <si>
    <r>
      <rPr>
        <b/>
        <sz val="12"/>
        <color theme="1"/>
        <rFont val="Calibri"/>
      </rPr>
      <t>Back-row</t>
    </r>
    <r>
      <rPr>
        <sz val="12"/>
        <color theme="1"/>
        <rFont val="Calibri"/>
      </rPr>
      <t xml:space="preserve">: Starts at the back
</t>
    </r>
    <r>
      <rPr>
        <b/>
        <sz val="12"/>
        <color theme="1"/>
        <rFont val="Calibri"/>
      </rPr>
      <t>Living Skeleton</t>
    </r>
    <r>
      <rPr>
        <sz val="12"/>
        <color theme="1"/>
        <rFont val="Calibri"/>
      </rPr>
      <t xml:space="preserve"> (HP 5,10,15): Summon a bones</t>
    </r>
  </si>
  <si>
    <t>Possible level 12 boss</t>
  </si>
  <si>
    <t>Rotten</t>
  </si>
  <si>
    <r>
      <rPr>
        <b/>
        <sz val="12"/>
        <color theme="1"/>
        <rFont val="Calibri"/>
      </rPr>
      <t>Plague</t>
    </r>
    <r>
      <rPr>
        <sz val="12"/>
        <color theme="1"/>
        <rFont val="Calibri"/>
      </rPr>
      <t>: All heroes get -1 max hp at the end of each turn (minimum 1)</t>
    </r>
  </si>
  <si>
    <r>
      <rPr>
        <b/>
        <sz val="12"/>
        <color theme="1"/>
        <rFont val="Calibri"/>
      </rPr>
      <t>Mana Glutton</t>
    </r>
    <r>
      <rPr>
        <sz val="12"/>
        <color theme="1"/>
        <rFont val="Calibri"/>
      </rPr>
      <t xml:space="preserve"> (HP 2, 4, 6, 8, 10, 12, 14, 16, 18, 20, 22, 24): +1 mana</t>
    </r>
  </si>
  <si>
    <t>Possible level 12 boss
Achieve "Anger the Ghosts" to unlock</t>
  </si>
  <si>
    <t>Troll King</t>
  </si>
  <si>
    <r>
      <rPr>
        <b/>
        <sz val="12"/>
        <color theme="1"/>
        <rFont val="Calibri"/>
      </rPr>
      <t>Regen 2</t>
    </r>
    <r>
      <rPr>
        <sz val="12"/>
        <color theme="1"/>
        <rFont val="Calibri"/>
      </rPr>
      <t>: Regenerate 2 health at the end of each turn</t>
    </r>
  </si>
  <si>
    <t>Possible level 16 boss</t>
  </si>
  <si>
    <t>Tarantus</t>
  </si>
  <si>
    <r>
      <rPr>
        <b/>
        <sz val="12"/>
        <color theme="1"/>
        <rFont val="Calibri"/>
      </rPr>
      <t>Devour</t>
    </r>
    <r>
      <rPr>
        <sz val="12"/>
        <color theme="1"/>
        <rFont val="Calibri"/>
      </rPr>
      <t xml:space="preserve"> (HP 10): kill the top-most enemy</t>
    </r>
  </si>
  <si>
    <r>
      <rPr>
        <b/>
        <sz val="12"/>
        <color theme="1"/>
        <rFont val="Calibri"/>
      </rPr>
      <t>1: Chip</t>
    </r>
    <r>
      <rPr>
        <sz val="12"/>
        <color theme="1"/>
        <rFont val="Calibri"/>
      </rPr>
      <t xml:space="preserve">: The first time I take exactly 1 damage, double it to 2, then increase </t>
    </r>
    <r>
      <rPr>
        <b/>
        <sz val="12"/>
        <color theme="1"/>
        <rFont val="Calibri"/>
      </rPr>
      <t>Chip</t>
    </r>
    <r>
      <rPr>
        <sz val="12"/>
        <color theme="1"/>
        <rFont val="Calibri"/>
      </rPr>
      <t xml:space="preserve"> to 2</t>
    </r>
  </si>
  <si>
    <t>Possible level 16 boss
Achieve "Stone Revenge+" to unlock</t>
  </si>
  <si>
    <t>Dragon</t>
  </si>
  <si>
    <t>Possible level 20 boss</t>
  </si>
  <si>
    <t>Hexia</t>
  </si>
  <si>
    <r>
      <rPr>
        <b/>
        <sz val="12"/>
        <color theme="1"/>
        <rFont val="Calibri"/>
      </rPr>
      <t>Pain Mirror</t>
    </r>
    <r>
      <rPr>
        <sz val="12"/>
        <color theme="1"/>
        <rFont val="Calibri"/>
      </rPr>
      <t xml:space="preserve">: On-hit: attacker takes equal damage to me
</t>
    </r>
    <r>
      <rPr>
        <b/>
        <sz val="12"/>
        <color theme="1"/>
        <rFont val="Calibri"/>
      </rPr>
      <t>Mana Burn</t>
    </r>
    <r>
      <rPr>
        <sz val="12"/>
        <color theme="1"/>
        <rFont val="Calibri"/>
      </rPr>
      <t>: Whenever mana is spent, deal that much damage to the bottom hero</t>
    </r>
  </si>
  <si>
    <r>
      <rPr>
        <b/>
        <sz val="12"/>
        <color theme="1"/>
        <rFont val="Calibri"/>
      </rPr>
      <t>Handicap</t>
    </r>
    <r>
      <rPr>
        <sz val="12"/>
        <color theme="1"/>
        <rFont val="Calibri"/>
      </rPr>
      <t>: All heroes: +1 to all sides</t>
    </r>
  </si>
  <si>
    <t>Possible level 20 boss
Achieve "Hard Streak" to unlock</t>
  </si>
  <si>
    <t>error</t>
  </si>
  <si>
    <t>1/1000</t>
  </si>
  <si>
    <t>Failsafe monster (not confirmed to be a possible encounter in a normal game)</t>
  </si>
  <si>
    <t>Note: Bigger enemies occupy more area, making other enemies reinforcement if there is no more spot available. 
The field has roughly 82 units, with small enemies taking up 8 units, hero-sized enemies taking up 12 units, big enemies 
taking up 15 units and huge enemies taking up 32 units. This can be increased via curse (horde and double monsters).</t>
  </si>
  <si>
    <t>Item name</t>
  </si>
  <si>
    <t>Effect</t>
  </si>
  <si>
    <t>Unlock condition</t>
  </si>
  <si>
    <t>Broken Spirit</t>
  </si>
  <si>
    <t>Must be equipped
Immune to healing
Immune to shields</t>
  </si>
  <si>
    <t>None</t>
  </si>
  <si>
    <t>Number of item(s)</t>
  </si>
  <si>
    <t>Exhaustion</t>
  </si>
  <si>
    <t>Must be equipped
Add single-use to all sides</t>
  </si>
  <si>
    <t>Pharoah's Curse</t>
  </si>
  <si>
    <t>Must be equipped
-1 to all sides</t>
  </si>
  <si>
    <t>Slimed</t>
  </si>
  <si>
    <t>Must be equipped
Cannot be rerolled</t>
  </si>
  <si>
    <t>Soul Link</t>
  </si>
  <si>
    <t>Must be equipped
When an ally dies, you die</t>
  </si>
  <si>
    <t>Achieve "Encumbered"</t>
  </si>
  <si>
    <t>Wretched Crown</t>
  </si>
  <si>
    <t>Must be equipped
Upon death: kill all allies</t>
  </si>
  <si>
    <t>Achieve "Soul Link-pick"</t>
  </si>
  <si>
    <t>Affliction</t>
  </si>
  <si>
    <t>Must be equipped
Add pain to the two left sides</t>
  </si>
  <si>
    <t>Broken Heart</t>
  </si>
  <si>
    <t>Must be equipped
Immune to healing</t>
  </si>
  <si>
    <t>Coiled Snake</t>
  </si>
  <si>
    <t>Must be equipped
Start poisoned</t>
  </si>
  <si>
    <t>D4</t>
  </si>
  <si>
    <t>Must be equipped
Replace the right side with '1 self damage cantrip'</t>
  </si>
  <si>
    <t>Handcuffs</t>
  </si>
  <si>
    <t>Must be equipped
-1 item slot</t>
  </si>
  <si>
    <t>Lead Weight</t>
  </si>
  <si>
    <t>Must be equipped
Replace the top and bottom sides with 'blank'</t>
  </si>
  <si>
    <t>Martyr</t>
  </si>
  <si>
    <t>Must be equipped
Add death &amp; +1 to the two left sides</t>
  </si>
  <si>
    <t>Mould</t>
  </si>
  <si>
    <t>Must be equipped
Add decay to all sides</t>
  </si>
  <si>
    <t>Weariness</t>
  </si>
  <si>
    <t>Must be equipped
Add single-use to the middle row</t>
  </si>
  <si>
    <t>Bent Fork</t>
  </si>
  <si>
    <t>x1 the pips of all sides</t>
  </si>
  <si>
    <t>Achieve "I wish I could undo this 
achievement"</t>
  </si>
  <si>
    <t>Bent Spoon</t>
  </si>
  <si>
    <t>+0 to all sides</t>
  </si>
  <si>
    <t>Achieve "Snake-eyes"</t>
  </si>
  <si>
    <t>Bond Certificate</t>
  </si>
  <si>
    <t>15th turn: +15 to all sides</t>
  </si>
  <si>
    <t>Burred Shield</t>
  </si>
  <si>
    <t>Replace the left side with 'Shield 5 pain'</t>
  </si>
  <si>
    <t>Cholesterol</t>
  </si>
  <si>
    <t>+5 empty max hp
Immune to healing</t>
  </si>
  <si>
    <t>Corroded Bomb</t>
  </si>
  <si>
    <t>Replace the right side with '1 damage to all heroes and monsters charged, mana-cost'</t>
  </si>
  <si>
    <t>Cracked Emerald</t>
  </si>
  <si>
    <t>Gain the effects of all tier 10 items on other heroes</t>
  </si>
  <si>
    <t>Achieve "Emerald Mirror-pick"</t>
  </si>
  <si>
    <t>Cracked Phylactery</t>
  </si>
  <si>
    <t>Add self-heal to the two left sides
-6 max hp</t>
  </si>
  <si>
    <t>Achieve "Pocket Phylactery-pick"</t>
  </si>
  <si>
    <t>Cyanide Pill</t>
  </si>
  <si>
    <t>Add cantrip &amp; death to the two right sides</t>
  </si>
  <si>
    <t>Dead Branch</t>
  </si>
  <si>
    <t>Replace the bottom side with '1 damage single-use'</t>
  </si>
  <si>
    <t>Dull Wit</t>
  </si>
  <si>
    <t>Replace mana/mana-gain sides with basic damage sides, retaining their original value and other
keywords</t>
  </si>
  <si>
    <t>Extra Pocket</t>
  </si>
  <si>
    <t>+1 item slot (max 3)</t>
  </si>
  <si>
    <t>False Idol</t>
  </si>
  <si>
    <t>+1 max hp for each 'z' in your name</t>
  </si>
  <si>
    <t>Fidget Spinner</t>
  </si>
  <si>
    <t>Replace the middle side with 'Target hero can use their dice again duplicate'</t>
  </si>
  <si>
    <t>Flea</t>
  </si>
  <si>
    <t>+1 to all sides with exactly 0 pips</t>
  </si>
  <si>
    <t>Fly</t>
  </si>
  <si>
    <t>Add growth &amp; decay to the left side</t>
  </si>
  <si>
    <t>Gambler's Two</t>
  </si>
  <si>
    <t>+1 to the rightmost side
-1 to other sides</t>
  </si>
  <si>
    <t>Achieve "7 Damage!"</t>
  </si>
  <si>
    <t>Grass</t>
  </si>
  <si>
    <t>Replace blank sides with 'blank (petrified)'</t>
  </si>
  <si>
    <t>Hidden Strength</t>
  </si>
  <si>
    <t>Replace the bottom side with '10 damage to all enemies mana-cost'</t>
  </si>
  <si>
    <t>Paper</t>
  </si>
  <si>
    <t>Add nothing to the left side</t>
  </si>
  <si>
    <t>Peanut Shell</t>
  </si>
  <si>
    <t>Must be equipped
+1 empty max hp</t>
  </si>
  <si>
    <t>Potion Shard</t>
  </si>
  <si>
    <t>Replace the bottom side with '3 damage pain, drink'</t>
  </si>
  <si>
    <t>Achieve "Herbalist-pick"</t>
  </si>
  <si>
    <t>rorriM tekcoP</t>
  </si>
  <si>
    <t>Copy the rightmost side onto the left side</t>
  </si>
  <si>
    <t>Achieve "Pocket Mirror-pick"</t>
  </si>
  <si>
    <t>Rusty Longsword</t>
  </si>
  <si>
    <t>Replace the middle row with '1 damage'</t>
  </si>
  <si>
    <t>Scissors</t>
  </si>
  <si>
    <t>Add deathwish &amp; pain to the middle side</t>
  </si>
  <si>
    <t>Snake Oil</t>
  </si>
  <si>
    <t>Add engage to all basic heal sides</t>
  </si>
  <si>
    <t>Spanner</t>
  </si>
  <si>
    <t>Revert all changes to the top side</t>
  </si>
  <si>
    <t>Spell: Betray</t>
  </si>
  <si>
    <t>Cost: 2 mana - Kill an ally</t>
  </si>
  <si>
    <t>Spell: Hinder</t>
  </si>
  <si>
    <t>Cost: 1 mana - 1 damage to an ally weaken</t>
  </si>
  <si>
    <t>Spell: Mana</t>
  </si>
  <si>
    <t>Cost: 1 mana - +1 mana single-cast</t>
  </si>
  <si>
    <t>Toy Sword</t>
  </si>
  <si>
    <t>Replace the rightmost side with '0 damage'</t>
  </si>
  <si>
    <t>Trick Deck</t>
  </si>
  <si>
    <t>Add sept to the left side</t>
  </si>
  <si>
    <t>Twiddle</t>
  </si>
  <si>
    <t>Swap the top side with the bottom side</t>
  </si>
  <si>
    <t>Void</t>
  </si>
  <si>
    <t/>
  </si>
  <si>
    <t>Wooden Armour</t>
  </si>
  <si>
    <t>+2 max hp
-1 to all sides</t>
  </si>
  <si>
    <t>Anchor</t>
  </si>
  <si>
    <t>Turn 1: self-shield 2</t>
  </si>
  <si>
    <t>Ballet Shoes</t>
  </si>
  <si>
    <t>Swap the left side with the rightmost side</t>
  </si>
  <si>
    <t>Achieve "Dancer-pick"</t>
  </si>
  <si>
    <t>Barkskin</t>
  </si>
  <si>
    <t>Immune to shields
+2 max hp</t>
  </si>
  <si>
    <t>Basilisk Scale</t>
  </si>
  <si>
    <t>Start petrified for 1
+3 to the top side</t>
  </si>
  <si>
    <t>Achieve "Petrified"</t>
  </si>
  <si>
    <t>Big Heart</t>
  </si>
  <si>
    <t>Replace the middle side with 'Heal 5'</t>
  </si>
  <si>
    <t>Big Shield</t>
  </si>
  <si>
    <t>Replace the left side with 'Shield 4'</t>
  </si>
  <si>
    <t>Bone Charm</t>
  </si>
  <si>
    <t>No hp penalty when defeated</t>
  </si>
  <si>
    <t>Castor Root</t>
  </si>
  <si>
    <t>Replace blank sides with 'Heal 1'</t>
  </si>
  <si>
    <t>Replace heal/self-heal sides with basic shield sides, retaining their original value and other keywords</t>
  </si>
  <si>
    <t>Achieve "Change of Heart"</t>
  </si>
  <si>
    <t>Cleanse Potion</t>
  </si>
  <si>
    <t>Replace the rightmost side with 'Heal 21 drink, cleanse'</t>
  </si>
  <si>
    <t>Cloak</t>
  </si>
  <si>
    <t>Replace the middle side with 'Dodge all enemy attacks/effects'</t>
  </si>
  <si>
    <t>Coin</t>
  </si>
  <si>
    <t>+1 to the left side
Cannot be locked</t>
  </si>
  <si>
    <t>Achieve "Steady Hands"</t>
  </si>
  <si>
    <t>Compass</t>
  </si>
  <si>
    <t>Rotate sides clockwise around the middle side</t>
  </si>
  <si>
    <t>Copper Ring</t>
  </si>
  <si>
    <t>+1 empty max hp
+1 max stored mana</t>
  </si>
  <si>
    <t>Courage Potion</t>
  </si>
  <si>
    <t>Add drink &amp; +2 to the left side</t>
  </si>
  <si>
    <t>Emerald Shard</t>
  </si>
  <si>
    <t>Gain the effects of all tier 2 items on other heroes (not potions)
(Can copy the effects of items that are exclusive to a certain hero color)</t>
  </si>
  <si>
    <t>Achieve "Hidden Emerald"</t>
  </si>
  <si>
    <t>Foil</t>
  </si>
  <si>
    <t>Replace the right side with '0 damage skill'</t>
  </si>
  <si>
    <t>Achieve "50 Achievements"</t>
  </si>
  <si>
    <t>Glass Helm</t>
  </si>
  <si>
    <t>+3 max hp
Death is permanent</t>
  </si>
  <si>
    <t>Achieve "Oops+"</t>
  </si>
  <si>
    <t>Healing Wand</t>
  </si>
  <si>
    <t>Replace the rightmost side with 'Heal 4 single-use'</t>
  </si>
  <si>
    <t>Infused Herbs</t>
  </si>
  <si>
    <t>Replace the bottom side with 'Heal 2 regen, cleanse, mana-cost'</t>
  </si>
  <si>
    <t>Achieve "40 Achievements"</t>
  </si>
  <si>
    <t>Knife Bag</t>
  </si>
  <si>
    <t>Replace blank sides with '1 damage cantrip, pain'</t>
  </si>
  <si>
    <t>Achieve "Draw"</t>
  </si>
  <si>
    <t>Leather Vest</t>
  </si>
  <si>
    <t>+1 max hp</t>
  </si>
  <si>
    <t>Pendulum</t>
  </si>
  <si>
    <t>Swap the left side with the middle side</t>
  </si>
  <si>
    <t>Reagents</t>
  </si>
  <si>
    <t>Replace the two right sides with 'blank' &amp; 'Heal 1 regen'</t>
  </si>
  <si>
    <t>Revive Potion</t>
  </si>
  <si>
    <t>Replace the right side with 'Revive the 2 top-most defeated allies drink'</t>
  </si>
  <si>
    <t>Rusty Plate</t>
  </si>
  <si>
    <t>Replace the middle side with 'blank'
+3 max hp</t>
  </si>
  <si>
    <t>Scar</t>
  </si>
  <si>
    <t>+4 empty max hp</t>
  </si>
  <si>
    <t>Achieve "Heal"</t>
  </si>
  <si>
    <t>Seedling</t>
  </si>
  <si>
    <t>Replace the left side with '2 damage growth'</t>
  </si>
  <si>
    <t>Spell: Poultice</t>
  </si>
  <si>
    <t>Cost: 1 mana - Heal 2 single-cast</t>
  </si>
  <si>
    <t>Stake</t>
  </si>
  <si>
    <t>Add terminal to all damage sides</t>
  </si>
  <si>
    <t>Tattered Robes</t>
  </si>
  <si>
    <t>Replace the three right sides with '+1 mana'
+1 max stored mana</t>
  </si>
  <si>
    <t>Wine</t>
  </si>
  <si>
    <t>Start poisoned
The monster with the most hp starts poisoned</t>
  </si>
  <si>
    <t>Achieve "Green Blood"</t>
  </si>
  <si>
    <t>Wolf Ears</t>
  </si>
  <si>
    <t>Set max hp to 6</t>
  </si>
  <si>
    <t>Worn Arms</t>
  </si>
  <si>
    <t>Replace the top and bottom sides with '2 damage' &amp; 'Shield 2'</t>
  </si>
  <si>
    <t>2 of Hearts</t>
  </si>
  <si>
    <t>At the start of each turn, self-heal 2 if you are on exactly 2 hp</t>
  </si>
  <si>
    <t>Big Hammer</t>
  </si>
  <si>
    <t>Replace the two left sides with '5 damage heavy' &amp; 'blank'</t>
  </si>
  <si>
    <t>Replace the rightmost side with 'Shield 1 rescue'</t>
  </si>
  <si>
    <t>Achieve "Blessed Ring"</t>
  </si>
  <si>
    <t>Blessed Water</t>
  </si>
  <si>
    <t>Replace the rightmost side with 'Heal 2 vitality'</t>
  </si>
  <si>
    <t>Buckler</t>
  </si>
  <si>
    <t>Replace the middle side with 'Shield 3 bloodlust'</t>
  </si>
  <si>
    <t>Burning Blade</t>
  </si>
  <si>
    <t>Replace the left side with '4 damage'
-2 max hp</t>
  </si>
  <si>
    <t>Cheater's Sleeves</t>
  </si>
  <si>
    <t>Add quin to the top and bottom sides</t>
  </si>
  <si>
    <t>Achieve "Ace-pick"</t>
  </si>
  <si>
    <t>Citrine Ring</t>
  </si>
  <si>
    <t>+1 to the rightmost side</t>
  </si>
  <si>
    <t>After a spell is cast, 1 self damage
+1 to the two right sides</t>
  </si>
  <si>
    <t>Achieve "Cursed Bolt"</t>
  </si>
  <si>
    <t>First-aid Kit</t>
  </si>
  <si>
    <t>Orange heroes only
Replace the left side with 'Heal 4 cleanse'</t>
  </si>
  <si>
    <t>Fletching</t>
  </si>
  <si>
    <t>Add ranged to the left side</t>
  </si>
  <si>
    <t>Flickering Blade</t>
  </si>
  <si>
    <t>Replace the rightmost side with '1 damage copycat'</t>
  </si>
  <si>
    <t>Friendship Bracelet</t>
  </si>
  <si>
    <t>+2 empty max hp
Monsters flee if you have 5x as much hp as them instead of 10x</t>
  </si>
  <si>
    <t>Achieve "Benevolence"</t>
  </si>
  <si>
    <t>Gambler's Ace</t>
  </si>
  <si>
    <t>+2 to the left side
-2 to other sides</t>
  </si>
  <si>
    <t>Achieve "Gamber-pick"</t>
  </si>
  <si>
    <t>Garnet</t>
  </si>
  <si>
    <t>+1 to incoming healing</t>
  </si>
  <si>
    <t>Golden Thread</t>
  </si>
  <si>
    <t>Yellow heroes only
+1 to all non-damage sides</t>
  </si>
  <si>
    <t>Incense</t>
  </si>
  <si>
    <t>Add rite to the top side</t>
  </si>
  <si>
    <t>Iron Heart</t>
  </si>
  <si>
    <t>Add exert &amp; +1 to all sides
+1 max hp</t>
  </si>
  <si>
    <t>Leather Gloves</t>
  </si>
  <si>
    <t>Copy the rightmost side onto the top and bottom sides</t>
  </si>
  <si>
    <t>Liqueur</t>
  </si>
  <si>
    <t>Swap the top side with the rightmost side
+2 max stored mana</t>
  </si>
  <si>
    <t>Longbow</t>
  </si>
  <si>
    <t>Replace the top and bottom sides with '2 damage ranged'</t>
  </si>
  <si>
    <t>Mana Potion</t>
  </si>
  <si>
    <t>Replace the rightmost side with '+5 mana drink'</t>
  </si>
  <si>
    <t>Origami</t>
  </si>
  <si>
    <t>Swap each side with its opposite
(Swap top side with bottom side, left side with right side, middle side with rightmost side)</t>
  </si>
  <si>
    <t>Powdered Mana</t>
  </si>
  <si>
    <t>Replace blank sides with '+1 mana'</t>
  </si>
  <si>
    <t>Regen Potion</t>
  </si>
  <si>
    <t>Replace the bottom side with 'Heal 3 drink, regen'</t>
  </si>
  <si>
    <t>Relic</t>
  </si>
  <si>
    <t>+1 to all sides if you are on exactly 1 hp</t>
  </si>
  <si>
    <t>Achieve "Last Legs"</t>
  </si>
  <si>
    <t>Sapphire</t>
  </si>
  <si>
    <t>Replace the middle side with '+2 mana'</t>
  </si>
  <si>
    <t>Sapphire Skull</t>
  </si>
  <si>
    <t>Upon death: +2 mana</t>
  </si>
  <si>
    <t>Shortsword</t>
  </si>
  <si>
    <t>Replace the two right sides with '2 damage'</t>
  </si>
  <si>
    <t>Silver Imp</t>
  </si>
  <si>
    <t>Replace the top and bottom sides with 'Gain 1 reroll cantrip, pain'</t>
  </si>
  <si>
    <t>Achieve "Spine+"</t>
  </si>
  <si>
    <t>Spell: Remedy</t>
  </si>
  <si>
    <t>Cost: 1 mana - Heal 1 cleanse, single-cast</t>
  </si>
  <si>
    <t>Spell: Restore</t>
  </si>
  <si>
    <t>Cost: 2 mana - Heal 1 to all allies</t>
  </si>
  <si>
    <t>Spell: Slice</t>
  </si>
  <si>
    <t>Cost: 3 mana - 1 damage to all enemies</t>
  </si>
  <si>
    <t>Square Wheel</t>
  </si>
  <si>
    <t>Replace the three right sides with 'Gain 1 reroll cantrip', 'blank' &amp; 'blank'</t>
  </si>
  <si>
    <t>Statuette</t>
  </si>
  <si>
    <t>Replace the middle row with 'blank'
+6 max hp</t>
  </si>
  <si>
    <t>Achieve "Statue-pick"</t>
  </si>
  <si>
    <t>Titanbane Potion</t>
  </si>
  <si>
    <t>Add dispel &amp; drink &amp; +1 to the middle side</t>
  </si>
  <si>
    <t>Twin Daggers</t>
  </si>
  <si>
    <t>Replace the top and bottom sides with '1 damage cantrip'</t>
  </si>
  <si>
    <t>Wandify</t>
  </si>
  <si>
    <t>Add single-use &amp; +1 to the two right sides</t>
  </si>
  <si>
    <t>Whey</t>
  </si>
  <si>
    <t>Add vitality to the left side</t>
  </si>
  <si>
    <t>Abacus</t>
  </si>
  <si>
    <t>Shift your middle row across by 1
+1 max hp</t>
  </si>
  <si>
    <t>Autumn Leaf</t>
  </si>
  <si>
    <t>Add growth to the rightmost side</t>
  </si>
  <si>
    <t>Blood Chalice</t>
  </si>
  <si>
    <t>Self-shield 1 for each wasted point of healing you receive</t>
  </si>
  <si>
    <t>Bowl</t>
  </si>
  <si>
    <t>Revert all changes to all sides
(Replace all sides with your base sides)</t>
  </si>
  <si>
    <t>Clumsy Hammer</t>
  </si>
  <si>
    <t>Replace the top side with '4 damage heavy, eliminate'</t>
  </si>
  <si>
    <t>Droopy Hat</t>
  </si>
  <si>
    <t>+2 max hp
+2 max stored mana</t>
  </si>
  <si>
    <t>Enchanted Shield</t>
  </si>
  <si>
    <t>At the start of each turn, self-shield 1</t>
  </si>
  <si>
    <t>Faint Halo</t>
  </si>
  <si>
    <t>+1 max hp this fight whenever you save a hero</t>
  </si>
  <si>
    <t>Glass Blade</t>
  </si>
  <si>
    <t>Replace the left side with '5 damage'
'Glass Blade' lost upon death</t>
  </si>
  <si>
    <t>Idol of Aiiu</t>
  </si>
  <si>
    <t>+1 max hp for each vowel in your name</t>
  </si>
  <si>
    <t>Iron Pendant</t>
  </si>
  <si>
    <t>+1 to incoming shields</t>
  </si>
  <si>
    <t>Lead Boots</t>
  </si>
  <si>
    <t>Cannot be rerolled
+1 to all sides</t>
  </si>
  <si>
    <t>Lich's Tome</t>
  </si>
  <si>
    <t>+1 to all sides
After you use this dice, summon a bones</t>
  </si>
  <si>
    <t>Achieve "Lich's secret"</t>
  </si>
  <si>
    <t>Lightning Rod</t>
  </si>
  <si>
    <t>Replace the left side with '0 damage ranged, charged, rampage, pain'</t>
  </si>
  <si>
    <t>Achieve "Custom Party 5x"</t>
  </si>
  <si>
    <t>Lucky</t>
  </si>
  <si>
    <t>+1 to the left side, -2 to the middle side</t>
  </si>
  <si>
    <t>Pocket Phylactery</t>
  </si>
  <si>
    <t>Add pain to the two left sides
+6 max hp</t>
  </si>
  <si>
    <t>Pure Heart Pendant</t>
  </si>
  <si>
    <t>Replace the middle side with 'Heal 3 cleanse'</t>
  </si>
  <si>
    <t>Rain of Arrows</t>
  </si>
  <si>
    <t>Replace the top side with '1 damage ranged, duplicate'</t>
  </si>
  <si>
    <t>Rejuvenation Wand</t>
  </si>
  <si>
    <t>Replace the top and bottom sides with 'Heal 10 single-use'</t>
  </si>
  <si>
    <t>Scalpel</t>
  </si>
  <si>
    <t>Red heroes only
+1 to all damage sides</t>
  </si>
  <si>
    <t>Spell: Sprout</t>
  </si>
  <si>
    <t>Cost: 3 mana - Heal 3 channel</t>
  </si>
  <si>
    <t>Three-of-a-Kind</t>
  </si>
  <si>
    <t>Add triple to the rightmost side</t>
  </si>
  <si>
    <t>Tower Shield</t>
  </si>
  <si>
    <t>Replace the middle side with 'Shield 7 heavy'</t>
  </si>
  <si>
    <t>Unholy Strength</t>
  </si>
  <si>
    <t>Immune to shields
Immune to healing
+1 to the middle row</t>
  </si>
  <si>
    <t>Urn</t>
  </si>
  <si>
    <t>Add enduring to the middle side</t>
  </si>
  <si>
    <t>Achieve "40 Achievements" 
50 Achievements</t>
  </si>
  <si>
    <t>Whetstone</t>
  </si>
  <si>
    <t>+1 to all basic damage sides</t>
  </si>
  <si>
    <t>Antivenom</t>
  </si>
  <si>
    <t>Immune to poison</t>
  </si>
  <si>
    <t>Apple</t>
  </si>
  <si>
    <t>Add ego to the two left sides</t>
  </si>
  <si>
    <t>Bonesaw</t>
  </si>
  <si>
    <t>Red heroes only
Replace the top and bottom sides with '3 damage cruel'</t>
  </si>
  <si>
    <t>Chainmail</t>
  </si>
  <si>
    <t>+3 max hp</t>
  </si>
  <si>
    <t>Charged Skull</t>
  </si>
  <si>
    <t>Upon death: +4 mana</t>
  </si>
  <si>
    <t>Charon's Obol</t>
  </si>
  <si>
    <t>Add deathwish to the two right sides</t>
  </si>
  <si>
    <t>Cracked Wheel</t>
  </si>
  <si>
    <t>Cannot be rerolled
+1 reroll</t>
  </si>
  <si>
    <t>Demon Eye</t>
  </si>
  <si>
    <t>Add pain &amp; +2 to the left side</t>
  </si>
  <si>
    <t>Diving Suit</t>
  </si>
  <si>
    <t>Replace the two right sides with the hero below's base sides</t>
  </si>
  <si>
    <t>Duelling Pistol</t>
  </si>
  <si>
    <t>Add duel to the left side</t>
  </si>
  <si>
    <t>Empty Chalice</t>
  </si>
  <si>
    <t>If you have 0 mana at the end of the turn, +1 mana</t>
  </si>
  <si>
    <t>Flawed Diamond</t>
  </si>
  <si>
    <t>Add pristine to the two left sides
+4 empty max hp</t>
  </si>
  <si>
    <t>Harpoon</t>
  </si>
  <si>
    <t>Replace the rightmost side with '1 damage vulnerable'</t>
  </si>
  <si>
    <t>Hissing Ring</t>
  </si>
  <si>
    <t>Replace the middle side with '2 damage poison'</t>
  </si>
  <si>
    <t>Jester's Cap</t>
  </si>
  <si>
    <t>Replace all sides with Jester's sides</t>
  </si>
  <si>
    <t>Achieve "Jester-pick"</t>
  </si>
  <si>
    <t>Lich Finger</t>
  </si>
  <si>
    <t>Add mana-gain &amp; death to the left side</t>
  </si>
  <si>
    <t>Achieve "Manastorm+"</t>
  </si>
  <si>
    <t>Life Bolt</t>
  </si>
  <si>
    <t>After a spell is cast, self-heal 1</t>
  </si>
  <si>
    <t>Longsword</t>
  </si>
  <si>
    <t>Replace the middle row with '3 damage'</t>
  </si>
  <si>
    <t>Magic Staff</t>
  </si>
  <si>
    <t>Set all mana/mana-gain sides to 2</t>
  </si>
  <si>
    <t>Mana Bomb</t>
  </si>
  <si>
    <t>Replace the rightmost side with '0 damage to all heroes and monsters charged, mana-cost'</t>
  </si>
  <si>
    <t>Mana Jelly</t>
  </si>
  <si>
    <t>Add single-use &amp; cantrip to all mana/mana-gain sides</t>
  </si>
  <si>
    <t>Achieve "Manastorm"</t>
  </si>
  <si>
    <t>Mini Crossbow</t>
  </si>
  <si>
    <t>Replace the rightmost side with '2 damage ranged, engage'</t>
  </si>
  <si>
    <t>Natural</t>
  </si>
  <si>
    <t>Blue heroes only
Replace the two right sides with '+2 mana'</t>
  </si>
  <si>
    <t>Pillow</t>
  </si>
  <si>
    <t>Add patient to the left side</t>
  </si>
  <si>
    <t>PowerStone</t>
  </si>
  <si>
    <t>Grey heroes only
Replace the left side with '+0 mana steel'</t>
  </si>
  <si>
    <t>Quicksilver</t>
  </si>
  <si>
    <t>Keep unused shields</t>
  </si>
  <si>
    <t>Achieve "Ironclad"</t>
  </si>
  <si>
    <t>Ritual Dagger</t>
  </si>
  <si>
    <t>Replace the rightmost side with 'Revive the 4 top-most defeated allies death'</t>
  </si>
  <si>
    <t>Achieve "75 Deaths"</t>
  </si>
  <si>
    <t>Siphon</t>
  </si>
  <si>
    <t>Replace the middle side with 'Heal 0 vitality, flesh, pain'</t>
  </si>
  <si>
    <t>Achieve "Inner Strength"</t>
  </si>
  <si>
    <t>Smelly Manure</t>
  </si>
  <si>
    <t>Add growth to the top and bottom sides
Add decay to the middle row</t>
  </si>
  <si>
    <t>Achieve "Overgrowth"</t>
  </si>
  <si>
    <t>Spell: Hack</t>
  </si>
  <si>
    <t>Cost: 2 mana - Replace blank sides with '4 damage' this turn</t>
  </si>
  <si>
    <t>Spell: Hex</t>
  </si>
  <si>
    <t>Cost: 3 mana - Kill an enemy with exactly 6 hp ranged, single-cast</t>
  </si>
  <si>
    <t>Splitting Arrows</t>
  </si>
  <si>
    <t>Replace the two right sides with '1 damage ranged, cleave'</t>
  </si>
  <si>
    <t>Syringe</t>
  </si>
  <si>
    <t>+5 to all sides if there are 2 or fewer living heroes</t>
  </si>
  <si>
    <t>Terrarium</t>
  </si>
  <si>
    <t>Replace the two right sides with 'Shield 2 growth' &amp; '+1 mana growth'</t>
  </si>
  <si>
    <t>Tiara</t>
  </si>
  <si>
    <t>Add self-heal to all mana/mana-gain sides</t>
  </si>
  <si>
    <t>Troll's Nose</t>
  </si>
  <si>
    <t>Regenerate 1 health at the end of each turn</t>
  </si>
  <si>
    <t>Achieve "Troll Slayer"</t>
  </si>
  <si>
    <t>Viscera</t>
  </si>
  <si>
    <t>Replace the middle side with '0 damage flesh, pain'</t>
  </si>
  <si>
    <t>Achieve "Immortality"</t>
  </si>
  <si>
    <t>Alembic</t>
  </si>
  <si>
    <t>Replace the middle side with 'Add mana-gain &amp; pain to target's sides this turn'</t>
  </si>
  <si>
    <t>Ambrosia</t>
  </si>
  <si>
    <t>Add rescue to the left side</t>
  </si>
  <si>
    <t>Achieve "25 Deaths"</t>
  </si>
  <si>
    <t>Blindfold</t>
  </si>
  <si>
    <t>Remove all keywords from the middle row</t>
  </si>
  <si>
    <t>Chakram</t>
  </si>
  <si>
    <t>Replace shield/self-shield sides with ranged damage sides, retaining their original value and other 
keywords</t>
  </si>
  <si>
    <t>Chocolate Bar</t>
  </si>
  <si>
    <t>+1 to all cruel, engage, deathwish &amp; chain sides</t>
  </si>
  <si>
    <t>Demon Horn</t>
  </si>
  <si>
    <t>Replace the rightmost side with 'Heal 2 boost, inflict-pain'</t>
  </si>
  <si>
    <t>Determination</t>
  </si>
  <si>
    <t>Cannot be killed for the first 2 turns</t>
  </si>
  <si>
    <t>Achieve "Cheat Death"</t>
  </si>
  <si>
    <t>Door</t>
  </si>
  <si>
    <t>+2 to all shield/self-shield sides if there are 4 or more monsters</t>
  </si>
  <si>
    <t>Dragonhide Gloves</t>
  </si>
  <si>
    <t>Copy the middle side onto the top and bottom sides</t>
  </si>
  <si>
    <t>Duck</t>
  </si>
  <si>
    <t>Add echo to the two right sides</t>
  </si>
  <si>
    <t>Enchanted Harp</t>
  </si>
  <si>
    <t>Replace the middle side with 'Shield 2 to all allies'</t>
  </si>
  <si>
    <t>Achieve "Bard-pick"</t>
  </si>
  <si>
    <t>Eucalyptus</t>
  </si>
  <si>
    <t>Replace the right side with 'Heal 3 cleanse, double-use'</t>
  </si>
  <si>
    <t>Eyepatch</t>
  </si>
  <si>
    <t>Remove all keywords from the left side</t>
  </si>
  <si>
    <t>Faerie Pact</t>
  </si>
  <si>
    <t>Replace the rightmost side with '+4 mana'
-4 max hp</t>
  </si>
  <si>
    <t>Fearless</t>
  </si>
  <si>
    <t>+1 max hp
Replace the rightmost side with 'Stun an enemy with equal or less hp than you'</t>
  </si>
  <si>
    <t>Heart of Light</t>
  </si>
  <si>
    <t>Replace the two right sides with 'Heal 3 cleanse'</t>
  </si>
  <si>
    <t>Idol of Chrzktx</t>
  </si>
  <si>
    <t>+1 max hp for each consonant in your name</t>
  </si>
  <si>
    <t>Ladder</t>
  </si>
  <si>
    <t>Replace the middle side with the hero above's base side</t>
  </si>
  <si>
    <t>Monocle</t>
  </si>
  <si>
    <t>Add engage to the middle side</t>
  </si>
  <si>
    <t>Ordinary Triangle</t>
  </si>
  <si>
    <t>+1 to all sides with exactly 3 pips</t>
  </si>
  <si>
    <t>Achieve "Y***zee"</t>
  </si>
  <si>
    <t>Ornate Hilt</t>
  </si>
  <si>
    <t>Add self-shield to all damage sides</t>
  </si>
  <si>
    <t>Pauldron</t>
  </si>
  <si>
    <t>+2 to the top side, -2 to the bottom side</t>
  </si>
  <si>
    <t>Polished Emerald</t>
  </si>
  <si>
    <t>Gain the effects of all tier 0-3 items on other heroes (not potions)
(Can copy the effects of items that are exclusive to a certain hero color)</t>
  </si>
  <si>
    <t>Achieve "Emerald Shard-pick"</t>
  </si>
  <si>
    <t>Red flag</t>
  </si>
  <si>
    <t>+3 max hp
Replace the middle side with 'Redirect all enemy attacks/effects from an ally to you cleave'</t>
  </si>
  <si>
    <t>Achieve "Custom Party 4x"</t>
  </si>
  <si>
    <t>Ruby</t>
  </si>
  <si>
    <t>+2 to incoming healing
+2 empty max hp</t>
  </si>
  <si>
    <t>Sack of Mana</t>
  </si>
  <si>
    <t>Replace the middle column with 'blank', '+4 mana' &amp; 'blank'</t>
  </si>
  <si>
    <t>Shining Bow</t>
  </si>
  <si>
    <t>Add ranged to all damage sides</t>
  </si>
  <si>
    <t>Shuriken</t>
  </si>
  <si>
    <t>Add ranged &amp; chain to the two right sides</t>
  </si>
  <si>
    <t>Simplicity</t>
  </si>
  <si>
    <t>+1 to all basic heal, mana, damage &amp; shield sides</t>
  </si>
  <si>
    <t>Sling</t>
  </si>
  <si>
    <t>Add underdog to the bottom side</t>
  </si>
  <si>
    <t>Spell: Beam</t>
  </si>
  <si>
    <t>Cost: 5 mana - 7 damage single-cast, ranged</t>
  </si>
  <si>
    <t>Spell: Clink</t>
  </si>
  <si>
    <t>Cost: 2 mana - Double all friendly shields deplete</t>
  </si>
  <si>
    <t>Spell: Heat</t>
  </si>
  <si>
    <t>Cost: 3 mana - Heal 3 to all allies with shields cleanse</t>
  </si>
  <si>
    <t>Tankard</t>
  </si>
  <si>
    <t>+1 to all sides for each stack of poison on you</t>
  </si>
  <si>
    <t>Treasure Chest</t>
  </si>
  <si>
    <t>Add hoard &amp; single-use to the left side</t>
  </si>
  <si>
    <t>Updog</t>
  </si>
  <si>
    <t>Add overdog to the top side</t>
  </si>
  <si>
    <t>Achieve "Sling-pick"</t>
  </si>
  <si>
    <t>Wand of Wand</t>
  </si>
  <si>
    <t>Replace the right side with '1 damage single-use, inflict-single-use'</t>
  </si>
  <si>
    <t>Achieve "Wand Regret"</t>
  </si>
  <si>
    <t>Whiskey</t>
  </si>
  <si>
    <t>+2 max hp
+6 empty max hp</t>
  </si>
  <si>
    <t>Blinding Bolt</t>
  </si>
  <si>
    <t>After a spell is cast, self-shield 2</t>
  </si>
  <si>
    <t>Blood Amulet</t>
  </si>
  <si>
    <t>Add self-heal to the two left sides</t>
  </si>
  <si>
    <t>Candle</t>
  </si>
  <si>
    <t>Add vigil to all sides</t>
  </si>
  <si>
    <t>Achieve "Survivor"</t>
  </si>
  <si>
    <t>Catnip</t>
  </si>
  <si>
    <t>Add cantrip to the rightmost side</t>
  </si>
  <si>
    <t>Crescent Shield</t>
  </si>
  <si>
    <t>Replace the left side with 'Shield 1 repel, rampage, rescue'</t>
  </si>
  <si>
    <t>Demonic Deal</t>
  </si>
  <si>
    <t>Add pain &amp; +2 to all sides</t>
  </si>
  <si>
    <t>Achieve "Reaper"</t>
  </si>
  <si>
    <t>Duvet</t>
  </si>
  <si>
    <t>Add patient to the three right sides</t>
  </si>
  <si>
    <t>Dynamo</t>
  </si>
  <si>
    <t>Add single-use &amp; era to the two right sides</t>
  </si>
  <si>
    <t>Early Grave</t>
  </si>
  <si>
    <t>Add pain &amp; cantrip to the top and bottom sides</t>
  </si>
  <si>
    <t>Achieve "50 Deaths"</t>
  </si>
  <si>
    <t>Ghost Shield</t>
  </si>
  <si>
    <t>At the start of each turn, self-shield 2</t>
  </si>
  <si>
    <t>Glowing Egg</t>
  </si>
  <si>
    <t>Add growth to the left side</t>
  </si>
  <si>
    <t>Glyph of Purity</t>
  </si>
  <si>
    <t>Add cleanse to the top and bottom sides</t>
  </si>
  <si>
    <t>Hourglass</t>
  </si>
  <si>
    <t>First turn: +1 to all sides</t>
  </si>
  <si>
    <t>Achieve "Alpha Strike"</t>
  </si>
  <si>
    <t>InfiniHeal</t>
  </si>
  <si>
    <t>Replace the two right sides with heal all sides, retaining their original value and keywords</t>
  </si>
  <si>
    <t>Ink Bottle</t>
  </si>
  <si>
    <t>Replace blank sides with 'Shield 1 cantrip'</t>
  </si>
  <si>
    <t>Karma</t>
  </si>
  <si>
    <t>Add self-heal to all heal sides
Add self-shield to all shield sides
Add pain to all damage sides</t>
  </si>
  <si>
    <t>Leaden Handle</t>
  </si>
  <si>
    <t>Add heavy &amp; +1 to all damage sides</t>
  </si>
  <si>
    <t>Lens</t>
  </si>
  <si>
    <t>Add focus to all heal/self-heal sides</t>
  </si>
  <si>
    <t>Nunchaku</t>
  </si>
  <si>
    <t>Add chain to the top and bottom sides</t>
  </si>
  <si>
    <t>Ocular Amulet</t>
  </si>
  <si>
    <t>+1 to the left side</t>
  </si>
  <si>
    <t>Overflowing Chalice</t>
  </si>
  <si>
    <t>If you have 3 or more mana at the end of the turn, +2 mana</t>
  </si>
  <si>
    <t>Poem</t>
  </si>
  <si>
    <t>Add alliteration to all sides</t>
  </si>
  <si>
    <t>Achieve "Poet-pick"</t>
  </si>
  <si>
    <t>Poodle</t>
  </si>
  <si>
    <t>Add dog to the middle column</t>
  </si>
  <si>
    <t>Achieve "Updog-pick"</t>
  </si>
  <si>
    <t>Scales</t>
  </si>
  <si>
    <t>Set the value of the rightmost side to the maximum of your other side's values</t>
  </si>
  <si>
    <t>Shimmering Halo</t>
  </si>
  <si>
    <t>+2 max hp this fight whenever you save a hero</t>
  </si>
  <si>
    <t>Achieve "Saviour"</t>
  </si>
  <si>
    <t>Silver Pendant</t>
  </si>
  <si>
    <t>+2 to incoming shields</t>
  </si>
  <si>
    <t>Spell: Mark</t>
  </si>
  <si>
    <t>Cost: 4 mana - 2 damage vulnerable</t>
  </si>
  <si>
    <t>Spinning Scythe</t>
  </si>
  <si>
    <t>Replace the middle side with '1 damage to all heroes and monsters rampage'</t>
  </si>
  <si>
    <t>Tentacle</t>
  </si>
  <si>
    <t>Add repel to the two right sides
-2 max hp</t>
  </si>
  <si>
    <t>Thimble</t>
  </si>
  <si>
    <t>Immune to damage during your turn</t>
  </si>
  <si>
    <t>Achieve "Oops"</t>
  </si>
  <si>
    <t>Tie</t>
  </si>
  <si>
    <t>Add pristine to the middle side</t>
  </si>
  <si>
    <t>Tooth Necklace</t>
  </si>
  <si>
    <t>Add cruel to the two left sides</t>
  </si>
  <si>
    <t>Twisted Bar</t>
  </si>
  <si>
    <t>Set all sides to 2</t>
  </si>
  <si>
    <t>Twisted Flax</t>
  </si>
  <si>
    <t>+1 to the top and bottom sides, -1 to the middle side</t>
  </si>
  <si>
    <t>Wand Grips</t>
  </si>
  <si>
    <t>Add single-use &amp; +2 to the left side</t>
  </si>
  <si>
    <t>Water</t>
  </si>
  <si>
    <t>+1 to the left and right sides, -1 to the middle and rightmost sides</t>
  </si>
  <si>
    <t>Wrench</t>
  </si>
  <si>
    <t>+1 to the middle side</t>
  </si>
  <si>
    <t>Anvil</t>
  </si>
  <si>
    <t>Add steel to the middle side</t>
  </si>
  <si>
    <t>Boots of Speed</t>
  </si>
  <si>
    <t>+1 reroll
Replace the left side with 'Dodge all enemy attacks/effects'</t>
  </si>
  <si>
    <t>Broadsword</t>
  </si>
  <si>
    <t>Replace the middle column with '4 damage'</t>
  </si>
  <si>
    <t>Cauldron</t>
  </si>
  <si>
    <t>Add rite &amp; +1 to the middle side</t>
  </si>
  <si>
    <t>Charge Link</t>
  </si>
  <si>
    <t>Add charged &amp; single-use to the top and bottom sides</t>
  </si>
  <si>
    <t>Conduit</t>
  </si>
  <si>
    <t>Replace the middle side with '+2 mana duplicate'</t>
  </si>
  <si>
    <t>Demon Claw</t>
  </si>
  <si>
    <t>Add rampage &amp; -1 to the left side</t>
  </si>
  <si>
    <t>Dragon Pipe</t>
  </si>
  <si>
    <t>+1 to all heal/self-heal sides</t>
  </si>
  <si>
    <t>Erythrocyte</t>
  </si>
  <si>
    <t>Replace the middle side with 'Shield 0 flesh'</t>
  </si>
  <si>
    <t>Flute</t>
  </si>
  <si>
    <t>Replace the rightmost side with 'Shield 1 to all allies cantrip'</t>
  </si>
  <si>
    <t>Ichor Chalice</t>
  </si>
  <si>
    <t>1 damage to the top-most enemy for each wasted point of healing you receive</t>
  </si>
  <si>
    <t>Achieve "Heal+"</t>
  </si>
  <si>
    <t>Iron Helm</t>
  </si>
  <si>
    <t>+6 max hp</t>
  </si>
  <si>
    <t>Metal Studs</t>
  </si>
  <si>
    <t>+1 to all shield/self-shield sides</t>
  </si>
  <si>
    <t>Mushroom</t>
  </si>
  <si>
    <t>Add decay &amp; +1 to all sides</t>
  </si>
  <si>
    <t>Ogre Blood</t>
  </si>
  <si>
    <t>Add bloodlust to the middle side</t>
  </si>
  <si>
    <t>Pair of Kings</t>
  </si>
  <si>
    <t>Add pair to the top and bottom sides</t>
  </si>
  <si>
    <t>Pocket Mirror</t>
  </si>
  <si>
    <t>Copy the left side onto the rightmost side</t>
  </si>
  <si>
    <t>Poison Dip</t>
  </si>
  <si>
    <t>Add poison to the top and bottom sides</t>
  </si>
  <si>
    <t>Second Chance</t>
  </si>
  <si>
    <t>Replace the rightmost side with 'Target hero can use their dice again'</t>
  </si>
  <si>
    <t>Sharp Wit</t>
  </si>
  <si>
    <t>Replace mana/mana-gain sides with basic damage sides, retaining their other keywords and triple 
their values</t>
  </si>
  <si>
    <t>Sickle</t>
  </si>
  <si>
    <t>+1 to all lowest-pip sides</t>
  </si>
  <si>
    <t>Spell: Charge</t>
  </si>
  <si>
    <t>Cost: 2 mana - Shield 2 boost, single-cast</t>
  </si>
  <si>
    <t>Spell: Invest</t>
  </si>
  <si>
    <t>Cost: 4 mana - +6 mana future, cooldown</t>
  </si>
  <si>
    <t>Spell: Spark</t>
  </si>
  <si>
    <t>Cost: 5 mana - Add mana-gain to target's sides this turn</t>
  </si>
  <si>
    <t>Stasis</t>
  </si>
  <si>
    <t>Your sides cannot change</t>
  </si>
  <si>
    <t>Study</t>
  </si>
  <si>
    <t>Cost: 2 mana - 3 damage or shield 3
Forget Burst</t>
  </si>
  <si>
    <t>Tourmaline Paraiba</t>
  </si>
  <si>
    <t>Add era to all mana/mana-gain sides</t>
  </si>
  <si>
    <t>Troll's Blood</t>
  </si>
  <si>
    <t>Regenerate 2 health at the end of each turn</t>
  </si>
  <si>
    <t>Achieve "Troll Nemisis"</t>
  </si>
  <si>
    <t>Two Reeds</t>
  </si>
  <si>
    <t>+1 to all sides with even pips</t>
  </si>
  <si>
    <t>Wand of Stun</t>
  </si>
  <si>
    <t>Replace the middle side with 'Stun an enemy single-use'</t>
  </si>
  <si>
    <t>Achieve "NOT FAIR!"</t>
  </si>
  <si>
    <t>Wax Seal</t>
  </si>
  <si>
    <t>All sides get +1 for each other identical side</t>
  </si>
  <si>
    <t>Wooden Bracelet</t>
  </si>
  <si>
    <t>+1 to all sides with no keywords</t>
  </si>
  <si>
    <t>Brimstone</t>
  </si>
  <si>
    <t>Triple the pips of the rightmost side</t>
  </si>
  <si>
    <t>Burning Halo</t>
  </si>
  <si>
    <t>1 damage to all enemies whenever you save a hero</t>
  </si>
  <si>
    <t>Clay</t>
  </si>
  <si>
    <t>Copy the other equipped items on you</t>
  </si>
  <si>
    <t>Cocoon</t>
  </si>
  <si>
    <t>Add era &amp; -1 to all sides</t>
  </si>
  <si>
    <t>Deadly Bolt</t>
  </si>
  <si>
    <t>After a spell is cast, 1 damage to the top-most enemy</t>
  </si>
  <si>
    <t>Achieve "Wizard"</t>
  </si>
  <si>
    <t>Enhance Wand</t>
  </si>
  <si>
    <t>Replace the top side with 'Shield 1 single-use, perma-boost'</t>
  </si>
  <si>
    <t>Faerie Dust</t>
  </si>
  <si>
    <t>Replace blank sides with '+3 mana'</t>
  </si>
  <si>
    <t>Gauntlet</t>
  </si>
  <si>
    <t>+1 to all damage sides</t>
  </si>
  <si>
    <t>Greatsword</t>
  </si>
  <si>
    <t>Replace the middle side with '5 damage inspired'</t>
  </si>
  <si>
    <t>Ironblood Pendant</t>
  </si>
  <si>
    <t>+3 to incoming healing and shields</t>
  </si>
  <si>
    <t>Mirror Mask</t>
  </si>
  <si>
    <t>Replace all sides with the hero above's base sides</t>
  </si>
  <si>
    <t>Olympian Trident</t>
  </si>
  <si>
    <t>Add cleave to the middle side</t>
  </si>
  <si>
    <t>Prism</t>
  </si>
  <si>
    <t>Add rainbow to the middle side</t>
  </si>
  <si>
    <t>Sapphire Ring</t>
  </si>
  <si>
    <t>+1 to all mana/mana-gain sides</t>
  </si>
  <si>
    <t>Scorpion Tail</t>
  </si>
  <si>
    <t>Add weaken &amp; pain to the top and bottom sides</t>
  </si>
  <si>
    <t>Serration</t>
  </si>
  <si>
    <t>Add vulnerable to the top and bottom sides</t>
  </si>
  <si>
    <t>Singularity</t>
  </si>
  <si>
    <t>+2 to the two right sides</t>
  </si>
  <si>
    <t>Spell: Light</t>
  </si>
  <si>
    <t>Cost: 3 mana - Heal 5 
Target hero can use their dice again single-cast</t>
  </si>
  <si>
    <t>Achieve "Custom Party 3x"</t>
  </si>
  <si>
    <t>Standard</t>
  </si>
  <si>
    <t>Yellow heroes only
+1 to all sides</t>
  </si>
  <si>
    <t>Sushi</t>
  </si>
  <si>
    <t>Replace the left side with 'Gain 2 rerolls cantrip'</t>
  </si>
  <si>
    <t>Wandcraft</t>
  </si>
  <si>
    <t>Replace all sides with single-use mana sides, retaining their original value and keywords</t>
  </si>
  <si>
    <t>Angel Feather</t>
  </si>
  <si>
    <t>Add rescue to the top and bottom sides</t>
  </si>
  <si>
    <t>Boarhide Bracers</t>
  </si>
  <si>
    <t>+2 to the top and bottom sides</t>
  </si>
  <si>
    <t>Bullseye</t>
  </si>
  <si>
    <t>Add engage to the middle column</t>
  </si>
  <si>
    <t>Chaos Wand</t>
  </si>
  <si>
    <t>Replace the middle side with '1 damage single-use, cleave, engage, self-heal, weaken, vulnerable'</t>
  </si>
  <si>
    <t>Achieve "Chaos++"</t>
  </si>
  <si>
    <t>Charged Hammer</t>
  </si>
  <si>
    <t>Replace the left side with '10 damage heavy, charged'</t>
  </si>
  <si>
    <t>Collar</t>
  </si>
  <si>
    <t>Add copycat to the top and bottom sides</t>
  </si>
  <si>
    <t>Dolphin</t>
  </si>
  <si>
    <t>Add echo to all sides</t>
  </si>
  <si>
    <t>Dumbbell</t>
  </si>
  <si>
    <t>+4 to all sides with 4 or more pips</t>
  </si>
  <si>
    <t>Emerald Mirror</t>
  </si>
  <si>
    <t>Gain the effects of all tier 5-7 items on other heroes</t>
  </si>
  <si>
    <t>Achieve "Polished Emerald-pick"</t>
  </si>
  <si>
    <t>Eye of Horus</t>
  </si>
  <si>
    <t>+1 to all sides</t>
  </si>
  <si>
    <t>Goblet of Life</t>
  </si>
  <si>
    <t>Replace the middle side with 'Heal and shield 2 cleave, self-heal, self-shield'</t>
  </si>
  <si>
    <t>Helm of Power</t>
  </si>
  <si>
    <t>Double the pips of the left side</t>
  </si>
  <si>
    <t>Horned Viper</t>
  </si>
  <si>
    <t>Add poison to the two left sides</t>
  </si>
  <si>
    <t>Achieve "Mandrake"</t>
  </si>
  <si>
    <t>Iron Crown</t>
  </si>
  <si>
    <t>Grey heroes only
+4 to the left side</t>
  </si>
  <si>
    <t>Silk Cape</t>
  </si>
  <si>
    <t>Copy the left side onto the middle row</t>
  </si>
  <si>
    <t>Timestone</t>
  </si>
  <si>
    <t>Add cantrip to the two right sides</t>
  </si>
  <si>
    <t>Triple Shuriken</t>
  </si>
  <si>
    <t>Add ranged &amp; chain to all sides</t>
  </si>
  <si>
    <t>Diamond Skull</t>
  </si>
  <si>
    <t>+2 max hp
Upon death: +1 to allied sides this fight</t>
  </si>
  <si>
    <t>Egg Basket</t>
  </si>
  <si>
    <t>+6 to the left side, replace all other sides with 'blank'</t>
  </si>
  <si>
    <t>Fangs</t>
  </si>
  <si>
    <t>Add invigorate to the top and bottom sides</t>
  </si>
  <si>
    <t>Mithril Shields</t>
  </si>
  <si>
    <t>Add cantrip to all shield/self-shield sides</t>
  </si>
  <si>
    <t>Poseidon's Charm</t>
  </si>
  <si>
    <t>Add cleave to the top and bottom sides</t>
  </si>
  <si>
    <t>Spell: Infinity</t>
  </si>
  <si>
    <t>Cost: 10 mana - Kill an enemy</t>
  </si>
  <si>
    <t>Achieve "Crushed"</t>
  </si>
  <si>
    <t>Top Duplicate</t>
  </si>
  <si>
    <t>Add duplicate to the top side</t>
  </si>
  <si>
    <t>Blue Skink</t>
  </si>
  <si>
    <t>Replace all sides with the hero below's base sides, retaining your side's values and keywords</t>
  </si>
  <si>
    <t>Huge Sword</t>
  </si>
  <si>
    <t>Add cleave to all damage sides</t>
  </si>
  <si>
    <t>Pentagram</t>
  </si>
  <si>
    <t>Cannot be killed for the first 4 turns</t>
  </si>
  <si>
    <t>Ruby Shards</t>
  </si>
  <si>
    <t>Add cleave to all heal/self-heal/shield/self-shield sides</t>
  </si>
  <si>
    <t>Whirlwind</t>
  </si>
  <si>
    <t>Add cantrip to the middle column</t>
  </si>
  <si>
    <t>Archmage Orb</t>
  </si>
  <si>
    <t>+1 mana for each wasted point of healing you receive</t>
  </si>
  <si>
    <t>Broomstick</t>
  </si>
  <si>
    <t>Add mana-gain to the two left sides</t>
  </si>
  <si>
    <t>Face of Horus</t>
  </si>
  <si>
    <t>+2 to all sides</t>
  </si>
  <si>
    <t>Golden D6</t>
  </si>
  <si>
    <t>Set the values of all sides to Ludus's sides</t>
  </si>
  <si>
    <t>Achieve "Straight"</t>
  </si>
  <si>
    <t>Diamond Ring</t>
  </si>
  <si>
    <t>Replace damage sides with heal, shield, mana-gain sides, retaining their original value and keywords</t>
  </si>
  <si>
    <t>Ethereal Cloak</t>
  </si>
  <si>
    <t>Replace all sides with 'Dodge all enemy attacks/effects'</t>
  </si>
  <si>
    <t>Fertiliser</t>
  </si>
  <si>
    <t>Add growth to all sides</t>
  </si>
  <si>
    <t>Illegal</t>
  </si>
  <si>
    <t>Replace left side with '2 rerolls cantrip' &amp; middle side with 'Target hero can use their dice again'</t>
  </si>
  <si>
    <t>placeholder</t>
  </si>
  <si>
    <t>Add dispel to all sides</t>
  </si>
  <si>
    <t>Banned</t>
  </si>
  <si>
    <t>Add cleave to the left side &amp; growth to the middle side</t>
  </si>
  <si>
    <t>Bag of Holding</t>
  </si>
  <si>
    <t>Gain the effects of all tier 7 items</t>
  </si>
  <si>
    <t>Failsafe</t>
  </si>
  <si>
    <t>bug</t>
  </si>
  <si>
    <t>+1 max hp
-1 max hp</t>
  </si>
  <si>
    <t xml:space="preserve">Keyword
name </t>
  </si>
  <si>
    <t>Found in?</t>
  </si>
  <si>
    <t>Heroes (not include generated)</t>
  </si>
  <si>
    <t>Spells</t>
  </si>
  <si>
    <t>Monsters</t>
  </si>
  <si>
    <t>Modifiers</t>
  </si>
  <si>
    <t>Alliteration</t>
  </si>
  <si>
    <t>x2 vs targets with the same first 
letter as me 
(Case-sensitive)</t>
  </si>
  <si>
    <t>Bloodlust</t>
  </si>
  <si>
    <t>Bonus equal to the number of 
damaged enemies</t>
  </si>
  <si>
    <t>Scrapper (T2), Barbarian (T3)
Curator (T3), Warlock (T3)</t>
  </si>
  <si>
    <t>Buckler (T2)
Ogre Blood (T7)</t>
  </si>
  <si>
    <t>Hero Bloodlust (T22)</t>
  </si>
  <si>
    <t>Boost</t>
  </si>
  <si>
    <t>Target gets +N to all sides this turn</t>
  </si>
  <si>
    <t>Fey (T2), Enchanter (T2)
Witch (T3)</t>
  </si>
  <si>
    <t>Draw, Charge</t>
  </si>
  <si>
    <t>Demon Horn (T5)
Spell: Charge (T7)</t>
  </si>
  <si>
    <t>Cantrip</t>
  </si>
  <si>
    <t>Activates during rolling if it lands 
face-up
(Whilst rolling dice, if this side lands 
face-up, it gets used instantly 
without taking up that hero's turn. 
Target chosen randomly. If you have
a cantrip heal/shield, it will only 
target heroes who are missing hp/
taking damage. You can still reroll it 
and use it as normal)</t>
  </si>
  <si>
    <t>Initiate (T1), Juggler (T2), Rogue (T2)
Bard (T2), Fiend (T2), Jester (T2)
Dancer (T3), Roulette (T3), Poet (T3) 
Wraith (T3), Wizard (T3), Sorcerer (T3)
Chronos (T3)</t>
  </si>
  <si>
    <t>D4 (T-1), Cyanide Pill (T0)
Knife Bag (T1), Twin Daggers (T2)
Square Wheel (T2), Silver Imp (T2)
Mana Jelly (T4), Jester's Cap (T4)
Ink Bottle (T6), Catnip (T6)
Early Grave (T6), Flute (T7)
Sushi (T8), Timestone (T9)
Mithril Shields (T10), Whirlwind (T11)
Illegal (T13)</t>
  </si>
  <si>
    <t>Hero Cantrip (T30)
Caltrops (T-5)
Caltrops+ (T-10)
Caltrops++ (T-13)
Caltrops+++ (T-15)</t>
  </si>
  <si>
    <t>Chain</t>
  </si>
  <si>
    <t>x2 if this shares a keyword with the 
previously-used dice this turn</t>
  </si>
  <si>
    <t>Sinew (T2)</t>
  </si>
  <si>
    <t>Shuriken (T5), Nunchaku (T6)
Triple Shuriken (T9)</t>
  </si>
  <si>
    <t>Channel</t>
  </si>
  <si>
    <t>Costs -1 mana each time it is cast 
(minimum 1)</t>
  </si>
  <si>
    <t>Sprout</t>
  </si>
  <si>
    <t>Spell: Sprout (T3)</t>
  </si>
  <si>
    <t>Charged</t>
  </si>
  <si>
    <t>Bonus equal to your current mana</t>
  </si>
  <si>
    <t>Bard (T2), Sparky (T2), Curator (T3)
Poet (T3), Artificer (T3), Weaver (T3)</t>
  </si>
  <si>
    <t>Corroded Bomb (T0), Lightning Rod (T3)
Mana Bomb (T4), Charged Link (T7)
Charged Hammer (T9)</t>
  </si>
  <si>
    <t>Monster charged (T-3)</t>
  </si>
  <si>
    <t>Cleanse</t>
  </si>
  <si>
    <t>Reduce negative effects by N
(poisoned, weakened, petrified and inflicted)
(Can cleanse incoming negative effects. Always cleanse current negative effects before incoming negative effects)</t>
  </si>
  <si>
    <t>Alloy (T1), Cleric (T2), Monk (T2)
Enchanter (T2), Medic (T2)
Druid (T2), Paladin (T3), Stalwart (T3)
Witch (T3)</t>
  </si>
  <si>
    <t>Ritual
Liquor
Save
Remedy
Heat</t>
  </si>
  <si>
    <t>Cleanse Potion (T1), Infused Herbs (T1)
First-aid Kit (T2), Spell: Remedy (T2)
Pure Heart Pendant (T3)
Heart of Light (T5), Spell: Heat (T5)
Eucalyptus (T5), Glyph of Purity (T6)</t>
  </si>
  <si>
    <t>Save Spell (T4)
Hero cleanse (T6)</t>
  </si>
  <si>
    <t>Cleave</t>
  </si>
  <si>
    <t>Also hits both sides of the target
(Can be used to hit enemies in the 
back row indirectly)</t>
  </si>
  <si>
    <t>Scoundrel (T1), Ruffian (T1), Alloy (T1)
Acolyte (T1), Ranger (T2), Sinew (T2)
Berserker (T2), Collector (T2), Whirl (T2)
Armorer (T2), Guardian (T2), Medic (T2)
Roulette (T3), Stalwart (T3), Witch (T3)</t>
  </si>
  <si>
    <t>Bandage
Ritual
Miasma
Slow</t>
  </si>
  <si>
    <t>Goblin, Wolf, Zombie
Z0mbie, Slimer, Caw
Hydra, Troll, Basilisk
Ogre, Alpha, Jinx
Cyclops, Bramble
Gytha, Slime Queen
Rotten, Bell, Baron
Troll King, Dragon
The Hand</t>
  </si>
  <si>
    <t>Splitting Arrow (T4), Red flag (T5)
Olympian Trident (T8), Chaos Wand (T9)
Goblet of Life (T9)
Poseidon's Charm (T10)
Ruby Shards (T11), Huge Sword (T11)
Banned (T14)</t>
  </si>
  <si>
    <t>Cleave Burst (T7)</t>
  </si>
  <si>
    <t>Cooldown</t>
  </si>
  <si>
    <t>Can only be cast once each turn</t>
  </si>
  <si>
    <t>Gaze, Leech
Cut, Flick
Spore, Burn
Harvest
Inspire, Invest</t>
  </si>
  <si>
    <t>Spell: Invest (T7)</t>
  </si>
  <si>
    <t>Cooldown Burst (T-1)
Slow Spells++ (T-3)</t>
  </si>
  <si>
    <t>Copycat</t>
  </si>
  <si>
    <t>Copies the keywords from the 
last-used dice face this turn</t>
  </si>
  <si>
    <t>Ninja (T2), Spellblade (T2)
Sharpshot (T3), Mimic (T3)</t>
  </si>
  <si>
    <t>Flickering Blade (T2)
Collar (T9)</t>
  </si>
  <si>
    <t>Hero copycat (T12)</t>
  </si>
  <si>
    <t>Cruel</t>
  </si>
  <si>
    <t>x2 vs targets on half or less hp
(Also works when targeting allies)</t>
  </si>
  <si>
    <t>Lost (T1), Rogue (T2), Caldera (T2)
Assassin (T3)</t>
  </si>
  <si>
    <t>Bonesaw (T4)
Tooth Necklace (T6)</t>
  </si>
  <si>
    <t>Cruel Burst (T4)
Hero cruel (T9)</t>
  </si>
  <si>
    <t>Death</t>
  </si>
  <si>
    <r>
      <rPr>
        <sz val="12"/>
        <color theme="1"/>
        <rFont val="Calibri"/>
      </rPr>
      <t xml:space="preserve">you die
</t>
    </r>
    <r>
      <rPr>
        <sz val="12"/>
        <color rgb="FFA64D79"/>
        <rFont val="Calibri"/>
      </rPr>
      <t>everyone has to some day</t>
    </r>
  </si>
  <si>
    <t>Roulette (T3), Barbarian (T3)
Curator (T3), Ghast (T3)</t>
  </si>
  <si>
    <t>Caw Egg
Dragon Egg
Saber</t>
  </si>
  <si>
    <t>Martyr (T-1), Cyanide Pill (T0)
Lich Finger (T4), Ritual Dagger (T4)</t>
  </si>
  <si>
    <t>Small Sacrifice (T0)
Fifth death (T-2)
Fourth death (T-4)
Third death (T-6)
Second death (T-8)
Hero death (T-25)</t>
  </si>
  <si>
    <t>Deathwish</t>
  </si>
  <si>
    <t>x2 if you are dying this turn
(Dying heroes flash red)</t>
  </si>
  <si>
    <t>Hoarder (T1), Berserker (T2)
Valkyrie (T3)</t>
  </si>
  <si>
    <t>Scissors (T0), Charon's Idol (T4)</t>
  </si>
  <si>
    <t>Hero deathwish (T13)</t>
  </si>
  <si>
    <t>Decay</t>
  </si>
  <si>
    <t>Gets -1 this fight after use</t>
  </si>
  <si>
    <t>Myco (T2)</t>
  </si>
  <si>
    <t>Spore</t>
  </si>
  <si>
    <t>Mould (T-1), Fly (T0)
Smelly Manure (T4), Mushroom (T7)</t>
  </si>
  <si>
    <t>Monster decay (T2)
Hero decay (T-4)</t>
  </si>
  <si>
    <t>Deplete</t>
  </si>
  <si>
    <t>Costs +1 mana each time it is cast</t>
  </si>
  <si>
    <t>Circle, Operate
Clink</t>
  </si>
  <si>
    <t>Spell: Clink (T5)</t>
  </si>
  <si>
    <t>Depleted Spells (T-3)</t>
  </si>
  <si>
    <t>Descend</t>
  </si>
  <si>
    <t>Also hits below the target</t>
  </si>
  <si>
    <t>Eccentric (T3)</t>
  </si>
  <si>
    <t>Crone, Ghost
Banshee, Magrat
Hexia</t>
  </si>
  <si>
    <t>Dispel</t>
  </si>
  <si>
    <t>Remove all traits from the target 
this fight
(Only innate traits)</t>
  </si>
  <si>
    <t>Titanbane Potion (T2), placeholder (T13)</t>
  </si>
  <si>
    <t>Hero dispel (T6)</t>
  </si>
  <si>
    <t>Dog</t>
  </si>
  <si>
    <t>x2 if you have the same hp as the 
target</t>
  </si>
  <si>
    <t>Left Dog (T5)</t>
  </si>
  <si>
    <t>Double-use</t>
  </si>
  <si>
    <t>Can be used twice in a turn</t>
  </si>
  <si>
    <t>Alloy (T1), Ninja (T2), Disciple (T2)
Fencer (T3), Stalwart (T3), Surgeon (T3)</t>
  </si>
  <si>
    <t>Eucalyptus (T5)</t>
  </si>
  <si>
    <t>Drink</t>
  </si>
  <si>
    <t>Discard all your 'Potion' items 
permanently</t>
  </si>
  <si>
    <t>Potion Shard (T0), Revive Potion (T1)
Cleanse Potion (T1), Courage Potion (T1)
Mana Potion (T2), Titanbane Potion (T2)
Regen Potion (T2)</t>
  </si>
  <si>
    <t>Duel</t>
  </si>
  <si>
    <t>x2 vs targets who are targeting me</t>
  </si>
  <si>
    <t>Duelling Pistol (T4)</t>
  </si>
  <si>
    <t>Hero duel (T8)</t>
  </si>
  <si>
    <t>Duplicate</t>
  </si>
  <si>
    <t>Copy this onto all allied sides this 
turn</t>
  </si>
  <si>
    <t>Collector (T2), Leader (T3), Mimic (T3)</t>
  </si>
  <si>
    <t>Fidget Spinner (T0), Rain of Arrows (T3)
Conduit (T7), Top duplicate (T10)</t>
  </si>
  <si>
    <t>Echo</t>
  </si>
  <si>
    <t>Copy the value of previously-used 
dice this turn</t>
  </si>
  <si>
    <t>Duck (T5), Dolphin (T9)</t>
  </si>
  <si>
    <r>
      <rPr>
        <b/>
        <sz val="12"/>
        <color theme="1"/>
        <rFont val="Calibri, Arial"/>
      </rPr>
      <t xml:space="preserve">echo </t>
    </r>
    <r>
      <rPr>
        <sz val="12"/>
        <color theme="1"/>
        <rFont val="Calibri, Arial"/>
      </rPr>
      <t>ECHO echo... (T6)</t>
    </r>
  </si>
  <si>
    <t>Ego</t>
  </si>
  <si>
    <t>x2 if you target yourself</t>
  </si>
  <si>
    <t>Apple (T4)</t>
  </si>
  <si>
    <t>Hero ego (T4)</t>
  </si>
  <si>
    <t>Eliminate</t>
  </si>
  <si>
    <t>Target must have the least hp
(If a monster has this, they include 
incoming damage in their 
calculations (and their targets
are locked))</t>
  </si>
  <si>
    <t>Sniper, Thorn, Goblin
Ghost</t>
  </si>
  <si>
    <t>Clumsy Hammer (T3)</t>
  </si>
  <si>
    <t>Hero eliminate (T-3)</t>
  </si>
  <si>
    <t>Enduring</t>
  </si>
  <si>
    <t>Keywords remain when the side is 
changed (if possible)</t>
  </si>
  <si>
    <t>Urn (T3)</t>
  </si>
  <si>
    <t>Hero enduring (T4)</t>
  </si>
  <si>
    <t>Engage</t>
  </si>
  <si>
    <t>x2 vs targets on full hp</t>
  </si>
  <si>
    <t>Hoarder (T1), Alloy (T1), Ranger (T2)
Gladiator (T2), Guardian (T2)
Assassin (T3)</t>
  </si>
  <si>
    <t>Flick</t>
  </si>
  <si>
    <t>Snake oil (T0), Mini Crossbow (T4)
Monocle (T5), Chaos Wand (T9)
Bullseye (T9)</t>
  </si>
  <si>
    <t>Hero engage (T13)</t>
  </si>
  <si>
    <t>Era</t>
  </si>
  <si>
    <t>+1 at the end of each turn</t>
  </si>
  <si>
    <t>Wanderer (T3), Curator (T3)</t>
  </si>
  <si>
    <t>Dynamo (T6), Tourmaline Paraiba (T7)
Cocoon (T8)</t>
  </si>
  <si>
    <t>Monster era (T-9)</t>
  </si>
  <si>
    <t>Exert</t>
  </si>
  <si>
    <t>Replace all sides with blanks 
(exerted) until the end of next turn</t>
  </si>
  <si>
    <t>Brigand (T1), Sinew (T2), Collector (T2)
Knight (T3), Bash (T3), Stalwart (T3)</t>
  </si>
  <si>
    <t>Gnoll, Saber</t>
  </si>
  <si>
    <t>Iron Heart (T2)</t>
  </si>
  <si>
    <t>Hero exert (T-10)</t>
  </si>
  <si>
    <t>Flanking</t>
  </si>
  <si>
    <t>Hits the top and bottom targets</t>
  </si>
  <si>
    <t>Wings, Crush</t>
  </si>
  <si>
    <t>Boar, Slimer
Slime Queen, Basalt</t>
  </si>
  <si>
    <t>Flesh</t>
  </si>
  <si>
    <t>Bonus equal to your current hp</t>
  </si>
  <si>
    <t>Siphon (T4), Viscera (T4), Erythrocyte (T7)</t>
  </si>
  <si>
    <t>Focus</t>
  </si>
  <si>
    <t>x2 vs the target of the 
previously-used dice this turn</t>
  </si>
  <si>
    <t>Squire (T1), Collector (T2)</t>
  </si>
  <si>
    <t>Lens (T6)</t>
  </si>
  <si>
    <t>Hero focus (T12)</t>
  </si>
  <si>
    <t>Future</t>
  </si>
  <si>
    <t>Effect is delayed until the start of 
next turn</t>
  </si>
  <si>
    <t>Gaze, Foretell
Invest</t>
  </si>
  <si>
    <t>Growth</t>
  </si>
  <si>
    <t>Gets +1 this fight after use</t>
  </si>
  <si>
    <t>Initiate (T1), Trapper (T2), Herbalist (T2)
Druid (T2), Myco (T2), Seer (T2)
Shaman (T3), Chronos (T3)</t>
  </si>
  <si>
    <t>Fly (T0), Seedling (T1), Autumn Leaf (T3)
Terrarium (T4), Smelly Manure (T4)
Glowing egg (T6), Fertiliser (T12)
Banned (T14)</t>
  </si>
  <si>
    <t>Hero growth (T8)
Monster growth (T-2)</t>
  </si>
  <si>
    <t>Heavy</t>
  </si>
  <si>
    <t>Target must have the most hp
(If a monster has this, they include 
incoming damage in their 
calculations (and their targets
are locked))</t>
  </si>
  <si>
    <t>Hoarder (T1), Buckle (T1), Brute (T2) 
Armorer (T2), Bash (T3), Paladin (T3)</t>
  </si>
  <si>
    <t>Gnoll, Crone, Gytha 
Slime Queen 
Rotten, Bell 
Baron, Dragon</t>
  </si>
  <si>
    <t>Big Hammer (T2), Tower Shield (T3)
Clumsy Hammer (T3), Leaden Handle (T6)
Charged Hammer (T9)</t>
  </si>
  <si>
    <t>Heavy Weapon (T-4) 
Hero heavy (T-8)</t>
  </si>
  <si>
    <t>Bonus equal to the number of 
unequipped items you have</t>
  </si>
  <si>
    <t>Inflict-death</t>
  </si>
  <si>
    <t>Add death to target's sides for a turn
(Can be cleansed. If a monster has this, then the inflicted-death status lasts until the end of next turn or cleansed)</t>
  </si>
  <si>
    <t>Monster inflict-death (T-10)</t>
  </si>
  <si>
    <t>Inflict-pain</t>
  </si>
  <si>
    <t>Add pain to target's sides for a turn
(Can be cleansed. If a monster has this, then the inflicted-pain status lasts until the end of next turn or cleansed)</t>
  </si>
  <si>
    <t>Wanderer (T3)</t>
  </si>
  <si>
    <t>Wisp, Demon, Hexia</t>
  </si>
  <si>
    <t>Demon Horn (T5)</t>
  </si>
  <si>
    <t>Inflict-single-use</t>
  </si>
  <si>
    <t>Add single-use to target's sides for a 
turn (Can be cleansed. If a monster has this, then the inflicted-single-use status lasts until the end of next turn or cleansed)</t>
  </si>
  <si>
    <t>Inspired</t>
  </si>
  <si>
    <t>x2 if the previously-used dice this 
turn was higher</t>
  </si>
  <si>
    <t>Greatsword (T8)</t>
  </si>
  <si>
    <t>Hero inspired (T10)</t>
  </si>
  <si>
    <t>Invigorate</t>
  </si>
  <si>
    <t>+1 for each hp you gained this turn</t>
  </si>
  <si>
    <t>Fangs (T10)</t>
  </si>
  <si>
    <t>Hero invigorate (T8)</t>
  </si>
  <si>
    <t>Mana-cost</t>
  </si>
  <si>
    <t>Costs N mana</t>
  </si>
  <si>
    <t>Hidden Strength (T0), Corroded Bomb (T0)
Infused Herbs (T1), Mana Bomb (T4)</t>
  </si>
  <si>
    <t>Mana-gain</t>
  </si>
  <si>
    <t>You also gain N mana</t>
  </si>
  <si>
    <t>Alloy (T1), Mystic (T1), Student (T1)
Spellblade (T2), Enchanter (T2), Fey (T2)
Priestess (T2), Sparky (T2), Caldera (T2)
Glacia (T2), Shaman (T3), Doctor (T3)
Fate (T3), Prophet (T3), Wizard (T3)</t>
  </si>
  <si>
    <t>Spark</t>
  </si>
  <si>
    <t>Lich Finger (T4), Alembic (T5)
Spell: Spark (T7), Broomstick (T12)
Diamond Ring (T13)</t>
  </si>
  <si>
    <t xml:space="preserve">Hero mana-gain (T30)
</t>
  </si>
  <si>
    <t>Mandatory</t>
  </si>
  <si>
    <t>Must be used (if possible)</t>
  </si>
  <si>
    <t>Nothing</t>
  </si>
  <si>
    <t>This keyword has no effect</t>
  </si>
  <si>
    <t>Paper (T0)</t>
  </si>
  <si>
    <t>Overdog</t>
  </si>
  <si>
    <t>x2 if you have more hp than the 
target</t>
  </si>
  <si>
    <t>Hero overdog (T8)</t>
  </si>
  <si>
    <t>Pain</t>
  </si>
  <si>
    <t>You take N damage
(Pain damage can be blocked. 
Damage is resolved in an order 
favourable to the player)</t>
  </si>
  <si>
    <t>Ruffian (T1), Hoarder (T1), Cultist (T1)
Berserker (T2), Vampire (T2), Fiend (T2)
Barbarian (T3), Forsaken (T3)
Warlock (T3)</t>
  </si>
  <si>
    <t>Affliction (T-1), Scissors (T0)
Potion Shard (T0), Burred Shield (T0)
Knife Bag (T1), Silver Imp (T2)
Lightning Rod (T3), Pocket Phylactery (T3)
Demon Eye (T4), Siphon (T4), Viscera (T4)
Demon Horn (T5), Alembic (T5)
Karma (T6), Demonic Deal (T6)
Early Grave (T6), Scorpion Tail (T8)</t>
  </si>
  <si>
    <t>Loan (T0)
Huge Plague (T0)
Pain Edges (T-4)
Hero pain (T-10)</t>
  </si>
  <si>
    <t>Pair</t>
  </si>
  <si>
    <t>x2 if this has the same value as the 
previously-used dice this turn</t>
  </si>
  <si>
    <t>Pair of Kings (T7)</t>
  </si>
  <si>
    <t>Hero pair (T8)</t>
  </si>
  <si>
    <t>Patient</t>
  </si>
  <si>
    <t>x2 if you didn't use this hero last 
turn</t>
  </si>
  <si>
    <t>Pillow (T4), Duvet (T6)</t>
  </si>
  <si>
    <t>Hero patient (T4)</t>
  </si>
  <si>
    <t>Perma-boost</t>
  </si>
  <si>
    <t>Target gets +N to all sides this fight</t>
  </si>
  <si>
    <t>Wizard (T3)</t>
  </si>
  <si>
    <t>Enhance Wand (T8)</t>
  </si>
  <si>
    <t>Petrify</t>
  </si>
  <si>
    <t>Transforms N sides to stone this fight
(Can be cleansed. Lasts until the end of the fight or cleansed. Petrification order: Top, Left, Middle, Right, Rightmost, Bottom)</t>
  </si>
  <si>
    <t>Illusion, Thorn, Chest
Lich, Hexia, The Hand</t>
  </si>
  <si>
    <t>Plague</t>
  </si>
  <si>
    <t>Bonus equal to the total poison on 
all characters</t>
  </si>
  <si>
    <t>Venom (T3)</t>
  </si>
  <si>
    <t>Poison</t>
  </si>
  <si>
    <t>Also inflicts N unblockable damage 
at the end of each turn
(Can be cleansed. You can't prevent yourself from being poisoned except by using cleanse or killing the attacking monster. Lasts until the end of the fight or cleansed)</t>
  </si>
  <si>
    <t>Lost (T1), Spellblade (T2), Rogue (T2)
Seer (T2), Venom (T3), Assassin (T3)
Doctor (T3), Artificer (T3)</t>
  </si>
  <si>
    <t>Miasma</t>
  </si>
  <si>
    <t>Imp, Spider, Snake
Zombie, Z0mbie
Bandit, Crone, Ghost
Troll, Basilisk, Banshee
Bramble, Magrat
Rotten, Baron
Troll King, Dragon
Tarantus, The Hand</t>
  </si>
  <si>
    <t>Hissing Ring (T4), Poison Dip (T7)
Horned Viper (T9)</t>
  </si>
  <si>
    <t>Hero poison (T15)
Huge Plague (T0)</t>
  </si>
  <si>
    <t>Pristine</t>
  </si>
  <si>
    <t>x2 if you have full hp</t>
  </si>
  <si>
    <t>Buckle (T1), Knight (T2), Fencer (T3)
Curator (T3)</t>
  </si>
  <si>
    <t>Flawed Diamond (T4), Tie (T6)</t>
  </si>
  <si>
    <t>Hero pristine (T20)
Monster pristine (T-4)</t>
  </si>
  <si>
    <t>Quad-use</t>
  </si>
  <si>
    <t>Can be used 4 times in a turn</t>
  </si>
  <si>
    <t>Quin</t>
  </si>
  <si>
    <t>x5 if this has the same value as the 4 
previously-used dice this turn</t>
  </si>
  <si>
    <t>Rainbow</t>
  </si>
  <si>
    <t>Bonus equal to the number of 
keywords on the side</t>
  </si>
  <si>
    <t>Prism (T8)</t>
  </si>
  <si>
    <t>Rampage</t>
  </si>
  <si>
    <t>Can be reused if it was lethal
(If the rampage side you used cause
a monster or hero death, you get to 
use the side again)</t>
  </si>
  <si>
    <t>Hoarder (T1), Dancer (T3), Brawler (T3)</t>
  </si>
  <si>
    <t>Lightning Rod (T3), Crescent Shield (T6)
Spinning Scythe (T6), Demon Claw (T7)</t>
  </si>
  <si>
    <t>Ranged</t>
  </si>
  <si>
    <t>Can target enemies in the back row 
and avoid on-hit passives</t>
  </si>
  <si>
    <t>Thief (T1), Ranger (T2), Trapper (T2)
Collector (T2), Sharpshot (T3)
Assassin (T3)</t>
  </si>
  <si>
    <t>Hex
Beam</t>
  </si>
  <si>
    <t>Longbow (T2), Fletching (T2)
Rain of Arrows (T3), Lightning Rod (T3)
Splitting Arrows (T4), Mini Crossbow (T4)
Spell: Hex (T4), Chakram (T5)
Shining Bow (T5), Shuriken (T5)
Spell: Beam (T5), Triple Shuriken (T9)</t>
  </si>
  <si>
    <t>Hero ranged (T3)</t>
  </si>
  <si>
    <t>Regen</t>
  </si>
  <si>
    <t>Also heals for N at the end of each 
turn</t>
  </si>
  <si>
    <t>Medic (T2), Herbalist (T2), Doctor (T3)</t>
  </si>
  <si>
    <t>Soothe</t>
  </si>
  <si>
    <t>Reagents (T1), Infused Herbs (T1)
Regen Potion (T2)</t>
  </si>
  <si>
    <t>Hero regen (T13)</t>
  </si>
  <si>
    <t>Repel</t>
  </si>
  <si>
    <t>N damage to all enemies attacking 
the target</t>
  </si>
  <si>
    <t>Monk (T2), Keeper (T3), Granite (T3)</t>
  </si>
  <si>
    <t>Crescent Shield (T6), Tentacle (T6)</t>
  </si>
  <si>
    <t>Hero repel (T18)</t>
  </si>
  <si>
    <t>Rescue</t>
  </si>
  <si>
    <t>This side can be used again if it 
saves a hero</t>
  </si>
  <si>
    <t>Valkyrie (T3), Prophet (T3)</t>
  </si>
  <si>
    <t>Blessed Ring (T2), Ambrosia (T5)
Crescent Shield (T6), Angle Feather (T9)</t>
  </si>
  <si>
    <t>Rite</t>
  </si>
  <si>
    <t>+1 for each unused ally, they skip 
this turn</t>
  </si>
  <si>
    <t>Incense (T2), Cauldron (T7)</t>
  </si>
  <si>
    <t>Hero rite (T1)</t>
  </si>
  <si>
    <t>Self-heal</t>
  </si>
  <si>
    <t>Also heal yourself for N</t>
  </si>
  <si>
    <t>Cultist (T1), Enchanter (T2)
Vampire (T2), Fiend (T2), Keeper (T3)
Wraith (T3), Artificer (T3), Warlock (T3)</t>
  </si>
  <si>
    <t>Circle</t>
  </si>
  <si>
    <t>Cracked Phylactery (T0), Tiara (T4)
Karma (T6), Blood Amulet (T6)
Chaos Wand (T9), Goblet of Life (T9)</t>
  </si>
  <si>
    <t>Heal 5th (T3)
Hero self-heal (T8)
Monster self-heal (T-8)</t>
  </si>
  <si>
    <t>Self-shield</t>
  </si>
  <si>
    <t>Also shield yourself for N</t>
  </si>
  <si>
    <t>Brigand (T1), Squire (T1), Gladiator (T2)
Brute (T2), Collector (T2), Monk (T2)
Enchanter (T2), Brawler (T3)
Granite (T3), Keeper (T3)</t>
  </si>
  <si>
    <t>Ornate Hilt (T5), Karma (T6)
Goblet of Life (T9)</t>
  </si>
  <si>
    <t>Middle-shield (T4)
Shield 3rd (T5)
Hero self-shield (T12)</t>
  </si>
  <si>
    <t>Selfless</t>
  </si>
  <si>
    <t>Cannot target yourself</t>
  </si>
  <si>
    <t>Selfless Heroes (T-1)</t>
  </si>
  <si>
    <t>Sept</t>
  </si>
  <si>
    <t>x7 if this has the same value as the 6 
previously-used dice this turn</t>
  </si>
  <si>
    <t>Trick Deck (T0)</t>
  </si>
  <si>
    <t>Single-cast</t>
  </si>
  <si>
    <t>Can only be cast once each fight</t>
  </si>
  <si>
    <t>Blep, Blip, Save
Mana, Poultice
Remedy, Hex
Beam, Charge
Light, Imbue
Bandage, Chill</t>
  </si>
  <si>
    <t>Spell: Mana (T0), Spell: Poultice (T1)
Spell: Remedy (T2), Spell: Hex (T4)
Spell: Beam (T5), Spell: Charge (T7)
Spell: Light (T8)</t>
  </si>
  <si>
    <t>Save Spell (T4)
Single Burst (T-2)
Single Spells (T-5)</t>
  </si>
  <si>
    <t>Single-use</t>
  </si>
  <si>
    <t>After you use this side, replace it 
with a blank (used) this fight</t>
  </si>
  <si>
    <t>Hoarder (T1), Splint (T1), Initiate (T1)
Cultist (T1), Bard (T2), Herbalist (T2)
Jester (T2), Seer (T2), Sparky (T2)
Fiend (T2), Caldera (T2), Glacia (T2)
Assassin (T3), Venom (T3)
Wanderer (T3), Fate (T3), Ghast (T3)
Wizard (T3), Weaver (T3), Warlock (T3)
Artificer (T3)</t>
  </si>
  <si>
    <t>Exhaustion (T-2), Weariness (T-1)
Dead Branch (T0), Healing Wand (T1)
Wandify (T2), Rejuvenation Wand (T3)
Mana Jelly (T4), Treasure Chest (T5)
Wand of Wand (T5), Wand Grips (T6)
Dynamo (T6), Charge Link (T7)
Wand of Stun (T7), Enhance Wand (T8)
Wandcraft (T8), Chaos Wand (T9)</t>
  </si>
  <si>
    <t>Monster single-use (T9)
Monster +1 Wands (T0)
Fourth single-use (T-1)
Second single-use (T-2)
Wanded (T-4)
Hero single-use (T-9)</t>
  </si>
  <si>
    <t>Skill</t>
  </si>
  <si>
    <t>Bonus equal to hero level</t>
  </si>
  <si>
    <t>Foil (T1)</t>
  </si>
  <si>
    <t>Smith</t>
  </si>
  <si>
    <t>Target gets +N to damage and shield 
sides this turn</t>
  </si>
  <si>
    <t>Armorer (T2), Leader (T3)</t>
  </si>
  <si>
    <t>Spell-rescue</t>
  </si>
  <si>
    <t>Cost is refunded if it saves a hero</t>
  </si>
  <si>
    <t>Strand</t>
  </si>
  <si>
    <t>Steel</t>
  </si>
  <si>
    <t>Bonus equal to this hero's current 
shields</t>
  </si>
  <si>
    <t>Scrapper (T2), Knight (T2), Curator (T3)
Bash (T3), Brawler (T3), Granite (T3)
Keeper (T3)</t>
  </si>
  <si>
    <t>PowerStone (T4), Anvil (T7)</t>
  </si>
  <si>
    <t>Hero steel (T12)</t>
  </si>
  <si>
    <t>Sticky</t>
  </si>
  <si>
    <t>Cannot be rerolled
(Can be negated by 'Cannot be
locked')</t>
  </si>
  <si>
    <t>Sticky Blanks (T-5)</t>
  </si>
  <si>
    <t>Terminal</t>
  </si>
  <si>
    <t>x2 vs targets on 1 hp</t>
  </si>
  <si>
    <t>Stake (T1)</t>
  </si>
  <si>
    <t>Hero terminal (T4)</t>
  </si>
  <si>
    <t>Triple</t>
  </si>
  <si>
    <t>x3 if this has the same value as the 2
previously-used dice this turn</t>
  </si>
  <si>
    <t>Three-of-a-kind (T3)</t>
  </si>
  <si>
    <t>Underdog</t>
  </si>
  <si>
    <t>x2 if the target has more hp than 
you</t>
  </si>
  <si>
    <t>Sling (T5)</t>
  </si>
  <si>
    <t>Hero underdog (T8)</t>
  </si>
  <si>
    <t>Vigil</t>
  </si>
  <si>
    <t>+1 for each defeated ally</t>
  </si>
  <si>
    <t>Vitality</t>
  </si>
  <si>
    <t>Also grants the target +N empty max 
hp this fight</t>
  </si>
  <si>
    <t>Acolyte (T1), Vampire (T2)
Priestess (T2), Forsaken (T3)
Prophet (T3)</t>
  </si>
  <si>
    <t xml:space="preserve">Blessed Water (T2), Whey (T2)
Siphon (T4)
</t>
  </si>
  <si>
    <t>Vulnerable</t>
  </si>
  <si>
    <t>Target takes +N damage from dice 
&amp; spells this turn</t>
  </si>
  <si>
    <t>Scoundrel (T1), Trapper (T2)</t>
  </si>
  <si>
    <t>Mark</t>
  </si>
  <si>
    <t>Harpoon (T4), Spell: Mark (T6)
Serration (T8), Chaos Wand (T9)</t>
  </si>
  <si>
    <t>Hero vulnerable (T11)</t>
  </si>
  <si>
    <t>Weaken</t>
  </si>
  <si>
    <t>Target gets -N to all sides this turn
(Can be cleansed. If a monster has this, then the weaken status lasts until the end of next turn or cleansed)</t>
  </si>
  <si>
    <t>Fey (T2), Glacia (T2), Witch (T3)
Ghast (T3)</t>
  </si>
  <si>
    <t>Hinder, Chill
Slow</t>
  </si>
  <si>
    <t>Illusion, Quartz, Hydra
Basilisk, Wizz, Banshee
Gytha, Lich, Basalt
Tarantus</t>
  </si>
  <si>
    <t>Spell: Hinder (T0), Scorpion Tail (T8)
Chaos Wand (T9)</t>
  </si>
  <si>
    <t>Unused keyword</t>
  </si>
  <si>
    <t>Inflict-decay</t>
  </si>
  <si>
    <t>Add decay to target's sides for a turn
(Can be cleansed. If a monster has this, then the inflicted-decay status lasts until the end of next turn or cleansed)</t>
  </si>
  <si>
    <t>Note: There are cases where a keyword on a side does nothing of significance (e.g. Dodge all enemy attacks/effects rampage)
Empty cells mean it's not possible to get the keywords to the side/spell</t>
  </si>
  <si>
    <t>Keyword</t>
  </si>
  <si>
    <t>Keyword Category</t>
  </si>
  <si>
    <t>Aim control</t>
  </si>
  <si>
    <t>Aim extension</t>
  </si>
  <si>
    <t>Ally-only</t>
  </si>
  <si>
    <t>Any</t>
  </si>
  <si>
    <t>Enemy-only</t>
  </si>
  <si>
    <t>Inflict</t>
  </si>
  <si>
    <t>Pip</t>
  </si>
  <si>
    <t>Spell-only</t>
  </si>
  <si>
    <t>Target boost</t>
  </si>
  <si>
    <t>405 curses (204 non-generated curses, 201 generated curses)</t>
  </si>
  <si>
    <t>Curse name</t>
  </si>
  <si>
    <t>Upgrades to</t>
  </si>
  <si>
    <t>Is Generated?</t>
  </si>
  <si>
    <t>Curse Category</t>
  </si>
  <si>
    <t>True Name</t>
  </si>
  <si>
    <t>Mortal</t>
  </si>
  <si>
    <t>All heroes: Shields, health and pips limited to 15</t>
  </si>
  <si>
    <t>Mortal+</t>
  </si>
  <si>
    <t>Number of curse(s)</t>
  </si>
  <si>
    <t>Monster HP</t>
  </si>
  <si>
    <t>All monsters: +1 hp for each 7 base hp</t>
  </si>
  <si>
    <t>Monster HP+</t>
  </si>
  <si>
    <t>Sandstorm</t>
  </si>
  <si>
    <t>At the end of every third turn, 1 damage to all heroes</t>
  </si>
  <si>
    <t>Sandstorm+</t>
  </si>
  <si>
    <t>Heavy Dice</t>
  </si>
  <si>
    <t>Cannot roll more than 3 dice at a time</t>
  </si>
  <si>
    <t>Slippery Dice</t>
  </si>
  <si>
    <t>Limited Dice</t>
  </si>
  <si>
    <t>Armour</t>
  </si>
  <si>
    <t>At the start of the second turn, shield 1 to all enemies</t>
  </si>
  <si>
    <t>Armour+</t>
  </si>
  <si>
    <t>Start damaged</t>
  </si>
  <si>
    <t>All heroes: 1 of every 5 max hp starts empty</t>
  </si>
  <si>
    <t>Start damaged+</t>
  </si>
  <si>
    <t>Start Damaged</t>
  </si>
  <si>
    <t>Small Bonus</t>
  </si>
  <si>
    <t>All tiny enemies: +1 to the middle column</t>
  </si>
  <si>
    <t>Small Bonus+</t>
  </si>
  <si>
    <t>Tower</t>
  </si>
  <si>
    <t>All huge enemies: +3 max hp</t>
  </si>
  <si>
    <t>Tower+</t>
  </si>
  <si>
    <t>Fear</t>
  </si>
  <si>
    <t>All big enemies: +2 max hp</t>
  </si>
  <si>
    <t>Fear+</t>
  </si>
  <si>
    <t>Swarm</t>
  </si>
  <si>
    <t>All tiny enemies: +1 max hp</t>
  </si>
  <si>
    <t>Swarm+</t>
  </si>
  <si>
    <t>Mana Debt</t>
  </si>
  <si>
    <t>The second spell you cast each fight costs +1 mana</t>
  </si>
  <si>
    <t>Mana Debt+</t>
  </si>
  <si>
    <t>Revive 3 hp</t>
  </si>
  <si>
    <t>Defeated heroes return on 3 hp next fight</t>
  </si>
  <si>
    <t>Revive 2 hp</t>
  </si>
  <si>
    <t>Revive Penalty</t>
  </si>
  <si>
    <t>Slow spells</t>
  </si>
  <si>
    <t>Maximum of 3 spells cast per turn</t>
  </si>
  <si>
    <t>Slow spells+</t>
  </si>
  <si>
    <t>Slow Spells</t>
  </si>
  <si>
    <t>Bottom poison</t>
  </si>
  <si>
    <t>Bottom hero: Start poisoned</t>
  </si>
  <si>
    <t>Bottom poison+</t>
  </si>
  <si>
    <t>Bottom Poison</t>
  </si>
  <si>
    <t>A</t>
  </si>
  <si>
    <t>All monsters: +1 max hp for each 'a' in their name</t>
  </si>
  <si>
    <t>AE</t>
  </si>
  <si>
    <t>Vowels</t>
  </si>
  <si>
    <t>Boss Bones</t>
  </si>
  <si>
    <t>During boss levels : Add a bones to each fight</t>
  </si>
  <si>
    <t>Non-Boss Bones</t>
  </si>
  <si>
    <t>Cooldown Burst</t>
  </si>
  <si>
    <t>Add cooldown to burst</t>
  </si>
  <si>
    <t>Single Burst</t>
  </si>
  <si>
    <t>Limited Burst</t>
  </si>
  <si>
    <t>Skulk</t>
  </si>
  <si>
    <t>During the third turn, +1 to enemy sides</t>
  </si>
  <si>
    <t>Skulk+</t>
  </si>
  <si>
    <t>Arthritis</t>
  </si>
  <si>
    <t>Tier 3 heroes get -1 max hp</t>
  </si>
  <si>
    <t xml:space="preserve">Osteoporosis </t>
  </si>
  <si>
    <t>Old Age</t>
  </si>
  <si>
    <t>-2 Max Mana</t>
  </si>
  <si>
    <t>-2 max stored mana</t>
  </si>
  <si>
    <t>-3 Max Mana</t>
  </si>
  <si>
    <t>Mana Retention</t>
  </si>
  <si>
    <t>Death Shield</t>
  </si>
  <si>
    <t>All monsters: Upon death: shield 1 to all allies</t>
  </si>
  <si>
    <t>Death Shield+</t>
  </si>
  <si>
    <t>Fourth single-use</t>
  </si>
  <si>
    <t>The fourth dice you use each turn gains single-use</t>
  </si>
  <si>
    <t>Single-use Dice</t>
  </si>
  <si>
    <t>Worse Items</t>
  </si>
  <si>
    <t>-1 item quality</t>
  </si>
  <si>
    <t>Right Blank</t>
  </si>
  <si>
    <t>All heroes: Replace the rightmost side with 'blank'</t>
  </si>
  <si>
    <t>Dice Blank</t>
  </si>
  <si>
    <t>Shield Response</t>
  </si>
  <si>
    <t>All monsters: After taking damage for the first time each turn, self-shield 1</t>
  </si>
  <si>
    <t>Frail middle</t>
  </si>
  <si>
    <t>Middle hero: If you have gained no shields this turn, x2 to incoming damage</t>
  </si>
  <si>
    <t>Frail</t>
  </si>
  <si>
    <t>Horde</t>
  </si>
  <si>
    <t>+20% space for enemies (before becoming reinforcements)</t>
  </si>
  <si>
    <t>Nostalgia</t>
  </si>
  <si>
    <t>Goblin: +1 to all sides for each defeated ally</t>
  </si>
  <si>
    <t>Archery Training</t>
  </si>
  <si>
    <t>Archers &amp; Snipers: +2 to all sides</t>
  </si>
  <si>
    <t>XYZ</t>
  </si>
  <si>
    <t>All monsters: +2 max hp for each 'x', 'y' &amp; 'z' in their name</t>
  </si>
  <si>
    <t>Spiky</t>
  </si>
  <si>
    <t>All hero-sized enemies: Spiky 1</t>
  </si>
  <si>
    <t>Boss Armour</t>
  </si>
  <si>
    <t>During boss levels: At the start of the first turn, shield 2 to all enemies</t>
  </si>
  <si>
    <t>Selfless Heroes</t>
  </si>
  <si>
    <t>All heroes: Add selfless to all sides</t>
  </si>
  <si>
    <t>Doom</t>
  </si>
  <si>
    <t>At the end of the eighth turn, 8 damage to all heroes</t>
  </si>
  <si>
    <t>Doom+</t>
  </si>
  <si>
    <t>Monster Left +1</t>
  </si>
  <si>
    <t>All monsters: +1 to the left side</t>
  </si>
  <si>
    <t xml:space="preserve">Monster Left +2 </t>
  </si>
  <si>
    <t>Monster Left</t>
  </si>
  <si>
    <t>Add Slimelet (11-20)</t>
  </si>
  <si>
    <t>During levels 11-20: add a slimelet to each fight</t>
  </si>
  <si>
    <t>1/10</t>
  </si>
  <si>
    <t>Add Enemy (11-20)</t>
  </si>
  <si>
    <t>Add [purple]Slimelet[cu] (11-20)</t>
  </si>
  <si>
    <t>Add Illusion (11-20)</t>
  </si>
  <si>
    <t>During levels 11-20: add an illusion to each fight</t>
  </si>
  <si>
    <t>Add [purple]Illusion[cu] (11-20)</t>
  </si>
  <si>
    <t>Add Archer (11-20)</t>
  </si>
  <si>
    <t>During levels 11-20: add an archer to each fight</t>
  </si>
  <si>
    <t>Add [purple]Archer[cu] (11-20)</t>
  </si>
  <si>
    <t>Add Spider (11-20)</t>
  </si>
  <si>
    <t>During levels 11-20: add a spider to each fight</t>
  </si>
  <si>
    <t>Add [purple]Spider[cu] (11-20)</t>
  </si>
  <si>
    <t>Add Rat (11-20)</t>
  </si>
  <si>
    <t>During levels 11-20: add a rat to each fight</t>
  </si>
  <si>
    <t>Add [purple]Rat[cu] (11-20)</t>
  </si>
  <si>
    <t>i-Affliction</t>
  </si>
  <si>
    <t>Gain the 'Affliction' item 
(Must be equipped; Add pain to the two left sides)</t>
  </si>
  <si>
    <t>Item Curse</t>
  </si>
  <si>
    <t>1</t>
  </si>
  <si>
    <t>i-Weariness</t>
  </si>
  <si>
    <t>Gain the 'Weariness' item 
(Must be equipped; Add single-use to the middle row)</t>
  </si>
  <si>
    <t>i-Exhaustion</t>
  </si>
  <si>
    <t>i-Broken Heart</t>
  </si>
  <si>
    <t>Gain the 'Broken Heart' item 
(Must be equipped; Immune to healing)</t>
  </si>
  <si>
    <t>i-Broken Spirit</t>
  </si>
  <si>
    <t>i-D4</t>
  </si>
  <si>
    <t>Gain the 'D4' item 
(Must be equipped; Replace the right side with '1 self damage cantrip')</t>
  </si>
  <si>
    <t>i-Coiled Snake</t>
  </si>
  <si>
    <t>Gain the 'Coiled Snake' item 
(Must be equipped; Start poisoned)</t>
  </si>
  <si>
    <t>i-Martyr</t>
  </si>
  <si>
    <t>Gain the 'Martyr' item 
(Must be equipped; Add death &amp; +1 to the two left sides)</t>
  </si>
  <si>
    <t>i-Handcuffs</t>
  </si>
  <si>
    <t>Gain the 'Handcuffs' item 
(Must be equipped; -1 item slot)</t>
  </si>
  <si>
    <t>i-Lead Weight</t>
  </si>
  <si>
    <t>Gain the 'Lead Weight' item 
(Must be equipped; Replace the top and bottom sides with 'blank')</t>
  </si>
  <si>
    <t>1/100</t>
  </si>
  <si>
    <t>i-Mould</t>
  </si>
  <si>
    <t>Gain the 'Mould' item 
(Must be equipped; Add decay to all sides)</t>
  </si>
  <si>
    <t>All heroes: Shields, health and pips limited to 12</t>
  </si>
  <si>
    <t>Mortal++</t>
  </si>
  <si>
    <t>All monsters: +1 hp for each 6 base hp</t>
  </si>
  <si>
    <t>Monster HP++</t>
  </si>
  <si>
    <t>1/1000000</t>
  </si>
  <si>
    <t>At the end of every second turn, 1 damage to all heroes</t>
  </si>
  <si>
    <t>Sandstorm++</t>
  </si>
  <si>
    <t>Cannot lock more than 2 dice at a time</t>
  </si>
  <si>
    <t>Heavy Dice+</t>
  </si>
  <si>
    <t>At the start of the first turn, shield 1 to all enemies</t>
  </si>
  <si>
    <t>Armour++</t>
  </si>
  <si>
    <t>All heroes: 1 of every 4 max hp starts empty</t>
  </si>
  <si>
    <t>Start damaged++</t>
  </si>
  <si>
    <t>All tiny enemies: +1 to all sides</t>
  </si>
  <si>
    <t>Small Bonus++</t>
  </si>
  <si>
    <t>All huge enemies: +6 max hp</t>
  </si>
  <si>
    <t>Tower++</t>
  </si>
  <si>
    <t>All big enemies: +4 max hp</t>
  </si>
  <si>
    <t>Fear++</t>
  </si>
  <si>
    <t>All tiny enemies: +2 max hp</t>
  </si>
  <si>
    <t>Swarm++</t>
  </si>
  <si>
    <t>The first spell you cast each fight costs +1 mana</t>
  </si>
  <si>
    <t>Mana Debt++</t>
  </si>
  <si>
    <t>Defeated heroes return on 2 hp next fight</t>
  </si>
  <si>
    <t>Revive 1 hp</t>
  </si>
  <si>
    <t>Maximum of 2 spells cast per turn</t>
  </si>
  <si>
    <t>Slow spells++</t>
  </si>
  <si>
    <t>Bottom hero: Start poisoned for 2</t>
  </si>
  <si>
    <t>Bottom poison++</t>
  </si>
  <si>
    <t>All monsters: +1 max hp for each 'a' &amp; 'e' in their name</t>
  </si>
  <si>
    <t>Curse of vowels</t>
  </si>
  <si>
    <t>During non-boss levels : Add a bones to each fight</t>
  </si>
  <si>
    <t>Add Bones</t>
  </si>
  <si>
    <t>Add single-cast to burst</t>
  </si>
  <si>
    <t>No Burst</t>
  </si>
  <si>
    <t>During the second turn, +1 to enemy sides</t>
  </si>
  <si>
    <t>Skulk++</t>
  </si>
  <si>
    <t>Tier 3 heroes get -2 max hp</t>
  </si>
  <si>
    <t>-3 max stored mana</t>
  </si>
  <si>
    <t>Second single-use</t>
  </si>
  <si>
    <t>The second dice you use each turn gains single-use</t>
  </si>
  <si>
    <t>All monsters: Upon death: shield 2 to all allies</t>
  </si>
  <si>
    <t>Stitch</t>
  </si>
  <si>
    <t>The most-damaged enemy: At the end of the turn, self-heal 1</t>
  </si>
  <si>
    <t>Fifth death</t>
  </si>
  <si>
    <t>The fifth dice you use each turn gains death</t>
  </si>
  <si>
    <t>Death Dice</t>
  </si>
  <si>
    <t>Monster Growth</t>
  </si>
  <si>
    <t>All monsters: Add growth to all sides</t>
  </si>
  <si>
    <t>Final Boss Curse</t>
  </si>
  <si>
    <t>After beating level 19: gain a t8 curse</t>
  </si>
  <si>
    <t>15-16 Curses</t>
  </si>
  <si>
    <t>After beating levels 15-16: gain a t2 curse</t>
  </si>
  <si>
    <t>Poisoned Finale</t>
  </si>
  <si>
    <t>During Final level: All heroes: Start poisoned for 2</t>
  </si>
  <si>
    <t>At the end of the seventh turn, 8 damage to all heroes</t>
  </si>
  <si>
    <t>Doom++</t>
  </si>
  <si>
    <t>All monsters: +2 to the left side</t>
  </si>
  <si>
    <t>Monster Left +3</t>
  </si>
  <si>
    <t>Monster Right +1</t>
  </si>
  <si>
    <t>All monsters: +1 to the rightmost side</t>
  </si>
  <si>
    <t>Monster Right</t>
  </si>
  <si>
    <t>Add Slimelet</t>
  </si>
  <si>
    <t>Add a slimelet to each fight</t>
  </si>
  <si>
    <t>Add Enemy</t>
  </si>
  <si>
    <t>Add [purple]Slimelet[cu]</t>
  </si>
  <si>
    <t>Add Illusion</t>
  </si>
  <si>
    <t>Add an illusion to each fight</t>
  </si>
  <si>
    <t>Add [purple]Illusion[cu]</t>
  </si>
  <si>
    <t>Add Archer</t>
  </si>
  <si>
    <t>Add an archer to each fight</t>
  </si>
  <si>
    <t>Add [purple]Archer[cu]</t>
  </si>
  <si>
    <t>Add Rat</t>
  </si>
  <si>
    <t>Add a rat to each fight</t>
  </si>
  <si>
    <t>Add [purple]Rat[cu]</t>
  </si>
  <si>
    <t>Add Wisp (11-20)</t>
  </si>
  <si>
    <t>During levels 11-20: add a wisp to each fight</t>
  </si>
  <si>
    <t>Add [purple]Wisp[cu] (11-20)</t>
  </si>
  <si>
    <t>Add Goblin (11-20)</t>
  </si>
  <si>
    <t>During levels 11-20: add a goblin to each fight</t>
  </si>
  <si>
    <t>Add [purple]Goblin[cu] (11-20)</t>
  </si>
  <si>
    <t>Add Wolf (11-20)</t>
  </si>
  <si>
    <t>During levels 11-20: add a wolf to each fight</t>
  </si>
  <si>
    <t>Add [purple]Wolf[cu] (11-20)</t>
  </si>
  <si>
    <t>3rd turn Slimelets</t>
  </si>
  <si>
    <t>Summon a slimelet every third turn</t>
  </si>
  <si>
    <t>3rd turn Enemy</t>
  </si>
  <si>
    <t>3rd turn Illusions</t>
  </si>
  <si>
    <t>Summon an illusion every third turn</t>
  </si>
  <si>
    <t>3rd turn Archers</t>
  </si>
  <si>
    <t>Summon an archer every third turn</t>
  </si>
  <si>
    <t>3rd turn Rats</t>
  </si>
  <si>
    <t>Summon a rat every third turn</t>
  </si>
  <si>
    <t>Gain the 'Exhaustion' item 
(Must be equipped; Add single-use to all sides)</t>
  </si>
  <si>
    <t>Gain the 'Broken Spirit' item 
(Must be equipped; Immune to healing &amp; shields)</t>
  </si>
  <si>
    <t>i-Pharoah's Curse</t>
  </si>
  <si>
    <t>Gain the 'Phaorah's Curse' item 
(Must be equipped; -1 to all sides)</t>
  </si>
  <si>
    <t>i-Slimed</t>
  </si>
  <si>
    <t>Gain the 'Slimed' item 
(Must be equipped; Cannot be rerolled)</t>
  </si>
  <si>
    <t>i-Soul Link</t>
  </si>
  <si>
    <t>Gain the 'Soul Link' item 
(Must be equipped; When an ally dies, you die)</t>
  </si>
  <si>
    <t>i-Wretched Crown</t>
  </si>
  <si>
    <t>Gain the 'Wretched Crown' item 
(Must be equipped; Upon death: kill all allies)</t>
  </si>
  <si>
    <t>All heroes: Shields, health and pips limited to 10</t>
  </si>
  <si>
    <t>Mortal+++</t>
  </si>
  <si>
    <t>All monsters: +1 hp for each 5 base hp</t>
  </si>
  <si>
    <t>Monster HP+++</t>
  </si>
  <si>
    <t>At the end of every third turn, 2 damage to all heroes</t>
  </si>
  <si>
    <t>Sandstorm+++</t>
  </si>
  <si>
    <t>Cannot roll more than 2 dice at a time</t>
  </si>
  <si>
    <t>Slippery Dice+</t>
  </si>
  <si>
    <t>At the start of the second turn, shield 3 to all enemies</t>
  </si>
  <si>
    <t>Armour+++</t>
  </si>
  <si>
    <t>All heroes: 1 of every 3 max hp starts empty</t>
  </si>
  <si>
    <t>Start damaged+++</t>
  </si>
  <si>
    <t>All tiny enemies: +2 to the middle row</t>
  </si>
  <si>
    <t>Small Bonus+++</t>
  </si>
  <si>
    <t>All huge enemies: +9 max hp</t>
  </si>
  <si>
    <t>Tower+++</t>
  </si>
  <si>
    <t>All big enemies: +6 max hp</t>
  </si>
  <si>
    <t>Fear+++</t>
  </si>
  <si>
    <t>All tiny enemies: +3 max hp</t>
  </si>
  <si>
    <t>Swarm+++</t>
  </si>
  <si>
    <t>The second spell you cast each fight costs +2 mana</t>
  </si>
  <si>
    <t>Mana Debt+++</t>
  </si>
  <si>
    <t>Defeated heroes return on 1 hp next fight</t>
  </si>
  <si>
    <t>Permadeath</t>
  </si>
  <si>
    <t>Add cooldown to all spells</t>
  </si>
  <si>
    <t>Slow spells+++</t>
  </si>
  <si>
    <t>Bottom hero: Start poisoned for 3</t>
  </si>
  <si>
    <t>All monsters: +1 max hp for each vowel in their name</t>
  </si>
  <si>
    <t>Forget burst</t>
  </si>
  <si>
    <t>During the first turn, +1 to enemy sides</t>
  </si>
  <si>
    <t>Worse Items+</t>
  </si>
  <si>
    <t>-2 item quality</t>
  </si>
  <si>
    <t>Right Blank+</t>
  </si>
  <si>
    <t>All heroes: replace the two right sides with 'blank'</t>
  </si>
  <si>
    <t>Shield Response+</t>
  </si>
  <si>
    <t>All monsters: After taking damage, self-shield 1</t>
  </si>
  <si>
    <t>Frail Edges</t>
  </si>
  <si>
    <t>Top and bottom heroes: 
If you have gained no shields this turn, x2 to incoming damage</t>
  </si>
  <si>
    <t>Monster Charged</t>
  </si>
  <si>
    <t>All monsters: Add charged to all sides</t>
  </si>
  <si>
    <t>Top 1 hp</t>
  </si>
  <si>
    <t>Top hero: Set max hp to 1</t>
  </si>
  <si>
    <t>Middle 1 hp</t>
  </si>
  <si>
    <t>Middle hero: Set max hp to 1</t>
  </si>
  <si>
    <t>Bottom 1 hp</t>
  </si>
  <si>
    <t>Bottom hero: Set max hp to 1</t>
  </si>
  <si>
    <t>Stony Grasp</t>
  </si>
  <si>
    <t>All heroes: Start petrified for 1</t>
  </si>
  <si>
    <t>Skip rewards 5</t>
  </si>
  <si>
    <t>Skip rewards from level 5</t>
  </si>
  <si>
    <t>Skip rewards 18-19</t>
  </si>
  <si>
    <t>Skip rewards from level 18-19</t>
  </si>
  <si>
    <t>Shield -1</t>
  </si>
  <si>
    <t>All heroes: -1 to all shield/self-shield sides</t>
  </si>
  <si>
    <t>Heal -1</t>
  </si>
  <si>
    <t>All heroes: -1 to all heal/self-heal sides</t>
  </si>
  <si>
    <t>Left -1</t>
  </si>
  <si>
    <t>All heroes: -1 to the left side</t>
  </si>
  <si>
    <t>Mundane</t>
  </si>
  <si>
    <t>All heroes: Replace mana/mana-gain sides with damage sides, retaining 
their original value and other keywords</t>
  </si>
  <si>
    <t>Depleted spells</t>
  </si>
  <si>
    <t>Add deplete to all spells</t>
  </si>
  <si>
    <t>Hero eliminate</t>
  </si>
  <si>
    <t>All heroes: Add eliminate to all sides</t>
  </si>
  <si>
    <t>At the end of the sixth turn, 8 damage to all heroes</t>
  </si>
  <si>
    <t>Doom+++</t>
  </si>
  <si>
    <t>All monsters: +3 to the left side</t>
  </si>
  <si>
    <t>Monster Left +4</t>
  </si>
  <si>
    <t>Monster Rights +1</t>
  </si>
  <si>
    <t>All monsters: +1 to the two right sides</t>
  </si>
  <si>
    <t>Monster Rights</t>
  </si>
  <si>
    <t>Add a bones to each fight</t>
  </si>
  <si>
    <t>Add [purple]Bones[cu]</t>
  </si>
  <si>
    <t>Add Spider</t>
  </si>
  <si>
    <t>Add a spider to each fight</t>
  </si>
  <si>
    <t>Add [purple]Spider[cu]</t>
  </si>
  <si>
    <t>Add Imp (11-20)</t>
  </si>
  <si>
    <t>During levels 11-20: add an imp to each fight</t>
  </si>
  <si>
    <t>Add [purple]Imp[cu] (11-20)</t>
  </si>
  <si>
    <t>Add Grave (11-20)</t>
  </si>
  <si>
    <t>During levels 11-20: add a grave to each fight</t>
  </si>
  <si>
    <t>Add [purple]Grave[cu] (11-20)</t>
  </si>
  <si>
    <t>Add Quartz (11-20)</t>
  </si>
  <si>
    <t>During levels 11-20: add a quartz to each fight</t>
  </si>
  <si>
    <t>Add [purple]Quartz[cu] (11-20)</t>
  </si>
  <si>
    <t>Add Sudul (11-20)</t>
  </si>
  <si>
    <t>During levels 11-20: add a sudul to each fight</t>
  </si>
  <si>
    <t>Add [purple]Sudul[cu] (11-20)</t>
  </si>
  <si>
    <t>Add Snake (11-20)</t>
  </si>
  <si>
    <t>During levels 11-20: add a snake to each fight</t>
  </si>
  <si>
    <t>Add [purple]Snake[cu] (11-20)</t>
  </si>
  <si>
    <t>Add Gnoll (11-20)</t>
  </si>
  <si>
    <t>During levels 11-20: add a gnoll to each fight</t>
  </si>
  <si>
    <t>Add [purple]Gnoll[cu] (11-20)</t>
  </si>
  <si>
    <t>Add Thorn (11-20)</t>
  </si>
  <si>
    <t>During levels 11-20: add a thorn to each fight</t>
  </si>
  <si>
    <t>Add [purple]Thorn[cu] (11-20)</t>
  </si>
  <si>
    <t>Add Sniper (11-20)</t>
  </si>
  <si>
    <t>During levels 11-20: add a sniper to each fight</t>
  </si>
  <si>
    <t>Add [purple]Sniper[cu] (11-20)</t>
  </si>
  <si>
    <t>Add Caw Egg (11-20)</t>
  </si>
  <si>
    <t>During levels 11-20: add a caw egg to each fight</t>
  </si>
  <si>
    <t>Add [purple]Caw[cu] Egg (11-20)</t>
  </si>
  <si>
    <t>Add Bandit (11-20)</t>
  </si>
  <si>
    <t>During levels 11-20: add a bandit to each fight</t>
  </si>
  <si>
    <t>Add [purple]Bandit[cu] (11-20)</t>
  </si>
  <si>
    <t>Add Crone (11-20)</t>
  </si>
  <si>
    <t>During levels 11-20: add a crone to each fight</t>
  </si>
  <si>
    <t>Add [purple]Crone[cu] (11-20)</t>
  </si>
  <si>
    <t>Add Boar (11-20)</t>
  </si>
  <si>
    <t>During levels 11-20: add a boar to each fight</t>
  </si>
  <si>
    <t>Add [purple]Boar[cu] (11-20)</t>
  </si>
  <si>
    <t>3rd turn Bones</t>
  </si>
  <si>
    <t>Summon a bones every third turn</t>
  </si>
  <si>
    <t>3rd turn Spiders</t>
  </si>
  <si>
    <t>Summon a spider every third turn</t>
  </si>
  <si>
    <t>All heroes: Shields, health and pips limited to 8</t>
  </si>
  <si>
    <t>Mortal++++</t>
  </si>
  <si>
    <t>All monsters: +1 hp for each 4 base hp</t>
  </si>
  <si>
    <t>Monster HP++++</t>
  </si>
  <si>
    <t>At the end of every second turn, 2 damage to all heroes</t>
  </si>
  <si>
    <t>Sandstorm++++</t>
  </si>
  <si>
    <t>Cannot lock more than 1 dice at a time</t>
  </si>
  <si>
    <t>Heavy Dice++</t>
  </si>
  <si>
    <t>At the start of the first turn, shield 2 to all enemies</t>
  </si>
  <si>
    <t>Armour++++</t>
  </si>
  <si>
    <t>All heroes: 2 of every 4 max hp starts empty</t>
  </si>
  <si>
    <t>Start damaged++++</t>
  </si>
  <si>
    <t>All tiny enemies: +2 to all sides</t>
  </si>
  <si>
    <t>Small Bonus++++</t>
  </si>
  <si>
    <t>All huge enemies: +12 max hp</t>
  </si>
  <si>
    <t>All big enemies: +8 max hp</t>
  </si>
  <si>
    <t>All tiny enemies: +4 max hp</t>
  </si>
  <si>
    <t>The first spell you cast each fight costs +2 mana</t>
  </si>
  <si>
    <t>All heroes: Death is permanent</t>
  </si>
  <si>
    <t>Maximum of 1 spell cast per turn</t>
  </si>
  <si>
    <t>Top 3 Poisoned</t>
  </si>
  <si>
    <t>Top three heroes: Start poisoned</t>
  </si>
  <si>
    <t>Middle Blank</t>
  </si>
  <si>
    <t>All heroes: Replace the middle side with 'blank'</t>
  </si>
  <si>
    <t>Stitch+</t>
  </si>
  <si>
    <t>The most-damaged enemy: At the end of the turn, self-heal 2</t>
  </si>
  <si>
    <t>Fourth death</t>
  </si>
  <si>
    <t>The fourth dice you use each turn gains death</t>
  </si>
  <si>
    <t>Monster Pristine</t>
  </si>
  <si>
    <t>All monsters: Add pristine to all sides</t>
  </si>
  <si>
    <t>De-level top</t>
  </si>
  <si>
    <t>Downgrade the top hero to level 0</t>
  </si>
  <si>
    <t>De-level middle</t>
  </si>
  <si>
    <t>Downgrade the middle hero to level 0</t>
  </si>
  <si>
    <t>De-level bottom</t>
  </si>
  <si>
    <t>Downgrade the bottom hero to level 0</t>
  </si>
  <si>
    <t>Expensive Spells</t>
  </si>
  <si>
    <t>Spells cost +1 mana</t>
  </si>
  <si>
    <t>Hero decay</t>
  </si>
  <si>
    <t>All heroes: Add decay to all sides</t>
  </si>
  <si>
    <t>Pain edges</t>
  </si>
  <si>
    <t>All heroes: Add pain to the top and bottom sides</t>
  </si>
  <si>
    <t>Wanded</t>
  </si>
  <si>
    <t>All heroes: Add single-use to the two left sides</t>
  </si>
  <si>
    <t>Heavy Weapons</t>
  </si>
  <si>
    <t>All heroes: Add heavy to all damage sides</t>
  </si>
  <si>
    <t>Stone Monsters</t>
  </si>
  <si>
    <t>All monsters: The last hp must be removed individually</t>
  </si>
  <si>
    <t>Barricade</t>
  </si>
  <si>
    <t>All most-damaged enemies: Move back</t>
  </si>
  <si>
    <t>Slimedemic</t>
  </si>
  <si>
    <t>All monsters except slimelet: Summon a slimelet at the third to last hp pip</t>
  </si>
  <si>
    <t>-1 Reroll</t>
  </si>
  <si>
    <t>-1 reroll</t>
  </si>
  <si>
    <t>Undying Monsters</t>
  </si>
  <si>
    <t>All monsters: Cannot be killed on the first turn</t>
  </si>
  <si>
    <t>Ouroboros</t>
  </si>
  <si>
    <t>Imp: Replace the two right sides with 'summon a hexia'</t>
  </si>
  <si>
    <t>At the end of the fifth turn, 8 damage to all heroes</t>
  </si>
  <si>
    <t>All monsters: +4 to the left side</t>
  </si>
  <si>
    <t>Monster Left +5</t>
  </si>
  <si>
    <t>Monster Right +2</t>
  </si>
  <si>
    <t>All monsters: +2 to the rightmost side</t>
  </si>
  <si>
    <t>Add Goblin</t>
  </si>
  <si>
    <t>Add a goblin to each fight</t>
  </si>
  <si>
    <t>Add [purple]Goblin[cu]</t>
  </si>
  <si>
    <t>Add Wolf</t>
  </si>
  <si>
    <t>Add a wolf to each fight</t>
  </si>
  <si>
    <t>Add [purple]Wolf[cu]</t>
  </si>
  <si>
    <t>Add Wisp</t>
  </si>
  <si>
    <t>Add a wisp to each fight</t>
  </si>
  <si>
    <t>Add [purple]Wisp[cu]</t>
  </si>
  <si>
    <t>Add Fanatic (11-20)</t>
  </si>
  <si>
    <t>During levels 11-20: add a fanatic to each fight</t>
  </si>
  <si>
    <t>Add [purple]Fanatic[cu] (11-20)</t>
  </si>
  <si>
    <t>Add Zombie (11-20)</t>
  </si>
  <si>
    <t>During levels 11-20: add a zombie to each fight</t>
  </si>
  <si>
    <t>Add [purple]Zombie[cu] (11-20)</t>
  </si>
  <si>
    <t>Add Wizz (11-20)</t>
  </si>
  <si>
    <t>During levels 11-20: add a wizz to each fight</t>
  </si>
  <si>
    <t>Add [purple]Wizz[cu] (11-20)</t>
  </si>
  <si>
    <t>Add Slimer (11-20)</t>
  </si>
  <si>
    <t>During levels 11-20: add a slimer to each fight</t>
  </si>
  <si>
    <t>Add [purple]Slimer[cu] (11-20)</t>
  </si>
  <si>
    <t>Add Ghost (11-20)</t>
  </si>
  <si>
    <t>During levels 11-20: add a ghost to each fight</t>
  </si>
  <si>
    <t>Add [purple]Ghost[cu] (11-20)</t>
  </si>
  <si>
    <t>Add Dragon Egg (11-20)</t>
  </si>
  <si>
    <t>During levels 11-20: add a dragon egg to each fight</t>
  </si>
  <si>
    <t>Add [purple]Dragon[cu] Egg (11-20)</t>
  </si>
  <si>
    <t>3rd turn Caw Eggs</t>
  </si>
  <si>
    <t>Summon a caw egg every third turn</t>
  </si>
  <si>
    <t>3rd turn Snakes</t>
  </si>
  <si>
    <t>Summon a snake every third turn</t>
  </si>
  <si>
    <t>3rd turn Suduls</t>
  </si>
  <si>
    <t>Summon a sudul every third turn</t>
  </si>
  <si>
    <t>3rd turn Goblins</t>
  </si>
  <si>
    <t>Summon a goblin every third turn</t>
  </si>
  <si>
    <t>3rd turn Wolves</t>
  </si>
  <si>
    <t>Summon a wolf every third turn</t>
  </si>
  <si>
    <t>3rd turn Wisps</t>
  </si>
  <si>
    <t>Summon a wisp every third turn</t>
  </si>
  <si>
    <t>3rd turn Snipers</t>
  </si>
  <si>
    <t>Summon a sniper every third turn</t>
  </si>
  <si>
    <t>All heroes: Shields, health and pips limited to 7</t>
  </si>
  <si>
    <t>All monsters: +2 hp for each 5 base hp</t>
  </si>
  <si>
    <t>Monster HP+++++</t>
  </si>
  <si>
    <t>At the end of each turn, 1 damage to all heroes</t>
  </si>
  <si>
    <t>Sandstorm+++++</t>
  </si>
  <si>
    <t>You can only roll 1 dice at a time
+1 reroll</t>
  </si>
  <si>
    <t>At the start of the first turn, shield 3 to all enemies</t>
  </si>
  <si>
    <t>All heroes: 1 of every 2 max hp starts empty</t>
  </si>
  <si>
    <t>All tiny enemies: +3 to all sides</t>
  </si>
  <si>
    <t>Shield Response++</t>
  </si>
  <si>
    <t>All monsters: After taking damage, self-shield 2</t>
  </si>
  <si>
    <t>Mana -1</t>
  </si>
  <si>
    <t>All heroes: -1 to all mana/mana gain sides</t>
  </si>
  <si>
    <t>Sticky blanks</t>
  </si>
  <si>
    <t>All heroes: Add sticky to all blank sides</t>
  </si>
  <si>
    <t>Shimmering Monsters</t>
  </si>
  <si>
    <t>All monsters: The third to last hp pip must be removed by spell damage</t>
  </si>
  <si>
    <t>Single spells</t>
  </si>
  <si>
    <t>Add single-cast to all spells</t>
  </si>
  <si>
    <t>Back to basics</t>
  </si>
  <si>
    <t>All heroes: Remove all keywords from all sides</t>
  </si>
  <si>
    <t>Monster Column +1</t>
  </si>
  <si>
    <t>All monsters: +1 to the middle column</t>
  </si>
  <si>
    <t>Creaky Joints</t>
  </si>
  <si>
    <t>During the first turn, -1 to hero sides</t>
  </si>
  <si>
    <t>Caltrops</t>
  </si>
  <si>
    <t>All heroes: Replace the rightmost side with '1 self damage cantrip'</t>
  </si>
  <si>
    <t>All monsters: +5 to the left side</t>
  </si>
  <si>
    <t>Monster +1 (11-20)</t>
  </si>
  <si>
    <t>During level 11-20: All monsters: +1 to all sides</t>
  </si>
  <si>
    <t>Add Imp</t>
  </si>
  <si>
    <t>Add an imp to each fight</t>
  </si>
  <si>
    <t>Add [purple]Imp[cu]</t>
  </si>
  <si>
    <t>Add Caw Egg</t>
  </si>
  <si>
    <t>Add a caw egg to each fight</t>
  </si>
  <si>
    <t>Add [purple]Caw[cu] Egg</t>
  </si>
  <si>
    <t>Add Gnoll</t>
  </si>
  <si>
    <t>Add a gnoll to each fight</t>
  </si>
  <si>
    <t>Add [purple]Gnoll[cu]</t>
  </si>
  <si>
    <t>Add Snake</t>
  </si>
  <si>
    <t>Add a snake to each fight</t>
  </si>
  <si>
    <t>Add [purple]Snake[cu]</t>
  </si>
  <si>
    <t>Add Sudul</t>
  </si>
  <si>
    <t>Add a sudul to each fight</t>
  </si>
  <si>
    <t>Add [purple]Sudul[cu]</t>
  </si>
  <si>
    <t>Add Sniper</t>
  </si>
  <si>
    <t>Add a sniper to each fight</t>
  </si>
  <si>
    <t>Add [purple]Sniper[cu]</t>
  </si>
  <si>
    <t>Add Saber (11-20)</t>
  </si>
  <si>
    <t>During levels 11-20: add a saber to each fight</t>
  </si>
  <si>
    <t>Add [purple]Saber[cu] (11-20)</t>
  </si>
  <si>
    <t>Add Caw (11-20)</t>
  </si>
  <si>
    <t>During levels 11-20: add a caw to each fight</t>
  </si>
  <si>
    <t>Add [purple]Caw[cu] (11-20)</t>
  </si>
  <si>
    <t>Add Warchief (11-20)</t>
  </si>
  <si>
    <t>During levels 11-20: add a warchief to each fight</t>
  </si>
  <si>
    <t>Add [purple]Warchief[cu] (11-20)</t>
  </si>
  <si>
    <t>3rd turn Gnolls</t>
  </si>
  <si>
    <t>Summon a gnoll every third turn</t>
  </si>
  <si>
    <t>3rd turn Thorns</t>
  </si>
  <si>
    <t>Summon a thorn every third turn</t>
  </si>
  <si>
    <t>3rd turn Quartz</t>
  </si>
  <si>
    <t>Summon a quartz every third turn</t>
  </si>
  <si>
    <t>3rd turn Imps</t>
  </si>
  <si>
    <t>Summon an imp every third turn</t>
  </si>
  <si>
    <t>All monsters: +1 hp for each 3 base hp</t>
  </si>
  <si>
    <t>Monster HP++++++</t>
  </si>
  <si>
    <t>At the end of every second turn, 3 damage to all heroes</t>
  </si>
  <si>
    <t>Sandstorm++++++</t>
  </si>
  <si>
    <t>Slippery Dice++</t>
  </si>
  <si>
    <t>All heroes: Cannot be rerolled</t>
  </si>
  <si>
    <t>Third death</t>
  </si>
  <si>
    <t>The third dice you use each turn gains death</t>
  </si>
  <si>
    <t>Damage -1</t>
  </si>
  <si>
    <t>All heroes: -1 to all damage sides</t>
  </si>
  <si>
    <t>Migraine</t>
  </si>
  <si>
    <t>All heroes: -1 to the two left sides</t>
  </si>
  <si>
    <t>Growing HP</t>
  </si>
  <si>
    <t>For each defeated boss: All monsters: +1 max hp</t>
  </si>
  <si>
    <t>Consistency</t>
  </si>
  <si>
    <t>All heroes: Replace damage sides with '2 damage'</t>
  </si>
  <si>
    <t>Doom++++</t>
  </si>
  <si>
    <t>At the end of the fourth turn, 8 damage to all heroes</t>
  </si>
  <si>
    <t>Monster Rights +2</t>
  </si>
  <si>
    <t>All monsters: +2 to the two right sides</t>
  </si>
  <si>
    <t>Add Thorn</t>
  </si>
  <si>
    <t>Add a thorn to each fight</t>
  </si>
  <si>
    <t>Add [purple]Thorn[cu]</t>
  </si>
  <si>
    <t>Add Crone</t>
  </si>
  <si>
    <t>Add [purple]Crone[cu]</t>
  </si>
  <si>
    <t>Add Bandit</t>
  </si>
  <si>
    <t>Add a bandit to each fight</t>
  </si>
  <si>
    <t>Add [purple]Bandit[cu]</t>
  </si>
  <si>
    <t>Add Boar</t>
  </si>
  <si>
    <t>Add a boar to each fight</t>
  </si>
  <si>
    <t>Add [purple]Boar[cu]</t>
  </si>
  <si>
    <t>Add Grave</t>
  </si>
  <si>
    <t>Add a grave to each fight</t>
  </si>
  <si>
    <t>Add [purple]Grave[cu]</t>
  </si>
  <si>
    <t>Add Quartz</t>
  </si>
  <si>
    <t>Add a quartz to each fight</t>
  </si>
  <si>
    <t>Add [purple]Quartz[cu]</t>
  </si>
  <si>
    <t>Add Slate (11-20)</t>
  </si>
  <si>
    <t>During levels 11-20: add a slate to each fight</t>
  </si>
  <si>
    <t>Add [purple]Slate[cu] (11-20)</t>
  </si>
  <si>
    <t>Add Alpha (11-20)</t>
  </si>
  <si>
    <t>During levels 11-20: add an alpha to each fight</t>
  </si>
  <si>
    <t>Add [purple]Alpha[cu] (11-20)</t>
  </si>
  <si>
    <t>Add Ogre (11-20)</t>
  </si>
  <si>
    <t>During levels 11-20: add an ogre to each fight</t>
  </si>
  <si>
    <t>Add [purple]Ogre[cu] (11-20)</t>
  </si>
  <si>
    <t>3rd turn Dragon Eggs</t>
  </si>
  <si>
    <t>Summon a dragon egg every third turn</t>
  </si>
  <si>
    <t>3rd turn Boars</t>
  </si>
  <si>
    <t>Summon a boar every third turn</t>
  </si>
  <si>
    <t>3rd turn Bandits</t>
  </si>
  <si>
    <t>Summon a bandit every third turn</t>
  </si>
  <si>
    <t>3rd turn Crones</t>
  </si>
  <si>
    <t>Summon a crone every third turn</t>
  </si>
  <si>
    <t>3rd turn Graves</t>
  </si>
  <si>
    <t>Summon a grave every third turn</t>
  </si>
  <si>
    <t>Summon Slimelets</t>
  </si>
  <si>
    <t>Summon a slimelet each turn</t>
  </si>
  <si>
    <t>Summon</t>
  </si>
  <si>
    <t>Summon Illusions</t>
  </si>
  <si>
    <t>Summon an illusion each turn</t>
  </si>
  <si>
    <t>Mortal+++++</t>
  </si>
  <si>
    <t>All heroes: Shields, health and pips limited to 6</t>
  </si>
  <si>
    <t>All monsters: +3 hp for each 6 base hp</t>
  </si>
  <si>
    <t>Monster HP+++++++</t>
  </si>
  <si>
    <t>At the end of every third turn, 6 damage to all heroes</t>
  </si>
  <si>
    <t>Sandstorm+++++++</t>
  </si>
  <si>
    <t>Worse Items++</t>
  </si>
  <si>
    <t>-3 item quality</t>
  </si>
  <si>
    <t>Left Blank</t>
  </si>
  <si>
    <t>All heroes: Replace the left side with 'blank'</t>
  </si>
  <si>
    <t>1-10 curses</t>
  </si>
  <si>
    <t>After beating level 1-10: gain a t1 curse</t>
  </si>
  <si>
    <t>Top Death</t>
  </si>
  <si>
    <t>No top hero</t>
  </si>
  <si>
    <t>Middle Death</t>
  </si>
  <si>
    <t>No middle hero</t>
  </si>
  <si>
    <t>Bottom Death</t>
  </si>
  <si>
    <t>No bottom hero</t>
  </si>
  <si>
    <t>Rise</t>
  </si>
  <si>
    <t>All monsters except bones: Upon death: summon a bones</t>
  </si>
  <si>
    <t>All Poisoned</t>
  </si>
  <si>
    <t>All heroes: Start poisoned</t>
  </si>
  <si>
    <t>Monster Row +1</t>
  </si>
  <si>
    <t>All monsters: +1 to the middle row</t>
  </si>
  <si>
    <t>Reanimated Bosses</t>
  </si>
  <si>
    <t>For each defeated boss: Add a bones to each fight</t>
  </si>
  <si>
    <t>Add Dragon Egg</t>
  </si>
  <si>
    <t>Add a dragon egg to each fight</t>
  </si>
  <si>
    <t>Add [purple]Dragon[cu] Egg</t>
  </si>
  <si>
    <t>Add Demon (11-20)</t>
  </si>
  <si>
    <t>During levels 11-20: add a demon to each fight</t>
  </si>
  <si>
    <t>Add [purple]Demon[cu] (11-20)</t>
  </si>
  <si>
    <t>Add Basilisk (11-20)</t>
  </si>
  <si>
    <t>During levels 11-20: add a basilisk to each fight</t>
  </si>
  <si>
    <t>Add [purple]Basilisk[cu] (11-20)</t>
  </si>
  <si>
    <t>Add Cyclops (11-20)</t>
  </si>
  <si>
    <t>During levels 11-20: add a cyclops to each fight</t>
  </si>
  <si>
    <t>Add [purple]Cyclops[cu] (11-20)</t>
  </si>
  <si>
    <t>Add Bramble (11-20)</t>
  </si>
  <si>
    <t>During levels 11-20: add a bramble to each fight</t>
  </si>
  <si>
    <t>Add [purple]Bramble[cu] (11-20)</t>
  </si>
  <si>
    <t>Add Z0mbie (11-20)</t>
  </si>
  <si>
    <t>During levels 11-20: add a z0mbie to each fight</t>
  </si>
  <si>
    <t>Add [purple]Z0mbie[cu] (11-20)</t>
  </si>
  <si>
    <t>3rd turn Fanatics</t>
  </si>
  <si>
    <t>3rd turn Zombies</t>
  </si>
  <si>
    <t>3rd turn Slimers</t>
  </si>
  <si>
    <t>3rd turn Ghosts</t>
  </si>
  <si>
    <t>Summon a ghost every third turn</t>
  </si>
  <si>
    <t>3rd turn Wizz</t>
  </si>
  <si>
    <t>Summon a wizz every third turn</t>
  </si>
  <si>
    <t>Summon Archers</t>
  </si>
  <si>
    <t>Summon an archer each turn</t>
  </si>
  <si>
    <t>All monsters: +2 hp for each 4 base hp</t>
  </si>
  <si>
    <t>Monster HP++++++++</t>
  </si>
  <si>
    <t>At the end of every second turn, 4 damage to all heroes</t>
  </si>
  <si>
    <t>Sandstorm++++++++</t>
  </si>
  <si>
    <t>Second death</t>
  </si>
  <si>
    <t>The second dice you use each turn gain death</t>
  </si>
  <si>
    <t>Monster self-heal</t>
  </si>
  <si>
    <t>All monsters: Add self-heal to all sides</t>
  </si>
  <si>
    <t>De-level top and bottom</t>
  </si>
  <si>
    <t>Downgrade the top and bottom heroes to level 0</t>
  </si>
  <si>
    <t>Hero heavy</t>
  </si>
  <si>
    <t>All heroes: Add heavy to all sides</t>
  </si>
  <si>
    <t>Consistency+</t>
  </si>
  <si>
    <t>All heroes: Replace all sides with '2 damage'</t>
  </si>
  <si>
    <t>Doom+++++</t>
  </si>
  <si>
    <t>At the end of the third turn, 8 damage to all heroes</t>
  </si>
  <si>
    <t>Add Fanatic</t>
  </si>
  <si>
    <t>Add a fanatic to each fight</t>
  </si>
  <si>
    <t>Add [purple]Fanatic[cu]</t>
  </si>
  <si>
    <t>Add Ghost</t>
  </si>
  <si>
    <t>Add a ghost to each fight</t>
  </si>
  <si>
    <t>Add [purple]Ghost[cu]</t>
  </si>
  <si>
    <t>Add Zombie</t>
  </si>
  <si>
    <t>Add a zombie to each fight</t>
  </si>
  <si>
    <t>Add [purple]Zombie[cu]</t>
  </si>
  <si>
    <t>Add Slimer</t>
  </si>
  <si>
    <t>Add a slimer to each fight</t>
  </si>
  <si>
    <t>Add [purple]Slimer[cu]</t>
  </si>
  <si>
    <t>Add Wizz</t>
  </si>
  <si>
    <t>Add a wizz to each fight</t>
  </si>
  <si>
    <t>Add [purple]Wizz[cu]</t>
  </si>
  <si>
    <t>3rd turn Sabers</t>
  </si>
  <si>
    <t>Summon a saber every third turn</t>
  </si>
  <si>
    <t>3rd turn Warchiefs</t>
  </si>
  <si>
    <t>Summon a warchief every third turn</t>
  </si>
  <si>
    <t>3rd turn Caws</t>
  </si>
  <si>
    <t>Summon a caw every third turn</t>
  </si>
  <si>
    <t>3rd turn Alphas</t>
  </si>
  <si>
    <t>Summon an alpha every third turn</t>
  </si>
  <si>
    <t>3rd turn Ogres</t>
  </si>
  <si>
    <t>Summon an ogre every third turn</t>
  </si>
  <si>
    <t>Summon Rats</t>
  </si>
  <si>
    <t>Summon a rat each turn</t>
  </si>
  <si>
    <t>All monsters: +1 hp for each 2 base hp</t>
  </si>
  <si>
    <t>At the end of each turn, 2 damage to all heroes</t>
  </si>
  <si>
    <t>Frailty</t>
  </si>
  <si>
    <t>All heroes: If you have gained no shields this turn, x2 to incoming damage</t>
  </si>
  <si>
    <t>Monster era</t>
  </si>
  <si>
    <t>All monsters: Add era to all sides</t>
  </si>
  <si>
    <t>Hero single-use</t>
  </si>
  <si>
    <t>All heroes: Add single use to all sides</t>
  </si>
  <si>
    <t>Monster Column +2</t>
  </si>
  <si>
    <t>All monsters: +2 to the middle column</t>
  </si>
  <si>
    <t>Monster +1</t>
  </si>
  <si>
    <t>All monsters: +1 to all sides</t>
  </si>
  <si>
    <t>Monster Rights +3</t>
  </si>
  <si>
    <t>All monsters: +3 to the two right sides</t>
  </si>
  <si>
    <t>Add Caw</t>
  </si>
  <si>
    <t>Add a caw to each fight</t>
  </si>
  <si>
    <t>Add [purple]Caw[cu]</t>
  </si>
  <si>
    <t>Add Saber</t>
  </si>
  <si>
    <t>Add a saber to each fight</t>
  </si>
  <si>
    <t>Add [purple]Saber[cu]</t>
  </si>
  <si>
    <t>Add Warchief</t>
  </si>
  <si>
    <t>Add a warchief to each fight</t>
  </si>
  <si>
    <t>Add [purple]Warchief[cu]</t>
  </si>
  <si>
    <t>Add Troll (11-20)</t>
  </si>
  <si>
    <t>During levels 11-20: add a troll to each fight</t>
  </si>
  <si>
    <t>Add [purple]Troll[cu] (11-20)</t>
  </si>
  <si>
    <t>Add Banshee (11-20)</t>
  </si>
  <si>
    <t>During levels 11-20: add a banshee to each fight</t>
  </si>
  <si>
    <t>Add [purple]Banshee[cu] (11-20)</t>
  </si>
  <si>
    <t>Add Spiker (11-20)</t>
  </si>
  <si>
    <t>During levels 11-20: add a spiker to each fight</t>
  </si>
  <si>
    <t>Add [purple]Spiker[cu] (11-20)</t>
  </si>
  <si>
    <t>Mortal++++++</t>
  </si>
  <si>
    <t>All heroes: Shields, health and pips limited to 5</t>
  </si>
  <si>
    <t>Monster inflict-death</t>
  </si>
  <si>
    <t>All monsters: Add inflict-death to all sides</t>
  </si>
  <si>
    <t>-2 Rerolls</t>
  </si>
  <si>
    <t>-2 rerolls</t>
  </si>
  <si>
    <t>Hero exert</t>
  </si>
  <si>
    <t>All heroes: Add exert to all sides</t>
  </si>
  <si>
    <t>Hero pain</t>
  </si>
  <si>
    <t>All heroes: Add pain to all sides</t>
  </si>
  <si>
    <t>Undying Monsters+</t>
  </si>
  <si>
    <t>All monsters: Cannot be killed on the 2 turns</t>
  </si>
  <si>
    <t>Caltrops+</t>
  </si>
  <si>
    <t>All heroes: Replace the two right sides with '1 self damage cantrip'</t>
  </si>
  <si>
    <t>Monster +2 (11-20)</t>
  </si>
  <si>
    <t>During level 11-20: All monsters: +2 to all sides</t>
  </si>
  <si>
    <t>Add Ogre</t>
  </si>
  <si>
    <t>Add an ogre to each fight</t>
  </si>
  <si>
    <t>Add [purple]Ogre[cu]</t>
  </si>
  <si>
    <t>Add Alpha</t>
  </si>
  <si>
    <t>Add an alpha to each fight</t>
  </si>
  <si>
    <t>Add [purple]Alpha[cu]</t>
  </si>
  <si>
    <t>3rd turn Demons</t>
  </si>
  <si>
    <t>Summon a demon every third turn</t>
  </si>
  <si>
    <t>3rd turn Slates</t>
  </si>
  <si>
    <t>Summon a slate every third turn</t>
  </si>
  <si>
    <t>3rd turn Basilisks</t>
  </si>
  <si>
    <t>Summon a basilisk every third turn</t>
  </si>
  <si>
    <t>3rd turn Z0mbies</t>
  </si>
  <si>
    <t>Summon a z0mbie every third turn</t>
  </si>
  <si>
    <t>Add Slate</t>
  </si>
  <si>
    <t>Add a slate to each fight</t>
  </si>
  <si>
    <t>Add [purple]Slate[cu]</t>
  </si>
  <si>
    <t>Summon Bones</t>
  </si>
  <si>
    <t>Summon a bones each turn</t>
  </si>
  <si>
    <t>Summon Spiders</t>
  </si>
  <si>
    <t>Summon a spider each turn</t>
  </si>
  <si>
    <t>De-level top three</t>
  </si>
  <si>
    <t>Downgrade the top three heroes to level 0</t>
  </si>
  <si>
    <t>De-level every other</t>
  </si>
  <si>
    <t>Downgrade the every other hero to level 0</t>
  </si>
  <si>
    <t>Growing HP+</t>
  </si>
  <si>
    <t>For each defeated boss: All monsters: +2 max hp</t>
  </si>
  <si>
    <t>Add Basilisk</t>
  </si>
  <si>
    <t>Add a basilisk to each fight</t>
  </si>
  <si>
    <t>Add [purple]Basilisk[cu]</t>
  </si>
  <si>
    <t>Add Z0mbie</t>
  </si>
  <si>
    <t>Add a z0mbie to each fight</t>
  </si>
  <si>
    <t>Add [purple]Z0mbie[cu]</t>
  </si>
  <si>
    <t>Add Hydra (11-20)</t>
  </si>
  <si>
    <t>During levels 11-20: add a hydra to each fight</t>
  </si>
  <si>
    <t>Add [purple]Hydra[cu] (11-20)</t>
  </si>
  <si>
    <t>Curse of Horus</t>
  </si>
  <si>
    <t>All heroes: -1 to all sides</t>
  </si>
  <si>
    <t>Monster Row +2</t>
  </si>
  <si>
    <t>All monsters: +2 to the middle row</t>
  </si>
  <si>
    <t>Caltrops++</t>
  </si>
  <si>
    <t>All heroes: Replace the middle side with '2 self damage cantrip'</t>
  </si>
  <si>
    <t>Doom++++++</t>
  </si>
  <si>
    <t>At the end of the second turn, 8 damage to all heroes</t>
  </si>
  <si>
    <t>Add Cyclops</t>
  </si>
  <si>
    <t>Add a cyclops to each fight</t>
  </si>
  <si>
    <t>Add [purple]Cyclops[cu]</t>
  </si>
  <si>
    <t>Add Demon</t>
  </si>
  <si>
    <t>Add a demon to each fight</t>
  </si>
  <si>
    <t>Add [purple]Demon[cu]</t>
  </si>
  <si>
    <t>Add Bramble</t>
  </si>
  <si>
    <t>Add a bramble to each fight</t>
  </si>
  <si>
    <t>Add [purple]Bramble[cu]</t>
  </si>
  <si>
    <t>Summon Wisps</t>
  </si>
  <si>
    <t>Summon a wisp each turn</t>
  </si>
  <si>
    <t>Summon Goblins</t>
  </si>
  <si>
    <t>Summon a goblin each turn</t>
  </si>
  <si>
    <t>Add Lich (11-20)</t>
  </si>
  <si>
    <t>During levels 11-20: add a lich to each fight</t>
  </si>
  <si>
    <t>Add [purple]Lich[cu] (11-20)</t>
  </si>
  <si>
    <t>Summon Suduls</t>
  </si>
  <si>
    <t>Summon a sudul each turn</t>
  </si>
  <si>
    <t>Summon Wolves</t>
  </si>
  <si>
    <t>Summon a wolf each turn</t>
  </si>
  <si>
    <t>Mortal+++++++</t>
  </si>
  <si>
    <t>All heroes: Shields, health and pips limited to 4</t>
  </si>
  <si>
    <t>Edge death</t>
  </si>
  <si>
    <t>No top and bottom heroes</t>
  </si>
  <si>
    <t>Skip rewards 11-19</t>
  </si>
  <si>
    <t>Skip rewards from levels 11-19</t>
  </si>
  <si>
    <t>Caltrops+++</t>
  </si>
  <si>
    <t>All heroes: Replace the top and bottom sides with '1 self damage cantrip'</t>
  </si>
  <si>
    <t>Boss Spirits</t>
  </si>
  <si>
    <t>For each defeated boss: Add a ghost to each fight</t>
  </si>
  <si>
    <t>Add Troll</t>
  </si>
  <si>
    <t>Add a troll to each fight</t>
  </si>
  <si>
    <t>Add [purple]Troll[cu]</t>
  </si>
  <si>
    <t>Summon Imps</t>
  </si>
  <si>
    <t>Summon an imp each turn</t>
  </si>
  <si>
    <t>Summon Snipers</t>
  </si>
  <si>
    <t>Summon a sniper each turn</t>
  </si>
  <si>
    <t>Summon Caw Eggs</t>
  </si>
  <si>
    <t>Summon a caw egg each turn</t>
  </si>
  <si>
    <t>Summon Snakes</t>
  </si>
  <si>
    <t>Summon a snake each turn</t>
  </si>
  <si>
    <t>Add Banshee</t>
  </si>
  <si>
    <t>Add a banshee to each fight</t>
  </si>
  <si>
    <t>Add [purple]Banshee[cu]</t>
  </si>
  <si>
    <t>Add Spiker</t>
  </si>
  <si>
    <t>Add a spiker to each fight</t>
  </si>
  <si>
    <t>Add [purple]Spiker[cu]</t>
  </si>
  <si>
    <t>Summon Gnolls</t>
  </si>
  <si>
    <t>Summon a gnoll each turn</t>
  </si>
  <si>
    <t>Monster +2</t>
  </si>
  <si>
    <t>All monsters: +2 to all sides</t>
  </si>
  <si>
    <t>Summon Thorns</t>
  </si>
  <si>
    <t>Summon a thorn each turn</t>
  </si>
  <si>
    <t>Growing HP++</t>
  </si>
  <si>
    <t>For each defeated boss: All monsters: +3 max hp</t>
  </si>
  <si>
    <t>Summon Boars</t>
  </si>
  <si>
    <t>Summon a boar each turn</t>
  </si>
  <si>
    <t>Summon Quartz</t>
  </si>
  <si>
    <t>Summon a quartz each turn</t>
  </si>
  <si>
    <t>Summon Graves</t>
  </si>
  <si>
    <t>Summon a grave each turn</t>
  </si>
  <si>
    <t>Summon Bandits</t>
  </si>
  <si>
    <t>Summon a bandit each turn</t>
  </si>
  <si>
    <t>Summon Crones</t>
  </si>
  <si>
    <t>Summon a crone each turn</t>
  </si>
  <si>
    <t>Monster HP+++++++++</t>
  </si>
  <si>
    <t>All monsters: +1 hp for each 1 base hp</t>
  </si>
  <si>
    <t>Double Monsters</t>
  </si>
  <si>
    <t>Double the monsters in each fight (Also double the space for enemies)</t>
  </si>
  <si>
    <t>Add Hydra</t>
  </si>
  <si>
    <t>Add a hydra to each fight</t>
  </si>
  <si>
    <t>Add [purple]Hydra[cu]</t>
  </si>
  <si>
    <t>Summon Dragon Eggs</t>
  </si>
  <si>
    <t>Summon a dragon egg each turn</t>
  </si>
  <si>
    <t>Summon Wizz</t>
  </si>
  <si>
    <t>Summon a wizz each turn</t>
  </si>
  <si>
    <t>Summon Fanatics</t>
  </si>
  <si>
    <t>Summon a fanatic each turn</t>
  </si>
  <si>
    <t>Summon Ghosts</t>
  </si>
  <si>
    <t>Summon a ghost each turn</t>
  </si>
  <si>
    <t>Add Lich</t>
  </si>
  <si>
    <t>Add a lich to each fight</t>
  </si>
  <si>
    <t>Add [purple]Lich[cu]</t>
  </si>
  <si>
    <t>Summon Zombies</t>
  </si>
  <si>
    <t>Summon a zombie each turn</t>
  </si>
  <si>
    <t>Summon Sabers</t>
  </si>
  <si>
    <t>Summon a saber each turn</t>
  </si>
  <si>
    <t>Summon Slimers</t>
  </si>
  <si>
    <t>Summon a slimer each turn</t>
  </si>
  <si>
    <t>Mortal++++++++</t>
  </si>
  <si>
    <t>All heroes: Shields, health and pips limited to 3</t>
  </si>
  <si>
    <t>Hero death</t>
  </si>
  <si>
    <t>All heroes: Add death to all sides</t>
  </si>
  <si>
    <t>Doom+++++++</t>
  </si>
  <si>
    <t>At the end of the first turn, 8 damage to all heroes</t>
  </si>
  <si>
    <t>Add Dragon (11-20)</t>
  </si>
  <si>
    <t>During levels 11-20: add a dragon to each fight</t>
  </si>
  <si>
    <t>Add [purple]Dragon[cu] (11-20)</t>
  </si>
  <si>
    <t>Summon Caws</t>
  </si>
  <si>
    <t>Summon a caw each turn</t>
  </si>
  <si>
    <t>Summon Warchiefs</t>
  </si>
  <si>
    <t>Summon a warchief each turn</t>
  </si>
  <si>
    <t>Summon Ogres</t>
  </si>
  <si>
    <t>Summon an ogre each turn</t>
  </si>
  <si>
    <t>Summon Alphas</t>
  </si>
  <si>
    <t>Summon an alpha each turn</t>
  </si>
  <si>
    <t>Summon Slates</t>
  </si>
  <si>
    <t>Summon a slate each turn</t>
  </si>
  <si>
    <t>Summon Z0mbies</t>
  </si>
  <si>
    <t>Summon a z0mbie each turn</t>
  </si>
  <si>
    <t>Summon Basilisks</t>
  </si>
  <si>
    <t>Summon a basilisk each turn</t>
  </si>
  <si>
    <t>Summon Demons</t>
  </si>
  <si>
    <t>Summon a demon each turn</t>
  </si>
  <si>
    <t>Summon Cyclops</t>
  </si>
  <si>
    <t>Summon a cyclops each turn</t>
  </si>
  <si>
    <t>Summon Brambles</t>
  </si>
  <si>
    <t>Summon a bramble each turn</t>
  </si>
  <si>
    <t>Summon Trolls</t>
  </si>
  <si>
    <t>Summon a troll each turn</t>
  </si>
  <si>
    <t>Mortal+++++++++</t>
  </si>
  <si>
    <t>All heroes: Shields, health and pips limited to 2</t>
  </si>
  <si>
    <t>Summon Banshees</t>
  </si>
  <si>
    <t>Summon a banshee each turn</t>
  </si>
  <si>
    <t>Summon Spikers</t>
  </si>
  <si>
    <t>Summon a spiker each turn</t>
  </si>
  <si>
    <t>Add Dragon</t>
  </si>
  <si>
    <t>Add a dragon to each fight</t>
  </si>
  <si>
    <t>Add [purple]Dragon[cu]</t>
  </si>
  <si>
    <t>Summon Hydras</t>
  </si>
  <si>
    <t>Summon a hydra each turn</t>
  </si>
  <si>
    <t>Summon Lichs</t>
  </si>
  <si>
    <t>Summon a lich each turn</t>
  </si>
  <si>
    <t>Mortal++++++++++</t>
  </si>
  <si>
    <t>All heroes: Shields, health and pips limited to 1</t>
  </si>
  <si>
    <t>BUG</t>
  </si>
  <si>
    <t>Add an error to each fight</t>
  </si>
  <si>
    <t>Tweak is an event that can appear during a run. They will affect a game depending on
their effects. You have the option to accept or decline it.</t>
  </si>
  <si>
    <t>Huge Plague</t>
  </si>
  <si>
    <t>All huge enemies: Add poison &amp; pain to all sides</t>
  </si>
  <si>
    <t>Small Sacrifice</t>
  </si>
  <si>
    <t>All tiny enemies: +3 &amp; Add death to all sides</t>
  </si>
  <si>
    <t>Topsy Turvy</t>
  </si>
  <si>
    <t>All heroes: Replace all sides with the hero above's base sides</t>
  </si>
  <si>
    <t>Power Up</t>
  </si>
  <si>
    <t>All heroes: +1 to all sides
All monsters: +2 to all sides</t>
  </si>
  <si>
    <t>+2 hp to ALL</t>
  </si>
  <si>
    <t>All heroes and monsters: +2 max hp</t>
  </si>
  <si>
    <t>+2 hp to [b]all[b]</t>
  </si>
  <si>
    <t>-2 hp to ALL</t>
  </si>
  <si>
    <t>All heroes and monsters: -2 max hp</t>
  </si>
  <si>
    <t>-2 hp to [b]all[b]</t>
  </si>
  <si>
    <t>Toxic Fog</t>
  </si>
  <si>
    <t>All heroes and monsters: Start poisoned</t>
  </si>
  <si>
    <t>Tweaked Monsters</t>
  </si>
  <si>
    <t>All monsters: -2 max hp
All monsters: +1 to all sides</t>
  </si>
  <si>
    <t>Monster +1 Wands</t>
  </si>
  <si>
    <t>All monsters: +1 &amp; Add single-use to all sides</t>
  </si>
  <si>
    <t>Good Trade</t>
  </si>
  <si>
    <t>Gain the items 'Coiled Snake' (Must be equipped; Starts poisoned)
and 'Chainmail' (+3 max hp)</t>
  </si>
  <si>
    <t>Keep Rolling</t>
  </si>
  <si>
    <t>+2 Rerolls
All heroes: Cannot be locked</t>
  </si>
  <si>
    <t>Mana Flux</t>
  </si>
  <si>
    <t>Spells cost +1 mana
-1 max stored mana
All heroes: +1 to all mana/mana gain sides</t>
  </si>
  <si>
    <t>Specialist</t>
  </si>
  <si>
    <t>All heroes: +1 to left side &amp; replace the middle side with 'blank'</t>
  </si>
  <si>
    <t>Loan</t>
  </si>
  <si>
    <t>All heroes: +5 max hp
All heroes: Add pain to all sides</t>
  </si>
  <si>
    <t>370 blessings (98 non-generated blessings, 272 generated blessings)</t>
  </si>
  <si>
    <t>Blessing name</t>
  </si>
  <si>
    <t>True name</t>
  </si>
  <si>
    <t>+1 max mana per boss</t>
  </si>
  <si>
    <t>For each defeated boss: +1 max stored mana</t>
  </si>
  <si>
    <t>Number of blessing(s)</t>
  </si>
  <si>
    <t>+3 max mana</t>
  </si>
  <si>
    <t>+3 max stored mana</t>
  </si>
  <si>
    <t>Hero rite</t>
  </si>
  <si>
    <t>All heroes: Add rite to all sides</t>
  </si>
  <si>
    <t>Monster decay</t>
  </si>
  <si>
    <t>All monsters: Add decay to all sides</t>
  </si>
  <si>
    <t>Challenge each level</t>
  </si>
  <si>
    <t>After each fight, Standard challenge</t>
  </si>
  <si>
    <t>Deep Pockets</t>
  </si>
  <si>
    <t>All heroes: +1 item slot (max 3)</t>
  </si>
  <si>
    <t>Rebalance</t>
  </si>
  <si>
    <t>Wolf, Slate &amp; Wisp: -2 max hp</t>
  </si>
  <si>
    <t>Mana per boss</t>
  </si>
  <si>
    <t>For each defeated boss: At the start of the first turn, +1 mana</t>
  </si>
  <si>
    <t>Threee</t>
  </si>
  <si>
    <t>At the start of every third turn, +3 mana</t>
  </si>
  <si>
    <t>Heal 5th</t>
  </si>
  <si>
    <t>Every fifth dice you use each turn gains self-heal</t>
  </si>
  <si>
    <t>Essence Capture</t>
  </si>
  <si>
    <t>All heroes: Upon death: +2 mana</t>
  </si>
  <si>
    <t>Underworld Deal</t>
  </si>
  <si>
    <t>All heroes: No hp penalty when defeated</t>
  </si>
  <si>
    <t>Essence Thief</t>
  </si>
  <si>
    <t>All monsters: Upon death: +1 mana</t>
  </si>
  <si>
    <t>Hero ranged</t>
  </si>
  <si>
    <t>All heroes: Add ranged to all sides</t>
  </si>
  <si>
    <t>Growth fan</t>
  </si>
  <si>
    <t>Gain the items 'Seedling' (Replace the left side with '2 damage growth')
and 'Glowing Egg' (Add growth to the left side)</t>
  </si>
  <si>
    <t>Survival Specialist</t>
  </si>
  <si>
    <t>All heroes: +1 to incoming healing
All heroes: +2 empty max hp</t>
  </si>
  <si>
    <t>Survival specialist+</t>
  </si>
  <si>
    <t>Boss Smash</t>
  </si>
  <si>
    <t>During boss levels: All heroes: +1 to all sides</t>
  </si>
  <si>
    <t>Boss Smash+</t>
  </si>
  <si>
    <t>Fizzing</t>
  </si>
  <si>
    <t>At the start of the first turn, +2 mana</t>
  </si>
  <si>
    <t>Crackling</t>
  </si>
  <si>
    <t>Jewelled Chalice</t>
  </si>
  <si>
    <t>At the start of the first 4 turns, +1 mana</t>
  </si>
  <si>
    <t>Infinite Chalice</t>
  </si>
  <si>
    <t>Cache</t>
  </si>
  <si>
    <t>Start with 3x random tier 1 items
Starrt with 2x random tier 2 items</t>
  </si>
  <si>
    <t>Golden Cache</t>
  </si>
  <si>
    <t>+1 reroll</t>
  </si>
  <si>
    <t>Shiny</t>
  </si>
  <si>
    <t>+2 item quality</t>
  </si>
  <si>
    <t>Youth</t>
  </si>
  <si>
    <t>Tier 1 heroes get +3 max hp
Tier 2 heroes get +1 max hp</t>
  </si>
  <si>
    <t>Leyline</t>
  </si>
  <si>
    <t>The third spell you cast each fight is free.</t>
  </si>
  <si>
    <t>Preparation</t>
  </si>
  <si>
    <t>At the start of the first turn, shield 2 to all heroes</t>
  </si>
  <si>
    <t>Hero patient</t>
  </si>
  <si>
    <t>All heroes: Add patient to all sides</t>
  </si>
  <si>
    <t>Potential</t>
  </si>
  <si>
    <t>During the fifth turn, +3 to hero sides</t>
  </si>
  <si>
    <t>Treasure-seeker</t>
  </si>
  <si>
    <t>All heroes: +1 item slot (max 3)
+1 item quality</t>
  </si>
  <si>
    <t>Turn 3 Heal</t>
  </si>
  <si>
    <t>At the start of the third turn, heal and shield 3 to all heroes</t>
  </si>
  <si>
    <t>Save Spell</t>
  </si>
  <si>
    <t>Gain 'Save' Spell (Cost: 1 mana - Heal and shield 5 cleanse, single-cast)</t>
  </si>
  <si>
    <t>Vitamin E</t>
  </si>
  <si>
    <t>All heroes: +1 max hp for each 'e' in their name</t>
  </si>
  <si>
    <t>Cataclysm</t>
  </si>
  <si>
    <t>At the end of the seventh turn, kill all enemies (except reinforcements)</t>
  </si>
  <si>
    <t>Fumes</t>
  </si>
  <si>
    <t>The monster with the most hp starts poisoned for 2</t>
  </si>
  <si>
    <t>Greased Dice</t>
  </si>
  <si>
    <t>The first turn: +1 reroll
During boss levels: +1 reroll</t>
  </si>
  <si>
    <t>Lucky Start</t>
  </si>
  <si>
    <t>The first turn: +2 Rerolls</t>
  </si>
  <si>
    <t>Shrink</t>
  </si>
  <si>
    <t>All tiny enemies: -2 max hp</t>
  </si>
  <si>
    <t>Bolt Spell</t>
  </si>
  <si>
    <t>Gain 'Bolt' Spell (Cost: 3 mana - 5 damage)</t>
  </si>
  <si>
    <t>Middle-shield</t>
  </si>
  <si>
    <t>All heroes: Add self-shield to the middle side</t>
  </si>
  <si>
    <t>Cruel Burst</t>
  </si>
  <si>
    <t>Add cruel to burst</t>
  </si>
  <si>
    <t>Hero terminal</t>
  </si>
  <si>
    <t>All heroes: Add terminal to all sides</t>
  </si>
  <si>
    <t>Hero ego</t>
  </si>
  <si>
    <t>All heroes: Add ego to all sides</t>
  </si>
  <si>
    <t>Hero enduring</t>
  </si>
  <si>
    <t>All heroes: Add enduring to all sides</t>
  </si>
  <si>
    <t>Poison Immunity</t>
  </si>
  <si>
    <t>All heroes: Immune to poison</t>
  </si>
  <si>
    <t>Weak Monsters</t>
  </si>
  <si>
    <t>All mosnters: -1 max hp</t>
  </si>
  <si>
    <t>All heroes: +1 to all heal/self-heal sides</t>
  </si>
  <si>
    <t>Shield 3rd</t>
  </si>
  <si>
    <t>Every third dice you use each turn gains self-shield</t>
  </si>
  <si>
    <t>Left Dog</t>
  </si>
  <si>
    <t>All heroes: Add dog to the left side</t>
  </si>
  <si>
    <t>Essence capture+</t>
  </si>
  <si>
    <t>All heroes: Upon death: +4 mana</t>
  </si>
  <si>
    <t>Shield+</t>
  </si>
  <si>
    <t>All heroes: +1 to all shield/self-shield sides</t>
  </si>
  <si>
    <t>Monster Blank</t>
  </si>
  <si>
    <t>All monsters: Replace the left side with 'blank'</t>
  </si>
  <si>
    <t>Reroll per boss</t>
  </si>
  <si>
    <t>For each defeated boss: +1 reroll</t>
  </si>
  <si>
    <t>Hamstring</t>
  </si>
  <si>
    <t>All monsters: -1 to the two right sides</t>
  </si>
  <si>
    <t>Echo ECHO echo...</t>
  </si>
  <si>
    <t>All heroes: Add echo to the middle side</t>
  </si>
  <si>
    <t>[b]Echo[b] ECHO echo...</t>
  </si>
  <si>
    <t>Hero cleanse</t>
  </si>
  <si>
    <t>All heroes: Add cleanse to all sides</t>
  </si>
  <si>
    <t>Hero dispel</t>
  </si>
  <si>
    <t>All heroes: Add dispel to all sides</t>
  </si>
  <si>
    <t>Stun Specialist</t>
  </si>
  <si>
    <t>Gain the items 'Fearless' (+1 max hp; Replace the rightmost side with 'Stun an enemy 
with equal or less hp than you') and 'Wand of Stun' (Replace the middle side with 
'Stun an enemy single-use')</t>
  </si>
  <si>
    <t>Great Start</t>
  </si>
  <si>
    <t>The first turn: All heroes: +1 to all sides</t>
  </si>
  <si>
    <t>Level-up top</t>
  </si>
  <si>
    <t>Level-up the top hero to level 3</t>
  </si>
  <si>
    <t>Level-up middle</t>
  </si>
  <si>
    <t>Level-up the middle hero to level 3</t>
  </si>
  <si>
    <t>Level-up bottom</t>
  </si>
  <si>
    <t>Level-up the bottom hero to level 3</t>
  </si>
  <si>
    <t>Cleave Burst</t>
  </si>
  <si>
    <t>Add cleave to burst</t>
  </si>
  <si>
    <t>+2 hero hp</t>
  </si>
  <si>
    <t>All heroes: +2 max hp</t>
  </si>
  <si>
    <t>Bone Math</t>
  </si>
  <si>
    <t>All monsters: 1 damage to adjacent allies upon death</t>
  </si>
  <si>
    <t>+2 Rerolls</t>
  </si>
  <si>
    <t>+2 rerolls</t>
  </si>
  <si>
    <t>Survival Specialist+</t>
  </si>
  <si>
    <t>All heroes: +1 to incoming healing and shields
All heroes: +4 empty max hp</t>
  </si>
  <si>
    <t>During boss levels: All heroes: +3 to all sides</t>
  </si>
  <si>
    <t>At the start of the first turn, +4 mana</t>
  </si>
  <si>
    <t>At the start of each turn, +1 mana
At the start of every fourth turn, +2 mana</t>
  </si>
  <si>
    <t>Start with 3x random tier 2 items
Start with 1x random tier 5 item</t>
  </si>
  <si>
    <t>Hero self-heal</t>
  </si>
  <si>
    <t>All heroes: Add self-heal to all sides</t>
  </si>
  <si>
    <t>Hero overdog</t>
  </si>
  <si>
    <t>All heroes: Add overdog to all sides</t>
  </si>
  <si>
    <t>Hero underdog</t>
  </si>
  <si>
    <t>All heroes: Add underdog to all sides</t>
  </si>
  <si>
    <t>Hero invigorate</t>
  </si>
  <si>
    <t>All heroes: Add invigorate to all sides</t>
  </si>
  <si>
    <t>Hero pair</t>
  </si>
  <si>
    <t>All heroes: Add pair to all sides</t>
  </si>
  <si>
    <t>Hero duel</t>
  </si>
  <si>
    <t>All heroes: Add duel to all sides</t>
  </si>
  <si>
    <t>Hero growth</t>
  </si>
  <si>
    <t>All heroes: Add growth to all sides</t>
  </si>
  <si>
    <t>Monster single-use</t>
  </si>
  <si>
    <t>All monsters: Add single-use to all sides</t>
  </si>
  <si>
    <t>Hero cruel</t>
  </si>
  <si>
    <t>Add heroes: Add cruel to all sides</t>
  </si>
  <si>
    <t>Absorb bosses</t>
  </si>
  <si>
    <t>For each defeated boss: All heroes: +1 to all sides</t>
  </si>
  <si>
    <t>Hero inspired</t>
  </si>
  <si>
    <t>All heroes: Add inspired to all sides</t>
  </si>
  <si>
    <t>Hero vulnerable</t>
  </si>
  <si>
    <t>All heroes: Add vulnerable to all sides</t>
  </si>
  <si>
    <t>Hero focus</t>
  </si>
  <si>
    <t>All heroes: Add focus to all sides</t>
  </si>
  <si>
    <t>Hero self-shield</t>
  </si>
  <si>
    <t>All heroes: Add self-shield to all sides</t>
  </si>
  <si>
    <t>Hero steel</t>
  </si>
  <si>
    <t>All heroes: Add steel to all sides</t>
  </si>
  <si>
    <t>Hero copycat</t>
  </si>
  <si>
    <t>All heroes: Add copycat to all sides</t>
  </si>
  <si>
    <t>Hero deathwish</t>
  </si>
  <si>
    <t>All heroes: Add deathwish to all sides</t>
  </si>
  <si>
    <t>Hero engage</t>
  </si>
  <si>
    <t>All heroes: Add engage to all sides</t>
  </si>
  <si>
    <t>Hero regen</t>
  </si>
  <si>
    <t>All heroes: Add regen to all sides</t>
  </si>
  <si>
    <t>Level-up top
and bottom</t>
  </si>
  <si>
    <t>Level-up the top and bottom heroes to level 3</t>
  </si>
  <si>
    <t>Hero poison</t>
  </si>
  <si>
    <t>All heroes: Add poison to all sides</t>
  </si>
  <si>
    <t>Favour of Horus</t>
  </si>
  <si>
    <t>All heroes: +1 to all sides</t>
  </si>
  <si>
    <t>Hero repel</t>
  </si>
  <si>
    <t>All heroes: Add repel to all sides</t>
  </si>
  <si>
    <t>Hero pristine</t>
  </si>
  <si>
    <t>All heroes: Add pristine to all sides</t>
  </si>
  <si>
    <t>Level-up top three</t>
  </si>
  <si>
    <t>Level-up the top three heroes to level 3</t>
  </si>
  <si>
    <t>Level-up every other</t>
  </si>
  <si>
    <t>Level-up the every other hero to level 3</t>
  </si>
  <si>
    <t>Hero bloodlust</t>
  </si>
  <si>
    <t>All heroes: Add bloodlust to all sides</t>
  </si>
  <si>
    <t>Barrel time</t>
  </si>
  <si>
    <t>All monsters: 5 damage to adjacent allies upon death</t>
  </si>
  <si>
    <t>Hero cantrip</t>
  </si>
  <si>
    <t>All heroes: Add cantrip to all sides</t>
  </si>
  <si>
    <t>Hero mana-gain</t>
  </si>
  <si>
    <t>All heroes: Add mana-gain to all sides</t>
  </si>
  <si>
    <t>Peace</t>
  </si>
  <si>
    <t>All monsters: -5 to all sides</t>
  </si>
  <si>
    <t>Item blessings</t>
  </si>
  <si>
    <t>i-Flickering Blade</t>
  </si>
  <si>
    <t>Gain the 'Flickering Blade' item (Replace the rightmost side with '1 damage copycat')</t>
  </si>
  <si>
    <t>i-Spell: Slice</t>
  </si>
  <si>
    <t>Gain the 'Spell: Slice' item (Cost: 3 mana - 1 damage to all enemies)</t>
  </si>
  <si>
    <t>i-Spell: Restore</t>
  </si>
  <si>
    <t>Gain the 'Spell: Restore' item (Cost: 2 mana - Heal 1 to all allies)</t>
  </si>
  <si>
    <t>i-Statuette</t>
  </si>
  <si>
    <t>Gain the 'Statuette' item (Replace the middle row with 'blank'
+6 max hp)</t>
  </si>
  <si>
    <t>i-Origami</t>
  </si>
  <si>
    <t>Gain the 'Origami' item (Swap each side with its opposite)</t>
  </si>
  <si>
    <t>i-Buckler</t>
  </si>
  <si>
    <t>Gain the 'Buckler' item (Replace the middle side with 'Shield 3 bloodlust')</t>
  </si>
  <si>
    <t>i-Cursed Bolt</t>
  </si>
  <si>
    <t>Gain the 'Cursed Bolt' item (After a spell is cast, 1 self damage
+1 to the two right sides)</t>
  </si>
  <si>
    <t>i-Sapphire</t>
  </si>
  <si>
    <t>Gain the 'Sapphire' item (Replace the middle side with '+2 mana')</t>
  </si>
  <si>
    <t>i-Shortsword</t>
  </si>
  <si>
    <t>Gain the 'Shortsword' item (Replace the two right sides with '2 damage')</t>
  </si>
  <si>
    <t>i-Gambler's Ace</t>
  </si>
  <si>
    <t>Gain the 'Gambler's Ace' item (+2 to left side, -2 to other sides)</t>
  </si>
  <si>
    <t>i-Garnet</t>
  </si>
  <si>
    <t>Gain the 'Garnet' item (+1 to incoming healing)</t>
  </si>
  <si>
    <t>i-Powdered Mana</t>
  </si>
  <si>
    <t>Gain the 'Powdered Mana' item (Replace blank sides with '+1 mana')</t>
  </si>
  <si>
    <t>i-Burning Blade</t>
  </si>
  <si>
    <t>Gain the 'Burning Blade' item (Replace the left side with '4 damage'
-2 max hp)</t>
  </si>
  <si>
    <t>i-Citrine Ring</t>
  </si>
  <si>
    <t>Gain the 'Citrine Ring' item (+1 to the rightmost side)</t>
  </si>
  <si>
    <t>i-Big Hammer</t>
  </si>
  <si>
    <t>Gain the 'Big Hammer' item (Replace the two left sides with '5 damage heavy' &amp; 'blank')</t>
  </si>
  <si>
    <t>i-Relic</t>
  </si>
  <si>
    <t>Gain the 'Relic' item (+1 to all sides if you are on exactly 1 hp)</t>
  </si>
  <si>
    <t>i-Blessed Water</t>
  </si>
  <si>
    <t>Gain the 'Blessed Water' item (Replace the rightmost side with 'Heal 2 vitality')</t>
  </si>
  <si>
    <t>i-Longbow</t>
  </si>
  <si>
    <t>Gain the 'Longbow' item (Replace the top and bottom sides with '2 damage ranged')</t>
  </si>
  <si>
    <t>i-Blessed Ring</t>
  </si>
  <si>
    <t>Gain the 'Blessed Ring' item (Replace the rightmost side with 'Shield 1 rescue')</t>
  </si>
  <si>
    <t>i-Twin Daggers</t>
  </si>
  <si>
    <t>Gain the 'Twin Daggers' item (Replace the top and bottom sides with '1 damage cantrip')</t>
  </si>
  <si>
    <t>i-Liqueur</t>
  </si>
  <si>
    <t>Gain the 'Liqueur' item (Swap the top side with the rightmost side+2 max stored mana)</t>
  </si>
  <si>
    <t>i-Sapphire Skull</t>
  </si>
  <si>
    <t>Gain the 'Sapphire Skull' item (Upon death: +2 mana)</t>
  </si>
  <si>
    <t>i-Mana Potion</t>
  </si>
  <si>
    <t>Gain the 'Mana Potion' item (Replace the rightmost side with '+5 mana drink')</t>
  </si>
  <si>
    <t>i-2 of Hearts</t>
  </si>
  <si>
    <t>Gain the '2 of Hearts' item (At the start of each turn, self-heal 2 if you are on exactly 2 hp)</t>
  </si>
  <si>
    <t>i-First-aid Kit</t>
  </si>
  <si>
    <t>Gain the 'First-aid Kit' item (Orange heroes only
Replace the left side with 'Heal 4 cleanse')</t>
  </si>
  <si>
    <t>i-Friendship Bracelet</t>
  </si>
  <si>
    <t>Gain the 'Friendship Bracelet' item (+2 empty max hp
Monsters flee if you have 5x as much hp as them instead of 10x)</t>
  </si>
  <si>
    <t>i-Titanbane Potion</t>
  </si>
  <si>
    <t>Gain the 'Titanbane Potion' item (Add dispel &amp; drink &amp; +1 to the middle side)</t>
  </si>
  <si>
    <t>i-Square Wheel</t>
  </si>
  <si>
    <t>Gain the 'Square Wheel' item (Replace the three right sides with 'Gain 1 reroll cantrip',
'blank' &amp; 'blank')</t>
  </si>
  <si>
    <t>i-Silver Imp</t>
  </si>
  <si>
    <t>Gain the 'Silver Imp' item (Replace the top and bottom sides with 'Gain 1 reroll cantrip,
pain')</t>
  </si>
  <si>
    <t>i-Fletching</t>
  </si>
  <si>
    <t>Gain the 'Fletching' item (Add ranged to the left side)</t>
  </si>
  <si>
    <t>i-Cheater's Sleeves</t>
  </si>
  <si>
    <t>Gain the 'Cheater's Sleeves' item (Add quin to the top and bottom sides)</t>
  </si>
  <si>
    <t>i-Whey</t>
  </si>
  <si>
    <t>Gain the 'Whey' item (Add vitality to the left side)</t>
  </si>
  <si>
    <t>i-Wandify</t>
  </si>
  <si>
    <t>Gain the 'Wandify' item (Add single-use &amp; +1 to the two right sides)</t>
  </si>
  <si>
    <t>i-Leather Gloves</t>
  </si>
  <si>
    <t>Gain the 'Leather Gloves' item (Copy the rightmost side onto the top and bottom sides)</t>
  </si>
  <si>
    <t>i-Regen Potion</t>
  </si>
  <si>
    <t>Gain the 'Regen Potion' item (Replace the bottom side with 'Heal 3 drink, regen')</t>
  </si>
  <si>
    <t>i-Iron Heart</t>
  </si>
  <si>
    <t>Gain the 'Iron Heart' item (Add exert &amp; +1 to all sides
+1 max hp)</t>
  </si>
  <si>
    <t>i-Incense</t>
  </si>
  <si>
    <t>Gain the 'Incense' item (Add rite to the top side)</t>
  </si>
  <si>
    <t>i-Spell: Remedy</t>
  </si>
  <si>
    <t>Gain the 'Spell: Remedy' item (Cost:1 - Heal 1 cleanse, single-cast)</t>
  </si>
  <si>
    <t>i-Golden Thread</t>
  </si>
  <si>
    <t>Gain the 'Golden Thread' item (Yellow heroes only
+1 to all non-damage sides)</t>
  </si>
  <si>
    <t>i-Glass Blade</t>
  </si>
  <si>
    <t>Gain the 'Glass Blade' item (Replace the left side with '5 damage'
'Glass Blade' lost upon death)</t>
  </si>
  <si>
    <t>i-Urn</t>
  </si>
  <si>
    <t>Gain the 'Urn' item (Add enduring to the middle side)</t>
  </si>
  <si>
    <t>i-Pure Heart Pendant</t>
  </si>
  <si>
    <t>Gain the 'Pure Heart Pendant' item (Replace the middle side with 'Heal 3 cleanse')</t>
  </si>
  <si>
    <t>i-Scalpel</t>
  </si>
  <si>
    <t>Gain the 'Scalpel' item (Red heroes only
+1 to all damage sides)</t>
  </si>
  <si>
    <t>i-Rain of Arrows</t>
  </si>
  <si>
    <t>Gain the 'Rain of Arrows' item (Replace the top side with '1 damage ranged, duplicate')</t>
  </si>
  <si>
    <t>i-Lead Boots</t>
  </si>
  <si>
    <t>Gain the 'Lead Boots' item (Cannot be rerolled
+1 to all sides)</t>
  </si>
  <si>
    <t>i-Abacus</t>
  </si>
  <si>
    <t>Gain the 'Abacus' item (Shift your middle row across by 1+1 max hp)</t>
  </si>
  <si>
    <t>i-Lightning Rod</t>
  </si>
  <si>
    <t>Gain the 'Lightning Rod' item (Replace the left side with '0 damage ranged, charged, 
rampage, pain')</t>
  </si>
  <si>
    <t>i-Iron Pendant</t>
  </si>
  <si>
    <t>Gain the 'Iron Pendant' item (+1 to incoming shields)</t>
  </si>
  <si>
    <t>i-Droopy Hat</t>
  </si>
  <si>
    <t>Gain the 'Droopy Hat' item (+2 max hp
+2 max stored mana)</t>
  </si>
  <si>
    <t>i-Autumn Leaf</t>
  </si>
  <si>
    <t>Gain the 'Autumn Leaf' item (Add growth to the rightmost side)</t>
  </si>
  <si>
    <t>i-Enchanted Shield</t>
  </si>
  <si>
    <t>Gain the 'Enchanted Shield' item (At the start of each turn, self-shield 1)</t>
  </si>
  <si>
    <t>i-Whetstone</t>
  </si>
  <si>
    <t>Gain the 'Whetstone' item (+1 to all basic damage sides)</t>
  </si>
  <si>
    <t>i-Faint Halo</t>
  </si>
  <si>
    <t>Gain the 'Faint Halo' item (+1 max hp this fight whenever you save a hero)</t>
  </si>
  <si>
    <t>i-Pocket Phylactery</t>
  </si>
  <si>
    <t>Gain the 'Pocket Phylactery' item (Add pain to the two left sides+6 max hp)</t>
  </si>
  <si>
    <t>i-Blood Chalice</t>
  </si>
  <si>
    <t>Gain the 'Blood Chalice' item (Self-shield 1 for each wasted point of healing you receive)</t>
  </si>
  <si>
    <t>i-Unholy Strength</t>
  </si>
  <si>
    <t>Gain the 'Unholy Strength' item (Immune to shields
Immune to healing
+1 to the middle row)</t>
  </si>
  <si>
    <t>i-Idol of Aiiu</t>
  </si>
  <si>
    <t>Gain the 'Idol of Aiiu' item (+1 max hp for each vowel in your name)</t>
  </si>
  <si>
    <t>i-Tower Shield</t>
  </si>
  <si>
    <t>Gain the 'Tower Shield' item (Replace the middle side with 'Shield 7 heavy')</t>
  </si>
  <si>
    <t>i-Clumsy Hammer</t>
  </si>
  <si>
    <t>Gain the 'Clumsy Hammer' item (Replace the top side with '4 damage heavy, eliminate')</t>
  </si>
  <si>
    <t>i-Three-of-a-Kind</t>
  </si>
  <si>
    <t>Gain the 'Three-of-a-Kind' item (Add triple to the rightmost side)</t>
  </si>
  <si>
    <t>i-Rejuvenation Wand</t>
  </si>
  <si>
    <t>Gain the 'Rejuvenation Wand' item (Replace the top and bottom sides with 
'Heal 10 single-use')</t>
  </si>
  <si>
    <t>i-Lucky</t>
  </si>
  <si>
    <t>Gain the 'Lucky' item (+1 to the left side, -2 to the middle side)</t>
  </si>
  <si>
    <t>i-Bowl</t>
  </si>
  <si>
    <t>Gain the 'Bowl' item (Revert all changes to all sides)</t>
  </si>
  <si>
    <t>i-Spell: Sprout</t>
  </si>
  <si>
    <t>Gain the 'Spell: Remedy' item (Cost: 1 mana - Heal 1 cleanse, single-cast)</t>
  </si>
  <si>
    <t>i-Lich's Tome</t>
  </si>
  <si>
    <t>Gain the 'Lich's Tome' item (+1 to all sides
After you use this dice, summon a bones)</t>
  </si>
  <si>
    <t>i-Lich Finger</t>
  </si>
  <si>
    <t>Gain the 'Lich Finger' item (Add mana-gain &amp; death to the left side)</t>
  </si>
  <si>
    <t>i-Ritual Dagger</t>
  </si>
  <si>
    <t>Gain the 'Ritual Dagger' item (Replace the rightmost side with 'Revive the 4 top-most 
defeated allies death')</t>
  </si>
  <si>
    <t>i-Splitting Arrows</t>
  </si>
  <si>
    <t>Gain the 'Splitting Arrows' item (Replace the two right sides with '1 damage ranged, 
cleave')</t>
  </si>
  <si>
    <t>i-Hissing Ring</t>
  </si>
  <si>
    <t>Gain the 'Hissing Ring' item (Replace the middle side with '2 damage poison')</t>
  </si>
  <si>
    <t>i-Harpoon</t>
  </si>
  <si>
    <t>Gain the 'Harpoon' item (Replace the rightmost side with '1 damage vulnerable')</t>
  </si>
  <si>
    <t>i-Magic Staff</t>
  </si>
  <si>
    <t>Gain the 'Magic Staff' item (Set all mana/mana-gain sides to 2)</t>
  </si>
  <si>
    <t>i-Charon's Obol</t>
  </si>
  <si>
    <t>Gain the 'Charon's Obol' item (Add deathwish to the two right sides)</t>
  </si>
  <si>
    <t>i-Demon Eye</t>
  </si>
  <si>
    <t>Gain the 'Demon Eye' item (Add pain &amp; +2 to the left side)</t>
  </si>
  <si>
    <t>i-Spell: Hack</t>
  </si>
  <si>
    <t>Gain the 'Spell: Hack' item (Cost: 2 mana - Replace blank sides with '4 damage' this turn)</t>
  </si>
  <si>
    <t>i-Antivenom</t>
  </si>
  <si>
    <t>Gain the 'Antivenom' item (Immune to poison)</t>
  </si>
  <si>
    <t>i-Mini Crossbow</t>
  </si>
  <si>
    <t>Gain the 'Mini Crossbow' item (Replace the rightmost side with '2 damage ranged, 
engage')</t>
  </si>
  <si>
    <t>i-Chainmail</t>
  </si>
  <si>
    <t>Gain the 'Chainmail' item (+3 max hp)</t>
  </si>
  <si>
    <t>i-Empty Chalice</t>
  </si>
  <si>
    <t>Gain the 'Empty Chalice' item (If you have 0 mana at the end of the turn, +1 mana)</t>
  </si>
  <si>
    <t>i-Troll's Nose</t>
  </si>
  <si>
    <t>Gain the 'Troll's Nose' item (Regenerate 1 health at the end of each turn)</t>
  </si>
  <si>
    <t>i-Spell: Hex</t>
  </si>
  <si>
    <t>Gain the 'Spell: Hex' item (Cost: 3 mana - Kill an enemy with exactly 6 hp ranged, 
single-cast)</t>
  </si>
  <si>
    <t>i-Terrarium</t>
  </si>
  <si>
    <t>Gain the 'Terrarium' item (Replace the two right sides with 'Shield 2 growth' &amp; 
'+1 mana growth')</t>
  </si>
  <si>
    <t>i-Smelly Manure</t>
  </si>
  <si>
    <t>Gain the 'Smelly Manure' item (Add growth to the top and bottom sides
Add decay to the middle row)</t>
  </si>
  <si>
    <t>i-Life Bolt</t>
  </si>
  <si>
    <t>Gain the 'Life Bolt' item (After a spell is cast, self-heal 1)</t>
  </si>
  <si>
    <t>i-Tiara</t>
  </si>
  <si>
    <t>Gain the 'Tiara' item (Add self-heal to all mana/mana-gain sides)</t>
  </si>
  <si>
    <t>i-Charged Skull</t>
  </si>
  <si>
    <t>Gain the 'Charged Skull' item (Upon death: +4 mana)</t>
  </si>
  <si>
    <t>i-Apple</t>
  </si>
  <si>
    <t>Gain the 'Apple' item (Add ego to the two left sides)</t>
  </si>
  <si>
    <t>i-Mana Jelly</t>
  </si>
  <si>
    <t>Gain the 'Mana Jelly' item (Add single-use &amp; cantrip to all mana/mana-gain sides)</t>
  </si>
  <si>
    <t>i-Longsword</t>
  </si>
  <si>
    <t>Gain the 'Longsword' item (Replace the middle row with '3 damage')</t>
  </si>
  <si>
    <t>i-Jester's Cap</t>
  </si>
  <si>
    <t>Gain the 'Jester's Cap' item (Replace all sides with Jester's sides)</t>
  </si>
  <si>
    <t>i-Diving Suit</t>
  </si>
  <si>
    <t>Gain the 'Diving Suit' item (Replace the two right sides with the hero below's base sides)</t>
  </si>
  <si>
    <t>i-Siphon</t>
  </si>
  <si>
    <t>Gain the 'Siphon' item (Replace the middle side with 'Heal 0 vitality, flesh, pain')</t>
  </si>
  <si>
    <t>i-Natural</t>
  </si>
  <si>
    <t>Gain the 'Natural' item (Blue heroes only
Replace the two right sides with '+2 mana')</t>
  </si>
  <si>
    <t>i-Cracked Wheel</t>
  </si>
  <si>
    <t>Gain the 'Cracked Wheel' item (Cannot be rerolled
+1 reroll)</t>
  </si>
  <si>
    <t>i-Mana Bomb</t>
  </si>
  <si>
    <t>Gain the 'Mana Bomb' item (Replace the rightmost side with '0 damage to all heroes 
and monsters charged, mana-cost')</t>
  </si>
  <si>
    <t>i-Quicksilver</t>
  </si>
  <si>
    <t>Gain the 'Quicksilver' item (Keep unused shields)</t>
  </si>
  <si>
    <t>i-Pillow</t>
  </si>
  <si>
    <t>Gain the 'Pillow' item (Add patient to the left side)</t>
  </si>
  <si>
    <t>i-Syringe</t>
  </si>
  <si>
    <t>Gain the 'Syringe' item (+5 to all sides if there are 2 or fewer living heroes)</t>
  </si>
  <si>
    <t>i-Viscera</t>
  </si>
  <si>
    <t>Gain the 'Viscera' item (Replace the middle side with '0 damage flesh, pain')</t>
  </si>
  <si>
    <t>i-Flawed Diamond</t>
  </si>
  <si>
    <t>Gain the 'Flawed Diamond' item (Add pristine to the two left sides
+4 empty max hp)</t>
  </si>
  <si>
    <t>i-Duelling Pistol</t>
  </si>
  <si>
    <t>Gain the 'Duelling Pistol' item (Add duel to the left side)</t>
  </si>
  <si>
    <t>i-PowerStone</t>
  </si>
  <si>
    <t>Gain the 'PowerStone' item (Grey heroes only
Replace the left side with '+0 mana steel')</t>
  </si>
  <si>
    <t>i-Bonesaw</t>
  </si>
  <si>
    <t>Gain the 'Bonesaw' item (Red heroes only
Replace the top and bottom sides with '3 damage cruel')</t>
  </si>
  <si>
    <t>i-Duck</t>
  </si>
  <si>
    <t>Gain the 'Duck' item (Add echo to the two right sides)</t>
  </si>
  <si>
    <t>i-Spell: Clink</t>
  </si>
  <si>
    <t>Gain the 'Spell: Clink' item (Cost: 2 mana - Double all friendly shields deplete)</t>
  </si>
  <si>
    <t>i-Faerie Pact</t>
  </si>
  <si>
    <t>Gain the 'Faerie Pact' item (Replace the rightmost side with '+4 mana'
-4 max hp)</t>
  </si>
  <si>
    <t>i-Eyepatch</t>
  </si>
  <si>
    <t>Gain the 'Eyepatch' item (Remove all keywords from the left side)</t>
  </si>
  <si>
    <t>i-Demon Horn</t>
  </si>
  <si>
    <t>Gain the 'Demon Horn' item (Replace the rightmost side with 'Heal 2 boost, inflict-pain')</t>
  </si>
  <si>
    <t>i-Determination</t>
  </si>
  <si>
    <t>Gain the 'Determination' item (Cannot be killed for the first 2 turns)</t>
  </si>
  <si>
    <t>i-Updog</t>
  </si>
  <si>
    <t>Gain the 'Updog' item (Add overdog to the top side)</t>
  </si>
  <si>
    <t>i-Pauldron</t>
  </si>
  <si>
    <t>Gain the 'Pauldron' item (+2 to the top side, -2 to the bottom side)</t>
  </si>
  <si>
    <t>i-Dragonhide Gloves</t>
  </si>
  <si>
    <t>Gain the 'Dragonhide Gloves' item (Copy the middle side onto the top and bottom sides)</t>
  </si>
  <si>
    <t>i-Sack of Mana</t>
  </si>
  <si>
    <t>Gain the 'Sack of Mana' item (Replace the middle column with 'blank', '+4 mana' &amp; 'blank')</t>
  </si>
  <si>
    <t>i-Idol of Chrzktx</t>
  </si>
  <si>
    <t>Gain the 'Idol of Chrzktx' item (+1 max hp for each consonant in your name)</t>
  </si>
  <si>
    <t>i-Ornate Hilt</t>
  </si>
  <si>
    <t>Gain the 'Ornate Hilt' item (Add self-shield to all damage sides)</t>
  </si>
  <si>
    <t>i-Enchanted Harp</t>
  </si>
  <si>
    <t>Gain the 'Enchanted Harp' item (Replace the middle side with 'Shield 2 to all allies')</t>
  </si>
  <si>
    <t>i-Ambrosia</t>
  </si>
  <si>
    <t>Gain the 'Ambrosia' item (Add rescue to the left side)</t>
  </si>
  <si>
    <t>i-Heart of Light</t>
  </si>
  <si>
    <t>Gain the 'Heart of Light' item (Replace the two right sides with 'Heal 3 cleanse')</t>
  </si>
  <si>
    <t>i-Red flag</t>
  </si>
  <si>
    <t>Gain the 'Red flag' item (+3 max hp
Replace the middle side with 'Redirect all enemy attacks/effects from an ally to you 
cleave')</t>
  </si>
  <si>
    <t>i-Fearless</t>
  </si>
  <si>
    <t>Gain the 'Fearless' item (+1 max hp
Replace the rightmost side with 'Stun an enemy with equal or less hp than you')</t>
  </si>
  <si>
    <t>i-Ordinary Triangle</t>
  </si>
  <si>
    <t>Gain the 'Ordinary Triangle' item (+1 to all sides with exactly 3 pips)</t>
  </si>
  <si>
    <t>i-Monocle</t>
  </si>
  <si>
    <t>Gain the 'Monocle' item (Add engage to the middle side)</t>
  </si>
  <si>
    <t>i-Simplicity</t>
  </si>
  <si>
    <t>Gain the 'Simplicity' item (+1 to all basic heal, mana, damage &amp; shield sides)</t>
  </si>
  <si>
    <t>i-Spell: Heat</t>
  </si>
  <si>
    <t>Gain the 'Spell: Heat' item (Cost: 3 mana - Heal 3 to all allies with shields cleanse)</t>
  </si>
  <si>
    <t>i-Chocolate Bar</t>
  </si>
  <si>
    <t>Gain the 'Chocolate Bar' item (+1 to all cruel, engage, deathwish &amp; chain sides)</t>
  </si>
  <si>
    <t>i-Tankard</t>
  </si>
  <si>
    <t>Gain the 'Tankard' item (+1 to all sides for each stack of poison on you)</t>
  </si>
  <si>
    <t>i-Door</t>
  </si>
  <si>
    <t>Gain the 'Door' item (+2 to all shield/self-shield sides if there are 4 or more monsters)</t>
  </si>
  <si>
    <t>i-Ruby</t>
  </si>
  <si>
    <t>Gain the 'Ruby' item (+2 to incoming healing
+2 empty max hp)</t>
  </si>
  <si>
    <t>i-Whiskey</t>
  </si>
  <si>
    <t>Gain the 'Whiskey' item (+2 max hp
+6 empty max hp)</t>
  </si>
  <si>
    <t>i-Polished Emerald</t>
  </si>
  <si>
    <t>Gain the 'Polished Emerald' item (Gain the effects of all tier 0-3 items on other heroes 
(not potions))</t>
  </si>
  <si>
    <t>i-Treasure Chest</t>
  </si>
  <si>
    <t>Gain the 'Treasure Chest' item (Add hoard &amp; single-use to the left side)</t>
  </si>
  <si>
    <t>i-Ladder</t>
  </si>
  <si>
    <t>Gain the 'Ladder' item (Replace the middle side with the hero above's base side)</t>
  </si>
  <si>
    <t>i-Blindfold</t>
  </si>
  <si>
    <t>Gain the 'Blindfold' item (Remove all keywords from the middle row)</t>
  </si>
  <si>
    <t>i-Eucalyptus</t>
  </si>
  <si>
    <t>Gain the 'Eucalyptus' item (Replace the right side with 'Heal 3 cleanse, double-use')</t>
  </si>
  <si>
    <t>i-Wand of Wand</t>
  </si>
  <si>
    <t>Gain the 'Wand of Wand' item (Replace the right side with '1 damage single-use, 
inflict-single-use')</t>
  </si>
  <si>
    <t>i-Sling</t>
  </si>
  <si>
    <t>Gain the 'Sling' item (Add underdog to the bottom side)</t>
  </si>
  <si>
    <t>i-Chakram</t>
  </si>
  <si>
    <t>Gain the 'Chakram' item (Replace shield/self-shield sides with ranged damage sides, 
retaining their original value and other keywords)</t>
  </si>
  <si>
    <t>i-Shining Bow</t>
  </si>
  <si>
    <t>Gain the 'Shining Bow' item (Add ranged to all damage sides)</t>
  </si>
  <si>
    <t>i-Alembic</t>
  </si>
  <si>
    <t>Gain the 'Alembic' item (Replace the middle side with 'Add mana-gain &amp; pain to target's 
sides this turn')</t>
  </si>
  <si>
    <t>i-Shuriken</t>
  </si>
  <si>
    <t>Gain the 'Shuriken' item (Add ranged &amp; chain to the two right sides)</t>
  </si>
  <si>
    <t>i-Spell: Beam</t>
  </si>
  <si>
    <t>Gain the 'Spell: Beam' item (Cost: 5 mana - 7 damage single-cast, ranged)</t>
  </si>
  <si>
    <t>i-Nunchaku</t>
  </si>
  <si>
    <t>Gain the 'Nunchaku' item (Add chain to the top and bottom sides)</t>
  </si>
  <si>
    <t>i-Tie</t>
  </si>
  <si>
    <t>Gain the 'Tie' item (Add pristine to the middle side)</t>
  </si>
  <si>
    <t>i-Wand Grips</t>
  </si>
  <si>
    <t>Gain the 'Wand Grips' item (Add single-use &amp; +2 to the left side)</t>
  </si>
  <si>
    <t>i-Twisted Bar</t>
  </si>
  <si>
    <t>Gain the 'Twisted Bar' item (Set all sides to 2)</t>
  </si>
  <si>
    <t>i-Ink Bottle</t>
  </si>
  <si>
    <t>Gain the 'Ink Bottle' item (Replace blank sides with 'Shield 1 cantrip')</t>
  </si>
  <si>
    <t>i-Thimble</t>
  </si>
  <si>
    <t>Gain the 'Thimble' item (Immune to damage during your turn)</t>
  </si>
  <si>
    <t>i-Karma</t>
  </si>
  <si>
    <t>Gain the 'Karma' item (Add self-heal to all heal sides
Add self-shield to all shield sides
Add pain to all damage sides)</t>
  </si>
  <si>
    <t>i-Candle</t>
  </si>
  <si>
    <t>Gain the 'Candle' item (Add vigil to all sides)</t>
  </si>
  <si>
    <t>i-Poodle</t>
  </si>
  <si>
    <t>Gain the 'Poodle' item (Add dog to the middle column)</t>
  </si>
  <si>
    <t>i-Leaden Handle</t>
  </si>
  <si>
    <t>Gain the 'Leaden Handle' item (Add heavy &amp; +1 to all damage sides)</t>
  </si>
  <si>
    <t>i-Hourglass</t>
  </si>
  <si>
    <t>Gain the 'Hourglass' item (First turn: +1 to all sides)</t>
  </si>
  <si>
    <t>i-Twisted Flax</t>
  </si>
  <si>
    <t>Gain the 'Twisted Flax' item (+1 to the top and bottom sides, -1 to the middle side)</t>
  </si>
  <si>
    <t>i-Silver Pendant</t>
  </si>
  <si>
    <t>Gain the 'Silver Pendant' item (+2 to incoming shields)</t>
  </si>
  <si>
    <t>i-Ghost Shield</t>
  </si>
  <si>
    <t>Gain the 'Ghost Shield' item (At the start of each turn, self-shield 2)</t>
  </si>
  <si>
    <t>i-Wrench</t>
  </si>
  <si>
    <t>Gain the 'Wrench' item (+1 to the middle side)</t>
  </si>
  <si>
    <t>i-Blood Amulet</t>
  </si>
  <si>
    <t>Gain the 'Blood Amulet' item (Add self-heal to the two left sides)</t>
  </si>
  <si>
    <t>i-Catnip</t>
  </si>
  <si>
    <t>Gain the 'Catnip' item (Add cantrip to the rightmost side)</t>
  </si>
  <si>
    <t>i-Overflowing Chalice</t>
  </si>
  <si>
    <t>Gain the 'Overflowing Chalice' item (If you have 3 or more mana at the end of the turn, 
+2 mana)</t>
  </si>
  <si>
    <t>i-Shimmering Halo</t>
  </si>
  <si>
    <t>Gain the 'Shimmering Halo' item (+2 max hp this fight whenever you save a hero)</t>
  </si>
  <si>
    <t>i-Tooth Necklace</t>
  </si>
  <si>
    <t>Gain the 'Tooth Necklace' item (Add cruel to the two left sides)</t>
  </si>
  <si>
    <t>i-Demonic Deal</t>
  </si>
  <si>
    <t>Gain the 'Demonic Deal' item (Add pain &amp; +2 to all sides)</t>
  </si>
  <si>
    <t>i-Dynamo</t>
  </si>
  <si>
    <t>Gain the 'Dynamo' item (Add single-use &amp; era to the two right sides)</t>
  </si>
  <si>
    <t>i-Crescent Shield</t>
  </si>
  <si>
    <t>Gain the 'Crescent Shield' item (Replace the left side with 'Shield 1 repel, rampage, rescue')</t>
  </si>
  <si>
    <t>i-Tentacle</t>
  </si>
  <si>
    <t>Gain the 'Tentacle' item (Add repel to the two right sides-2 max hp)</t>
  </si>
  <si>
    <t>i-Ocular Amulet</t>
  </si>
  <si>
    <t>Gain the 'Ocular Amulet' item (+1 to the left side)</t>
  </si>
  <si>
    <t>i-InfiniHeal</t>
  </si>
  <si>
    <t>Gain the 'InfiniHeal' item (Replace the two right sides with heal all sides, retaining 
their original value and keywords)</t>
  </si>
  <si>
    <t>i-Glowing Egg</t>
  </si>
  <si>
    <t>Gain the 'Glowing Egg' item (Add growth to the left side)</t>
  </si>
  <si>
    <t>i-Water</t>
  </si>
  <si>
    <t>Gain the 'Water' item (+1 to the left and right side, -1 to the middle and rightmost side)</t>
  </si>
  <si>
    <t>i-Duvet</t>
  </si>
  <si>
    <t>Gain the 'Duvet' item (Add patient to the three right sides)</t>
  </si>
  <si>
    <t>i-Lens</t>
  </si>
  <si>
    <t>Gain the 'Lens' item (Add focus to all heal/self-heal sides)</t>
  </si>
  <si>
    <t>i-Spinning Scythe</t>
  </si>
  <si>
    <t>Gain the 'Spinning Scythe' item (Replace the middle side with '1 damage to all heroes 
and monsters rampage')</t>
  </si>
  <si>
    <t>i-Blinding Bolt</t>
  </si>
  <si>
    <t>Gain the 'Blinding Bolt' item (After a spell is cast, self-shield 2)</t>
  </si>
  <si>
    <t>i-Glyph of Purity</t>
  </si>
  <si>
    <t>Gain the 'Glyph of Purity' item (Add cleanse to the top and bottom sides)</t>
  </si>
  <si>
    <t>i-Poem</t>
  </si>
  <si>
    <t>Gain the 'Poem' item (Add alliteration to all sides)</t>
  </si>
  <si>
    <t>i-Spell: Mark</t>
  </si>
  <si>
    <t>Gain the 'Spell: Mark' item (Cost: 4 mana - 2 damage vulnerable)</t>
  </si>
  <si>
    <t>i-Scales</t>
  </si>
  <si>
    <t>Gain the 'Scales' item (Set the value of the rightmost side to the maximum of your other 
side's values)</t>
  </si>
  <si>
    <t>i-Early Grave</t>
  </si>
  <si>
    <t>Gain the 'Early Grave' item (Add pain &amp; cantrip to the top and bottom sides)</t>
  </si>
  <si>
    <t>i-Spell: Spark</t>
  </si>
  <si>
    <t>Gain the 'Spell: Spark' item (Cost: 5 mana - Add mana-gain to target's sides this turn)</t>
  </si>
  <si>
    <t>i-Cauldron</t>
  </si>
  <si>
    <t>Gain the 'Cauldron' item (Add rite &amp; +1 to the middle side)</t>
  </si>
  <si>
    <t>i-Pair of Kings</t>
  </si>
  <si>
    <t>Gain the 'Pair of Kings' item (Add pair to the top and bottom sides)</t>
  </si>
  <si>
    <t>i-Ichor Chalice</t>
  </si>
  <si>
    <t>Gain the 'Ichor Chalice' item (1 damage to the top-most enemy for each wasted point of 
healing you receive)</t>
  </si>
  <si>
    <t>i-Two Reeds</t>
  </si>
  <si>
    <t>Gain the 'Two Reeds' item (+1 to all sides with even pips)</t>
  </si>
  <si>
    <t>i-Sharp Wit</t>
  </si>
  <si>
    <t>Gain the 'Sharp Wit' item (Replace mana/mana-gain sides with basic damage sides, 
retaining their other keywords and triple their values)</t>
  </si>
  <si>
    <t>i-Ogre Blood</t>
  </si>
  <si>
    <t>Gain the 'Ogre Blood' item (Add bloodlust to the middle side)</t>
  </si>
  <si>
    <t>i-Study</t>
  </si>
  <si>
    <t>Gain the 'Study' item (Cost: 2 mana - 3 damage or shield 3
Forget Burst)</t>
  </si>
  <si>
    <t>i-Spell: Invest</t>
  </si>
  <si>
    <t>Gain the 'Spell: Invest' item (Cost: 4 mana - +6 mana future, cooldown)</t>
  </si>
  <si>
    <t>i-Wooden Bracelet</t>
  </si>
  <si>
    <t>Gain the 'Wooden Bracelet' item (+1 to all sides with no keywords)</t>
  </si>
  <si>
    <t>i-Troll's Blood</t>
  </si>
  <si>
    <t>Gain the 'Troll's Blood' item (Regenerate 2 health at the end of each turn)</t>
  </si>
  <si>
    <t>i-Iron Helm</t>
  </si>
  <si>
    <t>Gain the 'Iron Helm' item (+6 max hp)</t>
  </si>
  <si>
    <t>i-Dragon Pipe</t>
  </si>
  <si>
    <t>Gain the 'Dragon Pipe' item (+1 to all heal/self-heal sides)</t>
  </si>
  <si>
    <t>i-Poison Dip</t>
  </si>
  <si>
    <t>Gain the 'Poison Dip' item (Add poison to the top and bottom sides)</t>
  </si>
  <si>
    <t>i-Metal Studs</t>
  </si>
  <si>
    <t>Gain the 'Metal Studs' item (+1 to all shield/self-shield sides)</t>
  </si>
  <si>
    <t>i-Second Chance</t>
  </si>
  <si>
    <t>Gain the 'Second Chance' item (Replace the rightmost side with 'Target hero can use their 
dice again')</t>
  </si>
  <si>
    <t>i-Demon Claw</t>
  </si>
  <si>
    <t>Gain the 'Demon Claw' item (Add rampage &amp; -1 to the left side)</t>
  </si>
  <si>
    <t>i-Pocket Mirror</t>
  </si>
  <si>
    <t>Gain the 'Pocket Mirror' item (Copy the left side onto the rightmost side)</t>
  </si>
  <si>
    <t>i-Boots of Speed</t>
  </si>
  <si>
    <t>Gain the 'Boots of Speed' item (+1 reroll
Replace the left side with 'Dodge all enemy attacks/effects')</t>
  </si>
  <si>
    <t>i-Sickle</t>
  </si>
  <si>
    <t>Gain the 'Sickle' item (+1 to all lowest-pip sides)</t>
  </si>
  <si>
    <t>i-Mushroom</t>
  </si>
  <si>
    <t>Gain the 'Mushroom' item (Add decay &amp; +1 to all sides)</t>
  </si>
  <si>
    <t>i-Stasis</t>
  </si>
  <si>
    <t>Gain the 'Stasis' item (Your sides cannot change)</t>
  </si>
  <si>
    <t>i-Flute</t>
  </si>
  <si>
    <t>Gain the 'Flute' item (Replace the rightmost side with 'Shield 1 to all allies cantrip')</t>
  </si>
  <si>
    <t>i-Charge Link</t>
  </si>
  <si>
    <t>Gain the 'Charge Link' item (Add charged &amp; single-use to the top and bottom sides)</t>
  </si>
  <si>
    <t>i-Wand of Stun</t>
  </si>
  <si>
    <t>Gain the 'Wand of Stun' item (Replace the middle side with 'Stun an enemy single-use')</t>
  </si>
  <si>
    <t>i-Broadsword</t>
  </si>
  <si>
    <t>Gain the 'Broadsword' item (Replace the middle column with '4 damage')</t>
  </si>
  <si>
    <t>i-Wax Seal</t>
  </si>
  <si>
    <t>Gain the 'Wax Seal' item (All sides get +1 for each other identical side)</t>
  </si>
  <si>
    <t>i-Tourmaline Paraiba</t>
  </si>
  <si>
    <t>Gain the 'Tourmaline Paraiba' item (Add era to all mana/mana-gain sides)</t>
  </si>
  <si>
    <t>i-Conduit</t>
  </si>
  <si>
    <t>Gain the 'Conduit' item (Replace the middle side with '+2 mana duplicate')</t>
  </si>
  <si>
    <t>i-Anvil</t>
  </si>
  <si>
    <t>Gain the 'Anvil' item (Add steel to the middle side)</t>
  </si>
  <si>
    <t>i-Spell: Charge</t>
  </si>
  <si>
    <t>Gain the 'Spell: Charge' item (Cost: 2 mana - Shield 2 boost, single-cast)</t>
  </si>
  <si>
    <t>i-Erythrocyte</t>
  </si>
  <si>
    <t>Gain the 'Erythrocyte' item (Replace the middle side with 'Shield 0 flesh')</t>
  </si>
  <si>
    <t>i-Clay</t>
  </si>
  <si>
    <t>Gain the 'Clay' item (Copy the other equipped items on this hero)</t>
  </si>
  <si>
    <t>i-Prism</t>
  </si>
  <si>
    <t>Gain the 'Prism' item (Add rainbow to the middle side)</t>
  </si>
  <si>
    <t>i-Enhance Wand</t>
  </si>
  <si>
    <t>Gain the 'Enhance Wand' item (Replace the top side with 'Shield 1 single-use, 
perma-boost')</t>
  </si>
  <si>
    <t>i-Mirror Mask</t>
  </si>
  <si>
    <t>Gain the 'Mirror Mask' item (Replace all sides with the hero above's base sides)</t>
  </si>
  <si>
    <t>i-Scorpion Tail</t>
  </si>
  <si>
    <t>Gain the 'Scorpion Tail' item (Add weaken &amp; pain to the top and bottom sides)</t>
  </si>
  <si>
    <t>i-Greatsword</t>
  </si>
  <si>
    <t>Gain the 'Greatsword' item (Replace the middle side with '5 damage inspired')</t>
  </si>
  <si>
    <t>i-Wandcraft</t>
  </si>
  <si>
    <t>Gain the 'Wandcraft' item (Replace all sides with single-use mana sides, retaining 
their original value and keywords)</t>
  </si>
  <si>
    <t>i-Deadly Bolt</t>
  </si>
  <si>
    <t>Gain the 'Deadly Bolt' item (After a spell is cast, 1 damage to the top-most enemy)</t>
  </si>
  <si>
    <t>i-Burning Halo</t>
  </si>
  <si>
    <t>Gain the 'Burning Halo' item (1 damage to all enemies whenever you save a hero)</t>
  </si>
  <si>
    <t>i-Sapphire Ring</t>
  </si>
  <si>
    <t>Gain the 'Sapphire Ring' item (+1 to all mana/mana-gain sides)</t>
  </si>
  <si>
    <t>i-Faerie Dust</t>
  </si>
  <si>
    <t>Gain the 'Faerie Dust' item (Replace blank sides with '+3 mana')</t>
  </si>
  <si>
    <t>i-Gauntlet</t>
  </si>
  <si>
    <t>Gain the 'Gauntlet' item (+1 to all damage sides)</t>
  </si>
  <si>
    <t>i-Spell: Light</t>
  </si>
  <si>
    <t>Gain the 'Spell: Light' item (Cost: 3 mana - Heal 5
Target hero can use their dice again single-cast)</t>
  </si>
  <si>
    <t>i-Singularity</t>
  </si>
  <si>
    <t>Gain the 'Singularity' item (+2 to the two right sides)</t>
  </si>
  <si>
    <t>i-Serration</t>
  </si>
  <si>
    <t>Gain the 'Serration' item (Add vulnerable to the top and bottom sides)</t>
  </si>
  <si>
    <t>i-Ironblood Pendant</t>
  </si>
  <si>
    <t>Gain the 'Ironblood Pendant' item (+3 to incoming healing and shields)</t>
  </si>
  <si>
    <t>i-Standard</t>
  </si>
  <si>
    <t>Gain the 'Standard' item (Yellow heroes only
+1 to all sides)</t>
  </si>
  <si>
    <t>i-Olympian Trident</t>
  </si>
  <si>
    <t>Gain the 'Olympian Trident' item (Add cleave to the middle side)</t>
  </si>
  <si>
    <t>i-Brimstone</t>
  </si>
  <si>
    <t>Gain the 'Brimstone' item (Triple the pips of the rightmost side)</t>
  </si>
  <si>
    <t>i-Cocoon</t>
  </si>
  <si>
    <t>Gain the 'Cocoon' item (Add era &amp; -1 to all sides)</t>
  </si>
  <si>
    <t>i-Sushi</t>
  </si>
  <si>
    <t>Gain the 'Sushi' item (Replace the left side with 'Gain 2 rerolls cantrip')</t>
  </si>
  <si>
    <t>i-Triple Shuriken</t>
  </si>
  <si>
    <t>Gain the 'Triple Shuriken' item (Add ranged &amp; chain to all sides)</t>
  </si>
  <si>
    <t>i-Collar</t>
  </si>
  <si>
    <t>Gain the 'Collar' item (Add copycat to the top and bottom sides)</t>
  </si>
  <si>
    <t>i-Silk Cape</t>
  </si>
  <si>
    <t>Gain the 'Silk Cape' item (Copy the left side onto the middle row)</t>
  </si>
  <si>
    <t>i-Emerald Mirror</t>
  </si>
  <si>
    <t>Gain the 'Emerald Mirror' item (Gain the effects of all tier 5-7 items on other heroes)</t>
  </si>
  <si>
    <t>i-Horned Viper</t>
  </si>
  <si>
    <t>Gain the 'Horned Viper' item (Add poison to the two left sides)</t>
  </si>
  <si>
    <t>i-Angel Feather</t>
  </si>
  <si>
    <t>Gain the 'Angel Feather' item (Add rescue to the top and bottom sides)</t>
  </si>
  <si>
    <t>i-Boarhide Bracers</t>
  </si>
  <si>
    <t>Gain the 'Boarhide Bracers' item (+2 to the top and bottom sides)</t>
  </si>
  <si>
    <t>i-Dumbbell</t>
  </si>
  <si>
    <t>Gain the 'Dumbbell' item (+4 to all sides with 4 or more pips)</t>
  </si>
  <si>
    <t>i-Chaos Wand</t>
  </si>
  <si>
    <t>Gain the 'Chaos Wand' item (Replace the middle side with 
'1 damage single-use, cleave, engage, self-heal, weaken, vulnerable')</t>
  </si>
  <si>
    <t>i-Eye of Horus</t>
  </si>
  <si>
    <t>Gain the 'Eye of Horus' item (+1 to all sides)</t>
  </si>
  <si>
    <t>i-Charged Hammer</t>
  </si>
  <si>
    <t>Gain the 'Charged Hammer' item (Replace the left side with '10 damage heavy, charged')</t>
  </si>
  <si>
    <t>i-Bullseye</t>
  </si>
  <si>
    <t>Gain the 'Bullseye' item (Add engage to the middle column)</t>
  </si>
  <si>
    <t>i-Timestone</t>
  </si>
  <si>
    <t>Gain the 'Timestone' item (Add cantrip to the two right sides)</t>
  </si>
  <si>
    <t>i-Iron Crown</t>
  </si>
  <si>
    <t>Gain the 'Iron Crown' item (Grey heroes only
+4 to the left side)</t>
  </si>
  <si>
    <t>i-Goblet of Life</t>
  </si>
  <si>
    <t>Gain the 'Goblet of Life' item (Replace the middle side with 'Heal and shield 2 cleave, 
self-heal, self-shield')</t>
  </si>
  <si>
    <t>i-Helm of Power</t>
  </si>
  <si>
    <t>Gain the 'Helm of Power' item (Double the pips of the left side)</t>
  </si>
  <si>
    <t>i-Dolphin</t>
  </si>
  <si>
    <t>Gain the 'Dolphin' item (Add echo to all sides)</t>
  </si>
  <si>
    <t>i-Poseidon's Charm</t>
  </si>
  <si>
    <t>Gain the 'Poseidon's Charm' item (Add cleave to the top and bottom sides)</t>
  </si>
  <si>
    <t>i-Diamond Skull</t>
  </si>
  <si>
    <t>Gain the 'Diamond Skull' item (+2 max hp
Upon death: +1 to allied sides this fight)</t>
  </si>
  <si>
    <t>i-Egg Basket</t>
  </si>
  <si>
    <t>Gain the 'Egg Basket' item (+6 to left side, replace all other sides with 'blank')</t>
  </si>
  <si>
    <t>i-Spell: Infinity</t>
  </si>
  <si>
    <t>Gain the 'Spell: Infinity' item (Cost: 10 mana - Kill an enemy)</t>
  </si>
  <si>
    <t>i-Fangs</t>
  </si>
  <si>
    <t>Gain the 'Fangs' item (Add invigorate to the top and bottom sides)</t>
  </si>
  <si>
    <t>i-Mithril Shields</t>
  </si>
  <si>
    <t>Gain the 'Mithril Shields' item (Add cantrip to all shield/self-shield sides)</t>
  </si>
  <si>
    <t>i-Top Duplicate</t>
  </si>
  <si>
    <t>Gain the 'Top Duplicate' item (Add duplicate to the top side)</t>
  </si>
  <si>
    <t>i-Blue Skink</t>
  </si>
  <si>
    <t>Gain the 'Blue Skink' item (Replace all sides with the hero below's base sides, retaining 
your side's values and keywords)</t>
  </si>
  <si>
    <t>i-Whirlwind</t>
  </si>
  <si>
    <t>Gain the 'Whirlwind' item (Add cantrip to the middle column)</t>
  </si>
  <si>
    <t>i-Ruby Shards</t>
  </si>
  <si>
    <t>Gain the 'Ruby Shards' item (Add cleave to all heal/self-heal/shield/self-shield sides)</t>
  </si>
  <si>
    <t>i-Huge Sword</t>
  </si>
  <si>
    <t>Gain the 'Huge Sword' item (Add cleave to all damage sides)</t>
  </si>
  <si>
    <t>i-Pentagram</t>
  </si>
  <si>
    <t>Gain the 'Pentagram' item (Cannot be killed for the first 4 turns)</t>
  </si>
  <si>
    <t>i-Golden D6</t>
  </si>
  <si>
    <t>Gain the 'Golden D6' item (Set the values of all sides to Ludus's sides)</t>
  </si>
  <si>
    <t>i-Broomstick</t>
  </si>
  <si>
    <t>Gain the 'Broomstick' item (Add mana-gain to the two left sides)</t>
  </si>
  <si>
    <t>i-Archmage Orb</t>
  </si>
  <si>
    <t>Gain the 'Archmage Orb' item (+1 mana for each wasted point of healing you receive)</t>
  </si>
  <si>
    <t>i-Face of Horus</t>
  </si>
  <si>
    <t>Gain the 'Face of Horus' item (+2 to all sides)</t>
  </si>
  <si>
    <t>i-Fertiliser</t>
  </si>
  <si>
    <t>Gain the 'Fertiliser' item (Add growth to all sides)</t>
  </si>
  <si>
    <t>i-placeholder</t>
  </si>
  <si>
    <t>Gain the 'placeholder' item (Add dispel to all sides)</t>
  </si>
  <si>
    <t>i-Diamond Ring</t>
  </si>
  <si>
    <t>Gain the 'Diamond Ring' item (Replace damage sides with heal, shield, mana-gain sides, 
retaining their original value and keywords)</t>
  </si>
  <si>
    <t>i-Ethereal Cloak</t>
  </si>
  <si>
    <t>Gain the 'Ethereal Cloak' item (Replace all sides with 'Dodge all enemy attacks/effects')</t>
  </si>
  <si>
    <t>i-Illegal</t>
  </si>
  <si>
    <t>Gain the 'Illegal' item (Replace left side with '2 rerolls cantrip' &amp; 
middle side with 'Target hero can use their dice again')</t>
  </si>
  <si>
    <t>i-Banned</t>
  </si>
  <si>
    <t>Gain the 'Banned' item (Add cleave to the left side &amp; growth to the middle side)</t>
  </si>
  <si>
    <t>i-Bag of Holding</t>
  </si>
  <si>
    <t>Gain the 'Bag of Holding' item (Gain the effects of all tier 7 items)</t>
  </si>
  <si>
    <t>Events can be unlocked after completing "Expert" achievement (Defeat 500 monsters). 
Upon unlocking, a random event has a small chance to occur after a fight. You can choose to accept or decline it.</t>
  </si>
  <si>
    <t>Event</t>
  </si>
  <si>
    <t>Description</t>
  </si>
  <si>
    <t>Challenge</t>
  </si>
  <si>
    <t>An offer to receive a set of items, but you will have to fight a set of 
monsters afterward on the floor you got the challenge</t>
  </si>
  <si>
    <t>Tweak</t>
  </si>
  <si>
    <t>An offer to receive a tweak (optional)</t>
  </si>
  <si>
    <t>Reroll Class</t>
  </si>
  <si>
    <t>Reroll the class of one of your heroes to another one with the same tier 
and color (Always a non-generated hero)</t>
  </si>
  <si>
    <t>Swap Hero</t>
  </si>
  <si>
    <t>Swap the position of a hero in your team with another hero in your team
(No side-effects)</t>
  </si>
  <si>
    <t>Anvil (Combine)</t>
  </si>
  <si>
    <t>Combine all your tier 0-3 items into a higher tier item:
     - Tier 0 items are worth 0.5 tier
     - Tier 1 items are worth 1 tier
     - Tier 2 items are worth 1.5 tier
     - Tier 3 items are worth 2 tier
At the end, result is rounded down to closest integer. If there is no item 
in that tier, you will get 'bug' (failsafe item). If you don't have any item to 
combine, you will get a free tier 0 item upon accepting</t>
  </si>
  <si>
    <t>Anvil (Smash)</t>
  </si>
  <si>
    <t>Smash your second highest tier item into tier 3 item(s)
Amount of T3 items = (Ingredient Tier / 3) rounded up to nearest integer
If you smash a tier 0 item or below, it will remove the item without 
giving back anything</t>
  </si>
  <si>
    <t>A guide to paste making</t>
  </si>
  <si>
    <t>Note: This guide does not cover in-depth functions in paste that is impractical.</t>
  </si>
  <si>
    <t>Basic</t>
  </si>
  <si>
    <t>{d:{l:{m:[Slimelet,Slimelet,Slimelet,Slimelet,Slimelet]},n:19,p:{e:[Castor Root,Friendship Bracelet],h:[Scoundrel,Eccentric~D~Egg basket,Statue,Enchanter,Student]},m:["Add [purple]Slimelet[cu]",3rd turn Slimelets,Summon Slimelets,Double Monsters],sl:12},p:["2{}",3],s:3333553541,v:201r}</t>
  </si>
  <si>
    <t>The string of text above is a paste. If you copy this string of text and play it in Paste mode, you will get a battle based on this string of text. You can edit this string of text and it will change the battle that you get when you paste it in-game according to what you have edited.</t>
  </si>
  <si>
    <t>Text</t>
  </si>
  <si>
    <t>Purpose</t>
  </si>
  <si>
    <t>Note</t>
  </si>
  <si>
    <t>m:[Slimelet,Slimelet,Slimelet,Slimelet,
Slimelet]</t>
  </si>
  <si>
    <t>Add enemies into your paste. You can type their in-game name here (not case-sensitive) and that enemy will show up in your game. (Jinx is an exception. If you type a wrong enemy name, you will get 'error' enemy, or the paste is not possible to run)</t>
  </si>
  <si>
    <t>Jinx's paste codes are at the end of the spreadsheet</t>
  </si>
  <si>
    <t>n:19</t>
  </si>
  <si>
    <t>Changes your current level. n:0 is level 1, n:1 is level 2, n:2 is level 3, n:3 is level 4 and so on. This affects background and trigger certain blessings/curses.</t>
  </si>
  <si>
    <t>e:[Castor Root,Friendship Bracelet]</t>
  </si>
  <si>
    <t>Add items into your paste. You can type their in-game name here (not case-sensitive) and that item will show up in your game. (If you type a wrong item name, you will get 'bug' item, or the paste is not possible to run)</t>
  </si>
  <si>
    <t>h:[Scoundrel, Eccentric, Statue, Enchanter, Student]</t>
  </si>
  <si>
    <t>Add heroes into your paste. You can type their in-game name here (not case-sensitive) and that hero will show up in your game. (If you type a wrong hero name, you will get 'Glitch' hero, or the paste is not possible to run)</t>
  </si>
  <si>
    <t>Generated hero names are case-sensitive</t>
  </si>
  <si>
    <t>h:[Eccentric~D~Egg basket]</t>
  </si>
  <si>
    <t>Add items onto your hero in your paste. You can type '~' after the hero name, then type the item in-game name here (not case-sensitive) and that item will be equipped on this hero in your game. You can equip as many items as you want on that hero, but most of them will be unequipped if you open the Inventory page. If you type ~D next to the hero, the game will register that this hero has died last level and will set them to half hp (unless you have curses/blessing/item that affect this)</t>
  </si>
  <si>
    <t>m:["Add [purple]Slimelet[cu]",3rd turn 
Slimelets,Summon Slimelets,Double 
Monsters]</t>
  </si>
  <si>
    <t>Add modifiers into your paste. You can type their in-game name here (not case-sensitive) and that modifier will show up in your game. (If you type a wrong modifier name, you will get 'BUG' curse, or the paste is not possible to run)</t>
  </si>
  <si>
    <t>Some modifiers' paste codes are not the same as their name. Their paste codes are at the end of the spreadsheet.</t>
  </si>
  <si>
    <t>v:201r</t>
  </si>
  <si>
    <t>Version of the game when this paste was made. You can type anything here, and it will be the "version" of this paste. (Doesn't affect anything)</t>
  </si>
  <si>
    <t>Advanced</t>
  </si>
  <si>
    <t>A. Editing dice faces and actions</t>
  </si>
  <si>
    <t>{c:[17Z1c,17Z1c,17Z0c,1424,17Z0,302,302,20Z4,2160,2232,4],d:{l:{m:[Bandit,Alpha,Cyclops]},n:12,p:{e:[bug],h:[Dabbler,Whirl,Knight,Priestess,Sorcerer]},sl:12},p:[10],s:40224530,v:201r}</t>
  </si>
  <si>
    <t xml:space="preserve">This is a paste that already has pre-determined dice face and actions. </t>
  </si>
  <si>
    <t>c:[17Z1c,17Z1c,17Z0c,1424,17Z0,302,302,
20Z4,2160,2232,4]</t>
  </si>
  <si>
    <t>Actions that has been done (Enemy targetting heroes, hero cantrip faces proc, player actions)
- First number is 'party', 1 for hero, 2 for monster, 3 for spell.
- Second number is their position, starting from top monster to bottom monster, then top hero and ending on bottom hero and is 0-indexed. (0-9 for the first 10 characters, a-z for the next 26 characters, A-Z for the last 26 characters. If the game runs out of indexes for characters, it will crash (e.g. If there is more than 62 different characters performing actions, the game will crash). For spells, this number is their position, starting from left to right and is 0-indexed (0-9 for the first 10 spells, a-z for the next 26 spells, A-Z for the last 26 spells.)
e.g. 0 stands for top monster (Cyclops), 1 stands for the character below the top monster (Alpha), 2 stands for the character that is 2 characters away from the top monster (Bandit), 3 stands for the character that is 3 characters away from the top monster (Dabbler), and so on.
- Third number is the target, starting from starting from top monster to bottom monster, then top hero and ending on bottom hero. Z if it has no target. Area of effect attacks are automatically targeted to enemies.
- Fourth number is the character's side (0 is the top side, 1 is the bottom side, 2 is the left side, 3 is the right side, 4 is the middle side, 5 is the rightmost side)
- Cantrip procs have a 'c' at the end.
e.g. 17Z1c means that it was on hero party, is the action of the 8th character on the battle (Sorcerer), has no target, rolled the '1' dice face (bottom side), cantrip.
4 at the end of the sequence stands for end turn.</t>
  </si>
  <si>
    <t>s:40224530</t>
  </si>
  <si>
    <t>Dice faces that show up on your screen. Starting from the top monster and ending on the bottom hero.
0 is the top side, 1 is the bottom side, 2 is the left side, 3 is the right side, 4 is the middle side, 5 is the rightmost side.
e.g. This sequence means that Cyclops rolled middle side, Alpha rolled top side, Bandit rolled left side, Dabbler rolled left side, Whirl rolled middle side, Knight rolled rightmost side, Priestess rolled right side and Sorcerer rolled top side.</t>
  </si>
  <si>
    <t>p:[10]</t>
  </si>
  <si>
    <t>Amount of remaining rerolls, with '1' in front of it. 
e.g. p:[10] means no rerolls left, p:[12] means 2 rerolls left, p:[1999] means 999 rerolls left</t>
  </si>
  <si>
    <t>B. Pre-fight prompts</t>
  </si>
  <si>
    <t>p:["2{}",3] is responsible for pre-fight prompts. To add prompts, you need to add prompt codes between the curly brackets.</t>
  </si>
  <si>
    <t>1. Level-up prompt</t>
  </si>
  <si>
    <t>{d:{l:{m:[Rat]},p:{h:[Dabble,Fighter,Defender,Healer,Mage]}},p:["2{ps:[\"!{cs:[{am:1,cd:[{n:Bard,t:Levelup}]},{am:1,cd:[{n:Fiend,t:Levelup}]}],ct:{cs:Number,v:1}}\"]}",3],s:451051412,v:201r}</t>
  </si>
  <si>
    <t xml:space="preserve">This is a paste that lets you choose a level-up before starting the fight. </t>
  </si>
  <si>
    <t>cs:[{am:1,cd:[{n:Bard,t:Levelup}]},
{am:1,cd:[{n:Fiend,t:Levelup}]}]</t>
  </si>
  <si>
    <t xml:space="preserve">Options to choose a hero to level up. Each '{am:1,cd:[{n:(hero name),t:Levelup}]}' is an option that you can choose. In a standard game there are only 2 options, but you can get more by copying the same line, and you can edit the options by changing the hero name. If there are 2 or more heroes of the same color, the game will favour upgrading the top-most heroes. If its not a valid upgrade (e.g. upgrade a tier 1 to a tier 3 hero), then it will automatically target the top-most lowest tier hero and let you upgrade it.
e.g. In an all blue team in custom party, the first level-up prompt will always offer the level-up of the 2 top-most heroes 
cs:[{am:1,cd:[{n:g3-293,t:Levelup}]},{am:1,cd:[{n:Initiate,t:Levelup}]},{am:1,cd:[{n:Dabble,t:Levelup}]}] 
will let you upgrade your Dabble into g3-293, Initiate or Dabble
</t>
  </si>
  <si>
    <t>Example paste:
{d:{l:{m:[Rat]},p:{h:[Dabble,Fighter,Defender,Healer,Mage]}},p:["2{ps:[\"!{cs:[{am:1,cd:[{n:o3-293,t:Levelup}]},{am:1,cd:[{n:Initiate,t:Levelup}]},{am:1,cd:[{n:Dabble,t:Levelup}]}],ct:{cs:Number,v:1}}\"]}",1],s:451051412,v:201r}</t>
  </si>
  <si>
    <t>ct:{cs:Number,v:1}</t>
  </si>
  <si>
    <t>Number of level-ups you must take (You can still skip this)
e.g. ct:{cs:Number,v:2} will force you to take 2 hero level-ups instead of 1</t>
  </si>
  <si>
    <t>Example paste:
{d:{l:{m:[Rat]},p:{h:[Dabble,Fighter,Defender,Healer,Mage]}},p:["2{ps:[\"!{cs:[{am:1,cd:[{n:Bard,t:Levelup}]},{am:1,cd:[{n:Fiend,t:Levelup}]}],ct:{cs:Number,v:2}}\"]}",3],s:451051412,v:201r}</t>
  </si>
  <si>
    <t>2. Item prompt</t>
  </si>
  <si>
    <t>{d:{l:{m:[Rat]},p:{h:[Dabble,Fighter,Defender,Healer,Mage]}},p:["2{ps:[\"!{cs:[{am:1,cd:[{n:Infused Herbs,t:Item}]},{am:1,cd:[{n:Basilisk Scale,t:Item}]}],ct:{cs:Number,v:1}}\"]}",3],s:314254431,v:201r}</t>
  </si>
  <si>
    <t>This is a paste that lets you choose an item before starting the fight. Functions the same way as Level-up prompt.</t>
  </si>
  <si>
    <t>cs:[{am:1,cd:[{n:Infused Herbs,t:Item}]},
{am:1,cd:[{n:Basilisk Scale,t:Item}]}]</t>
  </si>
  <si>
    <t>Options to choose an item. Each '{am:1,cd:[{n:(item name),t:Item}]}' is an option that you can choose. In a standard game there are only 2 options and a random option. but you can get more by copying the same line, and you can edit the options by changing the item name. The random option isn't available in paste. 
e.g. cs:[{am:1,cd:[{n:Infused Herbs,t:Item}]},{am:1,cd:[{n:Dolphin,t:Item}]},
{am:1,cd:[{n:Wretched Crown,t:Item}]}]
will let you choose an item from 3 options: Infused Herbs, Dolphin and Wretched Crown</t>
  </si>
  <si>
    <t>Example paste:
{d:{l:{m:[Rat]},p:{h:[Dabble,Fighter,Defender,Healer,Mage]}},p:["2{ps:[\"!{cs:[{am:1,cd:[{n:Infused Herbs,t:Item}]},{am:1,cd:[{n:Dolphin,t:Item}]},{am:1,cd:[{n:Wretched Crown,t:Item}]}],ct:{cs:Number,v:1}}\"]}",3],s:314254431,v:201r}</t>
  </si>
  <si>
    <t>Number of items you must take.
e.g. ct:{cs:Number,v:3} will force you to take 3 items instead of 1</t>
  </si>
  <si>
    <t>Example paste:
{d:{l:{m:[Rat]},p:{h:[Dabble,Fighter,Defender,Healer,Mage]}},p:["2{ps:[\"!{cs:[{am:1,cd:[{n:Infused Herbs,t:Item}]},{am:1,cd:[{n:Dolphin,t:Item}]},{am:1,cd:[{n:Wretched Crown,t:Item}]}],ct:{cs:Number,v:3}}\"]}",3],s:314254431,v:201r}</t>
  </si>
  <si>
    <t>3. Modifier prompt</t>
  </si>
  <si>
    <t>{d:{l:{m:[Rat]},p:{h:[Dabble,Fighter,Defender,Healer,Mage]}},p:["2{ps:[\"!{cs:[{am:1,cd:[{n:Revive 3 hp,t:Modifier}]},{am:1,cd:[{n:A,t:Modifier}]}],ct:{cs:Number,v:1}}\"]}",3],s:0135311,v:201r}</t>
  </si>
  <si>
    <t>This is a paste that lets you choose a curse before starting the fight. Functions the same way as Level-up and Item prompt.</t>
  </si>
  <si>
    <t>cs:[{am:1,cd:[{n:Revive 3 hp,t:Modifier}]},
{am:1,cd:[{n:A,t:Modifier}]}]</t>
  </si>
  <si>
    <t>Options to choose a modifier. Each '{am:1,cd:[{n:(modifier name),t:Modifier}]}' is an option that you can choose. You can get more options by copying the same line, and you can edit the options by changing the modifier name. The random option isn't available in paste. 
e.g. cs:[{am:1,cd:[{n:Death Shield,t:Modifier}]},{am:1,cd:[{n:Specialist,t:Modifier}]},{am:1,cd:[{n:Hero rite,t:Modifier}]}]
will let you choose a modifier from 3 options: Death Shield, Specialist and Hero rite</t>
  </si>
  <si>
    <t>Example paste:
{d:{l:{m:[Rat]},p:{h:[Dabble,Fighter,Defender,Healer,Mage]}},p:["2{ps:[\"!{cs:[{am:1,cd:[{n:Death Shield,t:Modifier}]},{am:1,cd:[{n:Specialist,t:Modifier}]},{am:1,cd:[{n:Hero rite,t:Modifier}]}],ct:{cs:Number,v:1}}\"]}",3],s:0135311,v:201r}</t>
  </si>
  <si>
    <t>Number of modifiers you must take.
e.g. ct:{cs:Number,v:0} will force you to take 0 modifiers instead of 1</t>
  </si>
  <si>
    <t>Example paste:
{d:{l:{m:[Rat]},p:{h:[Dabble,Fighter,Defender,Healer,Mage]}},p:["!{cs:[{am:1,cd:[{n:Hero Cantrip,t:Modifier}]},{am:1,cd:[{n:Barrel time,t:Modifier}]},{am:1,cd:[{n:Level-up top three,t:Modifier}]},{am:1,cd:[{n:Hero pristine,t:Modifier}]}],ct:{cs:Number}}","2{}",3],s:0135311,v:201r}</t>
  </si>
  <si>
    <t>4. Point-buy prompt (For level-up, items and modifiers)</t>
  </si>
  <si>
    <t>`{d:{l:{m:[Rat]},p:{h:[Dabble,Fighter,Defender,Healer,Mage]}},p:["!{cs:[{am:1,cd:[{n:\"Add [purple]Slimer[cu]\",t:Modifier}]},{am:1,cd:[{n:De-level top,t:Modifier}]},{am:1,cd:[{n:Hero decay,t:Modifier}]},{am:1,cd:[{n:AE,t:Modifier}]},{am:1,cd:[{n:\"Add [purple]Rat[cu]\",t:Modifier}]},{am:1,cd:[{n:Poisoned Finale,t:Modifier}]},{am:1,cd:[{n:i-Soul Link,t:Modifier}]}],ct:{cs:PointBuy,v:-10}}",3],s:12132352,v:201r}`</t>
  </si>
  <si>
    <t>This is a paste that lets you choose curses before starting the fight, total value 10. Also works for choosing Level-up and Item.</t>
  </si>
  <si>
    <t>cs:[{am:1,cd:[{n:\"Add [purple]Slimer[cu]\",t:Modifier}]},
{am:1,cd:[{n:De-level top,t:Modifier}]},{am:1,cd:[{n:Hero decay,t:Modifier}]},
{am:1,cd:[{n:AE,t:Modifier}]},{am:1,cd:[{n:\"Add [purple]Rat[cu]\",t:Modifier}]},
{am:1,cd:[{n:Poisoned Finale,t:Modifier}]},{am:1,cd:[{n:i-Soul Link,t:Modifier}]}]</t>
  </si>
  <si>
    <t>Options to choose modifiers. Works the same way as the function covered in Modifier prompt. Also works for the functions covered in Level-up prompt and Item prompt.</t>
  </si>
  <si>
    <t>ct:{cs:PointBuy,v:-10}</t>
  </si>
  <si>
    <t>Code for Point-buy prompt. 'v:-10' is the number of points the things you chose must add up. You can go over this point if it is curse points (negative points).
e.g. ct:{cs:PointBuy,v:30} will force you to take modifiers that add up to exactly 30 points
ct:{cs:PointBuy,v:-25} will force you to take modifiers that add up to 25 curse points or more
For the level-up point-buy prompt, all heroes are worth 1 point regardless of their tiers.</t>
  </si>
  <si>
    <t>5. Optional prompt (For level-up, items and modifiers)</t>
  </si>
  <si>
    <t>{d:{l:{m:[Rat]},p:{h:[Dabble,Fighter,Defender,Healer,Mage]}},p:["2{ps:[\"!{cs:[{am:1,cd:[{n:Mana Flux,t:Modifier}]}],ct:{cs:Optional,v:1}}\"]}",3],s:1514212,v:201r}</t>
  </si>
  <si>
    <t>This is a paste that lets you choose to decline or accept a tweak (optional). Also works for Level-up and Items.</t>
  </si>
  <si>
    <t>cs:[{am:1,cd:[{n:Mana Flux,t:Modifier}]}]</t>
  </si>
  <si>
    <t>Modifiers that will appear in the optional prompt. Works the same way as the function covered in Modifier prompt. Also works for the functions covered in Level-up prompt and Item prompt.</t>
  </si>
  <si>
    <t>ct:{cs:Optional,v:1}</t>
  </si>
  <si>
    <t>Code for optional prompt. (Optional prompt gives you the option to decline or accept (Must take everything the optional prompt offers if you accept))</t>
  </si>
  <si>
    <t>6. Challenge prompt (Event)</t>
  </si>
  <si>
    <t>{d:{l:{b:true,m:[Rat]},p:{h:[Dabble,Fighter,Defender,Healer,Mage]}},p:["2{ps:[\"9{\\\"reward\\\":{\\\"itemStrings\\\":[\\\"Smelly Manure\\\"]},\\\"type\\\":{\\\"extraMonsters\\\":[\\\"Slimer\\\",\\\"Imp\\\"]}}\"]}",3],s:3350253525,v:201r}</t>
  </si>
  <si>
    <t>This is a paste that has a challenge prompt (Event).</t>
  </si>
  <si>
    <t>{\\\"reward\\\":{\\\"itemStrings\\\":
[\\\"Smelly Manure\\\"]}</t>
  </si>
  <si>
    <t>Rewards of the challenge. You can edit or add more items.
e.g. {\\\"reward\\\":{\\\"itemStrings\\\":[\\\"Determination\\\",\\\"Duck\\\",\\\"Door\\\"]}
will make the challenge give Determination, Duck and Door as the rewards.</t>
  </si>
  <si>
    <t>Example paste:
{d:{l:{b:true,m:[Rat]},p:{e:[Change of Heart],h:[Dabble,Fighter,Defender,Healer,Mage]}},p:["2{ps:[\"9{\\\"reward\\\":{\\\"itemStrings\\\":[\\\"Determination\\\",\\\"Duck\\\",\\\"Door\\\"]},\\\"type\\\":{\\\"extraMonsters\\\":[\\\"Slimelet\\\",\\\"Rat\\\",\\\"Illusion\\\"]}}\"]}",3],s:3350253525,v:200r}</t>
  </si>
  <si>
    <t>{\\\"extraMonsters\\\":
[\\\"Slimer\\\",\\\"Imp\\\"]}</t>
  </si>
  <si>
    <t>Monsters that the challenge will add upon accepting. You can edit or add more monsters.
e.g. {\\\"extraMonsters\\\":[\\\"Slimelet\\\",\\\"Rat\\\",\\\"Illusion\\\"]}
will make the challenge add a Slimelet, a Rat and an Illusion upon accepting.</t>
  </si>
  <si>
    <t>7. Reroll class prompt (Event)</t>
  </si>
  <si>
    <t>{d:{l:{m:[Rat]},p:{h:[Dabble,Fighter,Defender,Healer,Mage]}},p:["2{ps:[53]}",3],s:3520213,v:201r}</t>
  </si>
  <si>
    <t>This is a paste that has a Reroll class prompt (Event).</t>
  </si>
  <si>
    <t>Code for Reroll class.
First number is always 5
Second number stands for the position of the hero that you want to reroll
The result is random.
e.g. 53 means reroll the class of the 4th hero in your team (Healer)</t>
  </si>
  <si>
    <t>8. Swap hero prompt (Event)</t>
  </si>
  <si>
    <t>{d:{l:{m:[Rat]},p:{h:[Dabble,Fighter,Defender,Healer,Mage]}},p:["2{ps:[840]}",3],s:3520213,v:201r}</t>
  </si>
  <si>
    <t>This is a paste that has a Swap heroes prompt (Event).</t>
  </si>
  <si>
    <t>Code for Swap hero.
First number is always 8
Second number stands for the position of the first hero that you want to swap 
Third number stands for the position of the second hero that you want to swap
e.g. 840 means swap the position of the 5th hero in your team (Mage) with the 1st hero in your team (Dabble)</t>
  </si>
  <si>
    <t>9. Anvil prompt (Event)</t>
  </si>
  <si>
    <t>{d:{l:{b:true,m:[Rat]},p:{e:[Boots of Speed,Second Chance],h:[Dabble,Fighter,Defender,Healer,Mage]}},p:["2{ps:[\"7SecondHighestToTierThrees\"]}",3],s:502222022,v:201r}</t>
  </si>
  <si>
    <t>This is a paste that has an anvil (Smash) prompt (Event).</t>
  </si>
  <si>
    <t>\"7SecondHighestToTierThrees\"</t>
  </si>
  <si>
    <t>Code for anvil.
- 7SecondHighestToTierThrees will smash the second highest tier item into tier 3 items.
- 7ZeroToThreeToSingle will combine all your tier 0-3 items into a higher tier item.
(More info on the Events spreadsheet)
Both codes can exist in the same paste.</t>
  </si>
  <si>
    <t>Example paste:
{d:{l:{b:true,m:[Rat]},p:{e:[Boots of Speed,Second Chance,Fly,Anchor,Gambler's Ace, Droopy Hat],h:[Dabble,Fighter,Defender,Healer,Mage]}},p:["2{ps:[\"7SecondHighestToTierThrees\",\"7ZeroToThreeToSingle\"]}",3],s:502222022,v:200r}</t>
  </si>
  <si>
    <t>10. Text prompt</t>
  </si>
  <si>
    <t>{d:{l:{m:[Slimelet]},n:419,p:{h:[o9-69,y9-420,g9-666,r9-690,Student]},m:[Cataclysm,Monster +2,Monster +2,Summon Slimers,Summon Slimers,Summon Slimers],sl:12},p:["4Never gonna give you up[n]Never gonna let you down[n]Never gonna run around and desert you[n]Never gonna make you cry[n]Never gonna say goodbye[n]Never gonna tell a lie and hurt you","2{ps:[\"!{cs:[{am:1,cd:[{n:Peace,t:Modifier}]},{am:1,cd:[{n:Bag of Holding,t:Item}]},{am:1,cd:[{n:Scoundrel,t:Levelup}]},{am:1,cd:[{n:Keep Rolling,t:Modifier}]},{am:1,cd:[{n:Wretched Crown,t:Item}]},{am:1,cd:[{n:Mortal++++++++++,t:Modifier}]}],ct:{cs:Number,v:6}}\"]}",3],s:314254431,v:6.9.0}</t>
  </si>
  <si>
    <t>This is a paste that has a text prompt before the battle.</t>
  </si>
  <si>
    <t>"4Never gonna give you up[n]
Never gonna let you down[n]
Never gonna run around and desert you[n]
Never gonna make you cry[n]
Never gonna say goodbye[n]
Never gonna tell a lie and hurt you"</t>
  </si>
  <si>
    <t>Add text to the paste before proceeding other prompts.
Type '4' and add texts after that
To begin a new line, type [n] at the end of the text
To add colour to the text, type [(color)] before the text. Possible colors are red, orange, yellow, green, blue, purple, pink, cu (white)
e.g. "4[red]This text is blue" will make the text red</t>
  </si>
  <si>
    <t>Example paste:
{d:{l:{m:[Slimelet]},n:419,p:{h:[Scoundrel,y9-420,g9-666,r9-690,Student]}},p:["4[red]This text is blue","2{ps:[\"!{cs:[{am:1,cd:[{n:bug,t:Item}]},{am:1,cd:[{n:bug,t:Item}]}],ct:{cs:PointBuy,v:1}}\"]}",3],s:314254431,v:6.9.0}</t>
  </si>
  <si>
    <t>11. Reset everything prompt</t>
  </si>
  <si>
    <t>{d:{l:{m:[Boar,Wisp]},m:[Bolt Spell,Fizzing,Boss Bones,i-Handcuffs,Skulk,Sandstorm,Fumes],n:20,p:{e:[Basilisk Scale],h:[Ludus~D~Wandcraft~Sharp Wit,Bash~Mini Crossbow~2 of Hearts,Keeper~Handcuffs,Druid~Ballet Shoes~Boots of Speed,Warlock~Red flag~Faerie Dust,Tw1n,Tw1n]}},p:["2{ps:[6]}",3],s:0,v:201r}</t>
  </si>
  <si>
    <t>This is a paste that has a reset everything prompt before the battle.</t>
  </si>
  <si>
    <t>Code for reset everything
- All Tw1ns are removed
- All current heroes turns into random tier 1 heroes of their respective colors
- All items are removed (except items from blessings/curses)</t>
  </si>
  <si>
    <t>12. Multiple prompts</t>
  </si>
  <si>
    <t>{d:{l:{b:true,m:[Rat]},m:[Horde,Horde],p:{h:[Dabble,Fighter,Defender,Healer,Mage]}},p:["2{ps:[\"9{\\\"reward\\\":{\\\"itemStrings\\\":[\\\"Bent Spoon\\\"]},\\\"type\\\":{\\\"extraMonsters\\\":[\\\"Dragon\\\"]}}\",\"9{\\\"reward\\\":{\\\"itemStrings\\\":[\\\"Void\\\"]},\\\"type\\\":{\\\"extraMonsters\\\":[\\\"Hexia\\\"]}}\",\"9{\\\"reward\\\":{\\\"itemStrings\\\":[\\\"Bent Fork\\\"]},\\\"type\\\":{\\\"extraMonsters\\\":[\\\"The Hand\\\"]}}\"]}",3],s:3350253525,v:4.2.0}</t>
  </si>
  <si>
    <t>This is a paste that has 3 challenge prompts (Event).</t>
  </si>
  <si>
    <t>\"9{\\\"reward\\\":{\\\"itemStrings\\\":
[\\\"Bent Spoon\\\"]},\\\"type\\\":
{\\\"extraMonsters\\\":[\\\"Dragon\\\"]}}\",
\"9{\\\"reward\\\":{\\\"itemStrings\\\":
[\\\"Void\\\"]},\\\"type\\\":
{\\\"extraMonsters\\\":[\\\"Hexia\\\"]}}\",
\"9{\\\"reward\\\":{\\\"itemStrings\\\":
[\\\"Bent Fork\\\"]},\\\"type\\\":
{\\\"extraMonsters\\\":
[\\\"The Hand\\\"]}}\"</t>
  </si>
  <si>
    <t>Add multiple pre-fight prompts.
p:["2{}",3] is responsible for pre-fight prompts.
To add more prompts, you need to add more prompt codes between the curly brackets.
Prompt code for each prompt has been covered above.</t>
  </si>
  <si>
    <t>Example paste:
{d:{l:{b:true,m:[Rat]},p:{h:[Dabble,Fighter,Defender,Healer,Mage]}},p:["4Paste with all prompts","2{ps:[6,53,840,\"7SecondHighestToTierThrees\",\"!{cs:[{am:1,cd:[{n:Bard,t:Levelup}]},{am:1,cd:[{n:Fiend,t:Levelup}]}],ct:{cs:Number,v:1}}\",\"!{cs:[{am:1,cd:[{n:Infused Herbs,t:Item}]},{am:1,cd:[{n:Basilisk Scale,t:Item}]}],ct:{cs:Number,v:1}}\",\"!{cs:[{am:1,cd:[{n:Hero Rite,t:Modifier}]},{am:1,cd:[{n:+3 Max Mana,t:Modifier}]}],ct:{cs:Number,v:1}}\",\"!{cs:[{am:1,cd:[{n:Mortal+++++++++,t:Modifier}]},{am:1,cd:[{n:Summon Banshees,t:Modifier}]},{am:1,cd:[{n:Summon Spikers,t:Modifier}]}],ct:{cs:PointBuy,v:-81}}\",\"!{cs:[{am:1,cd:[{n:Specialist,t:Modifier}]},{am:1,cd:[{n:Mana Flux,t:Modifier}]},{am:1,cd:[{n:Loan,t:Modifier}]}],ct:{cs:Optional,v:1}}\",\"9{\\\"reward\\\":{\\\"itemStrings\\\":[\\\"Bent Fork\\\"]},\\\"type\\\":{\\\"extraMonsters\\\":[\\\"Dragon\\\"]}}\"]}",3],s:3350253525,v:201r}</t>
  </si>
  <si>
    <t>Paste codes for special enemies/modifiers</t>
  </si>
  <si>
    <t>Enemy name</t>
  </si>
  <si>
    <t>Paste code</t>
  </si>
  <si>
    <t>Jinx-3m (-3 max mana)</t>
  </si>
  <si>
    <t>Jinx-0</t>
  </si>
  <si>
    <t>Jinx-ss (Slow spells+)</t>
  </si>
  <si>
    <t>Jinx 1</t>
  </si>
  <si>
    <t>Jinx-nb (No Burst)</t>
  </si>
  <si>
    <t>Jinx-2</t>
  </si>
  <si>
    <t>Jinx-bp (Bottom Poison+)</t>
  </si>
  <si>
    <t>Jinx-3</t>
  </si>
  <si>
    <t>Jinx-ds (Death Shield+)</t>
  </si>
  <si>
    <t>Jinx-4</t>
  </si>
  <si>
    <t>Jinx-md (Mana Debt+)</t>
  </si>
  <si>
    <t>Jinx-5</t>
  </si>
  <si>
    <t>Jinx-s (Second single-use)</t>
  </si>
  <si>
    <t>Jinx-6</t>
  </si>
  <si>
    <t>Jinx-sd (Slippery Dice)</t>
  </si>
  <si>
    <t>Jinx-7</t>
  </si>
  <si>
    <t>Jinx-sg (Stony Grasp)</t>
  </si>
  <si>
    <t>Jinx-8</t>
  </si>
  <si>
    <t>Jinx-hw (Heavy Weapons)</t>
  </si>
  <si>
    <t>Jinx-9</t>
  </si>
  <si>
    <t>Jinx-f (Frail Edges)</t>
  </si>
  <si>
    <t>Jinx-10</t>
  </si>
  <si>
    <t>Jinx-ml (Monster Left +3)</t>
  </si>
  <si>
    <t>Jinx-11</t>
  </si>
  <si>
    <t>Modifier name</t>
  </si>
  <si>
    <r>
      <rPr>
        <b/>
        <sz val="12"/>
        <color theme="1"/>
        <rFont val="Calibri"/>
      </rPr>
      <t>Echo</t>
    </r>
    <r>
      <rPr>
        <sz val="12"/>
        <color theme="1"/>
        <rFont val="Calibri"/>
      </rPr>
      <t xml:space="preserve"> ECHO echo...</t>
    </r>
  </si>
  <si>
    <t>"[b]Echo[b] ECHO echo..."</t>
  </si>
  <si>
    <r>
      <rPr>
        <sz val="12"/>
        <color theme="1"/>
        <rFont val="Calibri"/>
      </rPr>
      <t xml:space="preserve">+2 hp to </t>
    </r>
    <r>
      <rPr>
        <b/>
        <sz val="12"/>
        <color theme="1"/>
        <rFont val="Calibri"/>
      </rPr>
      <t>all</t>
    </r>
  </si>
  <si>
    <t>"+2 hp to [b]all[b]"</t>
  </si>
  <si>
    <r>
      <rPr>
        <sz val="12"/>
        <color theme="1"/>
        <rFont val="Calibri"/>
      </rPr>
      <t xml:space="preserve">-2 hp to </t>
    </r>
    <r>
      <rPr>
        <b/>
        <sz val="12"/>
        <color theme="1"/>
        <rFont val="Calibri"/>
      </rPr>
      <t>all</t>
    </r>
  </si>
  <si>
    <t>"-2 hp to [b]all[b]"</t>
  </si>
  <si>
    <t xml:space="preserve">Add (Monster name)
e.g. Add Dragon
Note: Add Bones is an exception </t>
  </si>
  <si>
    <t>"Add [purple](Monster name)[cu]"
e.g. "Add [purple]Dragon[cu]"</t>
  </si>
  <si>
    <t>Add (Monster name)
e.g. Add Dragon (11-20)</t>
  </si>
  <si>
    <t>"Add [purple](Monster name)[cu] (11-20)"
e.g. "Add [purple]Dragon[cu] (11-20)"</t>
  </si>
  <si>
    <t>It is recommended to check the Paste sheet for a better understanding of how to use this.
You can either edit here or copy this sheet to your own drive to use (You can usually ignore whenever a cell says invalid).</t>
  </si>
  <si>
    <t>Final Resulting Paste:</t>
  </si>
  <si>
    <t>Phase</t>
  </si>
  <si>
    <t>Pre-combat</t>
  </si>
  <si>
    <t>Enemy Count</t>
  </si>
  <si>
    <t>Paste generating process (i have no idea how to explain this but it works) (probably)</t>
  </si>
  <si>
    <t>Hero Count</t>
  </si>
  <si>
    <t>Item in inventory Count</t>
  </si>
  <si>
    <t>Modifer Count</t>
  </si>
  <si>
    <t>Version</t>
  </si>
  <si>
    <t>amongus</t>
  </si>
  <si>
    <t>Floor/Level</t>
  </si>
  <si>
    <t>Basics</t>
  </si>
  <si>
    <t>Items in Inventory</t>
  </si>
  <si>
    <t>Heroes (Type the generated hero name if you want to add generated hero into your paste)</t>
  </si>
  <si>
    <t>At full HP</t>
  </si>
  <si>
    <t>with items equipped</t>
  </si>
  <si>
    <t>eye of cthulhu</t>
  </si>
  <si>
    <t>idk lul</t>
  </si>
  <si>
    <t>Enemies</t>
  </si>
  <si>
    <t>In-combat
(One turn
only)</t>
  </si>
  <si>
    <t>Amount of rerolls left</t>
  </si>
  <si>
    <t>Character</t>
  </si>
  <si>
    <t>Current dice face</t>
  </si>
  <si>
    <t>Action number</t>
  </si>
  <si>
    <t>Party</t>
  </si>
  <si>
    <t>Actor</t>
  </si>
  <si>
    <t>Target</t>
  </si>
  <si>
    <t>Side</t>
  </si>
  <si>
    <t>Cantrip?</t>
  </si>
  <si>
    <t>Current dice face code</t>
  </si>
  <si>
    <t>Party code</t>
  </si>
  <si>
    <t>Actor code</t>
  </si>
  <si>
    <t>Target code</t>
  </si>
  <si>
    <t>Side code</t>
  </si>
  <si>
    <t>Cantrip? code</t>
  </si>
  <si>
    <t>Current actions code</t>
  </si>
  <si>
    <t>Current actions string</t>
  </si>
  <si>
    <t>Rightmost side</t>
  </si>
  <si>
    <t>#1</t>
  </si>
  <si>
    <t>Monster</t>
  </si>
  <si>
    <t>Slate (0)</t>
  </si>
  <si>
    <t>Gambler (1)</t>
  </si>
  <si>
    <t>#2</t>
  </si>
  <si>
    <t>Current dice face string</t>
  </si>
  <si>
    <t>Note: This currently does not support item/modifiers that add more monsters mid-combat. If you have those, it is recommended to remove them and add them onto the monster list instead or it might lead to undesired results. This also only support 10 characters currently.</t>
  </si>
  <si>
    <t>#3</t>
  </si>
  <si>
    <t>#4</t>
  </si>
  <si>
    <t>Amount of rerolls left code</t>
  </si>
  <si>
    <t>#5</t>
  </si>
  <si>
    <t>#6</t>
  </si>
  <si>
    <t>Top side</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</si>
  <si>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</si>
  <si>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</si>
  <si>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</si>
  <si>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</si>
  <si>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</si>
  <si>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</si>
  <si>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</si>
  <si>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</si>
  <si>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</si>
  <si>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</si>
  <si>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</si>
  <si>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</si>
  <si>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</si>
  <si>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</si>
  <si>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</si>
  <si>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</si>
  <si>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</si>
  <si>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</si>
  <si>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</si>
  <si>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</si>
  <si>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</si>
  <si>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</si>
  <si>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</si>
  <si>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</si>
  <si>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</si>
  <si>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</si>
  <si>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</si>
  <si>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</si>
  <si>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Prompt #1</t>
  </si>
  <si>
    <t>heheheha</t>
  </si>
  <si>
    <t>Text prompt</t>
  </si>
  <si>
    <t>Quantity prompt</t>
  </si>
  <si>
    <t>Prompt #2</t>
  </si>
  <si>
    <t>Level-up prompt</t>
  </si>
  <si>
    <t>-1</t>
  </si>
  <si>
    <t>Non-generated</t>
  </si>
  <si>
    <t>Survival Specialist+
(replaces Survival Specialist)</t>
  </si>
  <si>
    <t>Boss Smash+
(replaces Boss Smash)</t>
  </si>
  <si>
    <t>Crackling (replaces Fizzing)</t>
  </si>
  <si>
    <t>Infinite Chalice 
(replaces Jewelled Chalice)</t>
  </si>
  <si>
    <t>Golden Cache (replaces Cache)</t>
  </si>
  <si>
    <r>
      <rPr>
        <b/>
        <sz val="12"/>
        <color theme="1"/>
        <rFont val="Calibri"/>
      </rPr>
      <t>Echo</t>
    </r>
    <r>
      <rPr>
        <sz val="12"/>
        <color theme="1"/>
        <rFont val="Calibri"/>
      </rPr>
      <t xml:space="preserve"> ECHO echo...</t>
    </r>
  </si>
  <si>
    <t>+1 Reroll</t>
  </si>
  <si>
    <t>Generated</t>
  </si>
  <si>
    <t>Mortal+ (replaces Mortal)</t>
  </si>
  <si>
    <t>Mortal++ (replaces Mortal+)</t>
  </si>
  <si>
    <t>Mortal+++ (replaces Mortal++)</t>
  </si>
  <si>
    <t>Mortal++++ (replaces Mortal+++)</t>
  </si>
  <si>
    <t>Monster HP+ (replaces Monster HP)</t>
  </si>
  <si>
    <t>Monster HP++ (replaces Monster HP+)</t>
  </si>
  <si>
    <t>Monster HP+++ (replaces Monster HP++)</t>
  </si>
  <si>
    <t>Monster HP++++ (replaces Monster HP+++)</t>
  </si>
  <si>
    <t>Monster HP+++++
(replaces Monster HP++++)</t>
  </si>
  <si>
    <t>Monster HP++++++
(replaces Monster HP+++++)</t>
  </si>
  <si>
    <t>Monster HP+++++++ 
(replaces Monster HP++++++)</t>
  </si>
  <si>
    <t>Monster HP++++++++ 
(replaces Monster HP+++++++)</t>
  </si>
  <si>
    <t>Sandstorm+ (replaces Sandstorm)</t>
  </si>
  <si>
    <t>Sandstorm++ (replaces Sandstorm+)</t>
  </si>
  <si>
    <t>Sandstorm+++ (replaces Sandstorm++)</t>
  </si>
  <si>
    <t>Sandstorm++++ (replaces Sandstorm+++)</t>
  </si>
  <si>
    <t>Sandstorm+++++
(replaces Sandstorm++++)</t>
  </si>
  <si>
    <t>Sandstorm++++++
(replaces Sandstorm+++++)</t>
  </si>
  <si>
    <t>Sandstorm+++++++
(replaces Sandstorm++++++)</t>
  </si>
  <si>
    <t>Sandstorm++++++++
(replaces Sandstorm+++++++)</t>
  </si>
  <si>
    <t>Slippery dice (replaces Heavy Dice)</t>
  </si>
  <si>
    <t>Heavy dice+ (replaces Slippery Dice)</t>
  </si>
  <si>
    <t>Slippery Dice+ (replaces Heavy dice+)</t>
  </si>
  <si>
    <t>Heavy dice++ (replaces Slippery Dice+)</t>
  </si>
  <si>
    <t>Armour+ (replaces Armour)</t>
  </si>
  <si>
    <t>Armour++ (replaces Armour+)</t>
  </si>
  <si>
    <t>Armour+++ (replaces Armour++)</t>
  </si>
  <si>
    <t>Armour++++ (replaces Armour+++)</t>
  </si>
  <si>
    <t>Start damaged+ (replaces Start damaged)</t>
  </si>
  <si>
    <t>Start damaged++ (replaces Start damaged+)</t>
  </si>
  <si>
    <t>Start damaged+++ (replaces Start damaged++)</t>
  </si>
  <si>
    <t>Start damaged++++ (replaces Start damaged+++)</t>
  </si>
  <si>
    <t>Small bonus+ (replaces Small Bonus)</t>
  </si>
  <si>
    <t>Small bonus++ (replaces Small Bonus+)</t>
  </si>
  <si>
    <t>Small bonus+++ (replaces Small Bonus++)</t>
  </si>
  <si>
    <t>Small bonus++++ (replaces Small Bonus+++)</t>
  </si>
  <si>
    <t>Tower+ (replaces Tower)</t>
  </si>
  <si>
    <t>Tower++ (replaces Tower+)</t>
  </si>
  <si>
    <t>Tower+++ (replaces Tower++)</t>
  </si>
  <si>
    <t>Fear+ (replaces Fear)</t>
  </si>
  <si>
    <t>Fear++ (replaces Fear+)</t>
  </si>
  <si>
    <t>Fear+++ (replaces Fear++)</t>
  </si>
  <si>
    <t>Swarm+ (replaces Swarm)</t>
  </si>
  <si>
    <t>Swarm++ (replaces Swarm+)</t>
  </si>
  <si>
    <t>Swarm+++ (replaces Swarm++)</t>
  </si>
  <si>
    <t>Mana Debt+ (replaces Mana Debt)</t>
  </si>
  <si>
    <t>Mana Debt++ (replaces Mana Debt+)</t>
  </si>
  <si>
    <t>Mana Debt+++ (replaces Mana Debt++)</t>
  </si>
  <si>
    <t>Revive 2 hp (replaces Revive 3 hp)</t>
  </si>
  <si>
    <t>Revive 1 hp (replaces Revive 2 hp)</t>
  </si>
  <si>
    <t>Permadeath (replaces Revive 1 hp)</t>
  </si>
  <si>
    <t>Slow spells+ (replaces Slow spells)</t>
  </si>
  <si>
    <t>Slow spells++ (replaces Slow spells+)</t>
  </si>
  <si>
    <t>Slow spells+++ (replaces Slow spells++)</t>
  </si>
  <si>
    <t>Bottom poison+ (replaces Bottom poison)</t>
  </si>
  <si>
    <t>Bottom poison++ (replaces Bottom poison+)</t>
  </si>
  <si>
    <t>AE (replaces A)</t>
  </si>
  <si>
    <t>Curse of Vowels (replaces AE)</t>
  </si>
  <si>
    <t>Single Burst (replaces Cooldown Burst)</t>
  </si>
  <si>
    <t>No Burst (replaces Single Burst)</t>
  </si>
  <si>
    <t>Skulk+ (replaces Skulk)</t>
  </si>
  <si>
    <t>Skulk++ (replaces Skulk+)</t>
  </si>
  <si>
    <t>Non-boss Bones (replaces Boss Bones)</t>
  </si>
  <si>
    <t>Osteoporosis (replaces Arthiritis)</t>
  </si>
  <si>
    <t>-3 Max Mana (replaces -2 max mana)</t>
  </si>
  <si>
    <t>Death Shield+ (replaces Death Shield)</t>
  </si>
  <si>
    <t>Doom+ (replaces Doom)</t>
  </si>
  <si>
    <t>Doom++ (replaces Doom+)</t>
  </si>
  <si>
    <t>Doom+++ (replaces Doom++)</t>
  </si>
  <si>
    <t>Monster Left +2 (replaces Monster Left +1)</t>
  </si>
  <si>
    <t>Monster Left +3 (replaces Monster Left +2)</t>
  </si>
  <si>
    <t>Monster Left +4 (replaces Monster Left +3)</t>
  </si>
  <si>
    <t>Monster Left +5 (replaces Monster Left +4)</t>
  </si>
  <si>
    <t>Add Bones (replaces Non-boss Bones)</t>
  </si>
  <si>
    <t>i-Exhaustion (replaces i-Weariness)</t>
  </si>
  <si>
    <t>i-Broken Spirit (replaces i-Broken Heart)</t>
  </si>
  <si>
    <t>Current paste heroes</t>
  </si>
  <si>
    <t>Current paste enemies</t>
  </si>
  <si>
    <t>Combined paste characters</t>
  </si>
  <si>
    <t>Count</t>
  </si>
  <si>
    <t>Choice selection</t>
  </si>
  <si>
    <t>Number</t>
  </si>
  <si>
    <t>HeroName</t>
  </si>
  <si>
    <t>Image</t>
  </si>
  <si>
    <t>Reroll selection</t>
  </si>
  <si>
    <t>Reroll number</t>
  </si>
  <si>
    <t>No</t>
  </si>
  <si>
    <t>Enemy Name</t>
  </si>
  <si>
    <t>Choice</t>
  </si>
  <si>
    <t>Char</t>
  </si>
  <si>
    <t>Dropdown for prompts #1</t>
  </si>
  <si>
    <t>Dropdown for prompts #2</t>
  </si>
  <si>
    <t>Selection name</t>
  </si>
  <si>
    <t>True name (to be added)</t>
  </si>
  <si>
    <t>true name for modifier prompt</t>
  </si>
  <si>
    <t>Selection Name</t>
  </si>
  <si>
    <t>Combine (Combine all tier 0-3 items into a higher tier item)</t>
  </si>
  <si>
    <t>Smash (Smash your second higher tier item into tier 3 tiems)</t>
  </si>
  <si>
    <t>\\\"-2 hp to [b]all[b]\\\"</t>
  </si>
  <si>
    <t>Jinx-1</t>
  </si>
  <si>
    <t>\\\"+2 hp to [b]all[b]\\\"</t>
  </si>
  <si>
    <t>Jinx-hw (Heavy Weapon)</t>
  </si>
  <si>
    <t>Left side</t>
  </si>
  <si>
    <t>Middle side</t>
  </si>
  <si>
    <t>Right side</t>
  </si>
  <si>
    <t>Bottom side</t>
  </si>
  <si>
    <t>#35</t>
  </si>
  <si>
    <t>#36</t>
  </si>
  <si>
    <t>No Target</t>
  </si>
  <si>
    <t>Z</t>
  </si>
  <si>
    <t>#37</t>
  </si>
  <si>
    <t>z</t>
  </si>
  <si>
    <t>#38</t>
  </si>
  <si>
    <t>#39</t>
  </si>
  <si>
    <t>#40</t>
  </si>
  <si>
    <t>#41</t>
  </si>
  <si>
    <t>#42</t>
  </si>
  <si>
    <t>#43</t>
  </si>
  <si>
    <t>#44</t>
  </si>
  <si>
    <t>#45</t>
  </si>
  <si>
    <t>#46</t>
  </si>
  <si>
    <t>#47</t>
  </si>
  <si>
    <t>#48</t>
  </si>
  <si>
    <t>#49</t>
  </si>
  <si>
    <t>#50</t>
  </si>
  <si>
    <t>#51</t>
  </si>
  <si>
    <t>#52</t>
  </si>
  <si>
    <t>"Add [purple]Alpha[cu]"</t>
  </si>
  <si>
    <t>\\\"Add [purple]Alpha[cu]\\\"</t>
  </si>
  <si>
    <t>#53</t>
  </si>
  <si>
    <t>"Add [purple]Alpha[cu] (11-20)"</t>
  </si>
  <si>
    <t>\\\"Add [purple]Alpha[cu] (11-20)\\\"</t>
  </si>
  <si>
    <t>#54</t>
  </si>
  <si>
    <t>"Add [purple]Archer[cu]"</t>
  </si>
  <si>
    <t>\\\"Add [purple]Archer[cu]\\\"</t>
  </si>
  <si>
    <t>#55</t>
  </si>
  <si>
    <t>"Add [purple]Archer[cu] (11-20)"</t>
  </si>
  <si>
    <t>\\\"Add [purple]Archer[cu] (11-20)\\\"</t>
  </si>
  <si>
    <t>#56</t>
  </si>
  <si>
    <t>"Add [purple]Bandit[cu]"</t>
  </si>
  <si>
    <t>\\\"Add [purple]Bandit[cu]"</t>
  </si>
  <si>
    <t>#57</t>
  </si>
  <si>
    <t>"Add [purple]Bandit[cu] (11-20)"</t>
  </si>
  <si>
    <t>\\\"Add [purple]Bandit[cu] (11-20)\\\"</t>
  </si>
  <si>
    <t>#58</t>
  </si>
  <si>
    <t>"Add [purple]Banshee[cu]"</t>
  </si>
  <si>
    <t>\\\"Add [purple]Banshee[cu]\\\"</t>
  </si>
  <si>
    <t>#59</t>
  </si>
  <si>
    <t>"Add [purple]Banshee[cu] (11-20)"</t>
  </si>
  <si>
    <t>\\\"Add [purple]Banshee[cu] (11-20)\\\"</t>
  </si>
  <si>
    <t>#60</t>
  </si>
  <si>
    <t>"Add [purple]Basilisk[cu]"</t>
  </si>
  <si>
    <t>\\\"Add [purple]Basilisk[cu]\\\"</t>
  </si>
  <si>
    <t>#61</t>
  </si>
  <si>
    <t>"Add [purple]Basilisk[cu] (11-20)"</t>
  </si>
  <si>
    <t>\\\"Add [purple]Basilisk[cu] (11-20)\\\"</t>
  </si>
  <si>
    <t>#62</t>
  </si>
  <si>
    <t>"Add [purple]Boar[cu]"</t>
  </si>
  <si>
    <t>\\\"Add [purple]Boar[cu]\\\"</t>
  </si>
  <si>
    <t>#63</t>
  </si>
  <si>
    <t>"Add [purple]Boar[cu] (11-20)"</t>
  </si>
  <si>
    <t>\\\"Add [purple]Boar[cu] (11-20)\\\"</t>
  </si>
  <si>
    <t>#64</t>
  </si>
  <si>
    <t>#65</t>
  </si>
  <si>
    <t>"Add [purple]Bramble[cu]"</t>
  </si>
  <si>
    <t>\\\"Add [purple]Bramble[cu]\\\"</t>
  </si>
  <si>
    <t>#66</t>
  </si>
  <si>
    <t>"Add [purple]Bramble[cu] (11-20)"</t>
  </si>
  <si>
    <t>\\\"Add [purple]Bramble[cu] (11-20)\\\"</t>
  </si>
  <si>
    <t>#67</t>
  </si>
  <si>
    <t>"Add [purple]Caw[cu]"</t>
  </si>
  <si>
    <t>\\\"Add [purple]Caw[cu]\\\"</t>
  </si>
  <si>
    <t>#68</t>
  </si>
  <si>
    <t>"Add [purple]Caw[cu] (11-20)"</t>
  </si>
  <si>
    <t>\\\"Add [purple]Caw[cu] (11-20)\\\"</t>
  </si>
  <si>
    <t>#69</t>
  </si>
  <si>
    <t>"Add [purple]Caw Egg[cu]"</t>
  </si>
  <si>
    <t>\\\"Add [purple]Caw Egg[cu]\\\"</t>
  </si>
  <si>
    <t>#70</t>
  </si>
  <si>
    <t>"Add [purple]Caw Egg[cu] (11-20)"</t>
  </si>
  <si>
    <t>\\\"Add [purple]Caw Egg[cu] (11-20)\\\"</t>
  </si>
  <si>
    <t>#71</t>
  </si>
  <si>
    <t>"Add [purple]Crone[cu]"</t>
  </si>
  <si>
    <t>\\\"Add [purple]Crone[cu]\\\"</t>
  </si>
  <si>
    <t>#72</t>
  </si>
  <si>
    <t>"Add [purple]Crone[cu] (11-20)"</t>
  </si>
  <si>
    <t>\\\"Add [purple]Crone[cu] (11-20)\\\"</t>
  </si>
  <si>
    <t>#73</t>
  </si>
  <si>
    <t>"Add [purple]Cyclops[cu]"</t>
  </si>
  <si>
    <t>\\\"Add [purple]Cyclops[cu]\\\"</t>
  </si>
  <si>
    <t>#74</t>
  </si>
  <si>
    <t>"Add [purple]Cyclops[cu] (11-20)"</t>
  </si>
  <si>
    <t>\\\"Add [purple]Cyclops[cu] (11-20)\\\"</t>
  </si>
  <si>
    <t>#75</t>
  </si>
  <si>
    <t>"Add [purple]Demon[cu]"</t>
  </si>
  <si>
    <t>\\\"Add [purple]Demon[cu]\\\"</t>
  </si>
  <si>
    <t>#76</t>
  </si>
  <si>
    <t>"Add [purple]Demon[cu] (11-20)"</t>
  </si>
  <si>
    <t>\\\"Add [purple]Demon[cu] (11-20)\\\"</t>
  </si>
  <si>
    <t>#77</t>
  </si>
  <si>
    <t>"Add [purple]Dragon[cu]"</t>
  </si>
  <si>
    <t>\\\"Add [purple]Dragon[cu]\\\"</t>
  </si>
  <si>
    <t>#78</t>
  </si>
  <si>
    <t>"Add [purple]Dragon[cu] (11-20)"</t>
  </si>
  <si>
    <t>\\\"Add [purple]Dragon[cu] (11-20)\\\"</t>
  </si>
  <si>
    <t>#79</t>
  </si>
  <si>
    <t>"Add [purple]Dragon Egg[cu]"</t>
  </si>
  <si>
    <t>\\\"Add [purple]Dragon Egg[cu]\\\"</t>
  </si>
  <si>
    <t>#80</t>
  </si>
  <si>
    <t>"Add [purple]Dragon Egg[cu] (11-20)"</t>
  </si>
  <si>
    <t>\\\"Add [purple]Dragon Egg[cu] (11-20)\\\"</t>
  </si>
  <si>
    <t>#81</t>
  </si>
  <si>
    <t>"Add [purple]Fanatic[cu]"</t>
  </si>
  <si>
    <t>\\\"Add [purple]Fanatic[cu]\\\"</t>
  </si>
  <si>
    <t>#82</t>
  </si>
  <si>
    <t>"Add [purple]Fanatic[cu] (11-20)"</t>
  </si>
  <si>
    <t>\\\"Add [purple]Fanatic[cu] (11-20)\\\"</t>
  </si>
  <si>
    <t>#83</t>
  </si>
  <si>
    <t>"Add [purple]Ghost[cu]"</t>
  </si>
  <si>
    <t>\\\"Add [purple]Ghost[cu]\\\"</t>
  </si>
  <si>
    <t>#84</t>
  </si>
  <si>
    <t>"Add [purple]Ghost[cu] (11-20)"</t>
  </si>
  <si>
    <t>\\\"Add [purple]Ghost[cu] (11-20)\\\"</t>
  </si>
  <si>
    <t>#85</t>
  </si>
  <si>
    <t>"Add [purple]Gnoll[cu]"</t>
  </si>
  <si>
    <t>\\\"Add [purple]Gnoll[cu]\\\"</t>
  </si>
  <si>
    <t>#86</t>
  </si>
  <si>
    <t>"Add [purple]Gnoll[cu] (11-20)"</t>
  </si>
  <si>
    <t>\\\"Add [purple]Gnoll[cu] (11-20)\\\"</t>
  </si>
  <si>
    <t>#87</t>
  </si>
  <si>
    <t>"Add [purple]Goblin[cu]"</t>
  </si>
  <si>
    <t>\\\"Add [purple]Goblin[cu]\\\"</t>
  </si>
  <si>
    <t>#88</t>
  </si>
  <si>
    <t>"Add [purple]Goblin[cu] (11-20)"</t>
  </si>
  <si>
    <t>\\\"Add [purple]Goblin[cu] (11-20)\\\"</t>
  </si>
  <si>
    <t>#89</t>
  </si>
  <si>
    <t>"Add [purple]Grave[cu]"</t>
  </si>
  <si>
    <t>\\\"Add [purple]Grave[cu]\\\"</t>
  </si>
  <si>
    <t>#90</t>
  </si>
  <si>
    <t>"Add [purple]Grave[cu] (11-20)"</t>
  </si>
  <si>
    <t>\\\"Add [purple]Grave[cu] (11-20)\\\"</t>
  </si>
  <si>
    <t>#91</t>
  </si>
  <si>
    <t>"Add [purple]Hydra[cu]"</t>
  </si>
  <si>
    <t>\\\"Add [purple]Hydra[cu]\\\"</t>
  </si>
  <si>
    <t>#92</t>
  </si>
  <si>
    <t>"Add [purple]Hydra[cu] (11-20)"</t>
  </si>
  <si>
    <t>\\\"Add [purple]Hydra[cu] (11-20)\\\"</t>
  </si>
  <si>
    <t>#93</t>
  </si>
  <si>
    <t>"Add [purple]Illusion[cu]"</t>
  </si>
  <si>
    <t>\\\"Add [purple]Illusion[cu]\\\"</t>
  </si>
  <si>
    <t>#94</t>
  </si>
  <si>
    <t>"Add [purple]Illusion[cu] (11-20)"</t>
  </si>
  <si>
    <t>\\\"Add [purple]Illusion[cu] (11-20)\\\"</t>
  </si>
  <si>
    <t>#95</t>
  </si>
  <si>
    <t>"Add [purple]Imp[cu]"</t>
  </si>
  <si>
    <t>\\\"Add [purple]Imp[cu]\\\"</t>
  </si>
  <si>
    <t>#96</t>
  </si>
  <si>
    <t>"Add [purple]Imp[cu] (11-20)"</t>
  </si>
  <si>
    <t>\\\"Add [purple]Imp[cu] (11-20)\\\"</t>
  </si>
  <si>
    <t>#97</t>
  </si>
  <si>
    <t>"Add [purple]Lich[cu]"</t>
  </si>
  <si>
    <t>\\\"Add [purple]Lich[cu]\\\"</t>
  </si>
  <si>
    <t>#98</t>
  </si>
  <si>
    <t>"Add [purple]Lich[cu] (11-20)"</t>
  </si>
  <si>
    <t>\\\"Add [purple]Lich[cu] (11-20)\\\"</t>
  </si>
  <si>
    <t>#99</t>
  </si>
  <si>
    <t>"Add [purple]Ogre[cu]"</t>
  </si>
  <si>
    <t>\\\"Add [purple]Ogre[cu]\\\"</t>
  </si>
  <si>
    <t>#100</t>
  </si>
  <si>
    <t>"Add [purple]Ogre[cu] (11-20)"</t>
  </si>
  <si>
    <t>\\\"Add [purple]Ogre[cu] (11-20)\\\"</t>
  </si>
  <si>
    <t>#101</t>
  </si>
  <si>
    <t>"Add [purple]Quartz[cu]"</t>
  </si>
  <si>
    <t>\\\"Add [purple]Quartz[cu]\\\"</t>
  </si>
  <si>
    <t>#102</t>
  </si>
  <si>
    <t>"Add [purple]Quartz[cu] (11-20)"</t>
  </si>
  <si>
    <t>\\\"Add [purple]Quartz[cu] (11-20)\\\"</t>
  </si>
  <si>
    <t>#103</t>
  </si>
  <si>
    <t>"Add [purple]Rat[cu]"</t>
  </si>
  <si>
    <t>\\\"Add [purple]Rat[cu]\\\"</t>
  </si>
  <si>
    <t>#104</t>
  </si>
  <si>
    <t>"Add [purple]Rat[cu] (11-20)"</t>
  </si>
  <si>
    <t>\\\"Add [purple]Rat[cu] (11-20)\\\"</t>
  </si>
  <si>
    <t>#105</t>
  </si>
  <si>
    <t>"Add [purple]Saber[cu]"</t>
  </si>
  <si>
    <t>\\\"Add [purple]Saber[cu]\\\"</t>
  </si>
  <si>
    <t>#106</t>
  </si>
  <si>
    <t>"Add [purple]Saber[cu] (11-20)"</t>
  </si>
  <si>
    <t>\\\"Add [purple]Saber[cu] (11-20)\\\"</t>
  </si>
  <si>
    <t>#107</t>
  </si>
  <si>
    <t>"Add [purple]Slate[cu]"</t>
  </si>
  <si>
    <t>\\\"Add [purple]Slate[cu]\\\"</t>
  </si>
  <si>
    <t>#108</t>
  </si>
  <si>
    <t>"Add [purple]Slate[cu] (11-20)"</t>
  </si>
  <si>
    <t>\\\"Add [purple]Slate[cu] (11-20)\\\"</t>
  </si>
  <si>
    <t>#109</t>
  </si>
  <si>
    <t>"Add [purple]Slimelet[cu]"</t>
  </si>
  <si>
    <t>\\\"Add [purple]Slimelet[cu]\\\"</t>
  </si>
  <si>
    <t>#110</t>
  </si>
  <si>
    <t>"Add [purple]Slimelet[cu] (11-20)"</t>
  </si>
  <si>
    <t>\\\"Add [purple]Slimelet[cu] (11-20)\\\"</t>
  </si>
  <si>
    <t>#111</t>
  </si>
  <si>
    <t>"Add [purple]Slimer[cu]"</t>
  </si>
  <si>
    <t>\\\"Add [purple]Slimer[cu]\\\"</t>
  </si>
  <si>
    <t>#112</t>
  </si>
  <si>
    <t>"Add [purple]Slimer[cu] (11-20)"</t>
  </si>
  <si>
    <t>\\\"Add [purple]Slimer[cu] (11-20)\\\"</t>
  </si>
  <si>
    <t>#113</t>
  </si>
  <si>
    <t>"Add [purple]Snake[cu]"</t>
  </si>
  <si>
    <t>\\\"Add [purple]Snake[cu]\\\"</t>
  </si>
  <si>
    <t>#114</t>
  </si>
  <si>
    <t>"Add [purple]Snake[cu] (11-20)"</t>
  </si>
  <si>
    <t>\\\"Add [purple]Snake[cu] (11-20)\\\"</t>
  </si>
  <si>
    <t>#115</t>
  </si>
  <si>
    <t>"Add [purple]Sniper[cu]"</t>
  </si>
  <si>
    <t>\\\"Add [purple]Sniper[cu]\\\"</t>
  </si>
  <si>
    <t>#116</t>
  </si>
  <si>
    <t>"Add [purple]Sniper[cu] (11-20)"</t>
  </si>
  <si>
    <t>\\\"Add [purple]Sniper[cu] (11-20)\\\"</t>
  </si>
  <si>
    <t>#117</t>
  </si>
  <si>
    <t>"Add [purple]Spider[cu]"</t>
  </si>
  <si>
    <t>\\\"Add [purple]Spider[cu]\\\"</t>
  </si>
  <si>
    <t>#118</t>
  </si>
  <si>
    <t>"Add [purple]Spider[cu] (11-20)"</t>
  </si>
  <si>
    <t>\\\"Add [purple]Spider[cu] (11-20)\\\"</t>
  </si>
  <si>
    <t>#119</t>
  </si>
  <si>
    <t>"Add [purple]Spiker[cu]"</t>
  </si>
  <si>
    <t>\\\"Add [purple]Spiker[cu]\\\"</t>
  </si>
  <si>
    <t>#120</t>
  </si>
  <si>
    <t>"Add [purple]Spiker[cu] (11-20)"</t>
  </si>
  <si>
    <t>\\\"Add [purple]Spiker[cu] (11-20)\\\"</t>
  </si>
  <si>
    <t>#121</t>
  </si>
  <si>
    <t>"Add [purple]Sudul[cu]"</t>
  </si>
  <si>
    <t>\\\"Add [purple]Sudul[cu]\\\"</t>
  </si>
  <si>
    <t>#122</t>
  </si>
  <si>
    <t>"Add [purple]Sudul[cu] (11-20)"</t>
  </si>
  <si>
    <t>\\\"Add [purple]Sudul[cu] (11-20)\\\"</t>
  </si>
  <si>
    <t>#123</t>
  </si>
  <si>
    <t>"Add [purple]Thorn[cu]"</t>
  </si>
  <si>
    <t>\\\"Add [purple]Thorn[cu]\\\"</t>
  </si>
  <si>
    <t>#124</t>
  </si>
  <si>
    <t>"Add [purple]Thorn[cu] (11-20)"</t>
  </si>
  <si>
    <t>\\\"Add [purple]Thorn[cu] (11-20)\\\"</t>
  </si>
  <si>
    <t>#125</t>
  </si>
  <si>
    <t>"Add [purple]Troll[cu]"</t>
  </si>
  <si>
    <t>\\\"Add [purple]Troll[cu]\\\"</t>
  </si>
  <si>
    <t>#126</t>
  </si>
  <si>
    <t>"Add [purple]Troll[cu] (11-20)"</t>
  </si>
  <si>
    <t>\\\"Add [purple]Troll[cu] (11-20)\\\"</t>
  </si>
  <si>
    <t>#127</t>
  </si>
  <si>
    <t>"Add [purple]Warchief[cu]"</t>
  </si>
  <si>
    <t>\\\"Add [purple]Warchief[cu]\\\"</t>
  </si>
  <si>
    <t>#128</t>
  </si>
  <si>
    <t>"Add [purple]Warchief[cu] (11-20)"</t>
  </si>
  <si>
    <t>\\\"Add [purple]Warchief[cu] (11-20)\\\"</t>
  </si>
  <si>
    <t>#129</t>
  </si>
  <si>
    <t>"Add [purple]Wisp[cu]"</t>
  </si>
  <si>
    <t>\\\"Add [purple]Wisp[cu]\\\"</t>
  </si>
  <si>
    <t>#130</t>
  </si>
  <si>
    <t>"Add [purple]Wisp[cu] (11-20)"</t>
  </si>
  <si>
    <t>\\\"Add [purple]Wisp[cu] (11-20)\\\"</t>
  </si>
  <si>
    <t>#131</t>
  </si>
  <si>
    <t>"Add [purple]Wizz[cu]"</t>
  </si>
  <si>
    <t>\\\"Add [purple]Wizz[cu]\\\"</t>
  </si>
  <si>
    <t>#132</t>
  </si>
  <si>
    <t>"Add [purple]Wizz[cu] (11-20)"</t>
  </si>
  <si>
    <t>\\\"Add [purple]Wizz[cu] (11-20)\\\"</t>
  </si>
  <si>
    <t>#133</t>
  </si>
  <si>
    <t>"Add [purple]Wolf[cu]"</t>
  </si>
  <si>
    <t>\\\"Add [purple]Wolf[cu]\\\"</t>
  </si>
  <si>
    <t>#134</t>
  </si>
  <si>
    <t>"Add [purple]Wolf[cu] (11-20)"</t>
  </si>
  <si>
    <t>\\\"Add [purple]Wolf[cu] (11-20)\\\"</t>
  </si>
  <si>
    <t>#135</t>
  </si>
  <si>
    <t>"Add [purple]Z0mbie[cu]"</t>
  </si>
  <si>
    <t>\\\"Add [purple]Z0mbie[cu]\\\"</t>
  </si>
  <si>
    <t>#136</t>
  </si>
  <si>
    <t>"Add [purple]Z0mbie[cu] (11-20)"</t>
  </si>
  <si>
    <t>\\\"Add [purple]Z0mbie[cu] (11-20)\\\"</t>
  </si>
  <si>
    <t>#137</t>
  </si>
  <si>
    <t>"Add [purple]Zombie[cu]"</t>
  </si>
  <si>
    <t>\\\"Add [purple]Zombie[cu]\\\"</t>
  </si>
  <si>
    <t>#138</t>
  </si>
  <si>
    <t>"Add [purple]Zombie[cu] (11-20)"</t>
  </si>
  <si>
    <t>\\\"Add [purple]Zombie[cu] (11-20)\\\"</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</si>
  <si>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</si>
  <si>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</si>
  <si>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</si>
  <si>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</si>
  <si>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</si>
  <si>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</si>
  <si>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</si>
  <si>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</si>
  <si>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</si>
  <si>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</si>
  <si>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</si>
  <si>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</si>
  <si>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</si>
  <si>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</si>
  <si>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</si>
  <si>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</si>
  <si>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</si>
  <si>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</si>
  <si>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</si>
  <si>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</si>
  <si>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</si>
  <si>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</si>
  <si>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</si>
  <si>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</si>
  <si>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</si>
  <si>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</si>
  <si>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</si>
  <si>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</si>
  <si>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</si>
  <si>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</si>
  <si>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</si>
  <si>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</si>
  <si>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</si>
  <si>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</si>
  <si>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</si>
  <si>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</si>
  <si>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</si>
  <si>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</si>
  <si>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</si>
  <si>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</si>
  <si>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</si>
  <si>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</si>
  <si>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</si>
  <si>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</si>
  <si>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</si>
  <si>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</si>
  <si>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</si>
  <si>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</si>
  <si>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</si>
  <si>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</si>
  <si>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</si>
  <si>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\\\"[b]Echo[b] ECHO echo...\\\"</t>
  </si>
  <si>
    <t>Cracking (replaces Fizzing)</t>
  </si>
  <si>
    <r>
      <rPr>
        <b/>
        <sz val="12"/>
        <color theme="1"/>
        <rFont val="Calibri"/>
      </rPr>
      <t>ECHO</t>
    </r>
    <r>
      <rPr>
        <sz val="12"/>
        <color theme="1"/>
        <rFont val="Calibri"/>
      </rPr>
      <t xml:space="preserve"> ECHO echo...</t>
    </r>
  </si>
  <si>
    <t>m:[Slate]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</si>
</sst>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font>
      <sz val="10"/>
      <color rgb="FF000000"/>
      <name val="Arial"/>
      <scheme val="minor"/>
    </font>
    <font>
      <b/>
      <sz val="12"/>
      <color theme="1"/>
      <name val="Calibri"/>
    </font>
    <font>
      <sz val="12"/>
      <color theme="1"/>
      <name val="Calibri"/>
    </font>
    <font>
      <u/>
      <sz val="12"/>
      <color rgb="FF0000FF"/>
      <name val="Calibri"/>
    </font>
    <font>
      <sz val="10"/>
      <color theme="1"/>
      <name val="Arial"/>
    </font>
    <font>
      <sz val="10"/>
      <name val="Arial"/>
    </font>
    <font>
      <sz val="10"/>
      <color theme="1"/>
      <name val="Arial"/>
      <scheme val="minor"/>
    </font>
    <font>
      <b/>
      <sz val="14"/>
      <color theme="1"/>
      <name val="Calibri"/>
    </font>
    <font>
      <sz val="12"/>
      <color rgb="FF000000"/>
      <name val="Calibri"/>
    </font>
    <font>
      <sz val="11"/>
      <color theme="1"/>
      <name val="Calibri"/>
    </font>
    <font>
      <b/>
      <sz val="12"/>
      <color rgb="FF000000"/>
      <name val="Calibri"/>
    </font>
    <font>
      <sz val="14"/>
      <color theme="1"/>
      <name val="Calibri"/>
    </font>
    <font>
      <b/>
      <sz val="13"/>
      <color theme="1"/>
      <name val="Arial"/>
      <scheme val="minor"/>
    </font>
    <font>
      <b/>
      <sz val="13"/>
      <color theme="1"/>
      <name val="Calibri"/>
    </font>
    <font>
      <sz val="13"/>
      <color theme="1"/>
      <name val="Calibri"/>
    </font>
    <font>
      <b/>
      <sz val="20"/>
      <color theme="1"/>
      <name val="Calibri"/>
    </font>
    <font>
      <b/>
      <sz val="18"/>
      <color theme="1"/>
      <name val="Calibri"/>
    </font>
    <font>
      <b/>
      <sz val="16"/>
      <color theme="1"/>
      <name val="Calibri"/>
    </font>
    <font>
      <sz val="12"/>
      <color rgb="FF000000"/>
      <name val="Docs-Calibri"/>
    </font>
    <font>
      <sz val="10"/>
      <color theme="1"/>
      <name val="Calibri"/>
    </font>
    <font>
      <sz val="11"/>
      <color rgb="FF000000"/>
      <name val="Calibri"/>
    </font>
    <font>
      <sz val="11"/>
      <color rgb="FF000000"/>
      <name val="Inconsolata"/>
    </font>
    <font>
      <b/>
      <sz val="10"/>
      <color theme="1"/>
      <name val="Roboto"/>
    </font>
    <font>
      <b/>
      <sz val="12"/>
      <color theme="1"/>
      <name val="Roboto"/>
    </font>
    <font>
      <sz val="12"/>
      <color theme="1"/>
      <name val="Arial"/>
      <scheme val="minor"/>
    </font>
    <font>
      <b/>
      <sz val="12"/>
      <color rgb="FF000000"/>
      <name val="Arial"/>
      <scheme val="minor"/>
    </font>
    <font>
      <b/>
      <u/>
      <sz val="12"/>
      <color theme="1"/>
      <name val="Calibri"/>
    </font>
    <font>
      <sz val="12"/>
      <color rgb="FFA64D79"/>
      <name val="Calibri"/>
    </font>
    <font>
      <b/>
      <sz val="12"/>
      <color theme="1"/>
      <name val="Calibri, Arial"/>
    </font>
    <font>
      <sz val="12"/>
      <color theme="1"/>
      <name val="Calibri, Arial"/>
    </font>
  </fonts>
  <fills count="26">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FCE5CD"/>
        <bgColor rgb="FFFCE5CD"/>
      </patternFill>
    </fill>
    <fill>
      <patternFill patternType="solid">
        <fgColor rgb="FFD9D9D9"/>
        <bgColor rgb="FFD9D9D9"/>
      </patternFill>
    </fill>
    <fill>
      <patternFill patternType="solid">
        <fgColor rgb="FFF4CCCC"/>
        <bgColor rgb="FFF4CCCC"/>
      </patternFill>
    </fill>
    <fill>
      <patternFill patternType="solid">
        <fgColor rgb="FFC9DAF8"/>
        <bgColor rgb="FFC9DAF8"/>
      </patternFill>
    </fill>
    <fill>
      <patternFill patternType="solid">
        <fgColor rgb="FFFFFF00"/>
        <bgColor rgb="FFFFFF00"/>
      </patternFill>
    </fill>
    <fill>
      <patternFill patternType="solid">
        <fgColor rgb="FFD9EAD3"/>
        <bgColor rgb="FFD9EAD3"/>
      </patternFill>
    </fill>
    <fill>
      <patternFill patternType="solid">
        <fgColor rgb="FF120F17"/>
        <bgColor rgb="FF120F17"/>
      </patternFill>
    </fill>
    <fill>
      <patternFill patternType="solid">
        <fgColor rgb="FFEAD1DC"/>
        <bgColor rgb="FFEAD1DC"/>
      </patternFill>
    </fill>
    <fill>
      <patternFill patternType="solid">
        <fgColor rgb="FF4DD0E1"/>
        <bgColor rgb="FF4DD0E1"/>
      </patternFill>
    </fill>
    <fill>
      <patternFill patternType="solid">
        <fgColor rgb="FFE0F7FA"/>
        <bgColor rgb="FFE0F7FA"/>
      </patternFill>
    </fill>
    <fill>
      <patternFill patternType="solid">
        <fgColor rgb="FFF3F3F3"/>
        <bgColor rgb="FFF3F3F3"/>
      </patternFill>
    </fill>
    <fill>
      <patternFill patternType="solid">
        <fgColor rgb="FFF7CB4D"/>
        <bgColor rgb="FFF7CB4D"/>
      </patternFill>
    </fill>
    <fill>
      <patternFill patternType="solid">
        <fgColor rgb="FFFEF8E3"/>
        <bgColor rgb="FFFEF8E3"/>
      </patternFill>
    </fill>
    <fill>
      <patternFill patternType="solid">
        <fgColor rgb="FFE8E7FC"/>
        <bgColor rgb="FFE8E7FC"/>
      </patternFill>
    </fill>
    <fill>
      <patternFill patternType="solid">
        <fgColor rgb="FFFDDCE8"/>
        <bgColor rgb="FFFDDCE8"/>
      </patternFill>
    </fill>
    <fill>
      <patternFill patternType="solid">
        <fgColor rgb="FFFFE599"/>
        <bgColor rgb="FFFFE599"/>
      </patternFill>
    </fill>
    <fill>
      <patternFill patternType="solid">
        <fgColor rgb="FF8BC34A"/>
        <bgColor rgb="FF8BC34A"/>
      </patternFill>
    </fill>
    <fill>
      <patternFill patternType="solid">
        <fgColor rgb="FFEEF7E3"/>
        <bgColor rgb="FFEEF7E3"/>
      </patternFill>
    </fill>
    <fill>
      <patternFill patternType="solid">
        <fgColor rgb="FFA4C2F4"/>
        <bgColor rgb="FFA4C2F4"/>
      </patternFill>
    </fill>
    <fill>
      <patternFill patternType="solid">
        <fgColor rgb="FFFF0000"/>
        <bgColor rgb="FFFF0000"/>
      </patternFill>
    </fill>
    <fill>
      <patternFill patternType="solid">
        <fgColor rgb="FFEFEFEF"/>
        <bgColor rgb="FFEFEFEF"/>
      </patternFill>
    </fill>
    <fill>
      <patternFill patternType="solid">
        <fgColor rgb="FFEA9999"/>
        <bgColor rgb="FFEA9999"/>
      </patternFill>
    </fill>
  </fills>
  <borders count="1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n">
        <color rgb="FF000000"/>
      </right>
      <top/>
      <bottom style="thin">
        <color rgb="FFFFFFFF"/>
      </bottom>
      <diagonal/>
    </border>
    <border>
      <left style="thin">
        <color rgb="FF000000"/>
      </left>
      <right style="thin">
        <color rgb="FF000000"/>
      </right>
      <top/>
      <bottom/>
      <diagonal/>
    </border>
    <border>
      <left/>
      <right style="thin">
        <color rgb="FF000000"/>
      </right>
      <top/>
      <bottom/>
      <diagonal/>
    </border>
    <border>
      <left/>
      <right style="thin">
        <color rgb="FF000000"/>
      </right>
      <top style="thin">
        <color rgb="FFFFFFFF"/>
      </top>
      <bottom/>
      <diagonal/>
    </border>
    <border>
      <left style="thin">
        <color rgb="FF000000"/>
      </left>
      <right style="thin">
        <color rgb="FF000000"/>
      </right>
      <top style="thin">
        <color rgb="FF000000"/>
      </top>
      <bottom style="thin">
        <color rgb="FFFFFFFF"/>
      </bottom>
      <diagonal/>
    </border>
    <border>
      <left style="thin">
        <color rgb="FF000000"/>
      </left>
      <right style="thin">
        <color rgb="FF000000"/>
      </right>
      <top style="thin">
        <color rgb="FFFFFFFF"/>
      </top>
      <bottom style="thin">
        <color rgb="FF000000"/>
      </bottom>
      <diagonal/>
    </border>
    <border>
      <left/>
      <right/>
      <top/>
      <bottom style="thin">
        <color rgb="FF000000"/>
      </bottom>
      <diagonal/>
    </border>
  </borders>
  <cellStyleXfs count="1">
    <xf numFmtId="0" fontId="0" fillId="0" borderId="0"/>
  </cellStyleXfs>
  <cellXfs count="361">
    <xf numFmtId="0" fontId="0" fillId="0" borderId="0" xfId="0"/>
    <xf numFmtId="0" fontId="1" fillId="2" borderId="0" xfId="0" applyFont="1" applyFill="1"/>
    <xf numFmtId="0" fontId="1" fillId="2" borderId="1" xfId="0" applyFont="1" applyFill="1" applyBorder="1"/>
    <xf numFmtId="0" fontId="1" fillId="3" borderId="1" xfId="0" applyFont="1" applyFill="1" applyBorder="1"/>
    <xf numFmtId="0" fontId="2" fillId="3" borderId="1" xfId="0" applyFont="1" applyFill="1" applyBorder="1" applyAlignment="1">
      <alignment wrapText="1"/>
    </xf>
    <xf numFmtId="0" fontId="2" fillId="2" borderId="0" xfId="0" applyFont="1" applyFill="1"/>
    <xf numFmtId="0" fontId="1" fillId="3" borderId="1" xfId="0" applyFont="1" applyFill="1" applyBorder="1" applyAlignment="1">
      <alignment wrapText="1"/>
    </xf>
    <xf numFmtId="0" fontId="2" fillId="3" borderId="1" xfId="0" applyFont="1" applyFill="1" applyBorder="1"/>
    <xf numFmtId="0" fontId="1" fillId="2" borderId="1" xfId="0" applyFont="1" applyFill="1" applyBorder="1" applyAlignment="1">
      <alignment wrapText="1"/>
    </xf>
    <xf numFmtId="0" fontId="2" fillId="2" borderId="1" xfId="0" applyFont="1" applyFill="1" applyBorder="1" applyAlignment="1">
      <alignment wrapText="1"/>
    </xf>
    <xf numFmtId="0" fontId="2" fillId="2" borderId="1" xfId="0" applyFont="1" applyFill="1" applyBorder="1"/>
    <xf numFmtId="0" fontId="3" fillId="2" borderId="1" xfId="0" applyFont="1" applyFill="1" applyBorder="1" applyAlignment="1">
      <alignment wrapText="1"/>
    </xf>
    <xf numFmtId="0" fontId="2" fillId="3" borderId="2" xfId="0" applyFont="1" applyFill="1" applyBorder="1" applyAlignment="1">
      <alignment wrapText="1"/>
    </xf>
    <xf numFmtId="0" fontId="4" fillId="2" borderId="0" xfId="0" applyFont="1" applyFill="1"/>
    <xf numFmtId="0" fontId="2" fillId="2" borderId="3" xfId="0" applyFont="1" applyFill="1" applyBorder="1"/>
    <xf numFmtId="0" fontId="2" fillId="2" borderId="3" xfId="0" applyFont="1" applyFill="1" applyBorder="1" applyAlignment="1">
      <alignment wrapText="1"/>
    </xf>
    <xf numFmtId="0" fontId="4" fillId="2" borderId="4" xfId="0" applyFont="1" applyFill="1" applyBorder="1"/>
    <xf numFmtId="0" fontId="1" fillId="3" borderId="4" xfId="0" applyFont="1" applyFill="1" applyBorder="1" applyAlignment="1">
      <alignment wrapText="1"/>
    </xf>
    <xf numFmtId="0" fontId="2" fillId="3" borderId="3" xfId="0" applyFont="1" applyFill="1" applyBorder="1" applyAlignment="1">
      <alignment wrapText="1"/>
    </xf>
    <xf numFmtId="0" fontId="4" fillId="3" borderId="4" xfId="0" applyFont="1" applyFill="1" applyBorder="1"/>
    <xf numFmtId="0" fontId="2" fillId="3" borderId="3" xfId="0" applyFont="1" applyFill="1" applyBorder="1"/>
    <xf numFmtId="0" fontId="1" fillId="3" borderId="4" xfId="0" applyFont="1" applyFill="1" applyBorder="1"/>
    <xf numFmtId="0" fontId="1" fillId="0" borderId="0" xfId="0" applyFont="1"/>
    <xf numFmtId="0" fontId="2" fillId="0" borderId="0" xfId="0" applyFont="1"/>
    <xf numFmtId="0" fontId="1" fillId="0" borderId="0" xfId="0" applyFont="1" applyAlignment="1">
      <alignment wrapText="1"/>
    </xf>
    <xf numFmtId="0" fontId="1" fillId="3" borderId="5" xfId="0" applyFont="1" applyFill="1" applyBorder="1" applyAlignment="1">
      <alignment wrapText="1"/>
    </xf>
    <xf numFmtId="0" fontId="1" fillId="3" borderId="5" xfId="0" applyFont="1" applyFill="1" applyBorder="1" applyAlignment="1">
      <alignment horizontal="left" wrapText="1"/>
    </xf>
    <xf numFmtId="0" fontId="1" fillId="3" borderId="0" xfId="0" applyFont="1" applyFill="1" applyAlignment="1">
      <alignment horizontal="left" wrapText="1"/>
    </xf>
    <xf numFmtId="0" fontId="1" fillId="3" borderId="0" xfId="0" applyFont="1" applyFill="1" applyAlignment="1">
      <alignment wrapText="1"/>
    </xf>
    <xf numFmtId="0" fontId="2" fillId="0" borderId="0" xfId="0" applyFont="1" applyAlignment="1">
      <alignment wrapText="1"/>
    </xf>
    <xf numFmtId="0" fontId="2" fillId="3" borderId="4" xfId="0" applyFont="1" applyFill="1" applyBorder="1"/>
    <xf numFmtId="0" fontId="2" fillId="3" borderId="4" xfId="0" applyFont="1" applyFill="1" applyBorder="1" applyAlignment="1">
      <alignment horizontal="center"/>
    </xf>
    <xf numFmtId="0" fontId="2" fillId="0" borderId="1" xfId="0" applyFont="1" applyBorder="1" applyAlignment="1">
      <alignment horizontal="left"/>
    </xf>
    <xf numFmtId="0" fontId="2" fillId="3" borderId="0" xfId="0" applyFont="1" applyFill="1" applyAlignment="1">
      <alignment horizontal="center"/>
    </xf>
    <xf numFmtId="0" fontId="2" fillId="3" borderId="0" xfId="0" applyFont="1" applyFill="1" applyAlignment="1">
      <alignment wrapText="1"/>
    </xf>
    <xf numFmtId="0" fontId="2" fillId="4" borderId="1" xfId="0" applyFont="1" applyFill="1" applyBorder="1"/>
    <xf numFmtId="0" fontId="2" fillId="0" borderId="1" xfId="0" applyFont="1" applyBorder="1" applyAlignment="1">
      <alignment horizontal="center"/>
    </xf>
    <xf numFmtId="0" fontId="2" fillId="0" borderId="1" xfId="0" applyFont="1" applyBorder="1"/>
    <xf numFmtId="0" fontId="1" fillId="4" borderId="1" xfId="0" applyFont="1" applyFill="1" applyBorder="1"/>
    <xf numFmtId="0" fontId="2" fillId="4" borderId="1" xfId="0" applyFont="1" applyFill="1" applyBorder="1" applyAlignment="1">
      <alignment horizontal="center"/>
    </xf>
    <xf numFmtId="0" fontId="2" fillId="0" borderId="1" xfId="0" applyFont="1" applyBorder="1" applyAlignment="1">
      <alignment wrapText="1"/>
    </xf>
    <xf numFmtId="0" fontId="6" fillId="0" borderId="1" xfId="0" applyFont="1" applyBorder="1"/>
    <xf numFmtId="0" fontId="2" fillId="3" borderId="1" xfId="0" applyFont="1" applyFill="1" applyBorder="1" applyAlignment="1">
      <alignment horizontal="center"/>
    </xf>
    <xf numFmtId="0" fontId="2" fillId="5" borderId="1" xfId="0" applyFont="1" applyFill="1" applyBorder="1"/>
    <xf numFmtId="0" fontId="1" fillId="5" borderId="1" xfId="0" applyFont="1" applyFill="1" applyBorder="1"/>
    <xf numFmtId="0" fontId="2" fillId="5" borderId="1" xfId="0" applyFont="1" applyFill="1" applyBorder="1" applyAlignment="1">
      <alignment horizontal="center"/>
    </xf>
    <xf numFmtId="0" fontId="2" fillId="6" borderId="1" xfId="0" applyFont="1" applyFill="1" applyBorder="1"/>
    <xf numFmtId="0" fontId="1" fillId="6" borderId="1" xfId="0" applyFont="1" applyFill="1" applyBorder="1"/>
    <xf numFmtId="0" fontId="2" fillId="6" borderId="1" xfId="0" applyFont="1" applyFill="1" applyBorder="1" applyAlignment="1">
      <alignment horizontal="center"/>
    </xf>
    <xf numFmtId="0" fontId="2" fillId="7" borderId="1" xfId="0" applyFont="1" applyFill="1" applyBorder="1"/>
    <xf numFmtId="0" fontId="1" fillId="7" borderId="1" xfId="0" applyFont="1" applyFill="1" applyBorder="1"/>
    <xf numFmtId="0" fontId="2" fillId="7" borderId="1" xfId="0" applyFont="1" applyFill="1" applyBorder="1" applyAlignment="1">
      <alignment horizontal="center"/>
    </xf>
    <xf numFmtId="0" fontId="1" fillId="4" borderId="1" xfId="0" applyFont="1" applyFill="1" applyBorder="1" applyAlignment="1">
      <alignment wrapText="1"/>
    </xf>
    <xf numFmtId="0" fontId="2" fillId="4" borderId="1" xfId="0" applyFont="1" applyFill="1" applyBorder="1" applyAlignment="1">
      <alignment horizontal="center" wrapText="1"/>
    </xf>
    <xf numFmtId="0" fontId="2" fillId="3" borderId="1" xfId="0" applyFont="1" applyFill="1" applyBorder="1" applyAlignment="1">
      <alignment horizontal="center" wrapText="1"/>
    </xf>
    <xf numFmtId="0" fontId="1" fillId="5" borderId="1" xfId="0" applyFont="1" applyFill="1" applyBorder="1" applyAlignment="1">
      <alignment wrapText="1"/>
    </xf>
    <xf numFmtId="0" fontId="2" fillId="5" borderId="1" xfId="0" applyFont="1" applyFill="1" applyBorder="1" applyAlignment="1">
      <alignment horizontal="center" wrapText="1"/>
    </xf>
    <xf numFmtId="0" fontId="1" fillId="6" borderId="1" xfId="0" applyFont="1" applyFill="1" applyBorder="1" applyAlignment="1">
      <alignment wrapText="1"/>
    </xf>
    <xf numFmtId="0" fontId="2" fillId="6" borderId="1" xfId="0" applyFont="1" applyFill="1" applyBorder="1" applyAlignment="1">
      <alignment horizontal="center" wrapText="1"/>
    </xf>
    <xf numFmtId="0" fontId="1" fillId="7" borderId="1" xfId="0" applyFont="1" applyFill="1" applyBorder="1" applyAlignment="1">
      <alignment wrapText="1"/>
    </xf>
    <xf numFmtId="0" fontId="2" fillId="7" borderId="1" xfId="0" applyFont="1" applyFill="1" applyBorder="1" applyAlignment="1">
      <alignment horizontal="center" wrapText="1"/>
    </xf>
    <xf numFmtId="0" fontId="6" fillId="0" borderId="1" xfId="0" applyFont="1" applyBorder="1" applyAlignment="1">
      <alignment horizontal="center"/>
    </xf>
    <xf numFmtId="0" fontId="2" fillId="8" borderId="1" xfId="0" applyFont="1" applyFill="1" applyBorder="1"/>
    <xf numFmtId="0" fontId="2" fillId="0" borderId="0" xfId="0" applyFont="1" applyAlignment="1">
      <alignment horizontal="center"/>
    </xf>
    <xf numFmtId="0" fontId="7" fillId="0" borderId="0" xfId="0" applyFont="1"/>
    <xf numFmtId="0" fontId="8" fillId="2" borderId="0" xfId="0" applyFont="1" applyFill="1"/>
    <xf numFmtId="0" fontId="2" fillId="0" borderId="0" xfId="0" applyFont="1" applyAlignment="1">
      <alignment horizontal="left"/>
    </xf>
    <xf numFmtId="0" fontId="1" fillId="2" borderId="0" xfId="0" applyFont="1" applyFill="1" applyAlignment="1">
      <alignment wrapText="1"/>
    </xf>
    <xf numFmtId="0" fontId="2" fillId="9" borderId="1" xfId="0" applyFont="1" applyFill="1" applyBorder="1" applyAlignment="1">
      <alignment wrapText="1"/>
    </xf>
    <xf numFmtId="0" fontId="1" fillId="9" borderId="1" xfId="0" applyFont="1" applyFill="1" applyBorder="1"/>
    <xf numFmtId="0" fontId="2" fillId="10" borderId="8" xfId="0" applyFont="1" applyFill="1" applyBorder="1" applyAlignment="1">
      <alignment vertical="center"/>
    </xf>
    <xf numFmtId="49" fontId="2" fillId="0" borderId="1" xfId="0" applyNumberFormat="1" applyFont="1" applyBorder="1"/>
    <xf numFmtId="0" fontId="2" fillId="0" borderId="1" xfId="0" applyFont="1" applyBorder="1" applyAlignment="1">
      <alignment vertical="center"/>
    </xf>
    <xf numFmtId="0" fontId="2" fillId="2" borderId="0" xfId="0" applyFont="1" applyFill="1" applyAlignment="1">
      <alignment wrapText="1"/>
    </xf>
    <xf numFmtId="0" fontId="2" fillId="10" borderId="9" xfId="0" applyFont="1" applyFill="1" applyBorder="1" applyAlignment="1">
      <alignment vertical="center"/>
    </xf>
    <xf numFmtId="0" fontId="2" fillId="0" borderId="1" xfId="0" applyFont="1" applyBorder="1" applyAlignment="1">
      <alignment horizontal="center" vertical="center"/>
    </xf>
    <xf numFmtId="49" fontId="2" fillId="8" borderId="1" xfId="0" applyNumberFormat="1" applyFont="1" applyFill="1" applyBorder="1"/>
    <xf numFmtId="0" fontId="2" fillId="10" borderId="10" xfId="0" applyFont="1" applyFill="1" applyBorder="1" applyAlignment="1">
      <alignment vertical="center"/>
    </xf>
    <xf numFmtId="0" fontId="2" fillId="10" borderId="1" xfId="0" applyFont="1" applyFill="1" applyBorder="1" applyAlignment="1">
      <alignment vertical="center"/>
    </xf>
    <xf numFmtId="0" fontId="2" fillId="0" borderId="11" xfId="0" applyFont="1" applyBorder="1" applyAlignment="1">
      <alignment horizontal="center"/>
    </xf>
    <xf numFmtId="0" fontId="2" fillId="0" borderId="0" xfId="0" applyFont="1" applyAlignment="1">
      <alignment vertical="center"/>
    </xf>
    <xf numFmtId="0" fontId="2" fillId="0" borderId="13" xfId="0" applyFont="1" applyBorder="1" applyAlignment="1">
      <alignment horizontal="center"/>
    </xf>
    <xf numFmtId="0" fontId="2" fillId="0" borderId="14" xfId="0" applyFont="1" applyBorder="1" applyAlignment="1">
      <alignment horizontal="center"/>
    </xf>
    <xf numFmtId="0" fontId="2" fillId="4" borderId="1" xfId="0" applyFont="1" applyFill="1" applyBorder="1" applyAlignment="1">
      <alignment wrapText="1"/>
    </xf>
    <xf numFmtId="0" fontId="1" fillId="0" borderId="1" xfId="0" applyFont="1" applyBorder="1" applyAlignment="1">
      <alignment wrapText="1"/>
    </xf>
    <xf numFmtId="0" fontId="2" fillId="10" borderId="9" xfId="0" applyFont="1" applyFill="1" applyBorder="1" applyAlignment="1">
      <alignment vertical="center" wrapText="1"/>
    </xf>
    <xf numFmtId="49" fontId="2" fillId="0" borderId="1" xfId="0" applyNumberFormat="1" applyFont="1" applyBorder="1" applyAlignment="1">
      <alignment wrapText="1"/>
    </xf>
    <xf numFmtId="49" fontId="2" fillId="8" borderId="1" xfId="0" applyNumberFormat="1" applyFont="1" applyFill="1" applyBorder="1" applyAlignment="1">
      <alignment wrapText="1"/>
    </xf>
    <xf numFmtId="0" fontId="2" fillId="6" borderId="1" xfId="0" applyFont="1" applyFill="1" applyBorder="1" applyAlignment="1">
      <alignment wrapText="1"/>
    </xf>
    <xf numFmtId="0" fontId="6" fillId="2" borderId="0" xfId="0" applyFont="1" applyFill="1"/>
    <xf numFmtId="0" fontId="2" fillId="0" borderId="15" xfId="0" applyFont="1" applyBorder="1" applyAlignment="1">
      <alignment horizontal="center"/>
    </xf>
    <xf numFmtId="0" fontId="2" fillId="0" borderId="5" xfId="0" applyFont="1" applyBorder="1"/>
    <xf numFmtId="0" fontId="2" fillId="0" borderId="12" xfId="0" applyFont="1" applyBorder="1" applyAlignment="1">
      <alignment horizontal="center"/>
    </xf>
    <xf numFmtId="0" fontId="2" fillId="0" borderId="16" xfId="0" applyFont="1" applyBorder="1" applyAlignment="1">
      <alignment horizontal="center"/>
    </xf>
    <xf numFmtId="0" fontId="2" fillId="10" borderId="14" xfId="0" applyFont="1" applyFill="1" applyBorder="1" applyAlignment="1">
      <alignment vertical="center"/>
    </xf>
    <xf numFmtId="0" fontId="2" fillId="11" borderId="1" xfId="0" applyFont="1" applyFill="1" applyBorder="1" applyAlignment="1">
      <alignment wrapText="1"/>
    </xf>
    <xf numFmtId="0" fontId="1" fillId="11" borderId="1" xfId="0" applyFont="1" applyFill="1" applyBorder="1" applyAlignment="1">
      <alignment wrapText="1"/>
    </xf>
    <xf numFmtId="49" fontId="2" fillId="0" borderId="0" xfId="0" applyNumberFormat="1" applyFont="1" applyAlignment="1">
      <alignment wrapText="1"/>
    </xf>
    <xf numFmtId="0" fontId="1" fillId="12" borderId="1" xfId="0" applyFont="1" applyFill="1" applyBorder="1"/>
    <xf numFmtId="0" fontId="1" fillId="12" borderId="1" xfId="0" applyFont="1" applyFill="1" applyBorder="1" applyAlignment="1">
      <alignment horizontal="right"/>
    </xf>
    <xf numFmtId="0" fontId="4" fillId="0" borderId="0" xfId="0" applyFont="1"/>
    <xf numFmtId="0" fontId="4" fillId="0" borderId="17" xfId="0" applyFont="1" applyBorder="1"/>
    <xf numFmtId="0" fontId="2" fillId="2" borderId="1" xfId="0" applyFont="1" applyFill="1" applyBorder="1" applyAlignment="1">
      <alignment horizontal="right"/>
    </xf>
    <xf numFmtId="0" fontId="2" fillId="2" borderId="1" xfId="0" applyFont="1" applyFill="1" applyBorder="1" applyAlignment="1">
      <alignment horizontal="center" vertical="center"/>
    </xf>
    <xf numFmtId="0" fontId="4" fillId="0" borderId="13" xfId="0" applyFont="1" applyBorder="1"/>
    <xf numFmtId="0" fontId="1" fillId="0" borderId="3" xfId="0" applyFont="1" applyBorder="1"/>
    <xf numFmtId="0" fontId="1" fillId="13" borderId="1" xfId="0" applyFont="1" applyFill="1" applyBorder="1"/>
    <xf numFmtId="0" fontId="2" fillId="13" borderId="1" xfId="0" applyFont="1" applyFill="1" applyBorder="1" applyAlignment="1">
      <alignment horizontal="right"/>
    </xf>
    <xf numFmtId="0" fontId="2" fillId="13" borderId="1" xfId="0" applyFont="1" applyFill="1" applyBorder="1" applyAlignment="1">
      <alignment horizontal="center" vertical="center"/>
    </xf>
    <xf numFmtId="0" fontId="2" fillId="13" borderId="1" xfId="0" applyFont="1" applyFill="1" applyBorder="1"/>
    <xf numFmtId="0" fontId="2" fillId="0" borderId="3" xfId="0" applyFont="1" applyBorder="1" applyAlignment="1">
      <alignment horizontal="right"/>
    </xf>
    <xf numFmtId="0" fontId="2" fillId="0" borderId="0" xfId="0" applyFont="1" applyAlignment="1">
      <alignment horizontal="right"/>
    </xf>
    <xf numFmtId="0" fontId="2" fillId="13" borderId="1" xfId="0" quotePrefix="1" applyFont="1" applyFill="1" applyBorder="1"/>
    <xf numFmtId="0" fontId="6" fillId="13" borderId="1" xfId="0" applyFont="1" applyFill="1" applyBorder="1"/>
    <xf numFmtId="0" fontId="6" fillId="2" borderId="1" xfId="0" applyFont="1" applyFill="1" applyBorder="1"/>
    <xf numFmtId="0" fontId="4" fillId="2" borderId="1" xfId="0" applyFont="1" applyFill="1" applyBorder="1"/>
    <xf numFmtId="0" fontId="2" fillId="2" borderId="1" xfId="0" quotePrefix="1" applyFont="1" applyFill="1" applyBorder="1"/>
    <xf numFmtId="0" fontId="8" fillId="2" borderId="1" xfId="0" applyFont="1" applyFill="1" applyBorder="1" applyAlignment="1">
      <alignment horizontal="left"/>
    </xf>
    <xf numFmtId="0" fontId="1" fillId="0" borderId="4" xfId="0" applyFont="1" applyBorder="1"/>
    <xf numFmtId="0" fontId="4" fillId="0" borderId="3" xfId="0" applyFont="1" applyBorder="1"/>
    <xf numFmtId="0" fontId="4" fillId="0" borderId="1" xfId="0" applyFont="1" applyBorder="1"/>
    <xf numFmtId="0" fontId="2" fillId="11" borderId="3" xfId="0" applyFont="1" applyFill="1" applyBorder="1" applyAlignment="1">
      <alignment horizontal="right"/>
    </xf>
    <xf numFmtId="0" fontId="2" fillId="0" borderId="1" xfId="0" quotePrefix="1" applyFont="1" applyBorder="1"/>
    <xf numFmtId="0" fontId="2" fillId="2" borderId="0" xfId="0" applyFont="1" applyFill="1" applyAlignment="1">
      <alignment horizontal="right"/>
    </xf>
    <xf numFmtId="0" fontId="1" fillId="14" borderId="0" xfId="0" applyFont="1" applyFill="1" applyAlignment="1">
      <alignment vertical="top"/>
    </xf>
    <xf numFmtId="0" fontId="1" fillId="2" borderId="3" xfId="0" applyFont="1" applyFill="1" applyBorder="1" applyAlignment="1">
      <alignment vertical="top"/>
    </xf>
    <xf numFmtId="0" fontId="1" fillId="16" borderId="4" xfId="0" applyFont="1" applyFill="1" applyBorder="1" applyAlignment="1">
      <alignment vertical="top"/>
    </xf>
    <xf numFmtId="0" fontId="2" fillId="16" borderId="3" xfId="0" applyFont="1" applyFill="1" applyBorder="1" applyAlignment="1">
      <alignment vertical="top"/>
    </xf>
    <xf numFmtId="0" fontId="4" fillId="16" borderId="3" xfId="0" applyFont="1" applyFill="1" applyBorder="1" applyAlignment="1">
      <alignment vertical="top"/>
    </xf>
    <xf numFmtId="0" fontId="4" fillId="14" borderId="0" xfId="0" applyFont="1" applyFill="1" applyAlignment="1">
      <alignment vertical="top"/>
    </xf>
    <xf numFmtId="0" fontId="1" fillId="2" borderId="4" xfId="0" applyFont="1" applyFill="1" applyBorder="1" applyAlignment="1">
      <alignment vertical="top"/>
    </xf>
    <xf numFmtId="0" fontId="2" fillId="2" borderId="3" xfId="0" applyFont="1" applyFill="1" applyBorder="1" applyAlignment="1">
      <alignment vertical="top"/>
    </xf>
    <xf numFmtId="0" fontId="4" fillId="2" borderId="3" xfId="0" applyFont="1" applyFill="1" applyBorder="1" applyAlignment="1">
      <alignment vertical="top"/>
    </xf>
    <xf numFmtId="0" fontId="2" fillId="14" borderId="0" xfId="0" applyFont="1" applyFill="1" applyAlignment="1">
      <alignment vertical="top"/>
    </xf>
    <xf numFmtId="0" fontId="2" fillId="2" borderId="3" xfId="0" applyFont="1" applyFill="1" applyBorder="1" applyAlignment="1">
      <alignment vertical="top" wrapText="1"/>
    </xf>
    <xf numFmtId="0" fontId="2" fillId="16" borderId="3" xfId="0" applyFont="1" applyFill="1" applyBorder="1"/>
    <xf numFmtId="0" fontId="2" fillId="16" borderId="3" xfId="0" quotePrefix="1" applyFont="1" applyFill="1" applyBorder="1" applyAlignment="1">
      <alignment vertical="top"/>
    </xf>
    <xf numFmtId="0" fontId="2" fillId="16" borderId="3" xfId="0" applyFont="1" applyFill="1" applyBorder="1" applyAlignment="1">
      <alignment vertical="top" wrapText="1"/>
    </xf>
    <xf numFmtId="0" fontId="2" fillId="2" borderId="3" xfId="0" quotePrefix="1" applyFont="1" applyFill="1" applyBorder="1" applyAlignment="1">
      <alignment vertical="top"/>
    </xf>
    <xf numFmtId="0" fontId="4" fillId="0" borderId="0" xfId="0" applyFont="1" applyAlignment="1">
      <alignment vertical="top"/>
    </xf>
    <xf numFmtId="0" fontId="1" fillId="0" borderId="0" xfId="0" applyFont="1" applyAlignment="1">
      <alignment vertical="top"/>
    </xf>
    <xf numFmtId="0" fontId="1" fillId="0" borderId="1" xfId="0" applyFont="1" applyBorder="1" applyAlignment="1">
      <alignment vertical="top"/>
    </xf>
    <xf numFmtId="0" fontId="2" fillId="0" borderId="1" xfId="0" applyFont="1" applyBorder="1" applyAlignment="1">
      <alignment vertical="top" wrapText="1"/>
    </xf>
    <xf numFmtId="0" fontId="4" fillId="0" borderId="1" xfId="0" applyFont="1" applyBorder="1" applyAlignment="1">
      <alignment vertical="top"/>
    </xf>
    <xf numFmtId="0" fontId="2" fillId="0" borderId="0" xfId="0" applyFont="1" applyAlignment="1">
      <alignment vertical="top"/>
    </xf>
    <xf numFmtId="0" fontId="9" fillId="0" borderId="0" xfId="0" applyFont="1"/>
    <xf numFmtId="0" fontId="9" fillId="0" borderId="0" xfId="0" applyFont="1" applyAlignment="1">
      <alignment wrapText="1"/>
    </xf>
    <xf numFmtId="0" fontId="9" fillId="0" borderId="0" xfId="0" applyFont="1" applyAlignment="1">
      <alignment horizontal="center"/>
    </xf>
    <xf numFmtId="0" fontId="9" fillId="2" borderId="0" xfId="0" applyFont="1" applyFill="1"/>
    <xf numFmtId="0" fontId="9" fillId="17" borderId="0" xfId="0" applyFont="1" applyFill="1"/>
    <xf numFmtId="0" fontId="1" fillId="6" borderId="1" xfId="0" applyFont="1" applyFill="1" applyBorder="1" applyAlignment="1">
      <alignment vertical="top"/>
    </xf>
    <xf numFmtId="49" fontId="1" fillId="6" borderId="1" xfId="0" applyNumberFormat="1" applyFont="1" applyFill="1" applyBorder="1" applyAlignment="1">
      <alignment horizontal="left"/>
    </xf>
    <xf numFmtId="0" fontId="10" fillId="2" borderId="1" xfId="0" applyFont="1" applyFill="1" applyBorder="1" applyAlignment="1">
      <alignment vertical="top"/>
    </xf>
    <xf numFmtId="0" fontId="2" fillId="2" borderId="1" xfId="0" applyFont="1" applyFill="1" applyBorder="1" applyAlignment="1">
      <alignment vertical="top"/>
    </xf>
    <xf numFmtId="49" fontId="2" fillId="2" borderId="1" xfId="0" applyNumberFormat="1" applyFont="1" applyFill="1" applyBorder="1" applyAlignment="1">
      <alignment horizontal="left"/>
    </xf>
    <xf numFmtId="0" fontId="10" fillId="18" borderId="1" xfId="0" applyFont="1" applyFill="1" applyBorder="1" applyAlignment="1">
      <alignment vertical="top"/>
    </xf>
    <xf numFmtId="0" fontId="2" fillId="18" borderId="1" xfId="0" applyFont="1" applyFill="1" applyBorder="1" applyAlignment="1">
      <alignment vertical="top"/>
    </xf>
    <xf numFmtId="0" fontId="2" fillId="18" borderId="1" xfId="0" applyFont="1" applyFill="1" applyBorder="1"/>
    <xf numFmtId="49" fontId="2" fillId="18" borderId="1" xfId="0" applyNumberFormat="1" applyFont="1" applyFill="1" applyBorder="1" applyAlignment="1">
      <alignment horizontal="left"/>
    </xf>
    <xf numFmtId="0" fontId="2" fillId="18" borderId="0" xfId="0" applyFont="1" applyFill="1"/>
    <xf numFmtId="49" fontId="2" fillId="2" borderId="1" xfId="0" applyNumberFormat="1" applyFont="1" applyFill="1" applyBorder="1" applyAlignment="1">
      <alignment horizontal="right"/>
    </xf>
    <xf numFmtId="49" fontId="2" fillId="2" borderId="0" xfId="0" applyNumberFormat="1" applyFont="1" applyFill="1" applyAlignment="1">
      <alignment horizontal="right"/>
    </xf>
    <xf numFmtId="0" fontId="6" fillId="2" borderId="1" xfId="0" applyFont="1" applyFill="1" applyBorder="1" applyAlignment="1">
      <alignment vertical="top"/>
    </xf>
    <xf numFmtId="0" fontId="6" fillId="18" borderId="1" xfId="0" applyFont="1" applyFill="1" applyBorder="1" applyAlignment="1">
      <alignment vertical="top"/>
    </xf>
    <xf numFmtId="0" fontId="1" fillId="18" borderId="1" xfId="0" applyFont="1" applyFill="1" applyBorder="1"/>
    <xf numFmtId="0" fontId="10" fillId="18" borderId="1" xfId="0" applyFont="1" applyFill="1" applyBorder="1"/>
    <xf numFmtId="0" fontId="10" fillId="2" borderId="1" xfId="0" applyFont="1" applyFill="1" applyBorder="1"/>
    <xf numFmtId="49" fontId="6" fillId="18" borderId="1" xfId="0" applyNumberFormat="1" applyFont="1" applyFill="1" applyBorder="1" applyAlignment="1">
      <alignment horizontal="left"/>
    </xf>
    <xf numFmtId="49" fontId="6" fillId="2" borderId="1" xfId="0" applyNumberFormat="1" applyFont="1" applyFill="1" applyBorder="1" applyAlignment="1">
      <alignment horizontal="left"/>
    </xf>
    <xf numFmtId="0" fontId="2" fillId="2" borderId="0" xfId="0" applyFont="1" applyFill="1" applyAlignment="1">
      <alignment vertical="top"/>
    </xf>
    <xf numFmtId="49" fontId="2" fillId="2" borderId="0" xfId="0" applyNumberFormat="1" applyFont="1" applyFill="1" applyAlignment="1">
      <alignment horizontal="left"/>
    </xf>
    <xf numFmtId="0" fontId="2" fillId="6" borderId="1" xfId="0" applyFont="1" applyFill="1" applyBorder="1" applyAlignment="1">
      <alignment vertical="top"/>
    </xf>
    <xf numFmtId="49" fontId="2" fillId="6" borderId="1" xfId="0" applyNumberFormat="1" applyFont="1" applyFill="1" applyBorder="1" applyAlignment="1">
      <alignment horizontal="left"/>
    </xf>
    <xf numFmtId="0" fontId="10" fillId="2" borderId="0" xfId="0" applyFont="1" applyFill="1" applyAlignment="1">
      <alignment vertical="top"/>
    </xf>
    <xf numFmtId="49" fontId="11" fillId="0" borderId="0" xfId="0" applyNumberFormat="1" applyFont="1"/>
    <xf numFmtId="0" fontId="11" fillId="2" borderId="0" xfId="0" applyFont="1" applyFill="1"/>
    <xf numFmtId="0" fontId="12" fillId="19" borderId="1" xfId="0" applyFont="1" applyFill="1" applyBorder="1"/>
    <xf numFmtId="49" fontId="12" fillId="19" borderId="0" xfId="0" applyNumberFormat="1" applyFont="1" applyFill="1"/>
    <xf numFmtId="0" fontId="12" fillId="2" borderId="0" xfId="0" applyFont="1" applyFill="1"/>
    <xf numFmtId="0" fontId="13" fillId="3" borderId="1" xfId="0" applyFont="1" applyFill="1" applyBorder="1" applyAlignment="1">
      <alignment vertical="top"/>
    </xf>
    <xf numFmtId="0" fontId="14" fillId="0" borderId="1" xfId="0" applyFont="1" applyBorder="1"/>
    <xf numFmtId="49" fontId="13" fillId="3" borderId="1" xfId="0" applyNumberFormat="1" applyFont="1" applyFill="1" applyBorder="1" applyAlignment="1">
      <alignment vertical="top"/>
    </xf>
    <xf numFmtId="0" fontId="14" fillId="2" borderId="0" xfId="0" applyFont="1" applyFill="1"/>
    <xf numFmtId="0" fontId="13" fillId="3" borderId="1" xfId="0" quotePrefix="1" applyFont="1" applyFill="1" applyBorder="1" applyAlignment="1">
      <alignment vertical="top"/>
    </xf>
    <xf numFmtId="49" fontId="14" fillId="3" borderId="1" xfId="0" quotePrefix="1" applyNumberFormat="1" applyFont="1" applyFill="1" applyBorder="1" applyAlignment="1">
      <alignment vertical="top"/>
    </xf>
    <xf numFmtId="49" fontId="13" fillId="3" borderId="1" xfId="0" quotePrefix="1" applyNumberFormat="1" applyFont="1" applyFill="1" applyBorder="1" applyAlignment="1">
      <alignment vertical="top"/>
    </xf>
    <xf numFmtId="0" fontId="14" fillId="0" borderId="1" xfId="0" quotePrefix="1" applyFont="1" applyBorder="1"/>
    <xf numFmtId="0" fontId="13" fillId="2" borderId="0" xfId="0" applyFont="1" applyFill="1" applyAlignment="1">
      <alignment vertical="top"/>
    </xf>
    <xf numFmtId="49" fontId="14" fillId="0" borderId="0" xfId="0" applyNumberFormat="1" applyFont="1"/>
    <xf numFmtId="49" fontId="1" fillId="9" borderId="1" xfId="0" applyNumberFormat="1" applyFont="1" applyFill="1" applyBorder="1" applyAlignment="1">
      <alignment horizontal="left"/>
    </xf>
    <xf numFmtId="0" fontId="1" fillId="9" borderId="1" xfId="0" applyFont="1" applyFill="1" applyBorder="1" applyAlignment="1">
      <alignment vertical="top"/>
    </xf>
    <xf numFmtId="0" fontId="1" fillId="9" borderId="0" xfId="0" applyFont="1" applyFill="1"/>
    <xf numFmtId="0" fontId="1" fillId="2" borderId="1" xfId="0" quotePrefix="1" applyFont="1" applyFill="1" applyBorder="1" applyAlignment="1">
      <alignment vertical="top"/>
    </xf>
    <xf numFmtId="0" fontId="2" fillId="0" borderId="1" xfId="0" applyFont="1" applyBorder="1" applyAlignment="1">
      <alignment vertical="top"/>
    </xf>
    <xf numFmtId="0" fontId="1" fillId="20" borderId="1" xfId="0" applyFont="1" applyFill="1" applyBorder="1"/>
    <xf numFmtId="0" fontId="8" fillId="2" borderId="1" xfId="0" applyFont="1" applyFill="1" applyBorder="1"/>
    <xf numFmtId="0" fontId="1" fillId="2" borderId="1" xfId="0" applyFont="1" applyFill="1" applyBorder="1" applyAlignment="1">
      <alignment vertical="top"/>
    </xf>
    <xf numFmtId="49" fontId="1" fillId="20" borderId="1" xfId="0" applyNumberFormat="1" applyFont="1" applyFill="1" applyBorder="1" applyAlignment="1">
      <alignment horizontal="left"/>
    </xf>
    <xf numFmtId="49" fontId="2" fillId="0" borderId="0" xfId="0" applyNumberFormat="1" applyFont="1"/>
    <xf numFmtId="0" fontId="1" fillId="21" borderId="1" xfId="0" applyFont="1" applyFill="1" applyBorder="1" applyAlignment="1">
      <alignment vertical="top"/>
    </xf>
    <xf numFmtId="0" fontId="2" fillId="21" borderId="1" xfId="0" applyFont="1" applyFill="1" applyBorder="1"/>
    <xf numFmtId="0" fontId="8" fillId="21" borderId="1" xfId="0" applyFont="1" applyFill="1" applyBorder="1"/>
    <xf numFmtId="49" fontId="2" fillId="21" borderId="1" xfId="0" applyNumberFormat="1" applyFont="1" applyFill="1" applyBorder="1"/>
    <xf numFmtId="0" fontId="2" fillId="21" borderId="1" xfId="0" applyFont="1" applyFill="1" applyBorder="1" applyAlignment="1">
      <alignment vertical="top"/>
    </xf>
    <xf numFmtId="0" fontId="8" fillId="0" borderId="4" xfId="0" applyFont="1" applyBorder="1"/>
    <xf numFmtId="0" fontId="8" fillId="21" borderId="4" xfId="0" applyFont="1" applyFill="1" applyBorder="1"/>
    <xf numFmtId="0" fontId="1" fillId="2" borderId="0" xfId="0" applyFont="1" applyFill="1" applyAlignment="1">
      <alignment vertical="top"/>
    </xf>
    <xf numFmtId="0" fontId="8" fillId="0" borderId="0" xfId="0" applyFont="1"/>
    <xf numFmtId="0" fontId="11" fillId="0" borderId="0" xfId="0" applyFont="1"/>
    <xf numFmtId="0" fontId="7" fillId="0" borderId="1" xfId="0" applyFont="1" applyBorder="1"/>
    <xf numFmtId="0" fontId="11" fillId="0" borderId="1" xfId="0" applyFont="1" applyBorder="1"/>
    <xf numFmtId="0" fontId="15" fillId="2" borderId="0" xfId="0" applyFont="1" applyFill="1" applyAlignment="1">
      <alignment wrapText="1"/>
    </xf>
    <xf numFmtId="0" fontId="11" fillId="0" borderId="0" xfId="0" applyFont="1" applyAlignment="1">
      <alignment wrapText="1"/>
    </xf>
    <xf numFmtId="0" fontId="11" fillId="2" borderId="0" xfId="0" applyFont="1" applyFill="1" applyAlignment="1">
      <alignment wrapText="1"/>
    </xf>
    <xf numFmtId="0" fontId="7" fillId="0" borderId="1" xfId="0" applyFont="1" applyBorder="1" applyAlignment="1">
      <alignment wrapText="1"/>
    </xf>
    <xf numFmtId="0" fontId="7" fillId="0" borderId="6" xfId="0" applyFont="1" applyBorder="1" applyAlignment="1">
      <alignment wrapText="1"/>
    </xf>
    <xf numFmtId="0" fontId="7" fillId="2" borderId="0" xfId="0" applyFont="1" applyFill="1" applyAlignment="1">
      <alignment wrapText="1"/>
    </xf>
    <xf numFmtId="0" fontId="8" fillId="3" borderId="0" xfId="0" applyFont="1" applyFill="1" applyAlignment="1">
      <alignment horizontal="left"/>
    </xf>
    <xf numFmtId="0" fontId="8" fillId="3" borderId="1" xfId="0" applyFont="1" applyFill="1" applyBorder="1" applyAlignment="1">
      <alignment horizontal="left" wrapText="1"/>
    </xf>
    <xf numFmtId="0" fontId="8" fillId="3" borderId="1" xfId="0" applyFont="1" applyFill="1" applyBorder="1" applyAlignment="1">
      <alignment horizontal="left"/>
    </xf>
    <xf numFmtId="0" fontId="16" fillId="0" borderId="0" xfId="0" applyFont="1"/>
    <xf numFmtId="0" fontId="2" fillId="3" borderId="0" xfId="0" applyFont="1" applyFill="1"/>
    <xf numFmtId="0" fontId="8" fillId="3" borderId="1" xfId="0" applyFont="1" applyFill="1" applyBorder="1" applyAlignment="1">
      <alignment horizontal="left" vertical="top"/>
    </xf>
    <xf numFmtId="0" fontId="8" fillId="2" borderId="0" xfId="0" applyFont="1" applyFill="1" applyAlignment="1">
      <alignment horizontal="left" wrapText="1"/>
    </xf>
    <xf numFmtId="0" fontId="18" fillId="3" borderId="1" xfId="0" applyFont="1" applyFill="1" applyBorder="1" applyAlignment="1">
      <alignment horizontal="left" vertical="top"/>
    </xf>
    <xf numFmtId="0" fontId="18" fillId="3" borderId="1" xfId="0" applyFont="1" applyFill="1" applyBorder="1" applyAlignment="1">
      <alignment horizontal="left"/>
    </xf>
    <xf numFmtId="0" fontId="17" fillId="0" borderId="0" xfId="0" applyFont="1" applyAlignment="1">
      <alignment wrapText="1"/>
    </xf>
    <xf numFmtId="0" fontId="7" fillId="0" borderId="0" xfId="0" applyFont="1" applyAlignment="1">
      <alignment wrapText="1"/>
    </xf>
    <xf numFmtId="0" fontId="2" fillId="2" borderId="0" xfId="0" applyFont="1" applyFill="1" applyAlignment="1">
      <alignment vertical="top" wrapText="1"/>
    </xf>
    <xf numFmtId="0" fontId="8" fillId="3" borderId="6" xfId="0" applyFont="1" applyFill="1" applyBorder="1" applyAlignment="1">
      <alignment horizontal="left"/>
    </xf>
    <xf numFmtId="0" fontId="2" fillId="0" borderId="0" xfId="0" applyFont="1" applyAlignment="1">
      <alignment vertical="top" wrapText="1"/>
    </xf>
    <xf numFmtId="0" fontId="8" fillId="2" borderId="0" xfId="0" applyFont="1" applyFill="1" applyAlignment="1">
      <alignment horizontal="left"/>
    </xf>
    <xf numFmtId="0" fontId="2" fillId="0" borderId="6" xfId="0" applyFont="1" applyBorder="1" applyAlignment="1">
      <alignment vertical="top" wrapText="1"/>
    </xf>
    <xf numFmtId="0" fontId="2" fillId="0" borderId="1" xfId="0" quotePrefix="1" applyFont="1" applyBorder="1" applyAlignment="1">
      <alignment wrapText="1"/>
    </xf>
    <xf numFmtId="0" fontId="2" fillId="7" borderId="0" xfId="0" applyFont="1" applyFill="1" applyAlignment="1">
      <alignment wrapText="1"/>
    </xf>
    <xf numFmtId="0" fontId="2" fillId="7" borderId="0" xfId="0" applyFont="1" applyFill="1"/>
    <xf numFmtId="49" fontId="2" fillId="3" borderId="1" xfId="0" applyNumberFormat="1" applyFont="1" applyFill="1" applyBorder="1"/>
    <xf numFmtId="49" fontId="2" fillId="3" borderId="1" xfId="0" quotePrefix="1" applyNumberFormat="1" applyFont="1" applyFill="1" applyBorder="1"/>
    <xf numFmtId="49" fontId="4" fillId="3" borderId="1" xfId="0" applyNumberFormat="1" applyFont="1" applyFill="1" applyBorder="1"/>
    <xf numFmtId="49" fontId="4" fillId="3" borderId="2" xfId="0" applyNumberFormat="1" applyFont="1" applyFill="1" applyBorder="1"/>
    <xf numFmtId="49" fontId="4" fillId="3" borderId="4" xfId="0" applyNumberFormat="1" applyFont="1" applyFill="1" applyBorder="1"/>
    <xf numFmtId="49" fontId="4" fillId="3" borderId="3" xfId="0" applyNumberFormat="1" applyFont="1" applyFill="1" applyBorder="1"/>
    <xf numFmtId="0" fontId="8" fillId="7" borderId="0" xfId="0" applyFont="1" applyFill="1"/>
    <xf numFmtId="0" fontId="6" fillId="7" borderId="0" xfId="0" applyFont="1" applyFill="1"/>
    <xf numFmtId="0" fontId="2" fillId="22" borderId="0" xfId="0" applyFont="1" applyFill="1" applyAlignment="1">
      <alignment wrapText="1"/>
    </xf>
    <xf numFmtId="0" fontId="2" fillId="22" borderId="0" xfId="0" applyFont="1" applyFill="1"/>
    <xf numFmtId="0" fontId="2" fillId="23" borderId="0" xfId="0" applyFont="1" applyFill="1"/>
    <xf numFmtId="0" fontId="2" fillId="9" borderId="0" xfId="0" applyFont="1" applyFill="1"/>
    <xf numFmtId="49" fontId="2" fillId="2" borderId="0" xfId="0" applyNumberFormat="1" applyFont="1" applyFill="1"/>
    <xf numFmtId="0" fontId="10" fillId="0" borderId="1" xfId="0" applyFont="1" applyBorder="1" applyAlignment="1">
      <alignment vertical="top"/>
    </xf>
    <xf numFmtId="0" fontId="10" fillId="24" borderId="2" xfId="0" applyFont="1" applyFill="1" applyBorder="1" applyAlignment="1">
      <alignment vertical="top"/>
    </xf>
    <xf numFmtId="0" fontId="10" fillId="2" borderId="2" xfId="0" applyFont="1" applyFill="1" applyBorder="1" applyAlignment="1">
      <alignment vertical="top"/>
    </xf>
    <xf numFmtId="0" fontId="2" fillId="24" borderId="1" xfId="0" quotePrefix="1" applyFont="1" applyFill="1" applyBorder="1" applyAlignment="1">
      <alignment vertical="top"/>
    </xf>
    <xf numFmtId="0" fontId="2" fillId="24" borderId="1" xfId="0" applyFont="1" applyFill="1" applyBorder="1" applyAlignment="1">
      <alignment vertical="top"/>
    </xf>
    <xf numFmtId="0" fontId="2" fillId="2" borderId="1" xfId="0" quotePrefix="1" applyFont="1" applyFill="1" applyBorder="1" applyAlignment="1">
      <alignment vertical="top"/>
    </xf>
    <xf numFmtId="0" fontId="19" fillId="0" borderId="0" xfId="0" applyFont="1" applyAlignment="1">
      <alignment vertical="top"/>
    </xf>
    <xf numFmtId="0" fontId="19" fillId="24" borderId="0" xfId="0" applyFont="1" applyFill="1" applyAlignment="1">
      <alignment vertical="top"/>
    </xf>
    <xf numFmtId="0" fontId="19" fillId="2" borderId="0" xfId="0" applyFont="1" applyFill="1" applyAlignment="1">
      <alignment vertical="top"/>
    </xf>
    <xf numFmtId="0" fontId="10" fillId="24" borderId="0" xfId="0" applyFont="1" applyFill="1" applyAlignment="1">
      <alignment vertical="top"/>
    </xf>
    <xf numFmtId="0" fontId="2" fillId="24" borderId="0" xfId="0" applyFont="1" applyFill="1"/>
    <xf numFmtId="0" fontId="19" fillId="0" borderId="1" xfId="0" applyFont="1" applyBorder="1" applyAlignment="1">
      <alignment vertical="top"/>
    </xf>
    <xf numFmtId="0" fontId="19" fillId="24" borderId="1" xfId="0" applyFont="1" applyFill="1" applyBorder="1" applyAlignment="1">
      <alignment vertical="top"/>
    </xf>
    <xf numFmtId="0" fontId="19" fillId="2" borderId="1" xfId="0" applyFont="1" applyFill="1" applyBorder="1" applyAlignment="1">
      <alignment vertical="top"/>
    </xf>
    <xf numFmtId="0" fontId="10" fillId="2" borderId="4" xfId="0" applyFont="1" applyFill="1" applyBorder="1" applyAlignment="1">
      <alignment vertical="top"/>
    </xf>
    <xf numFmtId="0" fontId="8" fillId="24" borderId="3" xfId="0" applyFont="1" applyFill="1" applyBorder="1" applyAlignment="1">
      <alignment vertical="top"/>
    </xf>
    <xf numFmtId="0" fontId="8" fillId="2" borderId="3" xfId="0" applyFont="1" applyFill="1" applyBorder="1" applyAlignment="1">
      <alignment vertical="top"/>
    </xf>
    <xf numFmtId="0" fontId="20" fillId="2" borderId="0" xfId="0" applyFont="1" applyFill="1" applyAlignment="1">
      <alignment vertical="top"/>
    </xf>
    <xf numFmtId="0" fontId="20" fillId="24" borderId="0" xfId="0" applyFont="1" applyFill="1" applyAlignment="1">
      <alignment vertical="top"/>
    </xf>
    <xf numFmtId="0" fontId="20" fillId="2" borderId="4" xfId="0" applyFont="1" applyFill="1" applyBorder="1" applyAlignment="1">
      <alignment vertical="top"/>
    </xf>
    <xf numFmtId="0" fontId="8" fillId="2" borderId="1" xfId="0" applyFont="1" applyFill="1" applyBorder="1" applyAlignment="1">
      <alignment vertical="top"/>
    </xf>
    <xf numFmtId="0" fontId="8" fillId="24" borderId="1" xfId="0" applyFont="1" applyFill="1" applyBorder="1" applyAlignment="1">
      <alignment vertical="top"/>
    </xf>
    <xf numFmtId="0" fontId="6" fillId="24" borderId="0" xfId="0" applyFont="1" applyFill="1"/>
    <xf numFmtId="0" fontId="2" fillId="24" borderId="2" xfId="0" applyFont="1" applyFill="1" applyBorder="1" applyAlignment="1">
      <alignment vertical="top"/>
    </xf>
    <xf numFmtId="0" fontId="6" fillId="24" borderId="1" xfId="0" applyFont="1" applyFill="1" applyBorder="1"/>
    <xf numFmtId="0" fontId="8" fillId="24" borderId="4" xfId="0" applyFont="1" applyFill="1" applyBorder="1" applyAlignment="1">
      <alignment vertical="top"/>
    </xf>
    <xf numFmtId="0" fontId="8" fillId="24" borderId="2" xfId="0" applyFont="1" applyFill="1" applyBorder="1" applyAlignment="1">
      <alignment vertical="top"/>
    </xf>
    <xf numFmtId="0" fontId="20" fillId="2" borderId="1" xfId="0" applyFont="1" applyFill="1" applyBorder="1" applyAlignment="1">
      <alignment vertical="top"/>
    </xf>
    <xf numFmtId="0" fontId="6" fillId="2" borderId="0" xfId="0" applyFont="1" applyFill="1" applyAlignment="1">
      <alignment vertical="top"/>
    </xf>
    <xf numFmtId="0" fontId="6" fillId="24" borderId="0" xfId="0" applyFont="1" applyFill="1" applyAlignment="1">
      <alignment vertical="top"/>
    </xf>
    <xf numFmtId="0" fontId="6" fillId="14" borderId="0" xfId="0" applyFont="1" applyFill="1"/>
    <xf numFmtId="0" fontId="6" fillId="0" borderId="0" xfId="0" applyFont="1"/>
    <xf numFmtId="0" fontId="6" fillId="3" borderId="0" xfId="0" applyFont="1" applyFill="1"/>
    <xf numFmtId="0" fontId="21" fillId="14" borderId="0" xfId="0" applyFont="1" applyFill="1"/>
    <xf numFmtId="0" fontId="21" fillId="2" borderId="0" xfId="0" applyFont="1" applyFill="1" applyAlignment="1">
      <alignment horizontal="left"/>
    </xf>
    <xf numFmtId="49" fontId="6" fillId="0" borderId="0" xfId="0" applyNumberFormat="1" applyFont="1"/>
    <xf numFmtId="49" fontId="6" fillId="0" borderId="0" xfId="0" quotePrefix="1" applyNumberFormat="1" applyFont="1"/>
    <xf numFmtId="0" fontId="21" fillId="0" borderId="0" xfId="0" applyFont="1"/>
    <xf numFmtId="0" fontId="21" fillId="2" borderId="0" xfId="0" applyFont="1" applyFill="1"/>
    <xf numFmtId="0" fontId="22" fillId="0" borderId="0" xfId="0" applyFont="1" applyAlignment="1">
      <alignment wrapText="1"/>
    </xf>
    <xf numFmtId="0" fontId="6" fillId="0" borderId="0" xfId="0" applyFont="1" applyAlignment="1">
      <alignment wrapText="1"/>
    </xf>
    <xf numFmtId="0" fontId="23" fillId="25" borderId="0" xfId="0" applyFont="1" applyFill="1" applyAlignment="1">
      <alignment horizontal="left" vertical="center" wrapText="1"/>
    </xf>
    <xf numFmtId="0" fontId="24" fillId="2" borderId="0" xfId="0" applyFont="1" applyFill="1" applyAlignment="1">
      <alignment horizontal="center" vertical="center" wrapText="1"/>
    </xf>
    <xf numFmtId="0" fontId="22" fillId="3" borderId="0" xfId="0" applyFont="1" applyFill="1" applyAlignment="1">
      <alignment wrapText="1"/>
    </xf>
    <xf numFmtId="0" fontId="10" fillId="24" borderId="3" xfId="0" applyFont="1" applyFill="1" applyBorder="1" applyAlignment="1">
      <alignment vertical="top"/>
    </xf>
    <xf numFmtId="0" fontId="10" fillId="2" borderId="3" xfId="0" applyFont="1" applyFill="1" applyBorder="1" applyAlignment="1">
      <alignment vertical="top"/>
    </xf>
    <xf numFmtId="0" fontId="10" fillId="24" borderId="1" xfId="0" applyFont="1" applyFill="1" applyBorder="1" applyAlignment="1">
      <alignment vertical="top"/>
    </xf>
    <xf numFmtId="0" fontId="25" fillId="24" borderId="1" xfId="0" applyFont="1" applyFill="1" applyBorder="1"/>
    <xf numFmtId="0" fontId="8" fillId="24" borderId="0" xfId="0" applyFont="1" applyFill="1" applyAlignment="1">
      <alignment vertical="top"/>
    </xf>
    <xf numFmtId="0" fontId="25" fillId="24" borderId="0" xfId="0" applyFont="1" applyFill="1" applyAlignment="1">
      <alignment vertical="top"/>
    </xf>
    <xf numFmtId="0" fontId="25" fillId="2" borderId="0" xfId="0" applyFont="1" applyFill="1" applyAlignment="1">
      <alignment vertical="top"/>
    </xf>
    <xf numFmtId="0" fontId="10" fillId="24" borderId="0" xfId="0" applyFont="1" applyFill="1"/>
    <xf numFmtId="0" fontId="1" fillId="2" borderId="0" xfId="0" applyFont="1" applyFill="1"/>
    <xf numFmtId="0" fontId="0" fillId="0" borderId="0" xfId="0"/>
    <xf numFmtId="0" fontId="1" fillId="0" borderId="0" xfId="0" applyFont="1"/>
    <xf numFmtId="0" fontId="1" fillId="3" borderId="6" xfId="0" applyFont="1" applyFill="1" applyBorder="1" applyAlignment="1">
      <alignment horizontal="left" wrapText="1"/>
    </xf>
    <xf numFmtId="0" fontId="5" fillId="0" borderId="7" xfId="0" applyFont="1" applyBorder="1"/>
    <xf numFmtId="0" fontId="5" fillId="0" borderId="2" xfId="0" applyFont="1" applyBorder="1"/>
    <xf numFmtId="0" fontId="7" fillId="0" borderId="0" xfId="0" applyFont="1"/>
    <xf numFmtId="0" fontId="2" fillId="0" borderId="0" xfId="0" applyFont="1" applyAlignment="1">
      <alignment wrapText="1"/>
    </xf>
    <xf numFmtId="0" fontId="2" fillId="0" borderId="5" xfId="0" applyFont="1" applyBorder="1" applyAlignment="1">
      <alignment wrapText="1"/>
    </xf>
    <xf numFmtId="0" fontId="5" fillId="0" borderId="12" xfId="0" applyFont="1" applyBorder="1"/>
    <xf numFmtId="0" fontId="5" fillId="0" borderId="4" xfId="0" applyFont="1" applyBorder="1"/>
    <xf numFmtId="0" fontId="2" fillId="6" borderId="5" xfId="0" applyFont="1" applyFill="1" applyBorder="1" applyAlignment="1">
      <alignment wrapText="1"/>
    </xf>
    <xf numFmtId="0" fontId="1" fillId="6" borderId="5" xfId="0" applyFont="1" applyFill="1" applyBorder="1" applyAlignment="1">
      <alignment wrapText="1"/>
    </xf>
    <xf numFmtId="0" fontId="2" fillId="10" borderId="10" xfId="0" applyFont="1" applyFill="1" applyBorder="1" applyAlignment="1">
      <alignment vertical="center" wrapText="1"/>
    </xf>
    <xf numFmtId="0" fontId="5" fillId="0" borderId="8" xfId="0" applyFont="1" applyBorder="1"/>
    <xf numFmtId="49" fontId="2" fillId="0" borderId="5" xfId="0" applyNumberFormat="1" applyFont="1" applyBorder="1" applyAlignment="1">
      <alignment wrapText="1"/>
    </xf>
    <xf numFmtId="0" fontId="2" fillId="0" borderId="5" xfId="0" applyFont="1" applyBorder="1"/>
    <xf numFmtId="0" fontId="6" fillId="0" borderId="5" xfId="0" applyFont="1" applyBorder="1"/>
    <xf numFmtId="0" fontId="1" fillId="0" borderId="5" xfId="0" applyFont="1" applyBorder="1" applyAlignment="1">
      <alignment wrapText="1"/>
    </xf>
    <xf numFmtId="0" fontId="1" fillId="3" borderId="5" xfId="0" applyFont="1" applyFill="1" applyBorder="1" applyAlignment="1">
      <alignment wrapText="1"/>
    </xf>
    <xf numFmtId="0" fontId="2" fillId="9" borderId="5" xfId="0" applyFont="1" applyFill="1" applyBorder="1" applyAlignment="1">
      <alignment wrapText="1"/>
    </xf>
    <xf numFmtId="0" fontId="1" fillId="9" borderId="5" xfId="0" applyFont="1" applyFill="1" applyBorder="1"/>
    <xf numFmtId="0" fontId="2" fillId="10" borderId="0" xfId="0" applyFont="1" applyFill="1" applyAlignment="1">
      <alignment vertical="center"/>
    </xf>
    <xf numFmtId="49" fontId="2" fillId="8" borderId="5" xfId="0" applyNumberFormat="1" applyFont="1" applyFill="1" applyBorder="1"/>
    <xf numFmtId="49" fontId="1" fillId="3" borderId="5" xfId="0" applyNumberFormat="1" applyFont="1" applyFill="1" applyBorder="1" applyAlignment="1">
      <alignment wrapText="1"/>
    </xf>
    <xf numFmtId="0" fontId="1" fillId="3" borderId="6" xfId="0" applyFont="1" applyFill="1" applyBorder="1" applyAlignment="1">
      <alignment wrapText="1"/>
    </xf>
    <xf numFmtId="0" fontId="1" fillId="0" borderId="6" xfId="0" applyFont="1" applyBorder="1" applyAlignment="1">
      <alignment vertical="top"/>
    </xf>
    <xf numFmtId="0" fontId="1" fillId="15" borderId="12" xfId="0" applyFont="1" applyFill="1" applyBorder="1" applyAlignment="1">
      <alignment vertical="top"/>
    </xf>
    <xf numFmtId="0" fontId="1" fillId="15" borderId="13" xfId="0" applyFont="1" applyFill="1" applyBorder="1" applyAlignment="1">
      <alignment vertical="top"/>
    </xf>
    <xf numFmtId="0" fontId="5" fillId="0" borderId="3" xfId="0" applyFont="1" applyBorder="1"/>
    <xf numFmtId="0" fontId="1" fillId="15" borderId="17" xfId="0" applyFont="1" applyFill="1" applyBorder="1" applyAlignment="1">
      <alignment vertical="top"/>
    </xf>
    <xf numFmtId="0" fontId="5" fillId="0" borderId="17" xfId="0" applyFont="1" applyBorder="1"/>
    <xf numFmtId="0" fontId="2" fillId="0" borderId="0" xfId="0" applyFont="1" applyAlignment="1">
      <alignment horizontal="left"/>
    </xf>
    <xf numFmtId="0" fontId="11" fillId="0" borderId="6" xfId="0" applyFont="1" applyBorder="1"/>
    <xf numFmtId="0" fontId="11" fillId="0" borderId="0" xfId="0" applyFont="1"/>
    <xf numFmtId="0" fontId="7" fillId="0" borderId="6" xfId="0" applyFont="1" applyBorder="1"/>
    <xf numFmtId="0" fontId="2" fillId="0" borderId="6" xfId="0" applyFont="1" applyBorder="1" applyAlignment="1">
      <alignment wrapText="1"/>
    </xf>
    <xf numFmtId="0" fontId="2" fillId="3" borderId="0" xfId="0" applyFont="1" applyFill="1" applyAlignment="1">
      <alignment wrapText="1"/>
    </xf>
    <xf numFmtId="0" fontId="7" fillId="0" borderId="6" xfId="0" applyFont="1" applyBorder="1" applyAlignment="1">
      <alignment wrapText="1"/>
    </xf>
    <xf numFmtId="0" fontId="8" fillId="2" borderId="6" xfId="0" applyFont="1" applyFill="1" applyBorder="1" applyAlignment="1">
      <alignment horizontal="left" wrapText="1"/>
    </xf>
    <xf numFmtId="0" fontId="8" fillId="3" borderId="0" xfId="0" applyFont="1" applyFill="1" applyAlignment="1">
      <alignment horizontal="left"/>
    </xf>
    <xf numFmtId="0" fontId="17" fillId="0" borderId="0" xfId="0" applyFont="1"/>
    <xf numFmtId="0" fontId="2" fillId="3" borderId="0" xfId="0" applyFont="1" applyFill="1"/>
    <xf numFmtId="0" fontId="15" fillId="0" borderId="0" xfId="0" applyFont="1" applyAlignment="1">
      <alignment wrapText="1"/>
    </xf>
    <xf numFmtId="0" fontId="11" fillId="0" borderId="0" xfId="0" applyFont="1" applyAlignment="1">
      <alignment wrapText="1"/>
    </xf>
    <xf numFmtId="0" fontId="16" fillId="0" borderId="0" xfId="0" applyFont="1" applyAlignment="1">
      <alignment wrapText="1"/>
    </xf>
    <xf numFmtId="0" fontId="2" fillId="0" borderId="6" xfId="0" applyFont="1" applyBorder="1" applyAlignment="1">
      <alignment vertical="top" wrapText="1"/>
    </xf>
    <xf numFmtId="0" fontId="7" fillId="0" borderId="0" xfId="0" applyFont="1" applyAlignment="1">
      <alignment wrapText="1"/>
    </xf>
    <xf numFmtId="0" fontId="2" fillId="0" borderId="5" xfId="0" applyFont="1" applyBorder="1" applyAlignment="1">
      <alignment vertical="top" wrapText="1"/>
    </xf>
    <xf numFmtId="0" fontId="8" fillId="3" borderId="6" xfId="0" applyFont="1" applyFill="1" applyBorder="1" applyAlignment="1">
      <alignment horizontal="left"/>
    </xf>
    <xf numFmtId="0" fontId="2" fillId="6" borderId="0" xfId="0" applyFont="1" applyFill="1" applyAlignment="1">
      <alignment vertical="top"/>
    </xf>
    <xf numFmtId="0" fontId="2" fillId="6" borderId="0" xfId="0" applyFont="1" applyFill="1" applyAlignment="1">
      <alignment vertical="top" wrapText="1"/>
    </xf>
    <xf numFmtId="0" fontId="2" fillId="2" borderId="0" xfId="0" applyFont="1" applyFill="1" applyAlignment="1">
      <alignment wrapText="1"/>
    </xf>
    <xf numFmtId="0" fontId="2" fillId="9" borderId="6" xfId="0" applyFont="1" applyFill="1" applyBorder="1"/>
    <xf numFmtId="0" fontId="2" fillId="3" borderId="6" xfId="0" applyFont="1" applyFill="1" applyBorder="1"/>
    <xf numFmtId="0" fontId="2" fillId="0" borderId="0" xfId="0" applyFont="1"/>
    <xf numFmtId="0" fontId="2" fillId="7" borderId="0" xfId="0" applyFont="1" applyFill="1" applyAlignment="1">
      <alignment wrapText="1"/>
    </xf>
    <xf numFmtId="0" fontId="1" fillId="3" borderId="0" xfId="0" applyFont="1" applyFill="1"/>
    <xf numFmtId="0" fontId="6" fillId="0" borderId="0" xfId="0" applyFont="1"/>
    <xf numFmtId="0" fontId="2" fillId="13" borderId="1" xfId="0" applyFont="1" applyFill="1" applyBorder="1" applyAlignment="1">
      <alignment wrapText="1"/>
    </xf>
  </cellXfs>
  <cellStyles count="1">
    <cellStyle name="Normal" xfId="0" builtinId="0"/>
  </cellStyles>
  <dxfs count="21">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CE8B2"/>
          <bgColor rgb="FFFCE8B2"/>
        </patternFill>
      </fill>
    </dxf>
    <dxf>
      <fill>
        <patternFill patternType="solid">
          <fgColor rgb="FFF4C7C3"/>
          <bgColor rgb="FFF4C7C3"/>
        </patternFill>
      </fill>
    </dxf>
    <dxf>
      <fill>
        <patternFill patternType="solid">
          <fgColor rgb="FFFCE8B2"/>
          <bgColor rgb="FFFCE8B2"/>
        </patternFill>
      </fill>
    </dxf>
    <dxf>
      <fill>
        <patternFill patternType="solid">
          <fgColor rgb="FFF4C7C3"/>
          <bgColor rgb="FFF4C7C3"/>
        </patternFill>
      </fill>
    </dxf>
    <dxf>
      <fill>
        <patternFill patternType="solid">
          <fgColor rgb="FFF4C7C3"/>
          <bgColor rgb="FFF4C7C3"/>
        </patternFill>
      </fill>
    </dxf>
    <dxf>
      <fill>
        <patternFill patternType="solid">
          <fgColor rgb="FF00FF00"/>
          <bgColor rgb="FF00FF00"/>
        </patternFill>
      </fill>
    </dxf>
    <dxf>
      <fill>
        <patternFill patternType="solid">
          <fgColor rgb="FFFCE8B2"/>
          <bgColor rgb="FFFCE8B2"/>
        </patternFill>
      </fill>
    </dxf>
    <dxf>
      <fill>
        <patternFill patternType="solid">
          <fgColor rgb="FFFFF2CC"/>
          <bgColor rgb="FFFFF2CC"/>
        </patternFill>
      </fill>
    </dxf>
    <dxf>
      <fill>
        <patternFill patternType="solid">
          <fgColor rgb="FFFFFFFF"/>
          <bgColor rgb="FFFFFFFF"/>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s>
  <tableStyles count="4">
    <tableStyle name="Items-style" pivot="0" count="3" xr9:uid="{00000000-0011-0000-FFFF-FFFF00000000}">
      <tableStyleElement type="headerRow" dxfId="20"/>
      <tableStyleElement type="firstRowStripe" dxfId="19"/>
      <tableStyleElement type="secondRowStripe" dxfId="18"/>
    </tableStyle>
    <tableStyle name="Blessings-style" pivot="0" count="3" xr9:uid="{00000000-0011-0000-FFFF-FFFF01000000}">
      <tableStyleElement type="headerRow" dxfId="17"/>
      <tableStyleElement type="firstRowStripe" dxfId="16"/>
      <tableStyleElement type="secondRowStripe" dxfId="15"/>
    </tableStyle>
    <tableStyle name="Blessings-style 2" pivot="0" count="3" xr9:uid="{00000000-0011-0000-FFFF-FFFF02000000}">
      <tableStyleElement type="headerRow" dxfId="14"/>
      <tableStyleElement type="firstRowStripe" dxfId="13"/>
      <tableStyleElement type="secondRowStripe" dxfId="12"/>
    </tableStyle>
    <tableStyle name="Experimental Curse Table-style" pivot="0" count="2" xr9:uid="{00000000-0011-0000-FFFF-FFFF03000000}">
      <tableStyleElement type="firstRowStripe" dxfId="11"/>
      <tableStyleElement type="secondRowStripe"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jpg"/><Relationship Id="rId366" Type="http://schemas.openxmlformats.org/officeDocument/2006/relationships/image" Target="../media/image366.png"/><Relationship Id="rId170" Type="http://schemas.openxmlformats.org/officeDocument/2006/relationships/image" Target="../media/image170.jpg"/><Relationship Id="rId226" Type="http://schemas.openxmlformats.org/officeDocument/2006/relationships/image" Target="../media/image226.png"/><Relationship Id="rId268" Type="http://schemas.openxmlformats.org/officeDocument/2006/relationships/image" Target="../media/image268.jp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jpg"/><Relationship Id="rId335" Type="http://schemas.openxmlformats.org/officeDocument/2006/relationships/image" Target="../media/image335.png"/><Relationship Id="rId5" Type="http://schemas.openxmlformats.org/officeDocument/2006/relationships/image" Target="../media/image5.png"/><Relationship Id="rId181" Type="http://schemas.openxmlformats.org/officeDocument/2006/relationships/image" Target="../media/image181.jp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85" Type="http://schemas.openxmlformats.org/officeDocument/2006/relationships/image" Target="../media/image85.png"/><Relationship Id="rId150" Type="http://schemas.openxmlformats.org/officeDocument/2006/relationships/image" Target="../media/image150.jp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jpg"/><Relationship Id="rId217" Type="http://schemas.openxmlformats.org/officeDocument/2006/relationships/image" Target="../media/image217.jp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jp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172" Type="http://schemas.openxmlformats.org/officeDocument/2006/relationships/image" Target="../media/image172.png"/><Relationship Id="rId228" Type="http://schemas.openxmlformats.org/officeDocument/2006/relationships/image" Target="../media/image228.jpg"/><Relationship Id="rId281" Type="http://schemas.openxmlformats.org/officeDocument/2006/relationships/image" Target="../media/image281.jp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jp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jpg"/><Relationship Id="rId348" Type="http://schemas.openxmlformats.org/officeDocument/2006/relationships/image" Target="../media/image348.jp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jp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jp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jpg"/><Relationship Id="rId132" Type="http://schemas.openxmlformats.org/officeDocument/2006/relationships/image" Target="../media/image132.png"/><Relationship Id="rId174" Type="http://schemas.openxmlformats.org/officeDocument/2006/relationships/image" Target="../media/image174.jp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283" Type="http://schemas.openxmlformats.org/officeDocument/2006/relationships/image" Target="../media/image283.png"/><Relationship Id="rId318" Type="http://schemas.openxmlformats.org/officeDocument/2006/relationships/image" Target="../media/image318.png"/><Relationship Id="rId339" Type="http://schemas.openxmlformats.org/officeDocument/2006/relationships/image" Target="../media/image339.png"/><Relationship Id="rId78" Type="http://schemas.openxmlformats.org/officeDocument/2006/relationships/image" Target="../media/image78.png"/><Relationship Id="rId99" Type="http://schemas.openxmlformats.org/officeDocument/2006/relationships/image" Target="../media/image99.jpg"/><Relationship Id="rId101" Type="http://schemas.openxmlformats.org/officeDocument/2006/relationships/image" Target="../media/image101.jp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jpg"/><Relationship Id="rId350" Type="http://schemas.openxmlformats.org/officeDocument/2006/relationships/image" Target="../media/image350.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jpg"/><Relationship Id="rId252" Type="http://schemas.openxmlformats.org/officeDocument/2006/relationships/image" Target="../media/image252.png"/><Relationship Id="rId273" Type="http://schemas.openxmlformats.org/officeDocument/2006/relationships/image" Target="../media/image273.jpg"/><Relationship Id="rId294" Type="http://schemas.openxmlformats.org/officeDocument/2006/relationships/image" Target="../media/image294.png"/><Relationship Id="rId308" Type="http://schemas.openxmlformats.org/officeDocument/2006/relationships/image" Target="../media/image308.png"/><Relationship Id="rId329" Type="http://schemas.openxmlformats.org/officeDocument/2006/relationships/image" Target="../media/image329.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jpg"/><Relationship Id="rId154" Type="http://schemas.openxmlformats.org/officeDocument/2006/relationships/image" Target="../media/image154.jpg"/><Relationship Id="rId175" Type="http://schemas.openxmlformats.org/officeDocument/2006/relationships/image" Target="../media/image175.png"/><Relationship Id="rId340" Type="http://schemas.openxmlformats.org/officeDocument/2006/relationships/image" Target="../media/image340.jp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jpg"/><Relationship Id="rId263" Type="http://schemas.openxmlformats.org/officeDocument/2006/relationships/image" Target="../media/image263.png"/><Relationship Id="rId284" Type="http://schemas.openxmlformats.org/officeDocument/2006/relationships/image" Target="../media/image284.jp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jp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jp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jpg"/><Relationship Id="rId134" Type="http://schemas.openxmlformats.org/officeDocument/2006/relationships/image" Target="../media/image134.jpg"/><Relationship Id="rId320" Type="http://schemas.openxmlformats.org/officeDocument/2006/relationships/image" Target="../media/image320.jpg"/><Relationship Id="rId80" Type="http://schemas.openxmlformats.org/officeDocument/2006/relationships/image" Target="../media/image80.png"/><Relationship Id="rId155" Type="http://schemas.openxmlformats.org/officeDocument/2006/relationships/image" Target="../media/image155.jp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201" Type="http://schemas.openxmlformats.org/officeDocument/2006/relationships/image" Target="../media/image201.jp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jp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jp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jpg"/><Relationship Id="rId166" Type="http://schemas.openxmlformats.org/officeDocument/2006/relationships/image" Target="../media/image166.jp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1" Type="http://schemas.openxmlformats.org/officeDocument/2006/relationships/image" Target="../media/image1.png"/><Relationship Id="rId212" Type="http://schemas.openxmlformats.org/officeDocument/2006/relationships/image" Target="../media/image212.jp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jpg"/><Relationship Id="rId321" Type="http://schemas.openxmlformats.org/officeDocument/2006/relationships/image" Target="../media/image321.png"/><Relationship Id="rId342" Type="http://schemas.openxmlformats.org/officeDocument/2006/relationships/image" Target="../media/image342.jpg"/><Relationship Id="rId363" Type="http://schemas.openxmlformats.org/officeDocument/2006/relationships/image" Target="../media/image363.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jp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jp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jp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jp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jpg"/><Relationship Id="rId147" Type="http://schemas.openxmlformats.org/officeDocument/2006/relationships/image" Target="../media/image147.jpg"/><Relationship Id="rId168" Type="http://schemas.openxmlformats.org/officeDocument/2006/relationships/image" Target="../media/image168.png"/><Relationship Id="rId312" Type="http://schemas.openxmlformats.org/officeDocument/2006/relationships/image" Target="../media/image312.jpg"/><Relationship Id="rId333" Type="http://schemas.openxmlformats.org/officeDocument/2006/relationships/image" Target="../media/image333.png"/><Relationship Id="rId354" Type="http://schemas.openxmlformats.org/officeDocument/2006/relationships/image" Target="../media/image354.jp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jp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jp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jpg"/><Relationship Id="rId116" Type="http://schemas.openxmlformats.org/officeDocument/2006/relationships/image" Target="../media/image116.jp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jp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jpg"/><Relationship Id="rId267" Type="http://schemas.openxmlformats.org/officeDocument/2006/relationships/image" Target="../media/image267.png"/><Relationship Id="rId288" Type="http://schemas.openxmlformats.org/officeDocument/2006/relationships/image" Target="../media/image288.jpg"/><Relationship Id="rId106" Type="http://schemas.openxmlformats.org/officeDocument/2006/relationships/image" Target="../media/image106.jp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jpg"/><Relationship Id="rId355" Type="http://schemas.openxmlformats.org/officeDocument/2006/relationships/image" Target="../media/image355.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jpg"/><Relationship Id="rId236" Type="http://schemas.openxmlformats.org/officeDocument/2006/relationships/image" Target="../media/image236.png"/><Relationship Id="rId257" Type="http://schemas.openxmlformats.org/officeDocument/2006/relationships/image" Target="../media/image257.jpg"/><Relationship Id="rId278" Type="http://schemas.openxmlformats.org/officeDocument/2006/relationships/image" Target="../media/image278.jp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jpg"/><Relationship Id="rId345" Type="http://schemas.openxmlformats.org/officeDocument/2006/relationships/image" Target="../media/image345.jpg"/><Relationship Id="rId191" Type="http://schemas.openxmlformats.org/officeDocument/2006/relationships/image" Target="../media/image191.jp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jp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jpg"/><Relationship Id="rId182" Type="http://schemas.openxmlformats.org/officeDocument/2006/relationships/image" Target="../media/image182.png"/><Relationship Id="rId6" Type="http://schemas.openxmlformats.org/officeDocument/2006/relationships/image" Target="../media/image6.png"/><Relationship Id="rId238" Type="http://schemas.openxmlformats.org/officeDocument/2006/relationships/image" Target="../media/image238.jp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jpg"/><Relationship Id="rId316" Type="http://schemas.openxmlformats.org/officeDocument/2006/relationships/image" Target="../media/image316.jpg"/><Relationship Id="rId55" Type="http://schemas.openxmlformats.org/officeDocument/2006/relationships/image" Target="../media/image55.png"/><Relationship Id="rId97" Type="http://schemas.openxmlformats.org/officeDocument/2006/relationships/image" Target="../media/image97.jpg"/><Relationship Id="rId120" Type="http://schemas.openxmlformats.org/officeDocument/2006/relationships/image" Target="../media/image120.png"/><Relationship Id="rId358" Type="http://schemas.openxmlformats.org/officeDocument/2006/relationships/image" Target="../media/image358.jp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jpg"/><Relationship Id="rId327" Type="http://schemas.openxmlformats.org/officeDocument/2006/relationships/image" Target="../media/image327.png"/><Relationship Id="rId173" Type="http://schemas.openxmlformats.org/officeDocument/2006/relationships/image" Target="../media/image173.png"/><Relationship Id="rId229" Type="http://schemas.openxmlformats.org/officeDocument/2006/relationships/image" Target="../media/image229.png"/><Relationship Id="rId240" Type="http://schemas.openxmlformats.org/officeDocument/2006/relationships/image" Target="../media/image240.jp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jpg"/><Relationship Id="rId184" Type="http://schemas.openxmlformats.org/officeDocument/2006/relationships/image" Target="../media/image184.png"/><Relationship Id="rId251" Type="http://schemas.openxmlformats.org/officeDocument/2006/relationships/image" Target="../media/image251.jpg"/><Relationship Id="rId46" Type="http://schemas.openxmlformats.org/officeDocument/2006/relationships/image" Target="../media/image46.pn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png"/><Relationship Id="rId88" Type="http://schemas.openxmlformats.org/officeDocument/2006/relationships/image" Target="../media/image88.jp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jpg"/><Relationship Id="rId209" Type="http://schemas.openxmlformats.org/officeDocument/2006/relationships/image" Target="../media/image209.png"/><Relationship Id="rId360" Type="http://schemas.openxmlformats.org/officeDocument/2006/relationships/image" Target="../media/image360.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483.png"/><Relationship Id="rId21" Type="http://schemas.openxmlformats.org/officeDocument/2006/relationships/image" Target="../media/image387.png"/><Relationship Id="rId42" Type="http://schemas.openxmlformats.org/officeDocument/2006/relationships/image" Target="../media/image408.png"/><Relationship Id="rId63" Type="http://schemas.openxmlformats.org/officeDocument/2006/relationships/image" Target="../media/image429.png"/><Relationship Id="rId84" Type="http://schemas.openxmlformats.org/officeDocument/2006/relationships/image" Target="../media/image450.png"/><Relationship Id="rId138" Type="http://schemas.openxmlformats.org/officeDocument/2006/relationships/image" Target="../media/image504.png"/><Relationship Id="rId159" Type="http://schemas.openxmlformats.org/officeDocument/2006/relationships/image" Target="../media/image525.png"/><Relationship Id="rId170" Type="http://schemas.openxmlformats.org/officeDocument/2006/relationships/image" Target="../media/image536.png"/><Relationship Id="rId191" Type="http://schemas.openxmlformats.org/officeDocument/2006/relationships/image" Target="../media/image557.png"/><Relationship Id="rId205" Type="http://schemas.openxmlformats.org/officeDocument/2006/relationships/image" Target="../media/image571.png"/><Relationship Id="rId226" Type="http://schemas.openxmlformats.org/officeDocument/2006/relationships/image" Target="../media/image592.png"/><Relationship Id="rId107" Type="http://schemas.openxmlformats.org/officeDocument/2006/relationships/image" Target="../media/image473.png"/><Relationship Id="rId11" Type="http://schemas.openxmlformats.org/officeDocument/2006/relationships/image" Target="../media/image377.png"/><Relationship Id="rId32" Type="http://schemas.openxmlformats.org/officeDocument/2006/relationships/image" Target="../media/image398.png"/><Relationship Id="rId53" Type="http://schemas.openxmlformats.org/officeDocument/2006/relationships/image" Target="../media/image419.png"/><Relationship Id="rId74" Type="http://schemas.openxmlformats.org/officeDocument/2006/relationships/image" Target="../media/image440.png"/><Relationship Id="rId128" Type="http://schemas.openxmlformats.org/officeDocument/2006/relationships/image" Target="../media/image494.png"/><Relationship Id="rId149" Type="http://schemas.openxmlformats.org/officeDocument/2006/relationships/image" Target="../media/image515.png"/><Relationship Id="rId5" Type="http://schemas.openxmlformats.org/officeDocument/2006/relationships/image" Target="../media/image371.png"/><Relationship Id="rId95" Type="http://schemas.openxmlformats.org/officeDocument/2006/relationships/image" Target="../media/image461.png"/><Relationship Id="rId160" Type="http://schemas.openxmlformats.org/officeDocument/2006/relationships/image" Target="../media/image526.png"/><Relationship Id="rId181" Type="http://schemas.openxmlformats.org/officeDocument/2006/relationships/image" Target="../media/image547.png"/><Relationship Id="rId216" Type="http://schemas.openxmlformats.org/officeDocument/2006/relationships/image" Target="../media/image582.png"/><Relationship Id="rId22" Type="http://schemas.openxmlformats.org/officeDocument/2006/relationships/image" Target="../media/image388.png"/><Relationship Id="rId43" Type="http://schemas.openxmlformats.org/officeDocument/2006/relationships/image" Target="../media/image409.png"/><Relationship Id="rId64" Type="http://schemas.openxmlformats.org/officeDocument/2006/relationships/image" Target="../media/image430.png"/><Relationship Id="rId118" Type="http://schemas.openxmlformats.org/officeDocument/2006/relationships/image" Target="../media/image484.png"/><Relationship Id="rId139" Type="http://schemas.openxmlformats.org/officeDocument/2006/relationships/image" Target="../media/image505.png"/><Relationship Id="rId85" Type="http://schemas.openxmlformats.org/officeDocument/2006/relationships/image" Target="../media/image451.png"/><Relationship Id="rId150" Type="http://schemas.openxmlformats.org/officeDocument/2006/relationships/image" Target="../media/image516.png"/><Relationship Id="rId171" Type="http://schemas.openxmlformats.org/officeDocument/2006/relationships/image" Target="../media/image537.png"/><Relationship Id="rId192" Type="http://schemas.openxmlformats.org/officeDocument/2006/relationships/image" Target="../media/image558.png"/><Relationship Id="rId206" Type="http://schemas.openxmlformats.org/officeDocument/2006/relationships/image" Target="../media/image572.png"/><Relationship Id="rId227" Type="http://schemas.openxmlformats.org/officeDocument/2006/relationships/image" Target="../media/image593.png"/><Relationship Id="rId12" Type="http://schemas.openxmlformats.org/officeDocument/2006/relationships/image" Target="../media/image378.png"/><Relationship Id="rId33" Type="http://schemas.openxmlformats.org/officeDocument/2006/relationships/image" Target="../media/image399.png"/><Relationship Id="rId108" Type="http://schemas.openxmlformats.org/officeDocument/2006/relationships/image" Target="../media/image474.png"/><Relationship Id="rId129" Type="http://schemas.openxmlformats.org/officeDocument/2006/relationships/image" Target="../media/image495.png"/><Relationship Id="rId54" Type="http://schemas.openxmlformats.org/officeDocument/2006/relationships/image" Target="../media/image420.png"/><Relationship Id="rId75" Type="http://schemas.openxmlformats.org/officeDocument/2006/relationships/image" Target="../media/image441.png"/><Relationship Id="rId96" Type="http://schemas.openxmlformats.org/officeDocument/2006/relationships/image" Target="../media/image462.png"/><Relationship Id="rId140" Type="http://schemas.openxmlformats.org/officeDocument/2006/relationships/image" Target="../media/image506.png"/><Relationship Id="rId161" Type="http://schemas.openxmlformats.org/officeDocument/2006/relationships/image" Target="../media/image527.png"/><Relationship Id="rId182" Type="http://schemas.openxmlformats.org/officeDocument/2006/relationships/image" Target="../media/image548.png"/><Relationship Id="rId217" Type="http://schemas.openxmlformats.org/officeDocument/2006/relationships/image" Target="../media/image583.png"/><Relationship Id="rId6" Type="http://schemas.openxmlformats.org/officeDocument/2006/relationships/image" Target="../media/image372.png"/><Relationship Id="rId23" Type="http://schemas.openxmlformats.org/officeDocument/2006/relationships/image" Target="../media/image389.png"/><Relationship Id="rId119" Type="http://schemas.openxmlformats.org/officeDocument/2006/relationships/image" Target="../media/image485.png"/><Relationship Id="rId44" Type="http://schemas.openxmlformats.org/officeDocument/2006/relationships/image" Target="../media/image410.png"/><Relationship Id="rId65" Type="http://schemas.openxmlformats.org/officeDocument/2006/relationships/image" Target="../media/image431.png"/><Relationship Id="rId86" Type="http://schemas.openxmlformats.org/officeDocument/2006/relationships/image" Target="../media/image452.png"/><Relationship Id="rId130" Type="http://schemas.openxmlformats.org/officeDocument/2006/relationships/image" Target="../media/image496.png"/><Relationship Id="rId151" Type="http://schemas.openxmlformats.org/officeDocument/2006/relationships/image" Target="../media/image517.png"/><Relationship Id="rId172" Type="http://schemas.openxmlformats.org/officeDocument/2006/relationships/image" Target="../media/image538.png"/><Relationship Id="rId193" Type="http://schemas.openxmlformats.org/officeDocument/2006/relationships/image" Target="../media/image559.png"/><Relationship Id="rId207" Type="http://schemas.openxmlformats.org/officeDocument/2006/relationships/image" Target="../media/image573.png"/><Relationship Id="rId228" Type="http://schemas.openxmlformats.org/officeDocument/2006/relationships/image" Target="../media/image594.png"/><Relationship Id="rId13" Type="http://schemas.openxmlformats.org/officeDocument/2006/relationships/image" Target="../media/image379.png"/><Relationship Id="rId109" Type="http://schemas.openxmlformats.org/officeDocument/2006/relationships/image" Target="../media/image475.png"/><Relationship Id="rId34" Type="http://schemas.openxmlformats.org/officeDocument/2006/relationships/image" Target="../media/image400.png"/><Relationship Id="rId55" Type="http://schemas.openxmlformats.org/officeDocument/2006/relationships/image" Target="../media/image421.png"/><Relationship Id="rId76" Type="http://schemas.openxmlformats.org/officeDocument/2006/relationships/image" Target="../media/image442.png"/><Relationship Id="rId97" Type="http://schemas.openxmlformats.org/officeDocument/2006/relationships/image" Target="../media/image463.png"/><Relationship Id="rId120" Type="http://schemas.openxmlformats.org/officeDocument/2006/relationships/image" Target="../media/image486.png"/><Relationship Id="rId141" Type="http://schemas.openxmlformats.org/officeDocument/2006/relationships/image" Target="../media/image507.png"/><Relationship Id="rId7" Type="http://schemas.openxmlformats.org/officeDocument/2006/relationships/image" Target="../media/image373.png"/><Relationship Id="rId162" Type="http://schemas.openxmlformats.org/officeDocument/2006/relationships/image" Target="../media/image528.png"/><Relationship Id="rId183" Type="http://schemas.openxmlformats.org/officeDocument/2006/relationships/image" Target="../media/image549.png"/><Relationship Id="rId218" Type="http://schemas.openxmlformats.org/officeDocument/2006/relationships/image" Target="../media/image584.png"/><Relationship Id="rId24" Type="http://schemas.openxmlformats.org/officeDocument/2006/relationships/image" Target="../media/image390.png"/><Relationship Id="rId45" Type="http://schemas.openxmlformats.org/officeDocument/2006/relationships/image" Target="../media/image411.png"/><Relationship Id="rId66" Type="http://schemas.openxmlformats.org/officeDocument/2006/relationships/image" Target="../media/image432.png"/><Relationship Id="rId87" Type="http://schemas.openxmlformats.org/officeDocument/2006/relationships/image" Target="../media/image453.png"/><Relationship Id="rId110" Type="http://schemas.openxmlformats.org/officeDocument/2006/relationships/image" Target="../media/image476.png"/><Relationship Id="rId131" Type="http://schemas.openxmlformats.org/officeDocument/2006/relationships/image" Target="../media/image497.png"/><Relationship Id="rId152" Type="http://schemas.openxmlformats.org/officeDocument/2006/relationships/image" Target="../media/image518.png"/><Relationship Id="rId173" Type="http://schemas.openxmlformats.org/officeDocument/2006/relationships/image" Target="../media/image539.png"/><Relationship Id="rId194" Type="http://schemas.openxmlformats.org/officeDocument/2006/relationships/image" Target="../media/image560.png"/><Relationship Id="rId208" Type="http://schemas.openxmlformats.org/officeDocument/2006/relationships/image" Target="../media/image574.png"/><Relationship Id="rId14" Type="http://schemas.openxmlformats.org/officeDocument/2006/relationships/image" Target="../media/image380.png"/><Relationship Id="rId35" Type="http://schemas.openxmlformats.org/officeDocument/2006/relationships/image" Target="../media/image401.png"/><Relationship Id="rId56" Type="http://schemas.openxmlformats.org/officeDocument/2006/relationships/image" Target="../media/image422.png"/><Relationship Id="rId77" Type="http://schemas.openxmlformats.org/officeDocument/2006/relationships/image" Target="../media/image443.png"/><Relationship Id="rId100" Type="http://schemas.openxmlformats.org/officeDocument/2006/relationships/image" Target="../media/image466.png"/><Relationship Id="rId8" Type="http://schemas.openxmlformats.org/officeDocument/2006/relationships/image" Target="../media/image374.png"/><Relationship Id="rId98" Type="http://schemas.openxmlformats.org/officeDocument/2006/relationships/image" Target="../media/image464.png"/><Relationship Id="rId121" Type="http://schemas.openxmlformats.org/officeDocument/2006/relationships/image" Target="../media/image487.png"/><Relationship Id="rId142" Type="http://schemas.openxmlformats.org/officeDocument/2006/relationships/image" Target="../media/image508.png"/><Relationship Id="rId163" Type="http://schemas.openxmlformats.org/officeDocument/2006/relationships/image" Target="../media/image529.png"/><Relationship Id="rId184" Type="http://schemas.openxmlformats.org/officeDocument/2006/relationships/image" Target="../media/image550.png"/><Relationship Id="rId219" Type="http://schemas.openxmlformats.org/officeDocument/2006/relationships/image" Target="../media/image585.png"/><Relationship Id="rId3" Type="http://schemas.openxmlformats.org/officeDocument/2006/relationships/image" Target="../media/image369.png"/><Relationship Id="rId214" Type="http://schemas.openxmlformats.org/officeDocument/2006/relationships/image" Target="../media/image580.png"/><Relationship Id="rId25" Type="http://schemas.openxmlformats.org/officeDocument/2006/relationships/image" Target="../media/image391.png"/><Relationship Id="rId46" Type="http://schemas.openxmlformats.org/officeDocument/2006/relationships/image" Target="../media/image412.png"/><Relationship Id="rId67" Type="http://schemas.openxmlformats.org/officeDocument/2006/relationships/image" Target="../media/image433.png"/><Relationship Id="rId116" Type="http://schemas.openxmlformats.org/officeDocument/2006/relationships/image" Target="../media/image482.png"/><Relationship Id="rId137" Type="http://schemas.openxmlformats.org/officeDocument/2006/relationships/image" Target="../media/image503.png"/><Relationship Id="rId158" Type="http://schemas.openxmlformats.org/officeDocument/2006/relationships/image" Target="../media/image524.png"/><Relationship Id="rId20" Type="http://schemas.openxmlformats.org/officeDocument/2006/relationships/image" Target="../media/image386.png"/><Relationship Id="rId41" Type="http://schemas.openxmlformats.org/officeDocument/2006/relationships/image" Target="../media/image407.png"/><Relationship Id="rId62" Type="http://schemas.openxmlformats.org/officeDocument/2006/relationships/image" Target="../media/image428.png"/><Relationship Id="rId83" Type="http://schemas.openxmlformats.org/officeDocument/2006/relationships/image" Target="../media/image449.png"/><Relationship Id="rId88" Type="http://schemas.openxmlformats.org/officeDocument/2006/relationships/image" Target="../media/image454.png"/><Relationship Id="rId111" Type="http://schemas.openxmlformats.org/officeDocument/2006/relationships/image" Target="../media/image477.png"/><Relationship Id="rId132" Type="http://schemas.openxmlformats.org/officeDocument/2006/relationships/image" Target="../media/image498.png"/><Relationship Id="rId153" Type="http://schemas.openxmlformats.org/officeDocument/2006/relationships/image" Target="../media/image519.png"/><Relationship Id="rId174" Type="http://schemas.openxmlformats.org/officeDocument/2006/relationships/image" Target="../media/image540.png"/><Relationship Id="rId179" Type="http://schemas.openxmlformats.org/officeDocument/2006/relationships/image" Target="../media/image545.png"/><Relationship Id="rId195" Type="http://schemas.openxmlformats.org/officeDocument/2006/relationships/image" Target="../media/image561.png"/><Relationship Id="rId209" Type="http://schemas.openxmlformats.org/officeDocument/2006/relationships/image" Target="../media/image575.png"/><Relationship Id="rId190" Type="http://schemas.openxmlformats.org/officeDocument/2006/relationships/image" Target="../media/image556.png"/><Relationship Id="rId204" Type="http://schemas.openxmlformats.org/officeDocument/2006/relationships/image" Target="../media/image570.png"/><Relationship Id="rId220" Type="http://schemas.openxmlformats.org/officeDocument/2006/relationships/image" Target="../media/image586.png"/><Relationship Id="rId225" Type="http://schemas.openxmlformats.org/officeDocument/2006/relationships/image" Target="../media/image591.png"/><Relationship Id="rId15" Type="http://schemas.openxmlformats.org/officeDocument/2006/relationships/image" Target="../media/image381.png"/><Relationship Id="rId36" Type="http://schemas.openxmlformats.org/officeDocument/2006/relationships/image" Target="../media/image402.png"/><Relationship Id="rId57" Type="http://schemas.openxmlformats.org/officeDocument/2006/relationships/image" Target="../media/image423.png"/><Relationship Id="rId106" Type="http://schemas.openxmlformats.org/officeDocument/2006/relationships/image" Target="../media/image472.png"/><Relationship Id="rId127" Type="http://schemas.openxmlformats.org/officeDocument/2006/relationships/image" Target="../media/image493.png"/><Relationship Id="rId10" Type="http://schemas.openxmlformats.org/officeDocument/2006/relationships/image" Target="../media/image376.png"/><Relationship Id="rId31" Type="http://schemas.openxmlformats.org/officeDocument/2006/relationships/image" Target="../media/image397.png"/><Relationship Id="rId52" Type="http://schemas.openxmlformats.org/officeDocument/2006/relationships/image" Target="../media/image418.png"/><Relationship Id="rId73" Type="http://schemas.openxmlformats.org/officeDocument/2006/relationships/image" Target="../media/image439.png"/><Relationship Id="rId78" Type="http://schemas.openxmlformats.org/officeDocument/2006/relationships/image" Target="../media/image444.png"/><Relationship Id="rId94" Type="http://schemas.openxmlformats.org/officeDocument/2006/relationships/image" Target="../media/image460.png"/><Relationship Id="rId99" Type="http://schemas.openxmlformats.org/officeDocument/2006/relationships/image" Target="../media/image465.png"/><Relationship Id="rId101" Type="http://schemas.openxmlformats.org/officeDocument/2006/relationships/image" Target="../media/image467.png"/><Relationship Id="rId122" Type="http://schemas.openxmlformats.org/officeDocument/2006/relationships/image" Target="../media/image488.png"/><Relationship Id="rId143" Type="http://schemas.openxmlformats.org/officeDocument/2006/relationships/image" Target="../media/image509.png"/><Relationship Id="rId148" Type="http://schemas.openxmlformats.org/officeDocument/2006/relationships/image" Target="../media/image514.png"/><Relationship Id="rId164" Type="http://schemas.openxmlformats.org/officeDocument/2006/relationships/image" Target="../media/image530.png"/><Relationship Id="rId169" Type="http://schemas.openxmlformats.org/officeDocument/2006/relationships/image" Target="../media/image535.png"/><Relationship Id="rId185" Type="http://schemas.openxmlformats.org/officeDocument/2006/relationships/image" Target="../media/image551.png"/><Relationship Id="rId4" Type="http://schemas.openxmlformats.org/officeDocument/2006/relationships/image" Target="../media/image370.png"/><Relationship Id="rId9" Type="http://schemas.openxmlformats.org/officeDocument/2006/relationships/image" Target="../media/image375.png"/><Relationship Id="rId180" Type="http://schemas.openxmlformats.org/officeDocument/2006/relationships/image" Target="../media/image546.png"/><Relationship Id="rId210" Type="http://schemas.openxmlformats.org/officeDocument/2006/relationships/image" Target="../media/image576.png"/><Relationship Id="rId215" Type="http://schemas.openxmlformats.org/officeDocument/2006/relationships/image" Target="../media/image581.png"/><Relationship Id="rId26" Type="http://schemas.openxmlformats.org/officeDocument/2006/relationships/image" Target="../media/image392.png"/><Relationship Id="rId47" Type="http://schemas.openxmlformats.org/officeDocument/2006/relationships/image" Target="../media/image413.png"/><Relationship Id="rId68" Type="http://schemas.openxmlformats.org/officeDocument/2006/relationships/image" Target="../media/image434.png"/><Relationship Id="rId89" Type="http://schemas.openxmlformats.org/officeDocument/2006/relationships/image" Target="../media/image455.png"/><Relationship Id="rId112" Type="http://schemas.openxmlformats.org/officeDocument/2006/relationships/image" Target="../media/image478.png"/><Relationship Id="rId133" Type="http://schemas.openxmlformats.org/officeDocument/2006/relationships/image" Target="../media/image499.png"/><Relationship Id="rId154" Type="http://schemas.openxmlformats.org/officeDocument/2006/relationships/image" Target="../media/image520.png"/><Relationship Id="rId175" Type="http://schemas.openxmlformats.org/officeDocument/2006/relationships/image" Target="../media/image541.png"/><Relationship Id="rId196" Type="http://schemas.openxmlformats.org/officeDocument/2006/relationships/image" Target="../media/image562.png"/><Relationship Id="rId200" Type="http://schemas.openxmlformats.org/officeDocument/2006/relationships/image" Target="../media/image566.png"/><Relationship Id="rId16" Type="http://schemas.openxmlformats.org/officeDocument/2006/relationships/image" Target="../media/image382.png"/><Relationship Id="rId221" Type="http://schemas.openxmlformats.org/officeDocument/2006/relationships/image" Target="../media/image587.png"/><Relationship Id="rId37" Type="http://schemas.openxmlformats.org/officeDocument/2006/relationships/image" Target="../media/image403.png"/><Relationship Id="rId58" Type="http://schemas.openxmlformats.org/officeDocument/2006/relationships/image" Target="../media/image424.png"/><Relationship Id="rId79" Type="http://schemas.openxmlformats.org/officeDocument/2006/relationships/image" Target="../media/image445.png"/><Relationship Id="rId102" Type="http://schemas.openxmlformats.org/officeDocument/2006/relationships/image" Target="../media/image468.png"/><Relationship Id="rId123" Type="http://schemas.openxmlformats.org/officeDocument/2006/relationships/image" Target="../media/image489.png"/><Relationship Id="rId144" Type="http://schemas.openxmlformats.org/officeDocument/2006/relationships/image" Target="../media/image510.png"/><Relationship Id="rId90" Type="http://schemas.openxmlformats.org/officeDocument/2006/relationships/image" Target="../media/image456.png"/><Relationship Id="rId165" Type="http://schemas.openxmlformats.org/officeDocument/2006/relationships/image" Target="../media/image531.png"/><Relationship Id="rId186" Type="http://schemas.openxmlformats.org/officeDocument/2006/relationships/image" Target="../media/image552.png"/><Relationship Id="rId211" Type="http://schemas.openxmlformats.org/officeDocument/2006/relationships/image" Target="../media/image577.png"/><Relationship Id="rId27" Type="http://schemas.openxmlformats.org/officeDocument/2006/relationships/image" Target="../media/image393.png"/><Relationship Id="rId48" Type="http://schemas.openxmlformats.org/officeDocument/2006/relationships/image" Target="../media/image414.png"/><Relationship Id="rId69" Type="http://schemas.openxmlformats.org/officeDocument/2006/relationships/image" Target="../media/image435.png"/><Relationship Id="rId113" Type="http://schemas.openxmlformats.org/officeDocument/2006/relationships/image" Target="../media/image479.png"/><Relationship Id="rId134" Type="http://schemas.openxmlformats.org/officeDocument/2006/relationships/image" Target="../media/image500.png"/><Relationship Id="rId80" Type="http://schemas.openxmlformats.org/officeDocument/2006/relationships/image" Target="../media/image446.png"/><Relationship Id="rId155" Type="http://schemas.openxmlformats.org/officeDocument/2006/relationships/image" Target="../media/image521.png"/><Relationship Id="rId176" Type="http://schemas.openxmlformats.org/officeDocument/2006/relationships/image" Target="../media/image542.png"/><Relationship Id="rId197" Type="http://schemas.openxmlformats.org/officeDocument/2006/relationships/image" Target="../media/image563.png"/><Relationship Id="rId201" Type="http://schemas.openxmlformats.org/officeDocument/2006/relationships/image" Target="../media/image567.png"/><Relationship Id="rId222" Type="http://schemas.openxmlformats.org/officeDocument/2006/relationships/image" Target="../media/image588.png"/><Relationship Id="rId17" Type="http://schemas.openxmlformats.org/officeDocument/2006/relationships/image" Target="../media/image383.png"/><Relationship Id="rId38" Type="http://schemas.openxmlformats.org/officeDocument/2006/relationships/image" Target="../media/image404.png"/><Relationship Id="rId59" Type="http://schemas.openxmlformats.org/officeDocument/2006/relationships/image" Target="../media/image425.png"/><Relationship Id="rId103" Type="http://schemas.openxmlformats.org/officeDocument/2006/relationships/image" Target="../media/image469.png"/><Relationship Id="rId124" Type="http://schemas.openxmlformats.org/officeDocument/2006/relationships/image" Target="../media/image490.png"/><Relationship Id="rId70" Type="http://schemas.openxmlformats.org/officeDocument/2006/relationships/image" Target="../media/image436.png"/><Relationship Id="rId91" Type="http://schemas.openxmlformats.org/officeDocument/2006/relationships/image" Target="../media/image457.png"/><Relationship Id="rId145" Type="http://schemas.openxmlformats.org/officeDocument/2006/relationships/image" Target="../media/image511.png"/><Relationship Id="rId166" Type="http://schemas.openxmlformats.org/officeDocument/2006/relationships/image" Target="../media/image532.png"/><Relationship Id="rId187" Type="http://schemas.openxmlformats.org/officeDocument/2006/relationships/image" Target="../media/image553.png"/><Relationship Id="rId1" Type="http://schemas.openxmlformats.org/officeDocument/2006/relationships/image" Target="../media/image367.png"/><Relationship Id="rId212" Type="http://schemas.openxmlformats.org/officeDocument/2006/relationships/image" Target="../media/image578.png"/><Relationship Id="rId28" Type="http://schemas.openxmlformats.org/officeDocument/2006/relationships/image" Target="../media/image394.png"/><Relationship Id="rId49" Type="http://schemas.openxmlformats.org/officeDocument/2006/relationships/image" Target="../media/image415.png"/><Relationship Id="rId114" Type="http://schemas.openxmlformats.org/officeDocument/2006/relationships/image" Target="../media/image480.png"/><Relationship Id="rId60" Type="http://schemas.openxmlformats.org/officeDocument/2006/relationships/image" Target="../media/image426.png"/><Relationship Id="rId81" Type="http://schemas.openxmlformats.org/officeDocument/2006/relationships/image" Target="../media/image447.png"/><Relationship Id="rId135" Type="http://schemas.openxmlformats.org/officeDocument/2006/relationships/image" Target="../media/image501.png"/><Relationship Id="rId156" Type="http://schemas.openxmlformats.org/officeDocument/2006/relationships/image" Target="../media/image522.png"/><Relationship Id="rId177" Type="http://schemas.openxmlformats.org/officeDocument/2006/relationships/image" Target="../media/image543.png"/><Relationship Id="rId198" Type="http://schemas.openxmlformats.org/officeDocument/2006/relationships/image" Target="../media/image564.png"/><Relationship Id="rId202" Type="http://schemas.openxmlformats.org/officeDocument/2006/relationships/image" Target="../media/image568.png"/><Relationship Id="rId223" Type="http://schemas.openxmlformats.org/officeDocument/2006/relationships/image" Target="../media/image589.png"/><Relationship Id="rId18" Type="http://schemas.openxmlformats.org/officeDocument/2006/relationships/image" Target="../media/image384.png"/><Relationship Id="rId39" Type="http://schemas.openxmlformats.org/officeDocument/2006/relationships/image" Target="../media/image405.png"/><Relationship Id="rId50" Type="http://schemas.openxmlformats.org/officeDocument/2006/relationships/image" Target="../media/image416.png"/><Relationship Id="rId104" Type="http://schemas.openxmlformats.org/officeDocument/2006/relationships/image" Target="../media/image470.png"/><Relationship Id="rId125" Type="http://schemas.openxmlformats.org/officeDocument/2006/relationships/image" Target="../media/image491.png"/><Relationship Id="rId146" Type="http://schemas.openxmlformats.org/officeDocument/2006/relationships/image" Target="../media/image512.png"/><Relationship Id="rId167" Type="http://schemas.openxmlformats.org/officeDocument/2006/relationships/image" Target="../media/image533.png"/><Relationship Id="rId188" Type="http://schemas.openxmlformats.org/officeDocument/2006/relationships/image" Target="../media/image554.png"/><Relationship Id="rId71" Type="http://schemas.openxmlformats.org/officeDocument/2006/relationships/image" Target="../media/image437.png"/><Relationship Id="rId92" Type="http://schemas.openxmlformats.org/officeDocument/2006/relationships/image" Target="../media/image458.png"/><Relationship Id="rId213" Type="http://schemas.openxmlformats.org/officeDocument/2006/relationships/image" Target="../media/image579.png"/><Relationship Id="rId2" Type="http://schemas.openxmlformats.org/officeDocument/2006/relationships/image" Target="../media/image368.png"/><Relationship Id="rId29" Type="http://schemas.openxmlformats.org/officeDocument/2006/relationships/image" Target="../media/image395.png"/><Relationship Id="rId40" Type="http://schemas.openxmlformats.org/officeDocument/2006/relationships/image" Target="../media/image406.png"/><Relationship Id="rId115" Type="http://schemas.openxmlformats.org/officeDocument/2006/relationships/image" Target="../media/image481.png"/><Relationship Id="rId136" Type="http://schemas.openxmlformats.org/officeDocument/2006/relationships/image" Target="../media/image502.png"/><Relationship Id="rId157" Type="http://schemas.openxmlformats.org/officeDocument/2006/relationships/image" Target="../media/image523.png"/><Relationship Id="rId178" Type="http://schemas.openxmlformats.org/officeDocument/2006/relationships/image" Target="../media/image544.png"/><Relationship Id="rId61" Type="http://schemas.openxmlformats.org/officeDocument/2006/relationships/image" Target="../media/image427.png"/><Relationship Id="rId82" Type="http://schemas.openxmlformats.org/officeDocument/2006/relationships/image" Target="../media/image448.png"/><Relationship Id="rId199" Type="http://schemas.openxmlformats.org/officeDocument/2006/relationships/image" Target="../media/image565.png"/><Relationship Id="rId203" Type="http://schemas.openxmlformats.org/officeDocument/2006/relationships/image" Target="../media/image569.png"/><Relationship Id="rId19" Type="http://schemas.openxmlformats.org/officeDocument/2006/relationships/image" Target="../media/image385.png"/><Relationship Id="rId224" Type="http://schemas.openxmlformats.org/officeDocument/2006/relationships/image" Target="../media/image590.png"/><Relationship Id="rId30" Type="http://schemas.openxmlformats.org/officeDocument/2006/relationships/image" Target="../media/image396.png"/><Relationship Id="rId105" Type="http://schemas.openxmlformats.org/officeDocument/2006/relationships/image" Target="../media/image471.png"/><Relationship Id="rId126" Type="http://schemas.openxmlformats.org/officeDocument/2006/relationships/image" Target="../media/image492.png"/><Relationship Id="rId147" Type="http://schemas.openxmlformats.org/officeDocument/2006/relationships/image" Target="../media/image513.png"/><Relationship Id="rId168" Type="http://schemas.openxmlformats.org/officeDocument/2006/relationships/image" Target="../media/image534.png"/><Relationship Id="rId51" Type="http://schemas.openxmlformats.org/officeDocument/2006/relationships/image" Target="../media/image417.png"/><Relationship Id="rId72" Type="http://schemas.openxmlformats.org/officeDocument/2006/relationships/image" Target="../media/image438.png"/><Relationship Id="rId93" Type="http://schemas.openxmlformats.org/officeDocument/2006/relationships/image" Target="../media/image459.png"/><Relationship Id="rId189" Type="http://schemas.openxmlformats.org/officeDocument/2006/relationships/image" Target="../media/image555.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711.png"/><Relationship Id="rId299" Type="http://schemas.openxmlformats.org/officeDocument/2006/relationships/image" Target="../media/image893.png"/><Relationship Id="rId21" Type="http://schemas.openxmlformats.org/officeDocument/2006/relationships/image" Target="../media/image615.png"/><Relationship Id="rId63" Type="http://schemas.openxmlformats.org/officeDocument/2006/relationships/image" Target="../media/image657.png"/><Relationship Id="rId159" Type="http://schemas.openxmlformats.org/officeDocument/2006/relationships/image" Target="../media/image753.png"/><Relationship Id="rId324" Type="http://schemas.openxmlformats.org/officeDocument/2006/relationships/image" Target="../media/image918.png"/><Relationship Id="rId170" Type="http://schemas.openxmlformats.org/officeDocument/2006/relationships/image" Target="../media/image764.png"/><Relationship Id="rId226" Type="http://schemas.openxmlformats.org/officeDocument/2006/relationships/image" Target="../media/image820.png"/><Relationship Id="rId268" Type="http://schemas.openxmlformats.org/officeDocument/2006/relationships/image" Target="../media/image862.png"/><Relationship Id="rId32" Type="http://schemas.openxmlformats.org/officeDocument/2006/relationships/image" Target="../media/image626.png"/><Relationship Id="rId74" Type="http://schemas.openxmlformats.org/officeDocument/2006/relationships/image" Target="../media/image668.png"/><Relationship Id="rId128" Type="http://schemas.openxmlformats.org/officeDocument/2006/relationships/image" Target="../media/image722.png"/><Relationship Id="rId335" Type="http://schemas.openxmlformats.org/officeDocument/2006/relationships/image" Target="../media/image929.png"/><Relationship Id="rId5" Type="http://schemas.openxmlformats.org/officeDocument/2006/relationships/image" Target="../media/image599.png"/><Relationship Id="rId181" Type="http://schemas.openxmlformats.org/officeDocument/2006/relationships/image" Target="../media/image775.png"/><Relationship Id="rId237" Type="http://schemas.openxmlformats.org/officeDocument/2006/relationships/image" Target="../media/image831.png"/><Relationship Id="rId279" Type="http://schemas.openxmlformats.org/officeDocument/2006/relationships/image" Target="../media/image873.png"/><Relationship Id="rId43" Type="http://schemas.openxmlformats.org/officeDocument/2006/relationships/image" Target="../media/image637.png"/><Relationship Id="rId139" Type="http://schemas.openxmlformats.org/officeDocument/2006/relationships/image" Target="../media/image733.png"/><Relationship Id="rId290" Type="http://schemas.openxmlformats.org/officeDocument/2006/relationships/image" Target="../media/image884.png"/><Relationship Id="rId304" Type="http://schemas.openxmlformats.org/officeDocument/2006/relationships/image" Target="../media/image898.png"/><Relationship Id="rId346" Type="http://schemas.openxmlformats.org/officeDocument/2006/relationships/image" Target="../media/image940.png"/><Relationship Id="rId85" Type="http://schemas.openxmlformats.org/officeDocument/2006/relationships/image" Target="../media/image679.png"/><Relationship Id="rId150" Type="http://schemas.openxmlformats.org/officeDocument/2006/relationships/image" Target="../media/image744.png"/><Relationship Id="rId192" Type="http://schemas.openxmlformats.org/officeDocument/2006/relationships/image" Target="../media/image786.png"/><Relationship Id="rId206" Type="http://schemas.openxmlformats.org/officeDocument/2006/relationships/image" Target="../media/image800.png"/><Relationship Id="rId248" Type="http://schemas.openxmlformats.org/officeDocument/2006/relationships/image" Target="../media/image842.png"/><Relationship Id="rId12" Type="http://schemas.openxmlformats.org/officeDocument/2006/relationships/image" Target="../media/image606.png"/><Relationship Id="rId108" Type="http://schemas.openxmlformats.org/officeDocument/2006/relationships/image" Target="../media/image702.png"/><Relationship Id="rId315" Type="http://schemas.openxmlformats.org/officeDocument/2006/relationships/image" Target="../media/image909.png"/><Relationship Id="rId54" Type="http://schemas.openxmlformats.org/officeDocument/2006/relationships/image" Target="../media/image648.png"/><Relationship Id="rId96" Type="http://schemas.openxmlformats.org/officeDocument/2006/relationships/image" Target="../media/image690.png"/><Relationship Id="rId161" Type="http://schemas.openxmlformats.org/officeDocument/2006/relationships/image" Target="../media/image755.png"/><Relationship Id="rId217" Type="http://schemas.openxmlformats.org/officeDocument/2006/relationships/image" Target="../media/image811.png"/><Relationship Id="rId259" Type="http://schemas.openxmlformats.org/officeDocument/2006/relationships/image" Target="../media/image853.png"/><Relationship Id="rId23" Type="http://schemas.openxmlformats.org/officeDocument/2006/relationships/image" Target="../media/image617.png"/><Relationship Id="rId119" Type="http://schemas.openxmlformats.org/officeDocument/2006/relationships/image" Target="../media/image713.png"/><Relationship Id="rId270" Type="http://schemas.openxmlformats.org/officeDocument/2006/relationships/image" Target="../media/image864.png"/><Relationship Id="rId326" Type="http://schemas.openxmlformats.org/officeDocument/2006/relationships/image" Target="../media/image920.png"/><Relationship Id="rId65" Type="http://schemas.openxmlformats.org/officeDocument/2006/relationships/image" Target="../media/image659.png"/><Relationship Id="rId130" Type="http://schemas.openxmlformats.org/officeDocument/2006/relationships/image" Target="../media/image724.png"/><Relationship Id="rId172" Type="http://schemas.openxmlformats.org/officeDocument/2006/relationships/image" Target="../media/image766.png"/><Relationship Id="rId228" Type="http://schemas.openxmlformats.org/officeDocument/2006/relationships/image" Target="../media/image822.png"/><Relationship Id="rId281" Type="http://schemas.openxmlformats.org/officeDocument/2006/relationships/image" Target="../media/image875.png"/><Relationship Id="rId337" Type="http://schemas.openxmlformats.org/officeDocument/2006/relationships/image" Target="../media/image931.png"/><Relationship Id="rId34" Type="http://schemas.openxmlformats.org/officeDocument/2006/relationships/image" Target="../media/image628.png"/><Relationship Id="rId76" Type="http://schemas.openxmlformats.org/officeDocument/2006/relationships/image" Target="../media/image670.png"/><Relationship Id="rId141" Type="http://schemas.openxmlformats.org/officeDocument/2006/relationships/image" Target="../media/image735.png"/><Relationship Id="rId7" Type="http://schemas.openxmlformats.org/officeDocument/2006/relationships/image" Target="../media/image601.png"/><Relationship Id="rId183" Type="http://schemas.openxmlformats.org/officeDocument/2006/relationships/image" Target="../media/image777.png"/><Relationship Id="rId239" Type="http://schemas.openxmlformats.org/officeDocument/2006/relationships/image" Target="../media/image833.png"/><Relationship Id="rId250" Type="http://schemas.openxmlformats.org/officeDocument/2006/relationships/image" Target="../media/image844.png"/><Relationship Id="rId292" Type="http://schemas.openxmlformats.org/officeDocument/2006/relationships/image" Target="../media/image886.png"/><Relationship Id="rId306" Type="http://schemas.openxmlformats.org/officeDocument/2006/relationships/image" Target="../media/image900.png"/><Relationship Id="rId45" Type="http://schemas.openxmlformats.org/officeDocument/2006/relationships/image" Target="../media/image639.png"/><Relationship Id="rId87" Type="http://schemas.openxmlformats.org/officeDocument/2006/relationships/image" Target="../media/image681.png"/><Relationship Id="rId110" Type="http://schemas.openxmlformats.org/officeDocument/2006/relationships/image" Target="../media/image704.png"/><Relationship Id="rId348" Type="http://schemas.openxmlformats.org/officeDocument/2006/relationships/image" Target="../media/image942.png"/><Relationship Id="rId152" Type="http://schemas.openxmlformats.org/officeDocument/2006/relationships/image" Target="../media/image746.png"/><Relationship Id="rId194" Type="http://schemas.openxmlformats.org/officeDocument/2006/relationships/image" Target="../media/image788.png"/><Relationship Id="rId208" Type="http://schemas.openxmlformats.org/officeDocument/2006/relationships/image" Target="../media/image802.png"/><Relationship Id="rId261" Type="http://schemas.openxmlformats.org/officeDocument/2006/relationships/image" Target="../media/image855.png"/><Relationship Id="rId14" Type="http://schemas.openxmlformats.org/officeDocument/2006/relationships/image" Target="../media/image608.png"/><Relationship Id="rId56" Type="http://schemas.openxmlformats.org/officeDocument/2006/relationships/image" Target="../media/image650.png"/><Relationship Id="rId317" Type="http://schemas.openxmlformats.org/officeDocument/2006/relationships/image" Target="../media/image911.png"/><Relationship Id="rId98" Type="http://schemas.openxmlformats.org/officeDocument/2006/relationships/image" Target="../media/image692.png"/><Relationship Id="rId121" Type="http://schemas.openxmlformats.org/officeDocument/2006/relationships/image" Target="../media/image715.png"/><Relationship Id="rId163" Type="http://schemas.openxmlformats.org/officeDocument/2006/relationships/image" Target="../media/image757.png"/><Relationship Id="rId219" Type="http://schemas.openxmlformats.org/officeDocument/2006/relationships/image" Target="../media/image813.png"/><Relationship Id="rId230" Type="http://schemas.openxmlformats.org/officeDocument/2006/relationships/image" Target="../media/image824.png"/><Relationship Id="rId251" Type="http://schemas.openxmlformats.org/officeDocument/2006/relationships/image" Target="../media/image845.png"/><Relationship Id="rId25" Type="http://schemas.openxmlformats.org/officeDocument/2006/relationships/image" Target="../media/image619.png"/><Relationship Id="rId46" Type="http://schemas.openxmlformats.org/officeDocument/2006/relationships/image" Target="../media/image640.png"/><Relationship Id="rId67" Type="http://schemas.openxmlformats.org/officeDocument/2006/relationships/image" Target="../media/image661.png"/><Relationship Id="rId272" Type="http://schemas.openxmlformats.org/officeDocument/2006/relationships/image" Target="../media/image866.png"/><Relationship Id="rId293" Type="http://schemas.openxmlformats.org/officeDocument/2006/relationships/image" Target="../media/image887.png"/><Relationship Id="rId307" Type="http://schemas.openxmlformats.org/officeDocument/2006/relationships/image" Target="../media/image901.png"/><Relationship Id="rId328" Type="http://schemas.openxmlformats.org/officeDocument/2006/relationships/image" Target="../media/image922.png"/><Relationship Id="rId349" Type="http://schemas.openxmlformats.org/officeDocument/2006/relationships/image" Target="../media/image943.png"/><Relationship Id="rId88" Type="http://schemas.openxmlformats.org/officeDocument/2006/relationships/image" Target="../media/image682.png"/><Relationship Id="rId111" Type="http://schemas.openxmlformats.org/officeDocument/2006/relationships/image" Target="../media/image705.png"/><Relationship Id="rId132" Type="http://schemas.openxmlformats.org/officeDocument/2006/relationships/image" Target="../media/image726.png"/><Relationship Id="rId153" Type="http://schemas.openxmlformats.org/officeDocument/2006/relationships/image" Target="../media/image747.png"/><Relationship Id="rId174" Type="http://schemas.openxmlformats.org/officeDocument/2006/relationships/image" Target="../media/image768.png"/><Relationship Id="rId195" Type="http://schemas.openxmlformats.org/officeDocument/2006/relationships/image" Target="../media/image789.png"/><Relationship Id="rId209" Type="http://schemas.openxmlformats.org/officeDocument/2006/relationships/image" Target="../media/image803.png"/><Relationship Id="rId220" Type="http://schemas.openxmlformats.org/officeDocument/2006/relationships/image" Target="../media/image814.png"/><Relationship Id="rId241" Type="http://schemas.openxmlformats.org/officeDocument/2006/relationships/image" Target="../media/image835.png"/><Relationship Id="rId15" Type="http://schemas.openxmlformats.org/officeDocument/2006/relationships/image" Target="../media/image609.png"/><Relationship Id="rId36" Type="http://schemas.openxmlformats.org/officeDocument/2006/relationships/image" Target="../media/image630.png"/><Relationship Id="rId57" Type="http://schemas.openxmlformats.org/officeDocument/2006/relationships/image" Target="../media/image651.png"/><Relationship Id="rId262" Type="http://schemas.openxmlformats.org/officeDocument/2006/relationships/image" Target="../media/image856.png"/><Relationship Id="rId283" Type="http://schemas.openxmlformats.org/officeDocument/2006/relationships/image" Target="../media/image877.png"/><Relationship Id="rId318" Type="http://schemas.openxmlformats.org/officeDocument/2006/relationships/image" Target="../media/image912.png"/><Relationship Id="rId339" Type="http://schemas.openxmlformats.org/officeDocument/2006/relationships/image" Target="../media/image933.png"/><Relationship Id="rId78" Type="http://schemas.openxmlformats.org/officeDocument/2006/relationships/image" Target="../media/image672.png"/><Relationship Id="rId99" Type="http://schemas.openxmlformats.org/officeDocument/2006/relationships/image" Target="../media/image693.png"/><Relationship Id="rId101" Type="http://schemas.openxmlformats.org/officeDocument/2006/relationships/image" Target="../media/image695.png"/><Relationship Id="rId122" Type="http://schemas.openxmlformats.org/officeDocument/2006/relationships/image" Target="../media/image716.png"/><Relationship Id="rId143" Type="http://schemas.openxmlformats.org/officeDocument/2006/relationships/image" Target="../media/image737.png"/><Relationship Id="rId164" Type="http://schemas.openxmlformats.org/officeDocument/2006/relationships/image" Target="../media/image758.png"/><Relationship Id="rId185" Type="http://schemas.openxmlformats.org/officeDocument/2006/relationships/image" Target="../media/image779.png"/><Relationship Id="rId350" Type="http://schemas.openxmlformats.org/officeDocument/2006/relationships/image" Target="../media/image944.png"/><Relationship Id="rId9" Type="http://schemas.openxmlformats.org/officeDocument/2006/relationships/image" Target="../media/image603.png"/><Relationship Id="rId210" Type="http://schemas.openxmlformats.org/officeDocument/2006/relationships/image" Target="../media/image804.png"/><Relationship Id="rId26" Type="http://schemas.openxmlformats.org/officeDocument/2006/relationships/image" Target="../media/image620.png"/><Relationship Id="rId231" Type="http://schemas.openxmlformats.org/officeDocument/2006/relationships/image" Target="../media/image825.png"/><Relationship Id="rId252" Type="http://schemas.openxmlformats.org/officeDocument/2006/relationships/image" Target="../media/image846.png"/><Relationship Id="rId273" Type="http://schemas.openxmlformats.org/officeDocument/2006/relationships/image" Target="../media/image867.png"/><Relationship Id="rId294" Type="http://schemas.openxmlformats.org/officeDocument/2006/relationships/image" Target="../media/image888.png"/><Relationship Id="rId308" Type="http://schemas.openxmlformats.org/officeDocument/2006/relationships/image" Target="../media/image902.png"/><Relationship Id="rId329" Type="http://schemas.openxmlformats.org/officeDocument/2006/relationships/image" Target="../media/image923.png"/><Relationship Id="rId47" Type="http://schemas.openxmlformats.org/officeDocument/2006/relationships/image" Target="../media/image641.png"/><Relationship Id="rId68" Type="http://schemas.openxmlformats.org/officeDocument/2006/relationships/image" Target="../media/image662.png"/><Relationship Id="rId89" Type="http://schemas.openxmlformats.org/officeDocument/2006/relationships/image" Target="../media/image683.png"/><Relationship Id="rId112" Type="http://schemas.openxmlformats.org/officeDocument/2006/relationships/image" Target="../media/image706.png"/><Relationship Id="rId133" Type="http://schemas.openxmlformats.org/officeDocument/2006/relationships/image" Target="../media/image727.png"/><Relationship Id="rId154" Type="http://schemas.openxmlformats.org/officeDocument/2006/relationships/image" Target="../media/image748.png"/><Relationship Id="rId175" Type="http://schemas.openxmlformats.org/officeDocument/2006/relationships/image" Target="../media/image769.png"/><Relationship Id="rId340" Type="http://schemas.openxmlformats.org/officeDocument/2006/relationships/image" Target="../media/image934.png"/><Relationship Id="rId196" Type="http://schemas.openxmlformats.org/officeDocument/2006/relationships/image" Target="../media/image790.png"/><Relationship Id="rId200" Type="http://schemas.openxmlformats.org/officeDocument/2006/relationships/image" Target="../media/image794.png"/><Relationship Id="rId16" Type="http://schemas.openxmlformats.org/officeDocument/2006/relationships/image" Target="../media/image610.png"/><Relationship Id="rId221" Type="http://schemas.openxmlformats.org/officeDocument/2006/relationships/image" Target="../media/image815.png"/><Relationship Id="rId242" Type="http://schemas.openxmlformats.org/officeDocument/2006/relationships/image" Target="../media/image836.png"/><Relationship Id="rId263" Type="http://schemas.openxmlformats.org/officeDocument/2006/relationships/image" Target="../media/image857.png"/><Relationship Id="rId284" Type="http://schemas.openxmlformats.org/officeDocument/2006/relationships/image" Target="../media/image878.png"/><Relationship Id="rId319" Type="http://schemas.openxmlformats.org/officeDocument/2006/relationships/image" Target="../media/image913.png"/><Relationship Id="rId37" Type="http://schemas.openxmlformats.org/officeDocument/2006/relationships/image" Target="../media/image631.png"/><Relationship Id="rId58" Type="http://schemas.openxmlformats.org/officeDocument/2006/relationships/image" Target="../media/image652.png"/><Relationship Id="rId79" Type="http://schemas.openxmlformats.org/officeDocument/2006/relationships/image" Target="../media/image673.png"/><Relationship Id="rId102" Type="http://schemas.openxmlformats.org/officeDocument/2006/relationships/image" Target="../media/image696.png"/><Relationship Id="rId123" Type="http://schemas.openxmlformats.org/officeDocument/2006/relationships/image" Target="../media/image717.png"/><Relationship Id="rId144" Type="http://schemas.openxmlformats.org/officeDocument/2006/relationships/image" Target="../media/image738.png"/><Relationship Id="rId330" Type="http://schemas.openxmlformats.org/officeDocument/2006/relationships/image" Target="../media/image924.png"/><Relationship Id="rId90" Type="http://schemas.openxmlformats.org/officeDocument/2006/relationships/image" Target="../media/image684.png"/><Relationship Id="rId165" Type="http://schemas.openxmlformats.org/officeDocument/2006/relationships/image" Target="../media/image759.png"/><Relationship Id="rId186" Type="http://schemas.openxmlformats.org/officeDocument/2006/relationships/image" Target="../media/image780.png"/><Relationship Id="rId351" Type="http://schemas.openxmlformats.org/officeDocument/2006/relationships/image" Target="../media/image945.png"/><Relationship Id="rId211" Type="http://schemas.openxmlformats.org/officeDocument/2006/relationships/image" Target="../media/image805.png"/><Relationship Id="rId232" Type="http://schemas.openxmlformats.org/officeDocument/2006/relationships/image" Target="../media/image826.png"/><Relationship Id="rId253" Type="http://schemas.openxmlformats.org/officeDocument/2006/relationships/image" Target="../media/image847.png"/><Relationship Id="rId274" Type="http://schemas.openxmlformats.org/officeDocument/2006/relationships/image" Target="../media/image868.png"/><Relationship Id="rId295" Type="http://schemas.openxmlformats.org/officeDocument/2006/relationships/image" Target="../media/image889.png"/><Relationship Id="rId309" Type="http://schemas.openxmlformats.org/officeDocument/2006/relationships/image" Target="../media/image903.png"/><Relationship Id="rId27" Type="http://schemas.openxmlformats.org/officeDocument/2006/relationships/image" Target="../media/image621.png"/><Relationship Id="rId48" Type="http://schemas.openxmlformats.org/officeDocument/2006/relationships/image" Target="../media/image642.png"/><Relationship Id="rId69" Type="http://schemas.openxmlformats.org/officeDocument/2006/relationships/image" Target="../media/image663.png"/><Relationship Id="rId113" Type="http://schemas.openxmlformats.org/officeDocument/2006/relationships/image" Target="../media/image707.png"/><Relationship Id="rId134" Type="http://schemas.openxmlformats.org/officeDocument/2006/relationships/image" Target="../media/image728.png"/><Relationship Id="rId320" Type="http://schemas.openxmlformats.org/officeDocument/2006/relationships/image" Target="../media/image914.png"/><Relationship Id="rId80" Type="http://schemas.openxmlformats.org/officeDocument/2006/relationships/image" Target="../media/image674.png"/><Relationship Id="rId155" Type="http://schemas.openxmlformats.org/officeDocument/2006/relationships/image" Target="../media/image749.png"/><Relationship Id="rId176" Type="http://schemas.openxmlformats.org/officeDocument/2006/relationships/image" Target="../media/image770.png"/><Relationship Id="rId197" Type="http://schemas.openxmlformats.org/officeDocument/2006/relationships/image" Target="../media/image791.png"/><Relationship Id="rId341" Type="http://schemas.openxmlformats.org/officeDocument/2006/relationships/image" Target="../media/image935.png"/><Relationship Id="rId201" Type="http://schemas.openxmlformats.org/officeDocument/2006/relationships/image" Target="../media/image795.png"/><Relationship Id="rId222" Type="http://schemas.openxmlformats.org/officeDocument/2006/relationships/image" Target="../media/image816.png"/><Relationship Id="rId243" Type="http://schemas.openxmlformats.org/officeDocument/2006/relationships/image" Target="../media/image837.png"/><Relationship Id="rId264" Type="http://schemas.openxmlformats.org/officeDocument/2006/relationships/image" Target="../media/image858.png"/><Relationship Id="rId285" Type="http://schemas.openxmlformats.org/officeDocument/2006/relationships/image" Target="../media/image879.png"/><Relationship Id="rId17" Type="http://schemas.openxmlformats.org/officeDocument/2006/relationships/image" Target="../media/image611.png"/><Relationship Id="rId38" Type="http://schemas.openxmlformats.org/officeDocument/2006/relationships/image" Target="../media/image632.png"/><Relationship Id="rId59" Type="http://schemas.openxmlformats.org/officeDocument/2006/relationships/image" Target="../media/image653.png"/><Relationship Id="rId103" Type="http://schemas.openxmlformats.org/officeDocument/2006/relationships/image" Target="../media/image697.png"/><Relationship Id="rId124" Type="http://schemas.openxmlformats.org/officeDocument/2006/relationships/image" Target="../media/image718.png"/><Relationship Id="rId310" Type="http://schemas.openxmlformats.org/officeDocument/2006/relationships/image" Target="../media/image904.png"/><Relationship Id="rId70" Type="http://schemas.openxmlformats.org/officeDocument/2006/relationships/image" Target="../media/image664.png"/><Relationship Id="rId91" Type="http://schemas.openxmlformats.org/officeDocument/2006/relationships/image" Target="../media/image685.png"/><Relationship Id="rId145" Type="http://schemas.openxmlformats.org/officeDocument/2006/relationships/image" Target="../media/image739.png"/><Relationship Id="rId166" Type="http://schemas.openxmlformats.org/officeDocument/2006/relationships/image" Target="../media/image760.png"/><Relationship Id="rId187" Type="http://schemas.openxmlformats.org/officeDocument/2006/relationships/image" Target="../media/image781.png"/><Relationship Id="rId331" Type="http://schemas.openxmlformats.org/officeDocument/2006/relationships/image" Target="../media/image925.png"/><Relationship Id="rId352" Type="http://schemas.openxmlformats.org/officeDocument/2006/relationships/image" Target="../media/image946.png"/><Relationship Id="rId1" Type="http://schemas.openxmlformats.org/officeDocument/2006/relationships/image" Target="../media/image595.png"/><Relationship Id="rId212" Type="http://schemas.openxmlformats.org/officeDocument/2006/relationships/image" Target="../media/image806.png"/><Relationship Id="rId233" Type="http://schemas.openxmlformats.org/officeDocument/2006/relationships/image" Target="../media/image827.png"/><Relationship Id="rId254" Type="http://schemas.openxmlformats.org/officeDocument/2006/relationships/image" Target="../media/image848.png"/><Relationship Id="rId28" Type="http://schemas.openxmlformats.org/officeDocument/2006/relationships/image" Target="../media/image622.png"/><Relationship Id="rId49" Type="http://schemas.openxmlformats.org/officeDocument/2006/relationships/image" Target="../media/image643.png"/><Relationship Id="rId114" Type="http://schemas.openxmlformats.org/officeDocument/2006/relationships/image" Target="../media/image708.png"/><Relationship Id="rId275" Type="http://schemas.openxmlformats.org/officeDocument/2006/relationships/image" Target="../media/image869.png"/><Relationship Id="rId296" Type="http://schemas.openxmlformats.org/officeDocument/2006/relationships/image" Target="../media/image890.png"/><Relationship Id="rId300" Type="http://schemas.openxmlformats.org/officeDocument/2006/relationships/image" Target="../media/image894.png"/><Relationship Id="rId60" Type="http://schemas.openxmlformats.org/officeDocument/2006/relationships/image" Target="../media/image654.png"/><Relationship Id="rId81" Type="http://schemas.openxmlformats.org/officeDocument/2006/relationships/image" Target="../media/image675.png"/><Relationship Id="rId135" Type="http://schemas.openxmlformats.org/officeDocument/2006/relationships/image" Target="../media/image729.png"/><Relationship Id="rId156" Type="http://schemas.openxmlformats.org/officeDocument/2006/relationships/image" Target="../media/image750.png"/><Relationship Id="rId177" Type="http://schemas.openxmlformats.org/officeDocument/2006/relationships/image" Target="../media/image771.png"/><Relationship Id="rId198" Type="http://schemas.openxmlformats.org/officeDocument/2006/relationships/image" Target="../media/image792.png"/><Relationship Id="rId321" Type="http://schemas.openxmlformats.org/officeDocument/2006/relationships/image" Target="../media/image915.png"/><Relationship Id="rId342" Type="http://schemas.openxmlformats.org/officeDocument/2006/relationships/image" Target="../media/image936.png"/><Relationship Id="rId202" Type="http://schemas.openxmlformats.org/officeDocument/2006/relationships/image" Target="../media/image796.png"/><Relationship Id="rId223" Type="http://schemas.openxmlformats.org/officeDocument/2006/relationships/image" Target="../media/image817.png"/><Relationship Id="rId244" Type="http://schemas.openxmlformats.org/officeDocument/2006/relationships/image" Target="../media/image838.png"/><Relationship Id="rId18" Type="http://schemas.openxmlformats.org/officeDocument/2006/relationships/image" Target="../media/image612.png"/><Relationship Id="rId39" Type="http://schemas.openxmlformats.org/officeDocument/2006/relationships/image" Target="../media/image633.png"/><Relationship Id="rId265" Type="http://schemas.openxmlformats.org/officeDocument/2006/relationships/image" Target="../media/image859.png"/><Relationship Id="rId286" Type="http://schemas.openxmlformats.org/officeDocument/2006/relationships/image" Target="../media/image880.png"/><Relationship Id="rId50" Type="http://schemas.openxmlformats.org/officeDocument/2006/relationships/image" Target="../media/image644.png"/><Relationship Id="rId104" Type="http://schemas.openxmlformats.org/officeDocument/2006/relationships/image" Target="../media/image698.png"/><Relationship Id="rId125" Type="http://schemas.openxmlformats.org/officeDocument/2006/relationships/image" Target="../media/image719.png"/><Relationship Id="rId146" Type="http://schemas.openxmlformats.org/officeDocument/2006/relationships/image" Target="../media/image740.png"/><Relationship Id="rId167" Type="http://schemas.openxmlformats.org/officeDocument/2006/relationships/image" Target="../media/image761.png"/><Relationship Id="rId188" Type="http://schemas.openxmlformats.org/officeDocument/2006/relationships/image" Target="../media/image782.png"/><Relationship Id="rId311" Type="http://schemas.openxmlformats.org/officeDocument/2006/relationships/image" Target="../media/image905.png"/><Relationship Id="rId332" Type="http://schemas.openxmlformats.org/officeDocument/2006/relationships/image" Target="../media/image926.png"/><Relationship Id="rId353" Type="http://schemas.openxmlformats.org/officeDocument/2006/relationships/image" Target="../media/image947.png"/><Relationship Id="rId71" Type="http://schemas.openxmlformats.org/officeDocument/2006/relationships/image" Target="../media/image665.png"/><Relationship Id="rId92" Type="http://schemas.openxmlformats.org/officeDocument/2006/relationships/image" Target="../media/image686.png"/><Relationship Id="rId213" Type="http://schemas.openxmlformats.org/officeDocument/2006/relationships/image" Target="../media/image807.png"/><Relationship Id="rId234" Type="http://schemas.openxmlformats.org/officeDocument/2006/relationships/image" Target="../media/image828.png"/><Relationship Id="rId2" Type="http://schemas.openxmlformats.org/officeDocument/2006/relationships/image" Target="../media/image596.png"/><Relationship Id="rId29" Type="http://schemas.openxmlformats.org/officeDocument/2006/relationships/image" Target="../media/image623.png"/><Relationship Id="rId255" Type="http://schemas.openxmlformats.org/officeDocument/2006/relationships/image" Target="../media/image849.png"/><Relationship Id="rId276" Type="http://schemas.openxmlformats.org/officeDocument/2006/relationships/image" Target="../media/image870.png"/><Relationship Id="rId297" Type="http://schemas.openxmlformats.org/officeDocument/2006/relationships/image" Target="../media/image891.png"/><Relationship Id="rId40" Type="http://schemas.openxmlformats.org/officeDocument/2006/relationships/image" Target="../media/image634.png"/><Relationship Id="rId115" Type="http://schemas.openxmlformats.org/officeDocument/2006/relationships/image" Target="../media/image709.png"/><Relationship Id="rId136" Type="http://schemas.openxmlformats.org/officeDocument/2006/relationships/image" Target="../media/image730.png"/><Relationship Id="rId157" Type="http://schemas.openxmlformats.org/officeDocument/2006/relationships/image" Target="../media/image751.png"/><Relationship Id="rId178" Type="http://schemas.openxmlformats.org/officeDocument/2006/relationships/image" Target="../media/image772.png"/><Relationship Id="rId301" Type="http://schemas.openxmlformats.org/officeDocument/2006/relationships/image" Target="../media/image895.png"/><Relationship Id="rId322" Type="http://schemas.openxmlformats.org/officeDocument/2006/relationships/image" Target="../media/image916.png"/><Relationship Id="rId343" Type="http://schemas.openxmlformats.org/officeDocument/2006/relationships/image" Target="../media/image937.png"/><Relationship Id="rId61" Type="http://schemas.openxmlformats.org/officeDocument/2006/relationships/image" Target="../media/image655.png"/><Relationship Id="rId82" Type="http://schemas.openxmlformats.org/officeDocument/2006/relationships/image" Target="../media/image676.png"/><Relationship Id="rId199" Type="http://schemas.openxmlformats.org/officeDocument/2006/relationships/image" Target="../media/image793.png"/><Relationship Id="rId203" Type="http://schemas.openxmlformats.org/officeDocument/2006/relationships/image" Target="../media/image797.png"/><Relationship Id="rId19" Type="http://schemas.openxmlformats.org/officeDocument/2006/relationships/image" Target="../media/image613.png"/><Relationship Id="rId224" Type="http://schemas.openxmlformats.org/officeDocument/2006/relationships/image" Target="../media/image818.png"/><Relationship Id="rId245" Type="http://schemas.openxmlformats.org/officeDocument/2006/relationships/image" Target="../media/image839.png"/><Relationship Id="rId266" Type="http://schemas.openxmlformats.org/officeDocument/2006/relationships/image" Target="../media/image860.png"/><Relationship Id="rId287" Type="http://schemas.openxmlformats.org/officeDocument/2006/relationships/image" Target="../media/image881.png"/><Relationship Id="rId30" Type="http://schemas.openxmlformats.org/officeDocument/2006/relationships/image" Target="../media/image624.png"/><Relationship Id="rId105" Type="http://schemas.openxmlformats.org/officeDocument/2006/relationships/image" Target="../media/image699.png"/><Relationship Id="rId126" Type="http://schemas.openxmlformats.org/officeDocument/2006/relationships/image" Target="../media/image720.png"/><Relationship Id="rId147" Type="http://schemas.openxmlformats.org/officeDocument/2006/relationships/image" Target="../media/image741.png"/><Relationship Id="rId168" Type="http://schemas.openxmlformats.org/officeDocument/2006/relationships/image" Target="../media/image762.png"/><Relationship Id="rId312" Type="http://schemas.openxmlformats.org/officeDocument/2006/relationships/image" Target="../media/image906.png"/><Relationship Id="rId333" Type="http://schemas.openxmlformats.org/officeDocument/2006/relationships/image" Target="../media/image927.png"/><Relationship Id="rId354" Type="http://schemas.openxmlformats.org/officeDocument/2006/relationships/image" Target="../media/image948.png"/><Relationship Id="rId51" Type="http://schemas.openxmlformats.org/officeDocument/2006/relationships/image" Target="../media/image645.png"/><Relationship Id="rId72" Type="http://schemas.openxmlformats.org/officeDocument/2006/relationships/image" Target="../media/image666.png"/><Relationship Id="rId93" Type="http://schemas.openxmlformats.org/officeDocument/2006/relationships/image" Target="../media/image687.png"/><Relationship Id="rId189" Type="http://schemas.openxmlformats.org/officeDocument/2006/relationships/image" Target="../media/image783.png"/><Relationship Id="rId3" Type="http://schemas.openxmlformats.org/officeDocument/2006/relationships/image" Target="../media/image597.png"/><Relationship Id="rId214" Type="http://schemas.openxmlformats.org/officeDocument/2006/relationships/image" Target="../media/image808.png"/><Relationship Id="rId235" Type="http://schemas.openxmlformats.org/officeDocument/2006/relationships/image" Target="../media/image829.png"/><Relationship Id="rId256" Type="http://schemas.openxmlformats.org/officeDocument/2006/relationships/image" Target="../media/image850.png"/><Relationship Id="rId277" Type="http://schemas.openxmlformats.org/officeDocument/2006/relationships/image" Target="../media/image871.png"/><Relationship Id="rId298" Type="http://schemas.openxmlformats.org/officeDocument/2006/relationships/image" Target="../media/image892.png"/><Relationship Id="rId116" Type="http://schemas.openxmlformats.org/officeDocument/2006/relationships/image" Target="../media/image710.png"/><Relationship Id="rId137" Type="http://schemas.openxmlformats.org/officeDocument/2006/relationships/image" Target="../media/image731.png"/><Relationship Id="rId158" Type="http://schemas.openxmlformats.org/officeDocument/2006/relationships/image" Target="../media/image752.png"/><Relationship Id="rId302" Type="http://schemas.openxmlformats.org/officeDocument/2006/relationships/image" Target="../media/image896.png"/><Relationship Id="rId323" Type="http://schemas.openxmlformats.org/officeDocument/2006/relationships/image" Target="../media/image917.png"/><Relationship Id="rId344" Type="http://schemas.openxmlformats.org/officeDocument/2006/relationships/image" Target="../media/image938.png"/><Relationship Id="rId20" Type="http://schemas.openxmlformats.org/officeDocument/2006/relationships/image" Target="../media/image614.png"/><Relationship Id="rId41" Type="http://schemas.openxmlformats.org/officeDocument/2006/relationships/image" Target="../media/image635.png"/><Relationship Id="rId62" Type="http://schemas.openxmlformats.org/officeDocument/2006/relationships/image" Target="../media/image656.png"/><Relationship Id="rId83" Type="http://schemas.openxmlformats.org/officeDocument/2006/relationships/image" Target="../media/image677.png"/><Relationship Id="rId179" Type="http://schemas.openxmlformats.org/officeDocument/2006/relationships/image" Target="../media/image773.png"/><Relationship Id="rId190" Type="http://schemas.openxmlformats.org/officeDocument/2006/relationships/image" Target="../media/image784.png"/><Relationship Id="rId204" Type="http://schemas.openxmlformats.org/officeDocument/2006/relationships/image" Target="../media/image798.png"/><Relationship Id="rId225" Type="http://schemas.openxmlformats.org/officeDocument/2006/relationships/image" Target="../media/image819.png"/><Relationship Id="rId246" Type="http://schemas.openxmlformats.org/officeDocument/2006/relationships/image" Target="../media/image840.png"/><Relationship Id="rId267" Type="http://schemas.openxmlformats.org/officeDocument/2006/relationships/image" Target="../media/image861.png"/><Relationship Id="rId288" Type="http://schemas.openxmlformats.org/officeDocument/2006/relationships/image" Target="../media/image882.png"/><Relationship Id="rId106" Type="http://schemas.openxmlformats.org/officeDocument/2006/relationships/image" Target="../media/image700.png"/><Relationship Id="rId127" Type="http://schemas.openxmlformats.org/officeDocument/2006/relationships/image" Target="../media/image721.png"/><Relationship Id="rId313" Type="http://schemas.openxmlformats.org/officeDocument/2006/relationships/image" Target="../media/image907.png"/><Relationship Id="rId10" Type="http://schemas.openxmlformats.org/officeDocument/2006/relationships/image" Target="../media/image604.png"/><Relationship Id="rId31" Type="http://schemas.openxmlformats.org/officeDocument/2006/relationships/image" Target="../media/image625.png"/><Relationship Id="rId52" Type="http://schemas.openxmlformats.org/officeDocument/2006/relationships/image" Target="../media/image646.png"/><Relationship Id="rId73" Type="http://schemas.openxmlformats.org/officeDocument/2006/relationships/image" Target="../media/image667.png"/><Relationship Id="rId94" Type="http://schemas.openxmlformats.org/officeDocument/2006/relationships/image" Target="../media/image688.png"/><Relationship Id="rId148" Type="http://schemas.openxmlformats.org/officeDocument/2006/relationships/image" Target="../media/image742.png"/><Relationship Id="rId169" Type="http://schemas.openxmlformats.org/officeDocument/2006/relationships/image" Target="../media/image763.png"/><Relationship Id="rId334" Type="http://schemas.openxmlformats.org/officeDocument/2006/relationships/image" Target="../media/image928.png"/><Relationship Id="rId4" Type="http://schemas.openxmlformats.org/officeDocument/2006/relationships/image" Target="../media/image598.png"/><Relationship Id="rId180" Type="http://schemas.openxmlformats.org/officeDocument/2006/relationships/image" Target="../media/image774.png"/><Relationship Id="rId215" Type="http://schemas.openxmlformats.org/officeDocument/2006/relationships/image" Target="../media/image809.png"/><Relationship Id="rId236" Type="http://schemas.openxmlformats.org/officeDocument/2006/relationships/image" Target="../media/image830.png"/><Relationship Id="rId257" Type="http://schemas.openxmlformats.org/officeDocument/2006/relationships/image" Target="../media/image851.png"/><Relationship Id="rId278" Type="http://schemas.openxmlformats.org/officeDocument/2006/relationships/image" Target="../media/image872.png"/><Relationship Id="rId303" Type="http://schemas.openxmlformats.org/officeDocument/2006/relationships/image" Target="../media/image897.png"/><Relationship Id="rId42" Type="http://schemas.openxmlformats.org/officeDocument/2006/relationships/image" Target="../media/image636.png"/><Relationship Id="rId84" Type="http://schemas.openxmlformats.org/officeDocument/2006/relationships/image" Target="../media/image678.png"/><Relationship Id="rId138" Type="http://schemas.openxmlformats.org/officeDocument/2006/relationships/image" Target="../media/image732.png"/><Relationship Id="rId345" Type="http://schemas.openxmlformats.org/officeDocument/2006/relationships/image" Target="../media/image939.png"/><Relationship Id="rId191" Type="http://schemas.openxmlformats.org/officeDocument/2006/relationships/image" Target="../media/image785.png"/><Relationship Id="rId205" Type="http://schemas.openxmlformats.org/officeDocument/2006/relationships/image" Target="../media/image799.png"/><Relationship Id="rId247" Type="http://schemas.openxmlformats.org/officeDocument/2006/relationships/image" Target="../media/image841.png"/><Relationship Id="rId107" Type="http://schemas.openxmlformats.org/officeDocument/2006/relationships/image" Target="../media/image701.png"/><Relationship Id="rId289" Type="http://schemas.openxmlformats.org/officeDocument/2006/relationships/image" Target="../media/image883.png"/><Relationship Id="rId11" Type="http://schemas.openxmlformats.org/officeDocument/2006/relationships/image" Target="../media/image605.png"/><Relationship Id="rId53" Type="http://schemas.openxmlformats.org/officeDocument/2006/relationships/image" Target="../media/image647.png"/><Relationship Id="rId149" Type="http://schemas.openxmlformats.org/officeDocument/2006/relationships/image" Target="../media/image743.png"/><Relationship Id="rId314" Type="http://schemas.openxmlformats.org/officeDocument/2006/relationships/image" Target="../media/image908.png"/><Relationship Id="rId95" Type="http://schemas.openxmlformats.org/officeDocument/2006/relationships/image" Target="../media/image689.png"/><Relationship Id="rId160" Type="http://schemas.openxmlformats.org/officeDocument/2006/relationships/image" Target="../media/image754.png"/><Relationship Id="rId216" Type="http://schemas.openxmlformats.org/officeDocument/2006/relationships/image" Target="../media/image810.png"/><Relationship Id="rId258" Type="http://schemas.openxmlformats.org/officeDocument/2006/relationships/image" Target="../media/image852.png"/><Relationship Id="rId22" Type="http://schemas.openxmlformats.org/officeDocument/2006/relationships/image" Target="../media/image616.png"/><Relationship Id="rId64" Type="http://schemas.openxmlformats.org/officeDocument/2006/relationships/image" Target="../media/image658.png"/><Relationship Id="rId118" Type="http://schemas.openxmlformats.org/officeDocument/2006/relationships/image" Target="../media/image712.png"/><Relationship Id="rId325" Type="http://schemas.openxmlformats.org/officeDocument/2006/relationships/image" Target="../media/image919.png"/><Relationship Id="rId171" Type="http://schemas.openxmlformats.org/officeDocument/2006/relationships/image" Target="../media/image765.png"/><Relationship Id="rId227" Type="http://schemas.openxmlformats.org/officeDocument/2006/relationships/image" Target="../media/image821.png"/><Relationship Id="rId269" Type="http://schemas.openxmlformats.org/officeDocument/2006/relationships/image" Target="../media/image863.png"/><Relationship Id="rId33" Type="http://schemas.openxmlformats.org/officeDocument/2006/relationships/image" Target="../media/image627.png"/><Relationship Id="rId129" Type="http://schemas.openxmlformats.org/officeDocument/2006/relationships/image" Target="../media/image723.png"/><Relationship Id="rId280" Type="http://schemas.openxmlformats.org/officeDocument/2006/relationships/image" Target="../media/image874.png"/><Relationship Id="rId336" Type="http://schemas.openxmlformats.org/officeDocument/2006/relationships/image" Target="../media/image930.png"/><Relationship Id="rId75" Type="http://schemas.openxmlformats.org/officeDocument/2006/relationships/image" Target="../media/image669.png"/><Relationship Id="rId140" Type="http://schemas.openxmlformats.org/officeDocument/2006/relationships/image" Target="../media/image734.png"/><Relationship Id="rId182" Type="http://schemas.openxmlformats.org/officeDocument/2006/relationships/image" Target="../media/image776.png"/><Relationship Id="rId6" Type="http://schemas.openxmlformats.org/officeDocument/2006/relationships/image" Target="../media/image600.png"/><Relationship Id="rId238" Type="http://schemas.openxmlformats.org/officeDocument/2006/relationships/image" Target="../media/image832.png"/><Relationship Id="rId291" Type="http://schemas.openxmlformats.org/officeDocument/2006/relationships/image" Target="../media/image885.png"/><Relationship Id="rId305" Type="http://schemas.openxmlformats.org/officeDocument/2006/relationships/image" Target="../media/image899.png"/><Relationship Id="rId347" Type="http://schemas.openxmlformats.org/officeDocument/2006/relationships/image" Target="../media/image941.png"/><Relationship Id="rId44" Type="http://schemas.openxmlformats.org/officeDocument/2006/relationships/image" Target="../media/image638.png"/><Relationship Id="rId86" Type="http://schemas.openxmlformats.org/officeDocument/2006/relationships/image" Target="../media/image680.png"/><Relationship Id="rId151" Type="http://schemas.openxmlformats.org/officeDocument/2006/relationships/image" Target="../media/image745.png"/><Relationship Id="rId193" Type="http://schemas.openxmlformats.org/officeDocument/2006/relationships/image" Target="../media/image787.png"/><Relationship Id="rId207" Type="http://schemas.openxmlformats.org/officeDocument/2006/relationships/image" Target="../media/image801.png"/><Relationship Id="rId249" Type="http://schemas.openxmlformats.org/officeDocument/2006/relationships/image" Target="../media/image843.png"/><Relationship Id="rId13" Type="http://schemas.openxmlformats.org/officeDocument/2006/relationships/image" Target="../media/image607.png"/><Relationship Id="rId109" Type="http://schemas.openxmlformats.org/officeDocument/2006/relationships/image" Target="../media/image703.png"/><Relationship Id="rId260" Type="http://schemas.openxmlformats.org/officeDocument/2006/relationships/image" Target="../media/image854.png"/><Relationship Id="rId316" Type="http://schemas.openxmlformats.org/officeDocument/2006/relationships/image" Target="../media/image910.png"/><Relationship Id="rId55" Type="http://schemas.openxmlformats.org/officeDocument/2006/relationships/image" Target="../media/image649.png"/><Relationship Id="rId97" Type="http://schemas.openxmlformats.org/officeDocument/2006/relationships/image" Target="../media/image691.png"/><Relationship Id="rId120" Type="http://schemas.openxmlformats.org/officeDocument/2006/relationships/image" Target="../media/image714.png"/><Relationship Id="rId162" Type="http://schemas.openxmlformats.org/officeDocument/2006/relationships/image" Target="../media/image756.png"/><Relationship Id="rId218" Type="http://schemas.openxmlformats.org/officeDocument/2006/relationships/image" Target="../media/image812.png"/><Relationship Id="rId271" Type="http://schemas.openxmlformats.org/officeDocument/2006/relationships/image" Target="../media/image865.png"/><Relationship Id="rId24" Type="http://schemas.openxmlformats.org/officeDocument/2006/relationships/image" Target="../media/image618.png"/><Relationship Id="rId66" Type="http://schemas.openxmlformats.org/officeDocument/2006/relationships/image" Target="../media/image660.png"/><Relationship Id="rId131" Type="http://schemas.openxmlformats.org/officeDocument/2006/relationships/image" Target="../media/image725.png"/><Relationship Id="rId327" Type="http://schemas.openxmlformats.org/officeDocument/2006/relationships/image" Target="../media/image921.png"/><Relationship Id="rId173" Type="http://schemas.openxmlformats.org/officeDocument/2006/relationships/image" Target="../media/image767.png"/><Relationship Id="rId229" Type="http://schemas.openxmlformats.org/officeDocument/2006/relationships/image" Target="../media/image823.png"/><Relationship Id="rId240" Type="http://schemas.openxmlformats.org/officeDocument/2006/relationships/image" Target="../media/image834.png"/><Relationship Id="rId35" Type="http://schemas.openxmlformats.org/officeDocument/2006/relationships/image" Target="../media/image629.png"/><Relationship Id="rId77" Type="http://schemas.openxmlformats.org/officeDocument/2006/relationships/image" Target="../media/image671.png"/><Relationship Id="rId100" Type="http://schemas.openxmlformats.org/officeDocument/2006/relationships/image" Target="../media/image694.png"/><Relationship Id="rId282" Type="http://schemas.openxmlformats.org/officeDocument/2006/relationships/image" Target="../media/image876.png"/><Relationship Id="rId338" Type="http://schemas.openxmlformats.org/officeDocument/2006/relationships/image" Target="../media/image932.png"/><Relationship Id="rId8" Type="http://schemas.openxmlformats.org/officeDocument/2006/relationships/image" Target="../media/image602.png"/><Relationship Id="rId142" Type="http://schemas.openxmlformats.org/officeDocument/2006/relationships/image" Target="../media/image736.png"/><Relationship Id="rId184" Type="http://schemas.openxmlformats.org/officeDocument/2006/relationships/image" Target="../media/image778.png"/></Relationships>
</file>

<file path=xl/drawings/_rels/drawing4.xml.rels><?xml version="1.0" encoding="UTF-8" standalone="yes"?>
<Relationships xmlns="http://schemas.openxmlformats.org/package/2006/relationships"><Relationship Id="rId8" Type="http://schemas.openxmlformats.org/officeDocument/2006/relationships/image" Target="../media/image951.png"/><Relationship Id="rId13" Type="http://schemas.openxmlformats.org/officeDocument/2006/relationships/image" Target="../media/image183.png"/><Relationship Id="rId18" Type="http://schemas.openxmlformats.org/officeDocument/2006/relationships/image" Target="../media/image276.png"/><Relationship Id="rId26" Type="http://schemas.openxmlformats.org/officeDocument/2006/relationships/image" Target="../media/image163.png"/><Relationship Id="rId3" Type="http://schemas.openxmlformats.org/officeDocument/2006/relationships/image" Target="../media/image19.png"/><Relationship Id="rId21" Type="http://schemas.openxmlformats.org/officeDocument/2006/relationships/image" Target="../media/image12.png"/><Relationship Id="rId7" Type="http://schemas.openxmlformats.org/officeDocument/2006/relationships/image" Target="../media/image950.png"/><Relationship Id="rId12" Type="http://schemas.openxmlformats.org/officeDocument/2006/relationships/image" Target="../media/image176.png"/><Relationship Id="rId17" Type="http://schemas.openxmlformats.org/officeDocument/2006/relationships/image" Target="../media/image69.png"/><Relationship Id="rId25" Type="http://schemas.openxmlformats.org/officeDocument/2006/relationships/image" Target="../media/image188.png"/><Relationship Id="rId2" Type="http://schemas.openxmlformats.org/officeDocument/2006/relationships/image" Target="../media/image17.png"/><Relationship Id="rId16" Type="http://schemas.openxmlformats.org/officeDocument/2006/relationships/image" Target="../media/image952.png"/><Relationship Id="rId20" Type="http://schemas.openxmlformats.org/officeDocument/2006/relationships/image" Target="../media/image363.png"/><Relationship Id="rId1" Type="http://schemas.openxmlformats.org/officeDocument/2006/relationships/image" Target="../media/image4.png"/><Relationship Id="rId6" Type="http://schemas.openxmlformats.org/officeDocument/2006/relationships/image" Target="../media/image16.png"/><Relationship Id="rId11" Type="http://schemas.openxmlformats.org/officeDocument/2006/relationships/image" Target="../media/image153.png"/><Relationship Id="rId24" Type="http://schemas.openxmlformats.org/officeDocument/2006/relationships/image" Target="../media/image187.png"/><Relationship Id="rId5" Type="http://schemas.openxmlformats.org/officeDocument/2006/relationships/image" Target="../media/image949.png"/><Relationship Id="rId15" Type="http://schemas.openxmlformats.org/officeDocument/2006/relationships/image" Target="../media/image152.png"/><Relationship Id="rId23" Type="http://schemas.openxmlformats.org/officeDocument/2006/relationships/image" Target="../media/image186.png"/><Relationship Id="rId28" Type="http://schemas.openxmlformats.org/officeDocument/2006/relationships/image" Target="../media/image955.png"/><Relationship Id="rId10" Type="http://schemas.openxmlformats.org/officeDocument/2006/relationships/image" Target="../media/image303.png"/><Relationship Id="rId19" Type="http://schemas.openxmlformats.org/officeDocument/2006/relationships/image" Target="../media/image122.png"/><Relationship Id="rId4" Type="http://schemas.openxmlformats.org/officeDocument/2006/relationships/image" Target="../media/image58.png"/><Relationship Id="rId9" Type="http://schemas.openxmlformats.org/officeDocument/2006/relationships/image" Target="../media/image129.png"/><Relationship Id="rId14" Type="http://schemas.openxmlformats.org/officeDocument/2006/relationships/image" Target="../media/image172.png"/><Relationship Id="rId22" Type="http://schemas.openxmlformats.org/officeDocument/2006/relationships/image" Target="../media/image953.png"/><Relationship Id="rId27" Type="http://schemas.openxmlformats.org/officeDocument/2006/relationships/image" Target="../media/image95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58.png"/><Relationship Id="rId2" Type="http://schemas.openxmlformats.org/officeDocument/2006/relationships/image" Target="../media/image957.png"/><Relationship Id="rId1" Type="http://schemas.openxmlformats.org/officeDocument/2006/relationships/image" Target="../media/image956.png"/><Relationship Id="rId5" Type="http://schemas.openxmlformats.org/officeDocument/2006/relationships/image" Target="../media/image960.png"/><Relationship Id="rId4" Type="http://schemas.openxmlformats.org/officeDocument/2006/relationships/image" Target="../media/image959.png"/></Relationships>
</file>

<file path=xl/drawings/_rels/drawing6.xml.rels><?xml version="1.0" encoding="UTF-8" standalone="yes"?>
<Relationships xmlns="http://schemas.openxmlformats.org/package/2006/relationships"><Relationship Id="rId1" Type="http://schemas.openxmlformats.org/officeDocument/2006/relationships/image" Target="../media/image961.jpg"/></Relationships>
</file>

<file path=xl/drawings/drawing1.xml><?xml version="1.0" encoding="utf-8"?>
<xdr:wsDr xmlns:xdr="http://schemas.openxmlformats.org/drawingml/2006/spreadsheetDrawing" xmlns:a="http://schemas.openxmlformats.org/drawingml/2006/main">
  <xdr:oneCellAnchor>
    <xdr:from>
      <xdr:col>3</xdr:col>
      <xdr:colOff>0</xdr:colOff>
      <xdr:row>3</xdr:row>
      <xdr:rowOff>0</xdr:rowOff>
    </xdr:from>
    <xdr:ext cx="476250" cy="476250"/>
    <xdr:pic>
      <xdr:nvPicPr>
        <xdr:cNvPr id="2" name="image7.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3</xdr:row>
      <xdr:rowOff>0</xdr:rowOff>
    </xdr:from>
    <xdr:ext cx="476250" cy="476250"/>
    <xdr:pic>
      <xdr:nvPicPr>
        <xdr:cNvPr id="3" name="image11.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0</xdr:colOff>
      <xdr:row>3</xdr:row>
      <xdr:rowOff>0</xdr:rowOff>
    </xdr:from>
    <xdr:ext cx="476250" cy="476250"/>
    <xdr:pic>
      <xdr:nvPicPr>
        <xdr:cNvPr id="4" name="image10.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3</xdr:row>
      <xdr:rowOff>0</xdr:rowOff>
    </xdr:from>
    <xdr:ext cx="476250" cy="476250"/>
    <xdr:pic>
      <xdr:nvPicPr>
        <xdr:cNvPr id="5" name="image14.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3</xdr:row>
      <xdr:rowOff>0</xdr:rowOff>
    </xdr:from>
    <xdr:ext cx="476250" cy="476250"/>
    <xdr:pic>
      <xdr:nvPicPr>
        <xdr:cNvPr id="6" name="image14.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3</xdr:row>
      <xdr:rowOff>0</xdr:rowOff>
    </xdr:from>
    <xdr:ext cx="476250" cy="476250"/>
    <xdr:pic>
      <xdr:nvPicPr>
        <xdr:cNvPr id="7" name="image10.png" title="Imag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xdr:row>
      <xdr:rowOff>0</xdr:rowOff>
    </xdr:from>
    <xdr:ext cx="476250" cy="476250"/>
    <xdr:pic>
      <xdr:nvPicPr>
        <xdr:cNvPr id="8" name="image14.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4</xdr:row>
      <xdr:rowOff>0</xdr:rowOff>
    </xdr:from>
    <xdr:ext cx="476250" cy="476250"/>
    <xdr:pic>
      <xdr:nvPicPr>
        <xdr:cNvPr id="9" name="image9.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4</xdr:row>
      <xdr:rowOff>0</xdr:rowOff>
    </xdr:from>
    <xdr:ext cx="476250" cy="476250"/>
    <xdr:pic>
      <xdr:nvPicPr>
        <xdr:cNvPr id="10" name="image13.pn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0</xdr:colOff>
      <xdr:row>4</xdr:row>
      <xdr:rowOff>0</xdr:rowOff>
    </xdr:from>
    <xdr:ext cx="447675" cy="476250"/>
    <xdr:pic>
      <xdr:nvPicPr>
        <xdr:cNvPr id="11" name="image5.pn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4</xdr:row>
      <xdr:rowOff>0</xdr:rowOff>
    </xdr:from>
    <xdr:ext cx="476250" cy="476250"/>
    <xdr:pic>
      <xdr:nvPicPr>
        <xdr:cNvPr id="12" name="image14.pn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4</xdr:row>
      <xdr:rowOff>0</xdr:rowOff>
    </xdr:from>
    <xdr:ext cx="476250" cy="476250"/>
    <xdr:pic>
      <xdr:nvPicPr>
        <xdr:cNvPr id="13" name="image14.pn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4</xdr:row>
      <xdr:rowOff>0</xdr:rowOff>
    </xdr:from>
    <xdr:ext cx="476250" cy="476250"/>
    <xdr:pic>
      <xdr:nvPicPr>
        <xdr:cNvPr id="14" name="image14.pn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4</xdr:row>
      <xdr:rowOff>0</xdr:rowOff>
    </xdr:from>
    <xdr:ext cx="476250" cy="476250"/>
    <xdr:pic>
      <xdr:nvPicPr>
        <xdr:cNvPr id="15" name="image14.pn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5</xdr:row>
      <xdr:rowOff>0</xdr:rowOff>
    </xdr:from>
    <xdr:ext cx="476250" cy="476250"/>
    <xdr:pic>
      <xdr:nvPicPr>
        <xdr:cNvPr id="16" name="image2.pn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0</xdr:colOff>
      <xdr:row>5</xdr:row>
      <xdr:rowOff>0</xdr:rowOff>
    </xdr:from>
    <xdr:ext cx="476250" cy="476250"/>
    <xdr:pic>
      <xdr:nvPicPr>
        <xdr:cNvPr id="17" name="image12.pn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0</xdr:colOff>
      <xdr:row>5</xdr:row>
      <xdr:rowOff>0</xdr:rowOff>
    </xdr:from>
    <xdr:ext cx="476250" cy="476250"/>
    <xdr:pic>
      <xdr:nvPicPr>
        <xdr:cNvPr id="18" name="image4.pn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9</xdr:col>
      <xdr:colOff>0</xdr:colOff>
      <xdr:row>5</xdr:row>
      <xdr:rowOff>0</xdr:rowOff>
    </xdr:from>
    <xdr:ext cx="476250" cy="476250"/>
    <xdr:pic>
      <xdr:nvPicPr>
        <xdr:cNvPr id="19" name="image8.pn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10</xdr:col>
      <xdr:colOff>0</xdr:colOff>
      <xdr:row>5</xdr:row>
      <xdr:rowOff>0</xdr:rowOff>
    </xdr:from>
    <xdr:ext cx="476250" cy="476250"/>
    <xdr:pic>
      <xdr:nvPicPr>
        <xdr:cNvPr id="20" name="image8.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0</xdr:colOff>
      <xdr:row>5</xdr:row>
      <xdr:rowOff>0</xdr:rowOff>
    </xdr:from>
    <xdr:ext cx="476250" cy="476250"/>
    <xdr:pic>
      <xdr:nvPicPr>
        <xdr:cNvPr id="21" name="image20.png">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0</xdr:colOff>
      <xdr:row>5</xdr:row>
      <xdr:rowOff>0</xdr:rowOff>
    </xdr:from>
    <xdr:ext cx="476250" cy="476250"/>
    <xdr:pic>
      <xdr:nvPicPr>
        <xdr:cNvPr id="22" name="image14.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6</xdr:row>
      <xdr:rowOff>0</xdr:rowOff>
    </xdr:from>
    <xdr:ext cx="476250" cy="476250"/>
    <xdr:pic>
      <xdr:nvPicPr>
        <xdr:cNvPr id="23" name="image6.pn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0</xdr:colOff>
      <xdr:row>6</xdr:row>
      <xdr:rowOff>0</xdr:rowOff>
    </xdr:from>
    <xdr:ext cx="476250" cy="476250"/>
    <xdr:pic>
      <xdr:nvPicPr>
        <xdr:cNvPr id="24" name="image1.png">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xdr:col>
      <xdr:colOff>0</xdr:colOff>
      <xdr:row>6</xdr:row>
      <xdr:rowOff>0</xdr:rowOff>
    </xdr:from>
    <xdr:ext cx="476250" cy="476250"/>
    <xdr:pic>
      <xdr:nvPicPr>
        <xdr:cNvPr id="25" name="image3.png">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9</xdr:col>
      <xdr:colOff>0</xdr:colOff>
      <xdr:row>6</xdr:row>
      <xdr:rowOff>0</xdr:rowOff>
    </xdr:from>
    <xdr:ext cx="476250" cy="476250"/>
    <xdr:pic>
      <xdr:nvPicPr>
        <xdr:cNvPr id="26" name="image23.png">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10</xdr:col>
      <xdr:colOff>0</xdr:colOff>
      <xdr:row>6</xdr:row>
      <xdr:rowOff>0</xdr:rowOff>
    </xdr:from>
    <xdr:ext cx="476250" cy="476250"/>
    <xdr:pic>
      <xdr:nvPicPr>
        <xdr:cNvPr id="27" name="image23.pn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11</xdr:col>
      <xdr:colOff>0</xdr:colOff>
      <xdr:row>6</xdr:row>
      <xdr:rowOff>0</xdr:rowOff>
    </xdr:from>
    <xdr:ext cx="476250" cy="476250"/>
    <xdr:pic>
      <xdr:nvPicPr>
        <xdr:cNvPr id="28" name="image10.png" title="Image">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6</xdr:row>
      <xdr:rowOff>0</xdr:rowOff>
    </xdr:from>
    <xdr:ext cx="457200" cy="476250"/>
    <xdr:pic>
      <xdr:nvPicPr>
        <xdr:cNvPr id="29" name="image16.pn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7</xdr:row>
      <xdr:rowOff>0</xdr:rowOff>
    </xdr:from>
    <xdr:ext cx="476250" cy="476250"/>
    <xdr:pic>
      <xdr:nvPicPr>
        <xdr:cNvPr id="30" name="image15.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7</xdr:col>
      <xdr:colOff>0</xdr:colOff>
      <xdr:row>7</xdr:row>
      <xdr:rowOff>0</xdr:rowOff>
    </xdr:from>
    <xdr:ext cx="476250" cy="476250"/>
    <xdr:pic>
      <xdr:nvPicPr>
        <xdr:cNvPr id="31" name="image10.png" title="Image">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0</xdr:colOff>
      <xdr:row>7</xdr:row>
      <xdr:rowOff>0</xdr:rowOff>
    </xdr:from>
    <xdr:ext cx="476250" cy="476250"/>
    <xdr:pic>
      <xdr:nvPicPr>
        <xdr:cNvPr id="32" name="image10.png" title="Image">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7</xdr:row>
      <xdr:rowOff>0</xdr:rowOff>
    </xdr:from>
    <xdr:ext cx="457200" cy="476250"/>
    <xdr:pic>
      <xdr:nvPicPr>
        <xdr:cNvPr id="33" name="image16.pn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10</xdr:col>
      <xdr:colOff>0</xdr:colOff>
      <xdr:row>7</xdr:row>
      <xdr:rowOff>0</xdr:rowOff>
    </xdr:from>
    <xdr:ext cx="457200" cy="476250"/>
    <xdr:pic>
      <xdr:nvPicPr>
        <xdr:cNvPr id="34" name="image16.png">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11</xdr:col>
      <xdr:colOff>0</xdr:colOff>
      <xdr:row>7</xdr:row>
      <xdr:rowOff>0</xdr:rowOff>
    </xdr:from>
    <xdr:ext cx="476250" cy="476250"/>
    <xdr:pic>
      <xdr:nvPicPr>
        <xdr:cNvPr id="35" name="image27.png">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0</xdr:colOff>
      <xdr:row>7</xdr:row>
      <xdr:rowOff>0</xdr:rowOff>
    </xdr:from>
    <xdr:ext cx="476250" cy="476250"/>
    <xdr:pic>
      <xdr:nvPicPr>
        <xdr:cNvPr id="36" name="image27.png">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0</xdr:colOff>
      <xdr:row>8</xdr:row>
      <xdr:rowOff>0</xdr:rowOff>
    </xdr:from>
    <xdr:ext cx="476250" cy="476250"/>
    <xdr:pic>
      <xdr:nvPicPr>
        <xdr:cNvPr id="37" name="image29.png">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7</xdr:col>
      <xdr:colOff>0</xdr:colOff>
      <xdr:row>8</xdr:row>
      <xdr:rowOff>0</xdr:rowOff>
    </xdr:from>
    <xdr:ext cx="466725" cy="476250"/>
    <xdr:pic>
      <xdr:nvPicPr>
        <xdr:cNvPr id="38" name="image22.png">
          <a:extLst>
            <a:ext uri="{FF2B5EF4-FFF2-40B4-BE49-F238E27FC236}">
              <a16:creationId xmlns:a16="http://schemas.microsoft.com/office/drawing/2014/main" id="{00000000-0008-0000-0100-00002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0</xdr:colOff>
      <xdr:row>8</xdr:row>
      <xdr:rowOff>0</xdr:rowOff>
    </xdr:from>
    <xdr:ext cx="466725" cy="476250"/>
    <xdr:pic>
      <xdr:nvPicPr>
        <xdr:cNvPr id="39" name="image22.png">
          <a:extLst>
            <a:ext uri="{FF2B5EF4-FFF2-40B4-BE49-F238E27FC236}">
              <a16:creationId xmlns:a16="http://schemas.microsoft.com/office/drawing/2014/main" id="{00000000-0008-0000-0100-000027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9</xdr:col>
      <xdr:colOff>0</xdr:colOff>
      <xdr:row>8</xdr:row>
      <xdr:rowOff>0</xdr:rowOff>
    </xdr:from>
    <xdr:ext cx="476250" cy="476250"/>
    <xdr:pic>
      <xdr:nvPicPr>
        <xdr:cNvPr id="40" name="image17.png">
          <a:extLst>
            <a:ext uri="{FF2B5EF4-FFF2-40B4-BE49-F238E27FC236}">
              <a16:creationId xmlns:a16="http://schemas.microsoft.com/office/drawing/2014/main" id="{00000000-0008-0000-0100-000028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10</xdr:col>
      <xdr:colOff>0</xdr:colOff>
      <xdr:row>8</xdr:row>
      <xdr:rowOff>0</xdr:rowOff>
    </xdr:from>
    <xdr:ext cx="476250" cy="476250"/>
    <xdr:pic>
      <xdr:nvPicPr>
        <xdr:cNvPr id="41" name="image17.png">
          <a:extLst>
            <a:ext uri="{FF2B5EF4-FFF2-40B4-BE49-F238E27FC236}">
              <a16:creationId xmlns:a16="http://schemas.microsoft.com/office/drawing/2014/main" id="{00000000-0008-0000-0100-000029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11</xdr:col>
      <xdr:colOff>0</xdr:colOff>
      <xdr:row>8</xdr:row>
      <xdr:rowOff>0</xdr:rowOff>
    </xdr:from>
    <xdr:ext cx="457200" cy="476250"/>
    <xdr:pic>
      <xdr:nvPicPr>
        <xdr:cNvPr id="42" name="image16.png">
          <a:extLst>
            <a:ext uri="{FF2B5EF4-FFF2-40B4-BE49-F238E27FC236}">
              <a16:creationId xmlns:a16="http://schemas.microsoft.com/office/drawing/2014/main" id="{00000000-0008-0000-0100-00002A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0</xdr:colOff>
      <xdr:row>8</xdr:row>
      <xdr:rowOff>0</xdr:rowOff>
    </xdr:from>
    <xdr:ext cx="457200" cy="476250"/>
    <xdr:pic>
      <xdr:nvPicPr>
        <xdr:cNvPr id="43" name="image16.png">
          <a:extLst>
            <a:ext uri="{FF2B5EF4-FFF2-40B4-BE49-F238E27FC236}">
              <a16:creationId xmlns:a16="http://schemas.microsoft.com/office/drawing/2014/main" id="{00000000-0008-0000-0100-00002B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9</xdr:row>
      <xdr:rowOff>0</xdr:rowOff>
    </xdr:from>
    <xdr:ext cx="476250" cy="476250"/>
    <xdr:pic>
      <xdr:nvPicPr>
        <xdr:cNvPr id="44" name="image18.png">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7</xdr:col>
      <xdr:colOff>0</xdr:colOff>
      <xdr:row>9</xdr:row>
      <xdr:rowOff>0</xdr:rowOff>
    </xdr:from>
    <xdr:ext cx="476250" cy="476250"/>
    <xdr:pic>
      <xdr:nvPicPr>
        <xdr:cNvPr id="45" name="image21.png">
          <a:extLst>
            <a:ext uri="{FF2B5EF4-FFF2-40B4-BE49-F238E27FC236}">
              <a16:creationId xmlns:a16="http://schemas.microsoft.com/office/drawing/2014/main" id="{00000000-0008-0000-0100-00002D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xdr:col>
      <xdr:colOff>0</xdr:colOff>
      <xdr:row>9</xdr:row>
      <xdr:rowOff>0</xdr:rowOff>
    </xdr:from>
    <xdr:ext cx="447675" cy="476250"/>
    <xdr:pic>
      <xdr:nvPicPr>
        <xdr:cNvPr id="46" name="image5.png">
          <a:extLst>
            <a:ext uri="{FF2B5EF4-FFF2-40B4-BE49-F238E27FC236}">
              <a16:creationId xmlns:a16="http://schemas.microsoft.com/office/drawing/2014/main" id="{00000000-0008-0000-0100-00002E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9</xdr:row>
      <xdr:rowOff>0</xdr:rowOff>
    </xdr:from>
    <xdr:ext cx="457200" cy="476250"/>
    <xdr:pic>
      <xdr:nvPicPr>
        <xdr:cNvPr id="47" name="image16.png">
          <a:extLst>
            <a:ext uri="{FF2B5EF4-FFF2-40B4-BE49-F238E27FC236}">
              <a16:creationId xmlns:a16="http://schemas.microsoft.com/office/drawing/2014/main" id="{00000000-0008-0000-0100-00002F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10</xdr:col>
      <xdr:colOff>0</xdr:colOff>
      <xdr:row>9</xdr:row>
      <xdr:rowOff>0</xdr:rowOff>
    </xdr:from>
    <xdr:ext cx="457200" cy="476250"/>
    <xdr:pic>
      <xdr:nvPicPr>
        <xdr:cNvPr id="48" name="image16.png">
          <a:extLst>
            <a:ext uri="{FF2B5EF4-FFF2-40B4-BE49-F238E27FC236}">
              <a16:creationId xmlns:a16="http://schemas.microsoft.com/office/drawing/2014/main" id="{00000000-0008-0000-0100-000030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11</xdr:col>
      <xdr:colOff>0</xdr:colOff>
      <xdr:row>9</xdr:row>
      <xdr:rowOff>0</xdr:rowOff>
    </xdr:from>
    <xdr:ext cx="476250" cy="476250"/>
    <xdr:pic>
      <xdr:nvPicPr>
        <xdr:cNvPr id="49" name="image3.png">
          <a:extLst>
            <a:ext uri="{FF2B5EF4-FFF2-40B4-BE49-F238E27FC236}">
              <a16:creationId xmlns:a16="http://schemas.microsoft.com/office/drawing/2014/main" id="{00000000-0008-0000-0100-00003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0</xdr:colOff>
      <xdr:row>9</xdr:row>
      <xdr:rowOff>0</xdr:rowOff>
    </xdr:from>
    <xdr:ext cx="476250" cy="476250"/>
    <xdr:pic>
      <xdr:nvPicPr>
        <xdr:cNvPr id="50" name="image14.png">
          <a:extLst>
            <a:ext uri="{FF2B5EF4-FFF2-40B4-BE49-F238E27FC236}">
              <a16:creationId xmlns:a16="http://schemas.microsoft.com/office/drawing/2014/main" id="{00000000-0008-0000-0100-000032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10</xdr:row>
      <xdr:rowOff>0</xdr:rowOff>
    </xdr:from>
    <xdr:ext cx="476250" cy="476250"/>
    <xdr:pic>
      <xdr:nvPicPr>
        <xdr:cNvPr id="51" name="image24.png">
          <a:extLst>
            <a:ext uri="{FF2B5EF4-FFF2-40B4-BE49-F238E27FC236}">
              <a16:creationId xmlns:a16="http://schemas.microsoft.com/office/drawing/2014/main" id="{00000000-0008-0000-0100-000033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7</xdr:col>
      <xdr:colOff>0</xdr:colOff>
      <xdr:row>10</xdr:row>
      <xdr:rowOff>0</xdr:rowOff>
    </xdr:from>
    <xdr:ext cx="457200" cy="476250"/>
    <xdr:pic>
      <xdr:nvPicPr>
        <xdr:cNvPr id="52" name="image25.png">
          <a:extLst>
            <a:ext uri="{FF2B5EF4-FFF2-40B4-BE49-F238E27FC236}">
              <a16:creationId xmlns:a16="http://schemas.microsoft.com/office/drawing/2014/main" id="{00000000-0008-0000-0100-000034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xdr:col>
      <xdr:colOff>0</xdr:colOff>
      <xdr:row>10</xdr:row>
      <xdr:rowOff>0</xdr:rowOff>
    </xdr:from>
    <xdr:ext cx="476250" cy="476250"/>
    <xdr:pic>
      <xdr:nvPicPr>
        <xdr:cNvPr id="53" name="image39.png">
          <a:extLst>
            <a:ext uri="{FF2B5EF4-FFF2-40B4-BE49-F238E27FC236}">
              <a16:creationId xmlns:a16="http://schemas.microsoft.com/office/drawing/2014/main" id="{00000000-0008-0000-0100-000035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9</xdr:col>
      <xdr:colOff>0</xdr:colOff>
      <xdr:row>10</xdr:row>
      <xdr:rowOff>0</xdr:rowOff>
    </xdr:from>
    <xdr:ext cx="476250" cy="476250"/>
    <xdr:pic>
      <xdr:nvPicPr>
        <xdr:cNvPr id="54" name="image32.png">
          <a:extLst>
            <a:ext uri="{FF2B5EF4-FFF2-40B4-BE49-F238E27FC236}">
              <a16:creationId xmlns:a16="http://schemas.microsoft.com/office/drawing/2014/main" id="{00000000-0008-0000-0100-000036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10</xdr:col>
      <xdr:colOff>0</xdr:colOff>
      <xdr:row>10</xdr:row>
      <xdr:rowOff>0</xdr:rowOff>
    </xdr:from>
    <xdr:ext cx="476250" cy="476250"/>
    <xdr:pic>
      <xdr:nvPicPr>
        <xdr:cNvPr id="55" name="image30.png">
          <a:extLst>
            <a:ext uri="{FF2B5EF4-FFF2-40B4-BE49-F238E27FC236}">
              <a16:creationId xmlns:a16="http://schemas.microsoft.com/office/drawing/2014/main" id="{00000000-0008-0000-0100-000037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11</xdr:col>
      <xdr:colOff>0</xdr:colOff>
      <xdr:row>10</xdr:row>
      <xdr:rowOff>0</xdr:rowOff>
    </xdr:from>
    <xdr:ext cx="476250" cy="476250"/>
    <xdr:pic>
      <xdr:nvPicPr>
        <xdr:cNvPr id="56" name="image19.png">
          <a:extLst>
            <a:ext uri="{FF2B5EF4-FFF2-40B4-BE49-F238E27FC236}">
              <a16:creationId xmlns:a16="http://schemas.microsoft.com/office/drawing/2014/main" id="{00000000-0008-0000-0100-000038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12</xdr:col>
      <xdr:colOff>0</xdr:colOff>
      <xdr:row>10</xdr:row>
      <xdr:rowOff>0</xdr:rowOff>
    </xdr:from>
    <xdr:ext cx="466725" cy="476250"/>
    <xdr:pic>
      <xdr:nvPicPr>
        <xdr:cNvPr id="57" name="image28.png">
          <a:extLst>
            <a:ext uri="{FF2B5EF4-FFF2-40B4-BE49-F238E27FC236}">
              <a16:creationId xmlns:a16="http://schemas.microsoft.com/office/drawing/2014/main" id="{00000000-0008-0000-0100-000039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3</xdr:col>
      <xdr:colOff>0</xdr:colOff>
      <xdr:row>11</xdr:row>
      <xdr:rowOff>0</xdr:rowOff>
    </xdr:from>
    <xdr:ext cx="476250" cy="476250"/>
    <xdr:pic>
      <xdr:nvPicPr>
        <xdr:cNvPr id="58" name="image34.png">
          <a:extLst>
            <a:ext uri="{FF2B5EF4-FFF2-40B4-BE49-F238E27FC236}">
              <a16:creationId xmlns:a16="http://schemas.microsoft.com/office/drawing/2014/main" id="{00000000-0008-0000-0100-00003A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7</xdr:col>
      <xdr:colOff>0</xdr:colOff>
      <xdr:row>11</xdr:row>
      <xdr:rowOff>0</xdr:rowOff>
    </xdr:from>
    <xdr:ext cx="466725" cy="476250"/>
    <xdr:pic>
      <xdr:nvPicPr>
        <xdr:cNvPr id="59" name="image45.png">
          <a:extLst>
            <a:ext uri="{FF2B5EF4-FFF2-40B4-BE49-F238E27FC236}">
              <a16:creationId xmlns:a16="http://schemas.microsoft.com/office/drawing/2014/main" id="{00000000-0008-0000-0100-00003B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8</xdr:col>
      <xdr:colOff>0</xdr:colOff>
      <xdr:row>11</xdr:row>
      <xdr:rowOff>0</xdr:rowOff>
    </xdr:from>
    <xdr:ext cx="476250" cy="476250"/>
    <xdr:pic>
      <xdr:nvPicPr>
        <xdr:cNvPr id="60" name="image3.png">
          <a:extLst>
            <a:ext uri="{FF2B5EF4-FFF2-40B4-BE49-F238E27FC236}">
              <a16:creationId xmlns:a16="http://schemas.microsoft.com/office/drawing/2014/main" id="{00000000-0008-0000-0100-00003C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9</xdr:col>
      <xdr:colOff>0</xdr:colOff>
      <xdr:row>11</xdr:row>
      <xdr:rowOff>0</xdr:rowOff>
    </xdr:from>
    <xdr:ext cx="457200" cy="476250"/>
    <xdr:pic>
      <xdr:nvPicPr>
        <xdr:cNvPr id="61" name="image16.png">
          <a:extLst>
            <a:ext uri="{FF2B5EF4-FFF2-40B4-BE49-F238E27FC236}">
              <a16:creationId xmlns:a16="http://schemas.microsoft.com/office/drawing/2014/main" id="{00000000-0008-0000-0100-00003D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10</xdr:col>
      <xdr:colOff>0</xdr:colOff>
      <xdr:row>11</xdr:row>
      <xdr:rowOff>0</xdr:rowOff>
    </xdr:from>
    <xdr:ext cx="457200" cy="476250"/>
    <xdr:pic>
      <xdr:nvPicPr>
        <xdr:cNvPr id="62" name="image16.png">
          <a:extLst>
            <a:ext uri="{FF2B5EF4-FFF2-40B4-BE49-F238E27FC236}">
              <a16:creationId xmlns:a16="http://schemas.microsoft.com/office/drawing/2014/main" id="{00000000-0008-0000-0100-00003E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11</xdr:col>
      <xdr:colOff>0</xdr:colOff>
      <xdr:row>11</xdr:row>
      <xdr:rowOff>0</xdr:rowOff>
    </xdr:from>
    <xdr:ext cx="476250" cy="476250"/>
    <xdr:pic>
      <xdr:nvPicPr>
        <xdr:cNvPr id="63" name="image27.png">
          <a:extLst>
            <a:ext uri="{FF2B5EF4-FFF2-40B4-BE49-F238E27FC236}">
              <a16:creationId xmlns:a16="http://schemas.microsoft.com/office/drawing/2014/main" id="{00000000-0008-0000-0100-00003F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0</xdr:colOff>
      <xdr:row>11</xdr:row>
      <xdr:rowOff>0</xdr:rowOff>
    </xdr:from>
    <xdr:ext cx="476250" cy="476250"/>
    <xdr:pic>
      <xdr:nvPicPr>
        <xdr:cNvPr id="64" name="image14.png">
          <a:extLst>
            <a:ext uri="{FF2B5EF4-FFF2-40B4-BE49-F238E27FC236}">
              <a16:creationId xmlns:a16="http://schemas.microsoft.com/office/drawing/2014/main" id="{00000000-0008-0000-0100-000040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12</xdr:row>
      <xdr:rowOff>0</xdr:rowOff>
    </xdr:from>
    <xdr:ext cx="476250" cy="476250"/>
    <xdr:pic>
      <xdr:nvPicPr>
        <xdr:cNvPr id="65" name="image31.png">
          <a:extLst>
            <a:ext uri="{FF2B5EF4-FFF2-40B4-BE49-F238E27FC236}">
              <a16:creationId xmlns:a16="http://schemas.microsoft.com/office/drawing/2014/main" id="{00000000-0008-0000-0100-000041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7</xdr:col>
      <xdr:colOff>0</xdr:colOff>
      <xdr:row>12</xdr:row>
      <xdr:rowOff>0</xdr:rowOff>
    </xdr:from>
    <xdr:ext cx="466725" cy="476250"/>
    <xdr:pic>
      <xdr:nvPicPr>
        <xdr:cNvPr id="66" name="image26.png">
          <a:extLst>
            <a:ext uri="{FF2B5EF4-FFF2-40B4-BE49-F238E27FC236}">
              <a16:creationId xmlns:a16="http://schemas.microsoft.com/office/drawing/2014/main" id="{00000000-0008-0000-0100-000042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8</xdr:col>
      <xdr:colOff>0</xdr:colOff>
      <xdr:row>12</xdr:row>
      <xdr:rowOff>0</xdr:rowOff>
    </xdr:from>
    <xdr:ext cx="457200" cy="476250"/>
    <xdr:pic>
      <xdr:nvPicPr>
        <xdr:cNvPr id="67" name="image25.png">
          <a:extLst>
            <a:ext uri="{FF2B5EF4-FFF2-40B4-BE49-F238E27FC236}">
              <a16:creationId xmlns:a16="http://schemas.microsoft.com/office/drawing/2014/main" id="{00000000-0008-0000-0100-000043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9</xdr:col>
      <xdr:colOff>0</xdr:colOff>
      <xdr:row>12</xdr:row>
      <xdr:rowOff>0</xdr:rowOff>
    </xdr:from>
    <xdr:ext cx="476250" cy="476250"/>
    <xdr:pic>
      <xdr:nvPicPr>
        <xdr:cNvPr id="68" name="image3.png">
          <a:extLst>
            <a:ext uri="{FF2B5EF4-FFF2-40B4-BE49-F238E27FC236}">
              <a16:creationId xmlns:a16="http://schemas.microsoft.com/office/drawing/2014/main" id="{00000000-0008-0000-0100-000044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10</xdr:col>
      <xdr:colOff>0</xdr:colOff>
      <xdr:row>12</xdr:row>
      <xdr:rowOff>0</xdr:rowOff>
    </xdr:from>
    <xdr:ext cx="476250" cy="476250"/>
    <xdr:pic>
      <xdr:nvPicPr>
        <xdr:cNvPr id="69" name="image3.png">
          <a:extLst>
            <a:ext uri="{FF2B5EF4-FFF2-40B4-BE49-F238E27FC236}">
              <a16:creationId xmlns:a16="http://schemas.microsoft.com/office/drawing/2014/main" id="{00000000-0008-0000-0100-000045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11</xdr:col>
      <xdr:colOff>0</xdr:colOff>
      <xdr:row>12</xdr:row>
      <xdr:rowOff>0</xdr:rowOff>
    </xdr:from>
    <xdr:ext cx="476250" cy="476250"/>
    <xdr:pic>
      <xdr:nvPicPr>
        <xdr:cNvPr id="70" name="image14.png">
          <a:extLst>
            <a:ext uri="{FF2B5EF4-FFF2-40B4-BE49-F238E27FC236}">
              <a16:creationId xmlns:a16="http://schemas.microsoft.com/office/drawing/2014/main" id="{00000000-0008-0000-0100-00004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12</xdr:row>
      <xdr:rowOff>0</xdr:rowOff>
    </xdr:from>
    <xdr:ext cx="476250" cy="476250"/>
    <xdr:pic>
      <xdr:nvPicPr>
        <xdr:cNvPr id="71" name="image14.png">
          <a:extLst>
            <a:ext uri="{FF2B5EF4-FFF2-40B4-BE49-F238E27FC236}">
              <a16:creationId xmlns:a16="http://schemas.microsoft.com/office/drawing/2014/main" id="{00000000-0008-0000-0100-00004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13</xdr:row>
      <xdr:rowOff>0</xdr:rowOff>
    </xdr:from>
    <xdr:ext cx="476250" cy="476250"/>
    <xdr:pic>
      <xdr:nvPicPr>
        <xdr:cNvPr id="72" name="image44.png">
          <a:extLst>
            <a:ext uri="{FF2B5EF4-FFF2-40B4-BE49-F238E27FC236}">
              <a16:creationId xmlns:a16="http://schemas.microsoft.com/office/drawing/2014/main" id="{00000000-0008-0000-0100-000048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7</xdr:col>
      <xdr:colOff>0</xdr:colOff>
      <xdr:row>13</xdr:row>
      <xdr:rowOff>0</xdr:rowOff>
    </xdr:from>
    <xdr:ext cx="466725" cy="476250"/>
    <xdr:pic>
      <xdr:nvPicPr>
        <xdr:cNvPr id="73" name="image41.png">
          <a:extLst>
            <a:ext uri="{FF2B5EF4-FFF2-40B4-BE49-F238E27FC236}">
              <a16:creationId xmlns:a16="http://schemas.microsoft.com/office/drawing/2014/main" id="{00000000-0008-0000-0100-000049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8</xdr:col>
      <xdr:colOff>0</xdr:colOff>
      <xdr:row>13</xdr:row>
      <xdr:rowOff>0</xdr:rowOff>
    </xdr:from>
    <xdr:ext cx="457200" cy="476250"/>
    <xdr:pic>
      <xdr:nvPicPr>
        <xdr:cNvPr id="74" name="image55.png">
          <a:extLst>
            <a:ext uri="{FF2B5EF4-FFF2-40B4-BE49-F238E27FC236}">
              <a16:creationId xmlns:a16="http://schemas.microsoft.com/office/drawing/2014/main" id="{00000000-0008-0000-0100-00004A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9</xdr:col>
      <xdr:colOff>0</xdr:colOff>
      <xdr:row>13</xdr:row>
      <xdr:rowOff>0</xdr:rowOff>
    </xdr:from>
    <xdr:ext cx="476250" cy="476250"/>
    <xdr:pic>
      <xdr:nvPicPr>
        <xdr:cNvPr id="75" name="image33.png">
          <a:extLst>
            <a:ext uri="{FF2B5EF4-FFF2-40B4-BE49-F238E27FC236}">
              <a16:creationId xmlns:a16="http://schemas.microsoft.com/office/drawing/2014/main" id="{00000000-0008-0000-0100-00004B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10</xdr:col>
      <xdr:colOff>0</xdr:colOff>
      <xdr:row>13</xdr:row>
      <xdr:rowOff>0</xdr:rowOff>
    </xdr:from>
    <xdr:ext cx="476250" cy="476250"/>
    <xdr:pic>
      <xdr:nvPicPr>
        <xdr:cNvPr id="76" name="image33.png">
          <a:extLst>
            <a:ext uri="{FF2B5EF4-FFF2-40B4-BE49-F238E27FC236}">
              <a16:creationId xmlns:a16="http://schemas.microsoft.com/office/drawing/2014/main" id="{00000000-0008-0000-0100-00004C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11</xdr:col>
      <xdr:colOff>0</xdr:colOff>
      <xdr:row>13</xdr:row>
      <xdr:rowOff>0</xdr:rowOff>
    </xdr:from>
    <xdr:ext cx="476250" cy="476250"/>
    <xdr:pic>
      <xdr:nvPicPr>
        <xdr:cNvPr id="77" name="image27.png">
          <a:extLst>
            <a:ext uri="{FF2B5EF4-FFF2-40B4-BE49-F238E27FC236}">
              <a16:creationId xmlns:a16="http://schemas.microsoft.com/office/drawing/2014/main" id="{00000000-0008-0000-0100-00004D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0</xdr:colOff>
      <xdr:row>13</xdr:row>
      <xdr:rowOff>0</xdr:rowOff>
    </xdr:from>
    <xdr:ext cx="476250" cy="476250"/>
    <xdr:pic>
      <xdr:nvPicPr>
        <xdr:cNvPr id="78" name="image27.png">
          <a:extLst>
            <a:ext uri="{FF2B5EF4-FFF2-40B4-BE49-F238E27FC236}">
              <a16:creationId xmlns:a16="http://schemas.microsoft.com/office/drawing/2014/main" id="{00000000-0008-0000-0100-00004E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0</xdr:colOff>
      <xdr:row>14</xdr:row>
      <xdr:rowOff>0</xdr:rowOff>
    </xdr:from>
    <xdr:ext cx="476250" cy="476250"/>
    <xdr:pic>
      <xdr:nvPicPr>
        <xdr:cNvPr id="79" name="image40.png">
          <a:extLst>
            <a:ext uri="{FF2B5EF4-FFF2-40B4-BE49-F238E27FC236}">
              <a16:creationId xmlns:a16="http://schemas.microsoft.com/office/drawing/2014/main" id="{00000000-0008-0000-0100-00004F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7</xdr:col>
      <xdr:colOff>0</xdr:colOff>
      <xdr:row>14</xdr:row>
      <xdr:rowOff>0</xdr:rowOff>
    </xdr:from>
    <xdr:ext cx="476250" cy="476250"/>
    <xdr:pic>
      <xdr:nvPicPr>
        <xdr:cNvPr id="80" name="image35.png">
          <a:extLst>
            <a:ext uri="{FF2B5EF4-FFF2-40B4-BE49-F238E27FC236}">
              <a16:creationId xmlns:a16="http://schemas.microsoft.com/office/drawing/2014/main" id="{00000000-0008-0000-0100-000050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8</xdr:col>
      <xdr:colOff>0</xdr:colOff>
      <xdr:row>14</xdr:row>
      <xdr:rowOff>0</xdr:rowOff>
    </xdr:from>
    <xdr:ext cx="476250" cy="476250"/>
    <xdr:pic>
      <xdr:nvPicPr>
        <xdr:cNvPr id="81" name="image49.png">
          <a:extLst>
            <a:ext uri="{FF2B5EF4-FFF2-40B4-BE49-F238E27FC236}">
              <a16:creationId xmlns:a16="http://schemas.microsoft.com/office/drawing/2014/main" id="{00000000-0008-0000-0100-000051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9</xdr:col>
      <xdr:colOff>0</xdr:colOff>
      <xdr:row>14</xdr:row>
      <xdr:rowOff>0</xdr:rowOff>
    </xdr:from>
    <xdr:ext cx="476250" cy="476250"/>
    <xdr:pic>
      <xdr:nvPicPr>
        <xdr:cNvPr id="82" name="image78.png">
          <a:extLst>
            <a:ext uri="{FF2B5EF4-FFF2-40B4-BE49-F238E27FC236}">
              <a16:creationId xmlns:a16="http://schemas.microsoft.com/office/drawing/2014/main" id="{00000000-0008-0000-0100-000052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10</xdr:col>
      <xdr:colOff>0</xdr:colOff>
      <xdr:row>14</xdr:row>
      <xdr:rowOff>0</xdr:rowOff>
    </xdr:from>
    <xdr:ext cx="476250" cy="476250"/>
    <xdr:pic>
      <xdr:nvPicPr>
        <xdr:cNvPr id="83" name="image43.png">
          <a:extLst>
            <a:ext uri="{FF2B5EF4-FFF2-40B4-BE49-F238E27FC236}">
              <a16:creationId xmlns:a16="http://schemas.microsoft.com/office/drawing/2014/main" id="{00000000-0008-0000-0100-000053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11</xdr:col>
      <xdr:colOff>0</xdr:colOff>
      <xdr:row>14</xdr:row>
      <xdr:rowOff>0</xdr:rowOff>
    </xdr:from>
    <xdr:ext cx="447675" cy="476250"/>
    <xdr:pic>
      <xdr:nvPicPr>
        <xdr:cNvPr id="84" name="image37.png">
          <a:extLst>
            <a:ext uri="{FF2B5EF4-FFF2-40B4-BE49-F238E27FC236}">
              <a16:creationId xmlns:a16="http://schemas.microsoft.com/office/drawing/2014/main" id="{00000000-0008-0000-0100-000054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12</xdr:col>
      <xdr:colOff>0</xdr:colOff>
      <xdr:row>14</xdr:row>
      <xdr:rowOff>0</xdr:rowOff>
    </xdr:from>
    <xdr:ext cx="447675" cy="476250"/>
    <xdr:pic>
      <xdr:nvPicPr>
        <xdr:cNvPr id="85" name="image51.png">
          <a:extLst>
            <a:ext uri="{FF2B5EF4-FFF2-40B4-BE49-F238E27FC236}">
              <a16:creationId xmlns:a16="http://schemas.microsoft.com/office/drawing/2014/main" id="{00000000-0008-0000-0100-000055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3</xdr:col>
      <xdr:colOff>0</xdr:colOff>
      <xdr:row>15</xdr:row>
      <xdr:rowOff>0</xdr:rowOff>
    </xdr:from>
    <xdr:ext cx="476250" cy="476250"/>
    <xdr:pic>
      <xdr:nvPicPr>
        <xdr:cNvPr id="86" name="image36.png">
          <a:extLst>
            <a:ext uri="{FF2B5EF4-FFF2-40B4-BE49-F238E27FC236}">
              <a16:creationId xmlns:a16="http://schemas.microsoft.com/office/drawing/2014/main" id="{00000000-0008-0000-0100-000056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7</xdr:col>
      <xdr:colOff>0</xdr:colOff>
      <xdr:row>15</xdr:row>
      <xdr:rowOff>0</xdr:rowOff>
    </xdr:from>
    <xdr:ext cx="476250" cy="476250"/>
    <xdr:pic>
      <xdr:nvPicPr>
        <xdr:cNvPr id="87" name="image47.png">
          <a:extLst>
            <a:ext uri="{FF2B5EF4-FFF2-40B4-BE49-F238E27FC236}">
              <a16:creationId xmlns:a16="http://schemas.microsoft.com/office/drawing/2014/main" id="{00000000-0008-0000-0100-000057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8</xdr:col>
      <xdr:colOff>0</xdr:colOff>
      <xdr:row>15</xdr:row>
      <xdr:rowOff>0</xdr:rowOff>
    </xdr:from>
    <xdr:ext cx="476250" cy="476250"/>
    <xdr:pic>
      <xdr:nvPicPr>
        <xdr:cNvPr id="88" name="image23.png">
          <a:extLst>
            <a:ext uri="{FF2B5EF4-FFF2-40B4-BE49-F238E27FC236}">
              <a16:creationId xmlns:a16="http://schemas.microsoft.com/office/drawing/2014/main" id="{00000000-0008-0000-0100-000058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9</xdr:col>
      <xdr:colOff>0</xdr:colOff>
      <xdr:row>15</xdr:row>
      <xdr:rowOff>0</xdr:rowOff>
    </xdr:from>
    <xdr:ext cx="476250" cy="476250"/>
    <xdr:pic>
      <xdr:nvPicPr>
        <xdr:cNvPr id="89" name="image50.png">
          <a:extLst>
            <a:ext uri="{FF2B5EF4-FFF2-40B4-BE49-F238E27FC236}">
              <a16:creationId xmlns:a16="http://schemas.microsoft.com/office/drawing/2014/main" id="{00000000-0008-0000-0100-000059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10</xdr:col>
      <xdr:colOff>0</xdr:colOff>
      <xdr:row>15</xdr:row>
      <xdr:rowOff>0</xdr:rowOff>
    </xdr:from>
    <xdr:ext cx="476250" cy="476250"/>
    <xdr:pic>
      <xdr:nvPicPr>
        <xdr:cNvPr id="90" name="image50.png">
          <a:extLst>
            <a:ext uri="{FF2B5EF4-FFF2-40B4-BE49-F238E27FC236}">
              <a16:creationId xmlns:a16="http://schemas.microsoft.com/office/drawing/2014/main" id="{00000000-0008-0000-0100-00005A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11</xdr:col>
      <xdr:colOff>0</xdr:colOff>
      <xdr:row>15</xdr:row>
      <xdr:rowOff>0</xdr:rowOff>
    </xdr:from>
    <xdr:ext cx="476250" cy="476250"/>
    <xdr:pic>
      <xdr:nvPicPr>
        <xdr:cNvPr id="91" name="image23.png">
          <a:extLst>
            <a:ext uri="{FF2B5EF4-FFF2-40B4-BE49-F238E27FC236}">
              <a16:creationId xmlns:a16="http://schemas.microsoft.com/office/drawing/2014/main" id="{00000000-0008-0000-0100-00005B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0</xdr:colOff>
      <xdr:row>15</xdr:row>
      <xdr:rowOff>0</xdr:rowOff>
    </xdr:from>
    <xdr:ext cx="476250" cy="476250"/>
    <xdr:pic>
      <xdr:nvPicPr>
        <xdr:cNvPr id="92" name="image14.png">
          <a:extLst>
            <a:ext uri="{FF2B5EF4-FFF2-40B4-BE49-F238E27FC236}">
              <a16:creationId xmlns:a16="http://schemas.microsoft.com/office/drawing/2014/main" id="{00000000-0008-0000-0100-00005C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15</xdr:row>
      <xdr:rowOff>0</xdr:rowOff>
    </xdr:from>
    <xdr:ext cx="476250" cy="476250"/>
    <xdr:pic>
      <xdr:nvPicPr>
        <xdr:cNvPr id="93" name="image38.png">
          <a:extLst>
            <a:ext uri="{FF2B5EF4-FFF2-40B4-BE49-F238E27FC236}">
              <a16:creationId xmlns:a16="http://schemas.microsoft.com/office/drawing/2014/main" id="{00000000-0008-0000-0100-00005D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3</xdr:col>
      <xdr:colOff>0</xdr:colOff>
      <xdr:row>16</xdr:row>
      <xdr:rowOff>0</xdr:rowOff>
    </xdr:from>
    <xdr:ext cx="476250" cy="476250"/>
    <xdr:pic>
      <xdr:nvPicPr>
        <xdr:cNvPr id="94" name="image42.png">
          <a:extLst>
            <a:ext uri="{FF2B5EF4-FFF2-40B4-BE49-F238E27FC236}">
              <a16:creationId xmlns:a16="http://schemas.microsoft.com/office/drawing/2014/main" id="{00000000-0008-0000-0100-00005E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7</xdr:col>
      <xdr:colOff>0</xdr:colOff>
      <xdr:row>16</xdr:row>
      <xdr:rowOff>0</xdr:rowOff>
    </xdr:from>
    <xdr:ext cx="476250" cy="476250"/>
    <xdr:pic>
      <xdr:nvPicPr>
        <xdr:cNvPr id="95" name="image57.png">
          <a:extLst>
            <a:ext uri="{FF2B5EF4-FFF2-40B4-BE49-F238E27FC236}">
              <a16:creationId xmlns:a16="http://schemas.microsoft.com/office/drawing/2014/main" id="{00000000-0008-0000-0100-00005F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8</xdr:col>
      <xdr:colOff>0</xdr:colOff>
      <xdr:row>16</xdr:row>
      <xdr:rowOff>0</xdr:rowOff>
    </xdr:from>
    <xdr:ext cx="476250" cy="476250"/>
    <xdr:pic>
      <xdr:nvPicPr>
        <xdr:cNvPr id="96" name="image57.png">
          <a:extLst>
            <a:ext uri="{FF2B5EF4-FFF2-40B4-BE49-F238E27FC236}">
              <a16:creationId xmlns:a16="http://schemas.microsoft.com/office/drawing/2014/main" id="{00000000-0008-0000-0100-000060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9</xdr:col>
      <xdr:colOff>0</xdr:colOff>
      <xdr:row>16</xdr:row>
      <xdr:rowOff>0</xdr:rowOff>
    </xdr:from>
    <xdr:ext cx="476250" cy="476250"/>
    <xdr:pic>
      <xdr:nvPicPr>
        <xdr:cNvPr id="97" name="image52.png">
          <a:extLst>
            <a:ext uri="{FF2B5EF4-FFF2-40B4-BE49-F238E27FC236}">
              <a16:creationId xmlns:a16="http://schemas.microsoft.com/office/drawing/2014/main" id="{00000000-0008-0000-0100-000061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10</xdr:col>
      <xdr:colOff>0</xdr:colOff>
      <xdr:row>16</xdr:row>
      <xdr:rowOff>0</xdr:rowOff>
    </xdr:from>
    <xdr:ext cx="476250" cy="476250"/>
    <xdr:pic>
      <xdr:nvPicPr>
        <xdr:cNvPr id="98" name="image52.png">
          <a:extLst>
            <a:ext uri="{FF2B5EF4-FFF2-40B4-BE49-F238E27FC236}">
              <a16:creationId xmlns:a16="http://schemas.microsoft.com/office/drawing/2014/main" id="{00000000-0008-0000-0100-000062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11</xdr:col>
      <xdr:colOff>0</xdr:colOff>
      <xdr:row>16</xdr:row>
      <xdr:rowOff>0</xdr:rowOff>
    </xdr:from>
    <xdr:ext cx="476250" cy="476250"/>
    <xdr:pic>
      <xdr:nvPicPr>
        <xdr:cNvPr id="99" name="image23.png">
          <a:extLst>
            <a:ext uri="{FF2B5EF4-FFF2-40B4-BE49-F238E27FC236}">
              <a16:creationId xmlns:a16="http://schemas.microsoft.com/office/drawing/2014/main" id="{00000000-0008-0000-0100-000063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0</xdr:colOff>
      <xdr:row>16</xdr:row>
      <xdr:rowOff>0</xdr:rowOff>
    </xdr:from>
    <xdr:ext cx="476250" cy="476250"/>
    <xdr:pic>
      <xdr:nvPicPr>
        <xdr:cNvPr id="100" name="image23.png">
          <a:extLst>
            <a:ext uri="{FF2B5EF4-FFF2-40B4-BE49-F238E27FC236}">
              <a16:creationId xmlns:a16="http://schemas.microsoft.com/office/drawing/2014/main" id="{00000000-0008-0000-0100-000064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13</xdr:col>
      <xdr:colOff>0</xdr:colOff>
      <xdr:row>16</xdr:row>
      <xdr:rowOff>0</xdr:rowOff>
    </xdr:from>
    <xdr:ext cx="476250" cy="476250"/>
    <xdr:pic>
      <xdr:nvPicPr>
        <xdr:cNvPr id="101" name="image65.png">
          <a:extLst>
            <a:ext uri="{FF2B5EF4-FFF2-40B4-BE49-F238E27FC236}">
              <a16:creationId xmlns:a16="http://schemas.microsoft.com/office/drawing/2014/main" id="{00000000-0008-0000-0100-000065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3</xdr:col>
      <xdr:colOff>0</xdr:colOff>
      <xdr:row>17</xdr:row>
      <xdr:rowOff>0</xdr:rowOff>
    </xdr:from>
    <xdr:ext cx="476250" cy="476250"/>
    <xdr:pic>
      <xdr:nvPicPr>
        <xdr:cNvPr id="102" name="image54.png">
          <a:extLst>
            <a:ext uri="{FF2B5EF4-FFF2-40B4-BE49-F238E27FC236}">
              <a16:creationId xmlns:a16="http://schemas.microsoft.com/office/drawing/2014/main" id="{00000000-0008-0000-0100-000066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7</xdr:col>
      <xdr:colOff>0</xdr:colOff>
      <xdr:row>17</xdr:row>
      <xdr:rowOff>0</xdr:rowOff>
    </xdr:from>
    <xdr:ext cx="476250" cy="476250"/>
    <xdr:pic>
      <xdr:nvPicPr>
        <xdr:cNvPr id="103" name="image46.png">
          <a:extLst>
            <a:ext uri="{FF2B5EF4-FFF2-40B4-BE49-F238E27FC236}">
              <a16:creationId xmlns:a16="http://schemas.microsoft.com/office/drawing/2014/main" id="{00000000-0008-0000-0100-000067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8</xdr:col>
      <xdr:colOff>0</xdr:colOff>
      <xdr:row>17</xdr:row>
      <xdr:rowOff>0</xdr:rowOff>
    </xdr:from>
    <xdr:ext cx="476250" cy="476250"/>
    <xdr:pic>
      <xdr:nvPicPr>
        <xdr:cNvPr id="104" name="image48.png">
          <a:extLst>
            <a:ext uri="{FF2B5EF4-FFF2-40B4-BE49-F238E27FC236}">
              <a16:creationId xmlns:a16="http://schemas.microsoft.com/office/drawing/2014/main" id="{00000000-0008-0000-0100-000068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9</xdr:col>
      <xdr:colOff>0</xdr:colOff>
      <xdr:row>17</xdr:row>
      <xdr:rowOff>0</xdr:rowOff>
    </xdr:from>
    <xdr:ext cx="476250" cy="476250"/>
    <xdr:pic>
      <xdr:nvPicPr>
        <xdr:cNvPr id="105" name="image23.png">
          <a:extLst>
            <a:ext uri="{FF2B5EF4-FFF2-40B4-BE49-F238E27FC236}">
              <a16:creationId xmlns:a16="http://schemas.microsoft.com/office/drawing/2014/main" id="{00000000-0008-0000-0100-000069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10</xdr:col>
      <xdr:colOff>0</xdr:colOff>
      <xdr:row>17</xdr:row>
      <xdr:rowOff>0</xdr:rowOff>
    </xdr:from>
    <xdr:ext cx="476250" cy="476250"/>
    <xdr:pic>
      <xdr:nvPicPr>
        <xdr:cNvPr id="106" name="image74.png">
          <a:extLst>
            <a:ext uri="{FF2B5EF4-FFF2-40B4-BE49-F238E27FC236}">
              <a16:creationId xmlns:a16="http://schemas.microsoft.com/office/drawing/2014/main" id="{00000000-0008-0000-0100-00006A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11</xdr:col>
      <xdr:colOff>0</xdr:colOff>
      <xdr:row>17</xdr:row>
      <xdr:rowOff>0</xdr:rowOff>
    </xdr:from>
    <xdr:ext cx="476250" cy="476250"/>
    <xdr:pic>
      <xdr:nvPicPr>
        <xdr:cNvPr id="107" name="image14.png">
          <a:extLst>
            <a:ext uri="{FF2B5EF4-FFF2-40B4-BE49-F238E27FC236}">
              <a16:creationId xmlns:a16="http://schemas.microsoft.com/office/drawing/2014/main" id="{00000000-0008-0000-0100-00006B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17</xdr:row>
      <xdr:rowOff>0</xdr:rowOff>
    </xdr:from>
    <xdr:ext cx="476250" cy="476250"/>
    <xdr:pic>
      <xdr:nvPicPr>
        <xdr:cNvPr id="108" name="image14.png">
          <a:extLst>
            <a:ext uri="{FF2B5EF4-FFF2-40B4-BE49-F238E27FC236}">
              <a16:creationId xmlns:a16="http://schemas.microsoft.com/office/drawing/2014/main" id="{00000000-0008-0000-0100-00006C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17</xdr:row>
      <xdr:rowOff>0</xdr:rowOff>
    </xdr:from>
    <xdr:ext cx="476250" cy="476250"/>
    <xdr:pic>
      <xdr:nvPicPr>
        <xdr:cNvPr id="109" name="image53.png">
          <a:extLst>
            <a:ext uri="{FF2B5EF4-FFF2-40B4-BE49-F238E27FC236}">
              <a16:creationId xmlns:a16="http://schemas.microsoft.com/office/drawing/2014/main" id="{00000000-0008-0000-0100-00006D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3</xdr:col>
      <xdr:colOff>0</xdr:colOff>
      <xdr:row>18</xdr:row>
      <xdr:rowOff>0</xdr:rowOff>
    </xdr:from>
    <xdr:ext cx="476250" cy="466725"/>
    <xdr:pic>
      <xdr:nvPicPr>
        <xdr:cNvPr id="110" name="image67.png">
          <a:extLst>
            <a:ext uri="{FF2B5EF4-FFF2-40B4-BE49-F238E27FC236}">
              <a16:creationId xmlns:a16="http://schemas.microsoft.com/office/drawing/2014/main" id="{00000000-0008-0000-0100-00006E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7</xdr:col>
      <xdr:colOff>0</xdr:colOff>
      <xdr:row>18</xdr:row>
      <xdr:rowOff>0</xdr:rowOff>
    </xdr:from>
    <xdr:ext cx="476250" cy="476250"/>
    <xdr:pic>
      <xdr:nvPicPr>
        <xdr:cNvPr id="111" name="image72.png">
          <a:extLst>
            <a:ext uri="{FF2B5EF4-FFF2-40B4-BE49-F238E27FC236}">
              <a16:creationId xmlns:a16="http://schemas.microsoft.com/office/drawing/2014/main" id="{00000000-0008-0000-0100-00006F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8</xdr:col>
      <xdr:colOff>0</xdr:colOff>
      <xdr:row>18</xdr:row>
      <xdr:rowOff>0</xdr:rowOff>
    </xdr:from>
    <xdr:ext cx="466725" cy="476250"/>
    <xdr:pic>
      <xdr:nvPicPr>
        <xdr:cNvPr id="112" name="image64.png">
          <a:extLst>
            <a:ext uri="{FF2B5EF4-FFF2-40B4-BE49-F238E27FC236}">
              <a16:creationId xmlns:a16="http://schemas.microsoft.com/office/drawing/2014/main" id="{00000000-0008-0000-0100-000070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9</xdr:col>
      <xdr:colOff>0</xdr:colOff>
      <xdr:row>18</xdr:row>
      <xdr:rowOff>0</xdr:rowOff>
    </xdr:from>
    <xdr:ext cx="476250" cy="476250"/>
    <xdr:pic>
      <xdr:nvPicPr>
        <xdr:cNvPr id="113" name="image58.png">
          <a:extLst>
            <a:ext uri="{FF2B5EF4-FFF2-40B4-BE49-F238E27FC236}">
              <a16:creationId xmlns:a16="http://schemas.microsoft.com/office/drawing/2014/main" id="{00000000-0008-0000-0100-000071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10</xdr:col>
      <xdr:colOff>0</xdr:colOff>
      <xdr:row>18</xdr:row>
      <xdr:rowOff>0</xdr:rowOff>
    </xdr:from>
    <xdr:ext cx="476250" cy="476250"/>
    <xdr:pic>
      <xdr:nvPicPr>
        <xdr:cNvPr id="114" name="image58.png">
          <a:extLst>
            <a:ext uri="{FF2B5EF4-FFF2-40B4-BE49-F238E27FC236}">
              <a16:creationId xmlns:a16="http://schemas.microsoft.com/office/drawing/2014/main" id="{00000000-0008-0000-0100-000072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11</xdr:col>
      <xdr:colOff>0</xdr:colOff>
      <xdr:row>18</xdr:row>
      <xdr:rowOff>0</xdr:rowOff>
    </xdr:from>
    <xdr:ext cx="476250" cy="476250"/>
    <xdr:pic>
      <xdr:nvPicPr>
        <xdr:cNvPr id="115" name="image70.png">
          <a:extLst>
            <a:ext uri="{FF2B5EF4-FFF2-40B4-BE49-F238E27FC236}">
              <a16:creationId xmlns:a16="http://schemas.microsoft.com/office/drawing/2014/main" id="{00000000-0008-0000-0100-000073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12</xdr:col>
      <xdr:colOff>0</xdr:colOff>
      <xdr:row>18</xdr:row>
      <xdr:rowOff>0</xdr:rowOff>
    </xdr:from>
    <xdr:ext cx="476250" cy="476250"/>
    <xdr:pic>
      <xdr:nvPicPr>
        <xdr:cNvPr id="116" name="image14.png">
          <a:extLst>
            <a:ext uri="{FF2B5EF4-FFF2-40B4-BE49-F238E27FC236}">
              <a16:creationId xmlns:a16="http://schemas.microsoft.com/office/drawing/2014/main" id="{00000000-0008-0000-0100-00007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18</xdr:row>
      <xdr:rowOff>0</xdr:rowOff>
    </xdr:from>
    <xdr:ext cx="476250" cy="476250"/>
    <xdr:pic>
      <xdr:nvPicPr>
        <xdr:cNvPr id="117" name="image60.png">
          <a:extLst>
            <a:ext uri="{FF2B5EF4-FFF2-40B4-BE49-F238E27FC236}">
              <a16:creationId xmlns:a16="http://schemas.microsoft.com/office/drawing/2014/main" id="{00000000-0008-0000-0100-000075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3</xdr:col>
      <xdr:colOff>0</xdr:colOff>
      <xdr:row>19</xdr:row>
      <xdr:rowOff>0</xdr:rowOff>
    </xdr:from>
    <xdr:ext cx="476250" cy="476250"/>
    <xdr:pic>
      <xdr:nvPicPr>
        <xdr:cNvPr id="118" name="image56.png">
          <a:extLst>
            <a:ext uri="{FF2B5EF4-FFF2-40B4-BE49-F238E27FC236}">
              <a16:creationId xmlns:a16="http://schemas.microsoft.com/office/drawing/2014/main" id="{00000000-0008-0000-0100-000076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7</xdr:col>
      <xdr:colOff>0</xdr:colOff>
      <xdr:row>19</xdr:row>
      <xdr:rowOff>0</xdr:rowOff>
    </xdr:from>
    <xdr:ext cx="476250" cy="476250"/>
    <xdr:pic>
      <xdr:nvPicPr>
        <xdr:cNvPr id="119" name="image47.png">
          <a:extLst>
            <a:ext uri="{FF2B5EF4-FFF2-40B4-BE49-F238E27FC236}">
              <a16:creationId xmlns:a16="http://schemas.microsoft.com/office/drawing/2014/main" id="{00000000-0008-0000-0100-000077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8</xdr:col>
      <xdr:colOff>0</xdr:colOff>
      <xdr:row>19</xdr:row>
      <xdr:rowOff>0</xdr:rowOff>
    </xdr:from>
    <xdr:ext cx="476250" cy="476250"/>
    <xdr:pic>
      <xdr:nvPicPr>
        <xdr:cNvPr id="120" name="image47.png">
          <a:extLst>
            <a:ext uri="{FF2B5EF4-FFF2-40B4-BE49-F238E27FC236}">
              <a16:creationId xmlns:a16="http://schemas.microsoft.com/office/drawing/2014/main" id="{00000000-0008-0000-0100-000078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19</xdr:row>
      <xdr:rowOff>0</xdr:rowOff>
    </xdr:from>
    <xdr:ext cx="476250" cy="476250"/>
    <xdr:pic>
      <xdr:nvPicPr>
        <xdr:cNvPr id="121" name="image23.png">
          <a:extLst>
            <a:ext uri="{FF2B5EF4-FFF2-40B4-BE49-F238E27FC236}">
              <a16:creationId xmlns:a16="http://schemas.microsoft.com/office/drawing/2014/main" id="{00000000-0008-0000-0100-000079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10</xdr:col>
      <xdr:colOff>0</xdr:colOff>
      <xdr:row>19</xdr:row>
      <xdr:rowOff>0</xdr:rowOff>
    </xdr:from>
    <xdr:ext cx="476250" cy="476250"/>
    <xdr:pic>
      <xdr:nvPicPr>
        <xdr:cNvPr id="122" name="image23.png">
          <a:extLst>
            <a:ext uri="{FF2B5EF4-FFF2-40B4-BE49-F238E27FC236}">
              <a16:creationId xmlns:a16="http://schemas.microsoft.com/office/drawing/2014/main" id="{00000000-0008-0000-0100-00007A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11</xdr:col>
      <xdr:colOff>0</xdr:colOff>
      <xdr:row>19</xdr:row>
      <xdr:rowOff>0</xdr:rowOff>
    </xdr:from>
    <xdr:ext cx="476250" cy="476250"/>
    <xdr:pic>
      <xdr:nvPicPr>
        <xdr:cNvPr id="123" name="image14.png">
          <a:extLst>
            <a:ext uri="{FF2B5EF4-FFF2-40B4-BE49-F238E27FC236}">
              <a16:creationId xmlns:a16="http://schemas.microsoft.com/office/drawing/2014/main" id="{00000000-0008-0000-0100-00007B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19</xdr:row>
      <xdr:rowOff>0</xdr:rowOff>
    </xdr:from>
    <xdr:ext cx="476250" cy="476250"/>
    <xdr:pic>
      <xdr:nvPicPr>
        <xdr:cNvPr id="124" name="image14.png">
          <a:extLst>
            <a:ext uri="{FF2B5EF4-FFF2-40B4-BE49-F238E27FC236}">
              <a16:creationId xmlns:a16="http://schemas.microsoft.com/office/drawing/2014/main" id="{00000000-0008-0000-0100-00007C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19</xdr:row>
      <xdr:rowOff>0</xdr:rowOff>
    </xdr:from>
    <xdr:ext cx="476250" cy="476250"/>
    <xdr:pic>
      <xdr:nvPicPr>
        <xdr:cNvPr id="125" name="image59.png">
          <a:extLst>
            <a:ext uri="{FF2B5EF4-FFF2-40B4-BE49-F238E27FC236}">
              <a16:creationId xmlns:a16="http://schemas.microsoft.com/office/drawing/2014/main" id="{00000000-0008-0000-0100-00007D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3</xdr:col>
      <xdr:colOff>0</xdr:colOff>
      <xdr:row>20</xdr:row>
      <xdr:rowOff>0</xdr:rowOff>
    </xdr:from>
    <xdr:ext cx="476250" cy="476250"/>
    <xdr:pic>
      <xdr:nvPicPr>
        <xdr:cNvPr id="126" name="image77.png">
          <a:extLst>
            <a:ext uri="{FF2B5EF4-FFF2-40B4-BE49-F238E27FC236}">
              <a16:creationId xmlns:a16="http://schemas.microsoft.com/office/drawing/2014/main" id="{00000000-0008-0000-0100-00007E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7</xdr:col>
      <xdr:colOff>0</xdr:colOff>
      <xdr:row>20</xdr:row>
      <xdr:rowOff>0</xdr:rowOff>
    </xdr:from>
    <xdr:ext cx="476250" cy="476250"/>
    <xdr:pic>
      <xdr:nvPicPr>
        <xdr:cNvPr id="127" name="image73.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8</xdr:col>
      <xdr:colOff>0</xdr:colOff>
      <xdr:row>20</xdr:row>
      <xdr:rowOff>0</xdr:rowOff>
    </xdr:from>
    <xdr:ext cx="476250" cy="476250"/>
    <xdr:pic>
      <xdr:nvPicPr>
        <xdr:cNvPr id="128" name="image43.png">
          <a:extLst>
            <a:ext uri="{FF2B5EF4-FFF2-40B4-BE49-F238E27FC236}">
              <a16:creationId xmlns:a16="http://schemas.microsoft.com/office/drawing/2014/main" id="{00000000-0008-0000-0100-000080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9</xdr:col>
      <xdr:colOff>0</xdr:colOff>
      <xdr:row>20</xdr:row>
      <xdr:rowOff>0</xdr:rowOff>
    </xdr:from>
    <xdr:ext cx="476250" cy="476250"/>
    <xdr:pic>
      <xdr:nvPicPr>
        <xdr:cNvPr id="129" name="image14.png">
          <a:extLst>
            <a:ext uri="{FF2B5EF4-FFF2-40B4-BE49-F238E27FC236}">
              <a16:creationId xmlns:a16="http://schemas.microsoft.com/office/drawing/2014/main" id="{00000000-0008-0000-0100-000081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20</xdr:row>
      <xdr:rowOff>0</xdr:rowOff>
    </xdr:from>
    <xdr:ext cx="476250" cy="476250"/>
    <xdr:pic>
      <xdr:nvPicPr>
        <xdr:cNvPr id="130" name="image14.png">
          <a:extLst>
            <a:ext uri="{FF2B5EF4-FFF2-40B4-BE49-F238E27FC236}">
              <a16:creationId xmlns:a16="http://schemas.microsoft.com/office/drawing/2014/main" id="{00000000-0008-0000-0100-000082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20</xdr:row>
      <xdr:rowOff>0</xdr:rowOff>
    </xdr:from>
    <xdr:ext cx="476250" cy="476250"/>
    <xdr:pic>
      <xdr:nvPicPr>
        <xdr:cNvPr id="131" name="image43.png">
          <a:extLst>
            <a:ext uri="{FF2B5EF4-FFF2-40B4-BE49-F238E27FC236}">
              <a16:creationId xmlns:a16="http://schemas.microsoft.com/office/drawing/2014/main" id="{00000000-0008-0000-0100-000083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12</xdr:col>
      <xdr:colOff>0</xdr:colOff>
      <xdr:row>20</xdr:row>
      <xdr:rowOff>0</xdr:rowOff>
    </xdr:from>
    <xdr:ext cx="476250" cy="476250"/>
    <xdr:pic>
      <xdr:nvPicPr>
        <xdr:cNvPr id="132" name="image14.png">
          <a:extLst>
            <a:ext uri="{FF2B5EF4-FFF2-40B4-BE49-F238E27FC236}">
              <a16:creationId xmlns:a16="http://schemas.microsoft.com/office/drawing/2014/main" id="{00000000-0008-0000-0100-00008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20</xdr:row>
      <xdr:rowOff>0</xdr:rowOff>
    </xdr:from>
    <xdr:ext cx="476250" cy="476250"/>
    <xdr:pic>
      <xdr:nvPicPr>
        <xdr:cNvPr id="133" name="image66.png">
          <a:extLst>
            <a:ext uri="{FF2B5EF4-FFF2-40B4-BE49-F238E27FC236}">
              <a16:creationId xmlns:a16="http://schemas.microsoft.com/office/drawing/2014/main" id="{00000000-0008-0000-0100-000085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3</xdr:col>
      <xdr:colOff>0</xdr:colOff>
      <xdr:row>21</xdr:row>
      <xdr:rowOff>0</xdr:rowOff>
    </xdr:from>
    <xdr:ext cx="476250" cy="476250"/>
    <xdr:pic>
      <xdr:nvPicPr>
        <xdr:cNvPr id="134" name="image71.png">
          <a:extLst>
            <a:ext uri="{FF2B5EF4-FFF2-40B4-BE49-F238E27FC236}">
              <a16:creationId xmlns:a16="http://schemas.microsoft.com/office/drawing/2014/main" id="{00000000-0008-0000-0100-000086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7</xdr:col>
      <xdr:colOff>0</xdr:colOff>
      <xdr:row>21</xdr:row>
      <xdr:rowOff>0</xdr:rowOff>
    </xdr:from>
    <xdr:ext cx="476250" cy="476250"/>
    <xdr:pic>
      <xdr:nvPicPr>
        <xdr:cNvPr id="135" name="image61.png">
          <a:extLst>
            <a:ext uri="{FF2B5EF4-FFF2-40B4-BE49-F238E27FC236}">
              <a16:creationId xmlns:a16="http://schemas.microsoft.com/office/drawing/2014/main" id="{00000000-0008-0000-0100-000087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8</xdr:col>
      <xdr:colOff>0</xdr:colOff>
      <xdr:row>21</xdr:row>
      <xdr:rowOff>0</xdr:rowOff>
    </xdr:from>
    <xdr:ext cx="466725" cy="476250"/>
    <xdr:pic>
      <xdr:nvPicPr>
        <xdr:cNvPr id="136" name="image62.png">
          <a:extLst>
            <a:ext uri="{FF2B5EF4-FFF2-40B4-BE49-F238E27FC236}">
              <a16:creationId xmlns:a16="http://schemas.microsoft.com/office/drawing/2014/main" id="{00000000-0008-0000-0100-000088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9</xdr:col>
      <xdr:colOff>0</xdr:colOff>
      <xdr:row>21</xdr:row>
      <xdr:rowOff>0</xdr:rowOff>
    </xdr:from>
    <xdr:ext cx="476250" cy="476250"/>
    <xdr:pic>
      <xdr:nvPicPr>
        <xdr:cNvPr id="137" name="image70.png">
          <a:extLst>
            <a:ext uri="{FF2B5EF4-FFF2-40B4-BE49-F238E27FC236}">
              <a16:creationId xmlns:a16="http://schemas.microsoft.com/office/drawing/2014/main" id="{00000000-0008-0000-0100-000089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476250" cy="476250"/>
    <xdr:pic>
      <xdr:nvPicPr>
        <xdr:cNvPr id="138" name="image70.png">
          <a:extLst>
            <a:ext uri="{FF2B5EF4-FFF2-40B4-BE49-F238E27FC236}">
              <a16:creationId xmlns:a16="http://schemas.microsoft.com/office/drawing/2014/main" id="{00000000-0008-0000-0100-00008A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11</xdr:col>
      <xdr:colOff>0</xdr:colOff>
      <xdr:row>21</xdr:row>
      <xdr:rowOff>0</xdr:rowOff>
    </xdr:from>
    <xdr:ext cx="476250" cy="476250"/>
    <xdr:pic>
      <xdr:nvPicPr>
        <xdr:cNvPr id="139" name="image70.png">
          <a:extLst>
            <a:ext uri="{FF2B5EF4-FFF2-40B4-BE49-F238E27FC236}">
              <a16:creationId xmlns:a16="http://schemas.microsoft.com/office/drawing/2014/main" id="{00000000-0008-0000-0100-00008B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12</xdr:col>
      <xdr:colOff>0</xdr:colOff>
      <xdr:row>21</xdr:row>
      <xdr:rowOff>0</xdr:rowOff>
    </xdr:from>
    <xdr:ext cx="476250" cy="476250"/>
    <xdr:pic>
      <xdr:nvPicPr>
        <xdr:cNvPr id="140" name="image14.png">
          <a:extLst>
            <a:ext uri="{FF2B5EF4-FFF2-40B4-BE49-F238E27FC236}">
              <a16:creationId xmlns:a16="http://schemas.microsoft.com/office/drawing/2014/main" id="{00000000-0008-0000-0100-00008C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21</xdr:row>
      <xdr:rowOff>0</xdr:rowOff>
    </xdr:from>
    <xdr:ext cx="476250" cy="476250"/>
    <xdr:pic>
      <xdr:nvPicPr>
        <xdr:cNvPr id="141" name="image63.png">
          <a:extLst>
            <a:ext uri="{FF2B5EF4-FFF2-40B4-BE49-F238E27FC236}">
              <a16:creationId xmlns:a16="http://schemas.microsoft.com/office/drawing/2014/main" id="{00000000-0008-0000-0100-00008D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3</xdr:col>
      <xdr:colOff>0</xdr:colOff>
      <xdr:row>22</xdr:row>
      <xdr:rowOff>0</xdr:rowOff>
    </xdr:from>
    <xdr:ext cx="476250" cy="476250"/>
    <xdr:pic>
      <xdr:nvPicPr>
        <xdr:cNvPr id="142" name="image87.png">
          <a:extLst>
            <a:ext uri="{FF2B5EF4-FFF2-40B4-BE49-F238E27FC236}">
              <a16:creationId xmlns:a16="http://schemas.microsoft.com/office/drawing/2014/main" id="{00000000-0008-0000-0100-00008E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7</xdr:col>
      <xdr:colOff>0</xdr:colOff>
      <xdr:row>22</xdr:row>
      <xdr:rowOff>0</xdr:rowOff>
    </xdr:from>
    <xdr:ext cx="476250" cy="476250"/>
    <xdr:pic>
      <xdr:nvPicPr>
        <xdr:cNvPr id="143" name="image81.png">
          <a:extLst>
            <a:ext uri="{FF2B5EF4-FFF2-40B4-BE49-F238E27FC236}">
              <a16:creationId xmlns:a16="http://schemas.microsoft.com/office/drawing/2014/main" id="{00000000-0008-0000-0100-00008F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8</xdr:col>
      <xdr:colOff>0</xdr:colOff>
      <xdr:row>22</xdr:row>
      <xdr:rowOff>0</xdr:rowOff>
    </xdr:from>
    <xdr:ext cx="457200" cy="476250"/>
    <xdr:pic>
      <xdr:nvPicPr>
        <xdr:cNvPr id="144" name="image79.png">
          <a:extLst>
            <a:ext uri="{FF2B5EF4-FFF2-40B4-BE49-F238E27FC236}">
              <a16:creationId xmlns:a16="http://schemas.microsoft.com/office/drawing/2014/main" id="{00000000-0008-0000-0100-000090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9</xdr:col>
      <xdr:colOff>0</xdr:colOff>
      <xdr:row>22</xdr:row>
      <xdr:rowOff>0</xdr:rowOff>
    </xdr:from>
    <xdr:ext cx="457200" cy="476250"/>
    <xdr:pic>
      <xdr:nvPicPr>
        <xdr:cNvPr id="145" name="image69.png">
          <a:extLst>
            <a:ext uri="{FF2B5EF4-FFF2-40B4-BE49-F238E27FC236}">
              <a16:creationId xmlns:a16="http://schemas.microsoft.com/office/drawing/2014/main" id="{00000000-0008-0000-0100-000091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10</xdr:col>
      <xdr:colOff>0</xdr:colOff>
      <xdr:row>22</xdr:row>
      <xdr:rowOff>0</xdr:rowOff>
    </xdr:from>
    <xdr:ext cx="457200" cy="476250"/>
    <xdr:pic>
      <xdr:nvPicPr>
        <xdr:cNvPr id="146" name="image69.png">
          <a:extLst>
            <a:ext uri="{FF2B5EF4-FFF2-40B4-BE49-F238E27FC236}">
              <a16:creationId xmlns:a16="http://schemas.microsoft.com/office/drawing/2014/main" id="{00000000-0008-0000-0100-000092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11</xdr:col>
      <xdr:colOff>0</xdr:colOff>
      <xdr:row>22</xdr:row>
      <xdr:rowOff>0</xdr:rowOff>
    </xdr:from>
    <xdr:ext cx="457200" cy="476250"/>
    <xdr:pic>
      <xdr:nvPicPr>
        <xdr:cNvPr id="147" name="image112.png">
          <a:extLst>
            <a:ext uri="{FF2B5EF4-FFF2-40B4-BE49-F238E27FC236}">
              <a16:creationId xmlns:a16="http://schemas.microsoft.com/office/drawing/2014/main" id="{00000000-0008-0000-0100-000093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12</xdr:col>
      <xdr:colOff>0</xdr:colOff>
      <xdr:row>22</xdr:row>
      <xdr:rowOff>0</xdr:rowOff>
    </xdr:from>
    <xdr:ext cx="476250" cy="476250"/>
    <xdr:pic>
      <xdr:nvPicPr>
        <xdr:cNvPr id="148" name="image68.png">
          <a:extLst>
            <a:ext uri="{FF2B5EF4-FFF2-40B4-BE49-F238E27FC236}">
              <a16:creationId xmlns:a16="http://schemas.microsoft.com/office/drawing/2014/main" id="{00000000-0008-0000-0100-000094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13</xdr:col>
      <xdr:colOff>0</xdr:colOff>
      <xdr:row>22</xdr:row>
      <xdr:rowOff>0</xdr:rowOff>
    </xdr:from>
    <xdr:ext cx="476250" cy="476250"/>
    <xdr:pic>
      <xdr:nvPicPr>
        <xdr:cNvPr id="149" name="image76.png">
          <a:extLst>
            <a:ext uri="{FF2B5EF4-FFF2-40B4-BE49-F238E27FC236}">
              <a16:creationId xmlns:a16="http://schemas.microsoft.com/office/drawing/2014/main" id="{00000000-0008-0000-0100-000095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3</xdr:col>
      <xdr:colOff>0</xdr:colOff>
      <xdr:row>23</xdr:row>
      <xdr:rowOff>0</xdr:rowOff>
    </xdr:from>
    <xdr:ext cx="476250" cy="476250"/>
    <xdr:pic>
      <xdr:nvPicPr>
        <xdr:cNvPr id="150" name="image105.jpg">
          <a:extLst>
            <a:ext uri="{FF2B5EF4-FFF2-40B4-BE49-F238E27FC236}">
              <a16:creationId xmlns:a16="http://schemas.microsoft.com/office/drawing/2014/main" id="{00000000-0008-0000-0100-000096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7</xdr:col>
      <xdr:colOff>0</xdr:colOff>
      <xdr:row>23</xdr:row>
      <xdr:rowOff>0</xdr:rowOff>
    </xdr:from>
    <xdr:ext cx="476250" cy="476250"/>
    <xdr:pic>
      <xdr:nvPicPr>
        <xdr:cNvPr id="151" name="image82.png">
          <a:extLst>
            <a:ext uri="{FF2B5EF4-FFF2-40B4-BE49-F238E27FC236}">
              <a16:creationId xmlns:a16="http://schemas.microsoft.com/office/drawing/2014/main" id="{00000000-0008-0000-0100-000097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8</xdr:col>
      <xdr:colOff>0</xdr:colOff>
      <xdr:row>23</xdr:row>
      <xdr:rowOff>0</xdr:rowOff>
    </xdr:from>
    <xdr:ext cx="476250" cy="476250"/>
    <xdr:pic>
      <xdr:nvPicPr>
        <xdr:cNvPr id="152" name="image80.png">
          <a:extLst>
            <a:ext uri="{FF2B5EF4-FFF2-40B4-BE49-F238E27FC236}">
              <a16:creationId xmlns:a16="http://schemas.microsoft.com/office/drawing/2014/main" id="{00000000-0008-0000-0100-000098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9</xdr:col>
      <xdr:colOff>0</xdr:colOff>
      <xdr:row>23</xdr:row>
      <xdr:rowOff>0</xdr:rowOff>
    </xdr:from>
    <xdr:ext cx="476250" cy="476250"/>
    <xdr:pic>
      <xdr:nvPicPr>
        <xdr:cNvPr id="153" name="image75.png">
          <a:extLst>
            <a:ext uri="{FF2B5EF4-FFF2-40B4-BE49-F238E27FC236}">
              <a16:creationId xmlns:a16="http://schemas.microsoft.com/office/drawing/2014/main" id="{00000000-0008-0000-0100-000099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10</xdr:col>
      <xdr:colOff>0</xdr:colOff>
      <xdr:row>23</xdr:row>
      <xdr:rowOff>0</xdr:rowOff>
    </xdr:from>
    <xdr:ext cx="476250" cy="476250"/>
    <xdr:pic>
      <xdr:nvPicPr>
        <xdr:cNvPr id="154" name="image75.png">
          <a:extLst>
            <a:ext uri="{FF2B5EF4-FFF2-40B4-BE49-F238E27FC236}">
              <a16:creationId xmlns:a16="http://schemas.microsoft.com/office/drawing/2014/main" id="{00000000-0008-0000-0100-00009A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11</xdr:col>
      <xdr:colOff>0</xdr:colOff>
      <xdr:row>23</xdr:row>
      <xdr:rowOff>0</xdr:rowOff>
    </xdr:from>
    <xdr:ext cx="476250" cy="476250"/>
    <xdr:pic>
      <xdr:nvPicPr>
        <xdr:cNvPr id="155" name="image83.png">
          <a:extLst>
            <a:ext uri="{FF2B5EF4-FFF2-40B4-BE49-F238E27FC236}">
              <a16:creationId xmlns:a16="http://schemas.microsoft.com/office/drawing/2014/main" id="{00000000-0008-0000-0100-00009B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12</xdr:col>
      <xdr:colOff>0</xdr:colOff>
      <xdr:row>23</xdr:row>
      <xdr:rowOff>0</xdr:rowOff>
    </xdr:from>
    <xdr:ext cx="476250" cy="476250"/>
    <xdr:pic>
      <xdr:nvPicPr>
        <xdr:cNvPr id="156" name="image83.png">
          <a:extLst>
            <a:ext uri="{FF2B5EF4-FFF2-40B4-BE49-F238E27FC236}">
              <a16:creationId xmlns:a16="http://schemas.microsoft.com/office/drawing/2014/main" id="{00000000-0008-0000-0100-00009C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13</xdr:col>
      <xdr:colOff>0</xdr:colOff>
      <xdr:row>23</xdr:row>
      <xdr:rowOff>0</xdr:rowOff>
    </xdr:from>
    <xdr:ext cx="476250" cy="476250"/>
    <xdr:pic>
      <xdr:nvPicPr>
        <xdr:cNvPr id="157" name="image93.png">
          <a:extLst>
            <a:ext uri="{FF2B5EF4-FFF2-40B4-BE49-F238E27FC236}">
              <a16:creationId xmlns:a16="http://schemas.microsoft.com/office/drawing/2014/main" id="{00000000-0008-0000-0100-00009D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3</xdr:col>
      <xdr:colOff>0</xdr:colOff>
      <xdr:row>24</xdr:row>
      <xdr:rowOff>0</xdr:rowOff>
    </xdr:from>
    <xdr:ext cx="476250" cy="476250"/>
    <xdr:pic>
      <xdr:nvPicPr>
        <xdr:cNvPr id="158" name="image90.jpg">
          <a:extLst>
            <a:ext uri="{FF2B5EF4-FFF2-40B4-BE49-F238E27FC236}">
              <a16:creationId xmlns:a16="http://schemas.microsoft.com/office/drawing/2014/main" id="{00000000-0008-0000-0100-00009E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7</xdr:col>
      <xdr:colOff>0</xdr:colOff>
      <xdr:row>24</xdr:row>
      <xdr:rowOff>0</xdr:rowOff>
    </xdr:from>
    <xdr:ext cx="476250" cy="476250"/>
    <xdr:pic>
      <xdr:nvPicPr>
        <xdr:cNvPr id="159" name="image85.png">
          <a:extLst>
            <a:ext uri="{FF2B5EF4-FFF2-40B4-BE49-F238E27FC236}">
              <a16:creationId xmlns:a16="http://schemas.microsoft.com/office/drawing/2014/main" id="{00000000-0008-0000-0100-00009F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8</xdr:col>
      <xdr:colOff>0</xdr:colOff>
      <xdr:row>24</xdr:row>
      <xdr:rowOff>0</xdr:rowOff>
    </xdr:from>
    <xdr:ext cx="476250" cy="476250"/>
    <xdr:pic>
      <xdr:nvPicPr>
        <xdr:cNvPr id="160" name="image88.png">
          <a:extLst>
            <a:ext uri="{FF2B5EF4-FFF2-40B4-BE49-F238E27FC236}">
              <a16:creationId xmlns:a16="http://schemas.microsoft.com/office/drawing/2014/main" id="{00000000-0008-0000-0100-0000A0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9</xdr:col>
      <xdr:colOff>0</xdr:colOff>
      <xdr:row>24</xdr:row>
      <xdr:rowOff>0</xdr:rowOff>
    </xdr:from>
    <xdr:ext cx="476250" cy="476250"/>
    <xdr:pic>
      <xdr:nvPicPr>
        <xdr:cNvPr id="161" name="image91.png">
          <a:extLst>
            <a:ext uri="{FF2B5EF4-FFF2-40B4-BE49-F238E27FC236}">
              <a16:creationId xmlns:a16="http://schemas.microsoft.com/office/drawing/2014/main" id="{00000000-0008-0000-0100-0000A1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10</xdr:col>
      <xdr:colOff>0</xdr:colOff>
      <xdr:row>24</xdr:row>
      <xdr:rowOff>0</xdr:rowOff>
    </xdr:from>
    <xdr:ext cx="476250" cy="476250"/>
    <xdr:pic>
      <xdr:nvPicPr>
        <xdr:cNvPr id="162" name="image91.png">
          <a:extLst>
            <a:ext uri="{FF2B5EF4-FFF2-40B4-BE49-F238E27FC236}">
              <a16:creationId xmlns:a16="http://schemas.microsoft.com/office/drawing/2014/main" id="{00000000-0008-0000-0100-0000A2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11</xdr:col>
      <xdr:colOff>0</xdr:colOff>
      <xdr:row>24</xdr:row>
      <xdr:rowOff>0</xdr:rowOff>
    </xdr:from>
    <xdr:ext cx="476250" cy="476250"/>
    <xdr:pic>
      <xdr:nvPicPr>
        <xdr:cNvPr id="163" name="image101.png">
          <a:extLst>
            <a:ext uri="{FF2B5EF4-FFF2-40B4-BE49-F238E27FC236}">
              <a16:creationId xmlns:a16="http://schemas.microsoft.com/office/drawing/2014/main" id="{00000000-0008-0000-0100-0000A3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12</xdr:col>
      <xdr:colOff>0</xdr:colOff>
      <xdr:row>24</xdr:row>
      <xdr:rowOff>0</xdr:rowOff>
    </xdr:from>
    <xdr:ext cx="476250" cy="476250"/>
    <xdr:pic>
      <xdr:nvPicPr>
        <xdr:cNvPr id="164" name="image14.png">
          <a:extLst>
            <a:ext uri="{FF2B5EF4-FFF2-40B4-BE49-F238E27FC236}">
              <a16:creationId xmlns:a16="http://schemas.microsoft.com/office/drawing/2014/main" id="{00000000-0008-0000-0100-0000A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25</xdr:row>
      <xdr:rowOff>0</xdr:rowOff>
    </xdr:from>
    <xdr:ext cx="476250" cy="476250"/>
    <xdr:pic>
      <xdr:nvPicPr>
        <xdr:cNvPr id="165" name="image86.jpg">
          <a:extLst>
            <a:ext uri="{FF2B5EF4-FFF2-40B4-BE49-F238E27FC236}">
              <a16:creationId xmlns:a16="http://schemas.microsoft.com/office/drawing/2014/main" id="{00000000-0008-0000-0100-0000A5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7</xdr:col>
      <xdr:colOff>0</xdr:colOff>
      <xdr:row>25</xdr:row>
      <xdr:rowOff>0</xdr:rowOff>
    </xdr:from>
    <xdr:ext cx="476250" cy="476250"/>
    <xdr:pic>
      <xdr:nvPicPr>
        <xdr:cNvPr id="166" name="image89.png">
          <a:extLst>
            <a:ext uri="{FF2B5EF4-FFF2-40B4-BE49-F238E27FC236}">
              <a16:creationId xmlns:a16="http://schemas.microsoft.com/office/drawing/2014/main" id="{00000000-0008-0000-0100-0000A6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8</xdr:col>
      <xdr:colOff>0</xdr:colOff>
      <xdr:row>25</xdr:row>
      <xdr:rowOff>0</xdr:rowOff>
    </xdr:from>
    <xdr:ext cx="476250" cy="476250"/>
    <xdr:pic>
      <xdr:nvPicPr>
        <xdr:cNvPr id="167" name="image84.png">
          <a:extLst>
            <a:ext uri="{FF2B5EF4-FFF2-40B4-BE49-F238E27FC236}">
              <a16:creationId xmlns:a16="http://schemas.microsoft.com/office/drawing/2014/main" id="{00000000-0008-0000-0100-0000A7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9</xdr:col>
      <xdr:colOff>0</xdr:colOff>
      <xdr:row>25</xdr:row>
      <xdr:rowOff>0</xdr:rowOff>
    </xdr:from>
    <xdr:ext cx="476250" cy="476250"/>
    <xdr:pic>
      <xdr:nvPicPr>
        <xdr:cNvPr id="168" name="image84.png">
          <a:extLst>
            <a:ext uri="{FF2B5EF4-FFF2-40B4-BE49-F238E27FC236}">
              <a16:creationId xmlns:a16="http://schemas.microsoft.com/office/drawing/2014/main" id="{00000000-0008-0000-0100-0000A8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10</xdr:col>
      <xdr:colOff>0</xdr:colOff>
      <xdr:row>25</xdr:row>
      <xdr:rowOff>0</xdr:rowOff>
    </xdr:from>
    <xdr:ext cx="476250" cy="476250"/>
    <xdr:pic>
      <xdr:nvPicPr>
        <xdr:cNvPr id="169" name="image84.png">
          <a:extLst>
            <a:ext uri="{FF2B5EF4-FFF2-40B4-BE49-F238E27FC236}">
              <a16:creationId xmlns:a16="http://schemas.microsoft.com/office/drawing/2014/main" id="{00000000-0008-0000-0100-0000A9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11</xdr:col>
      <xdr:colOff>0</xdr:colOff>
      <xdr:row>25</xdr:row>
      <xdr:rowOff>0</xdr:rowOff>
    </xdr:from>
    <xdr:ext cx="476250" cy="476250"/>
    <xdr:pic>
      <xdr:nvPicPr>
        <xdr:cNvPr id="170" name="image104.png">
          <a:extLst>
            <a:ext uri="{FF2B5EF4-FFF2-40B4-BE49-F238E27FC236}">
              <a16:creationId xmlns:a16="http://schemas.microsoft.com/office/drawing/2014/main" id="{00000000-0008-0000-0100-0000AA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12</xdr:col>
      <xdr:colOff>0</xdr:colOff>
      <xdr:row>25</xdr:row>
      <xdr:rowOff>0</xdr:rowOff>
    </xdr:from>
    <xdr:ext cx="476250" cy="476250"/>
    <xdr:pic>
      <xdr:nvPicPr>
        <xdr:cNvPr id="171" name="image14.png">
          <a:extLst>
            <a:ext uri="{FF2B5EF4-FFF2-40B4-BE49-F238E27FC236}">
              <a16:creationId xmlns:a16="http://schemas.microsoft.com/office/drawing/2014/main" id="{00000000-0008-0000-0100-0000AB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26</xdr:row>
      <xdr:rowOff>0</xdr:rowOff>
    </xdr:from>
    <xdr:ext cx="476250" cy="476250"/>
    <xdr:pic>
      <xdr:nvPicPr>
        <xdr:cNvPr id="172" name="image99.jpg">
          <a:extLst>
            <a:ext uri="{FF2B5EF4-FFF2-40B4-BE49-F238E27FC236}">
              <a16:creationId xmlns:a16="http://schemas.microsoft.com/office/drawing/2014/main" id="{00000000-0008-0000-0100-0000AC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7</xdr:col>
      <xdr:colOff>0</xdr:colOff>
      <xdr:row>26</xdr:row>
      <xdr:rowOff>0</xdr:rowOff>
    </xdr:from>
    <xdr:ext cx="476250" cy="476250"/>
    <xdr:pic>
      <xdr:nvPicPr>
        <xdr:cNvPr id="173" name="image92.png">
          <a:extLst>
            <a:ext uri="{FF2B5EF4-FFF2-40B4-BE49-F238E27FC236}">
              <a16:creationId xmlns:a16="http://schemas.microsoft.com/office/drawing/2014/main" id="{00000000-0008-0000-0100-0000AD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8</xdr:col>
      <xdr:colOff>0</xdr:colOff>
      <xdr:row>26</xdr:row>
      <xdr:rowOff>0</xdr:rowOff>
    </xdr:from>
    <xdr:ext cx="476250" cy="476250"/>
    <xdr:pic>
      <xdr:nvPicPr>
        <xdr:cNvPr id="174" name="image82.png">
          <a:extLst>
            <a:ext uri="{FF2B5EF4-FFF2-40B4-BE49-F238E27FC236}">
              <a16:creationId xmlns:a16="http://schemas.microsoft.com/office/drawing/2014/main" id="{00000000-0008-0000-0100-0000AE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9</xdr:col>
      <xdr:colOff>0</xdr:colOff>
      <xdr:row>26</xdr:row>
      <xdr:rowOff>0</xdr:rowOff>
    </xdr:from>
    <xdr:ext cx="476250" cy="476250"/>
    <xdr:pic>
      <xdr:nvPicPr>
        <xdr:cNvPr id="175" name="image82.png">
          <a:extLst>
            <a:ext uri="{FF2B5EF4-FFF2-40B4-BE49-F238E27FC236}">
              <a16:creationId xmlns:a16="http://schemas.microsoft.com/office/drawing/2014/main" id="{00000000-0008-0000-0100-0000AF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10</xdr:col>
      <xdr:colOff>0</xdr:colOff>
      <xdr:row>26</xdr:row>
      <xdr:rowOff>0</xdr:rowOff>
    </xdr:from>
    <xdr:ext cx="476250" cy="476250"/>
    <xdr:pic>
      <xdr:nvPicPr>
        <xdr:cNvPr id="176" name="image82.png">
          <a:extLst>
            <a:ext uri="{FF2B5EF4-FFF2-40B4-BE49-F238E27FC236}">
              <a16:creationId xmlns:a16="http://schemas.microsoft.com/office/drawing/2014/main" id="{00000000-0008-0000-0100-0000B0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11</xdr:col>
      <xdr:colOff>0</xdr:colOff>
      <xdr:row>26</xdr:row>
      <xdr:rowOff>0</xdr:rowOff>
    </xdr:from>
    <xdr:ext cx="476250" cy="476250"/>
    <xdr:pic>
      <xdr:nvPicPr>
        <xdr:cNvPr id="177" name="image101.png">
          <a:extLst>
            <a:ext uri="{FF2B5EF4-FFF2-40B4-BE49-F238E27FC236}">
              <a16:creationId xmlns:a16="http://schemas.microsoft.com/office/drawing/2014/main" id="{00000000-0008-0000-0100-0000B1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12</xdr:col>
      <xdr:colOff>0</xdr:colOff>
      <xdr:row>26</xdr:row>
      <xdr:rowOff>0</xdr:rowOff>
    </xdr:from>
    <xdr:ext cx="476250" cy="476250"/>
    <xdr:pic>
      <xdr:nvPicPr>
        <xdr:cNvPr id="178" name="image14.png">
          <a:extLst>
            <a:ext uri="{FF2B5EF4-FFF2-40B4-BE49-F238E27FC236}">
              <a16:creationId xmlns:a16="http://schemas.microsoft.com/office/drawing/2014/main" id="{00000000-0008-0000-0100-0000B2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27</xdr:row>
      <xdr:rowOff>0</xdr:rowOff>
    </xdr:from>
    <xdr:ext cx="476250" cy="476250"/>
    <xdr:pic>
      <xdr:nvPicPr>
        <xdr:cNvPr id="179" name="image122.jpg">
          <a:extLst>
            <a:ext uri="{FF2B5EF4-FFF2-40B4-BE49-F238E27FC236}">
              <a16:creationId xmlns:a16="http://schemas.microsoft.com/office/drawing/2014/main" id="{00000000-0008-0000-0100-0000B3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7</xdr:col>
      <xdr:colOff>0</xdr:colOff>
      <xdr:row>27</xdr:row>
      <xdr:rowOff>0</xdr:rowOff>
    </xdr:from>
    <xdr:ext cx="476250" cy="476250"/>
    <xdr:pic>
      <xdr:nvPicPr>
        <xdr:cNvPr id="180" name="image95.png">
          <a:extLst>
            <a:ext uri="{FF2B5EF4-FFF2-40B4-BE49-F238E27FC236}">
              <a16:creationId xmlns:a16="http://schemas.microsoft.com/office/drawing/2014/main" id="{00000000-0008-0000-0100-0000B4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8</xdr:col>
      <xdr:colOff>0</xdr:colOff>
      <xdr:row>27</xdr:row>
      <xdr:rowOff>0</xdr:rowOff>
    </xdr:from>
    <xdr:ext cx="476250" cy="476250"/>
    <xdr:pic>
      <xdr:nvPicPr>
        <xdr:cNvPr id="181" name="image84.png">
          <a:extLst>
            <a:ext uri="{FF2B5EF4-FFF2-40B4-BE49-F238E27FC236}">
              <a16:creationId xmlns:a16="http://schemas.microsoft.com/office/drawing/2014/main" id="{00000000-0008-0000-0100-0000B5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9</xdr:col>
      <xdr:colOff>0</xdr:colOff>
      <xdr:row>27</xdr:row>
      <xdr:rowOff>0</xdr:rowOff>
    </xdr:from>
    <xdr:ext cx="476250" cy="476250"/>
    <xdr:pic>
      <xdr:nvPicPr>
        <xdr:cNvPr id="182" name="image97.png">
          <a:extLst>
            <a:ext uri="{FF2B5EF4-FFF2-40B4-BE49-F238E27FC236}">
              <a16:creationId xmlns:a16="http://schemas.microsoft.com/office/drawing/2014/main" id="{00000000-0008-0000-0100-0000B6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10</xdr:col>
      <xdr:colOff>0</xdr:colOff>
      <xdr:row>27</xdr:row>
      <xdr:rowOff>0</xdr:rowOff>
    </xdr:from>
    <xdr:ext cx="476250" cy="476250"/>
    <xdr:pic>
      <xdr:nvPicPr>
        <xdr:cNvPr id="183" name="image97.png">
          <a:extLst>
            <a:ext uri="{FF2B5EF4-FFF2-40B4-BE49-F238E27FC236}">
              <a16:creationId xmlns:a16="http://schemas.microsoft.com/office/drawing/2014/main" id="{00000000-0008-0000-0100-0000B7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11</xdr:col>
      <xdr:colOff>0</xdr:colOff>
      <xdr:row>27</xdr:row>
      <xdr:rowOff>0</xdr:rowOff>
    </xdr:from>
    <xdr:ext cx="476250" cy="476250"/>
    <xdr:pic>
      <xdr:nvPicPr>
        <xdr:cNvPr id="184" name="image84.png">
          <a:extLst>
            <a:ext uri="{FF2B5EF4-FFF2-40B4-BE49-F238E27FC236}">
              <a16:creationId xmlns:a16="http://schemas.microsoft.com/office/drawing/2014/main" id="{00000000-0008-0000-0100-0000B8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12</xdr:col>
      <xdr:colOff>0</xdr:colOff>
      <xdr:row>27</xdr:row>
      <xdr:rowOff>0</xdr:rowOff>
    </xdr:from>
    <xdr:ext cx="476250" cy="476250"/>
    <xdr:pic>
      <xdr:nvPicPr>
        <xdr:cNvPr id="185" name="image101.png">
          <a:extLst>
            <a:ext uri="{FF2B5EF4-FFF2-40B4-BE49-F238E27FC236}">
              <a16:creationId xmlns:a16="http://schemas.microsoft.com/office/drawing/2014/main" id="{00000000-0008-0000-0100-0000B9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3</xdr:col>
      <xdr:colOff>0</xdr:colOff>
      <xdr:row>28</xdr:row>
      <xdr:rowOff>0</xdr:rowOff>
    </xdr:from>
    <xdr:ext cx="476250" cy="476250"/>
    <xdr:pic>
      <xdr:nvPicPr>
        <xdr:cNvPr id="186" name="image102.jpg">
          <a:extLst>
            <a:ext uri="{FF2B5EF4-FFF2-40B4-BE49-F238E27FC236}">
              <a16:creationId xmlns:a16="http://schemas.microsoft.com/office/drawing/2014/main" id="{00000000-0008-0000-0100-0000BA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7</xdr:col>
      <xdr:colOff>0</xdr:colOff>
      <xdr:row>28</xdr:row>
      <xdr:rowOff>0</xdr:rowOff>
    </xdr:from>
    <xdr:ext cx="476250" cy="476250"/>
    <xdr:pic>
      <xdr:nvPicPr>
        <xdr:cNvPr id="187" name="image98.png">
          <a:extLst>
            <a:ext uri="{FF2B5EF4-FFF2-40B4-BE49-F238E27FC236}">
              <a16:creationId xmlns:a16="http://schemas.microsoft.com/office/drawing/2014/main" id="{00000000-0008-0000-0100-0000BB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8</xdr:col>
      <xdr:colOff>0</xdr:colOff>
      <xdr:row>28</xdr:row>
      <xdr:rowOff>0</xdr:rowOff>
    </xdr:from>
    <xdr:ext cx="476250" cy="476250"/>
    <xdr:pic>
      <xdr:nvPicPr>
        <xdr:cNvPr id="188" name="image94.png">
          <a:extLst>
            <a:ext uri="{FF2B5EF4-FFF2-40B4-BE49-F238E27FC236}">
              <a16:creationId xmlns:a16="http://schemas.microsoft.com/office/drawing/2014/main" id="{00000000-0008-0000-0100-0000BC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9</xdr:col>
      <xdr:colOff>0</xdr:colOff>
      <xdr:row>28</xdr:row>
      <xdr:rowOff>0</xdr:rowOff>
    </xdr:from>
    <xdr:ext cx="476250" cy="476250"/>
    <xdr:pic>
      <xdr:nvPicPr>
        <xdr:cNvPr id="189" name="image96.png">
          <a:extLst>
            <a:ext uri="{FF2B5EF4-FFF2-40B4-BE49-F238E27FC236}">
              <a16:creationId xmlns:a16="http://schemas.microsoft.com/office/drawing/2014/main" id="{00000000-0008-0000-0100-0000BD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10</xdr:col>
      <xdr:colOff>0</xdr:colOff>
      <xdr:row>28</xdr:row>
      <xdr:rowOff>0</xdr:rowOff>
    </xdr:from>
    <xdr:ext cx="476250" cy="476250"/>
    <xdr:pic>
      <xdr:nvPicPr>
        <xdr:cNvPr id="190" name="image103.png">
          <a:extLst>
            <a:ext uri="{FF2B5EF4-FFF2-40B4-BE49-F238E27FC236}">
              <a16:creationId xmlns:a16="http://schemas.microsoft.com/office/drawing/2014/main" id="{00000000-0008-0000-0100-0000BE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11</xdr:col>
      <xdr:colOff>0</xdr:colOff>
      <xdr:row>28</xdr:row>
      <xdr:rowOff>0</xdr:rowOff>
    </xdr:from>
    <xdr:ext cx="476250" cy="476250"/>
    <xdr:pic>
      <xdr:nvPicPr>
        <xdr:cNvPr id="191" name="image3.png">
          <a:extLst>
            <a:ext uri="{FF2B5EF4-FFF2-40B4-BE49-F238E27FC236}">
              <a16:creationId xmlns:a16="http://schemas.microsoft.com/office/drawing/2014/main" id="{00000000-0008-0000-0100-0000BF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0</xdr:colOff>
      <xdr:row>28</xdr:row>
      <xdr:rowOff>0</xdr:rowOff>
    </xdr:from>
    <xdr:ext cx="476250" cy="476250"/>
    <xdr:pic>
      <xdr:nvPicPr>
        <xdr:cNvPr id="192" name="image3.png">
          <a:extLst>
            <a:ext uri="{FF2B5EF4-FFF2-40B4-BE49-F238E27FC236}">
              <a16:creationId xmlns:a16="http://schemas.microsoft.com/office/drawing/2014/main" id="{00000000-0008-0000-0100-0000C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0</xdr:colOff>
      <xdr:row>29</xdr:row>
      <xdr:rowOff>0</xdr:rowOff>
    </xdr:from>
    <xdr:ext cx="476250" cy="476250"/>
    <xdr:pic>
      <xdr:nvPicPr>
        <xdr:cNvPr id="193" name="image108.jpg">
          <a:extLst>
            <a:ext uri="{FF2B5EF4-FFF2-40B4-BE49-F238E27FC236}">
              <a16:creationId xmlns:a16="http://schemas.microsoft.com/office/drawing/2014/main" id="{00000000-0008-0000-0100-0000C1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7</xdr:col>
      <xdr:colOff>0</xdr:colOff>
      <xdr:row>29</xdr:row>
      <xdr:rowOff>0</xdr:rowOff>
    </xdr:from>
    <xdr:ext cx="476250" cy="476250"/>
    <xdr:pic>
      <xdr:nvPicPr>
        <xdr:cNvPr id="194" name="image115.png">
          <a:extLst>
            <a:ext uri="{FF2B5EF4-FFF2-40B4-BE49-F238E27FC236}">
              <a16:creationId xmlns:a16="http://schemas.microsoft.com/office/drawing/2014/main" id="{00000000-0008-0000-0100-0000C2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8</xdr:col>
      <xdr:colOff>0</xdr:colOff>
      <xdr:row>29</xdr:row>
      <xdr:rowOff>0</xdr:rowOff>
    </xdr:from>
    <xdr:ext cx="476250" cy="476250"/>
    <xdr:pic>
      <xdr:nvPicPr>
        <xdr:cNvPr id="195" name="image100.png">
          <a:extLst>
            <a:ext uri="{FF2B5EF4-FFF2-40B4-BE49-F238E27FC236}">
              <a16:creationId xmlns:a16="http://schemas.microsoft.com/office/drawing/2014/main" id="{00000000-0008-0000-0100-0000C3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9</xdr:col>
      <xdr:colOff>0</xdr:colOff>
      <xdr:row>29</xdr:row>
      <xdr:rowOff>0</xdr:rowOff>
    </xdr:from>
    <xdr:ext cx="476250" cy="476250"/>
    <xdr:pic>
      <xdr:nvPicPr>
        <xdr:cNvPr id="196" name="image109.png">
          <a:extLst>
            <a:ext uri="{FF2B5EF4-FFF2-40B4-BE49-F238E27FC236}">
              <a16:creationId xmlns:a16="http://schemas.microsoft.com/office/drawing/2014/main" id="{00000000-0008-0000-0100-0000C4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10</xdr:col>
      <xdr:colOff>0</xdr:colOff>
      <xdr:row>29</xdr:row>
      <xdr:rowOff>0</xdr:rowOff>
    </xdr:from>
    <xdr:ext cx="476250" cy="476250"/>
    <xdr:pic>
      <xdr:nvPicPr>
        <xdr:cNvPr id="197" name="image109.png">
          <a:extLst>
            <a:ext uri="{FF2B5EF4-FFF2-40B4-BE49-F238E27FC236}">
              <a16:creationId xmlns:a16="http://schemas.microsoft.com/office/drawing/2014/main" id="{00000000-0008-0000-0100-0000C5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11</xdr:col>
      <xdr:colOff>0</xdr:colOff>
      <xdr:row>29</xdr:row>
      <xdr:rowOff>0</xdr:rowOff>
    </xdr:from>
    <xdr:ext cx="476250" cy="476250"/>
    <xdr:pic>
      <xdr:nvPicPr>
        <xdr:cNvPr id="198" name="image14.png">
          <a:extLst>
            <a:ext uri="{FF2B5EF4-FFF2-40B4-BE49-F238E27FC236}">
              <a16:creationId xmlns:a16="http://schemas.microsoft.com/office/drawing/2014/main" id="{00000000-0008-0000-0100-0000C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29</xdr:row>
      <xdr:rowOff>0</xdr:rowOff>
    </xdr:from>
    <xdr:ext cx="476250" cy="476250"/>
    <xdr:pic>
      <xdr:nvPicPr>
        <xdr:cNvPr id="199" name="image14.png">
          <a:extLst>
            <a:ext uri="{FF2B5EF4-FFF2-40B4-BE49-F238E27FC236}">
              <a16:creationId xmlns:a16="http://schemas.microsoft.com/office/drawing/2014/main" id="{00000000-0008-0000-0100-0000C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30</xdr:row>
      <xdr:rowOff>0</xdr:rowOff>
    </xdr:from>
    <xdr:ext cx="476250" cy="476250"/>
    <xdr:pic>
      <xdr:nvPicPr>
        <xdr:cNvPr id="200" name="image111.jpg">
          <a:extLst>
            <a:ext uri="{FF2B5EF4-FFF2-40B4-BE49-F238E27FC236}">
              <a16:creationId xmlns:a16="http://schemas.microsoft.com/office/drawing/2014/main" id="{00000000-0008-0000-0100-0000C8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7</xdr:col>
      <xdr:colOff>0</xdr:colOff>
      <xdr:row>30</xdr:row>
      <xdr:rowOff>0</xdr:rowOff>
    </xdr:from>
    <xdr:ext cx="476250" cy="476250"/>
    <xdr:pic>
      <xdr:nvPicPr>
        <xdr:cNvPr id="201" name="image106.png">
          <a:extLst>
            <a:ext uri="{FF2B5EF4-FFF2-40B4-BE49-F238E27FC236}">
              <a16:creationId xmlns:a16="http://schemas.microsoft.com/office/drawing/2014/main" id="{00000000-0008-0000-0100-0000C9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8</xdr:col>
      <xdr:colOff>0</xdr:colOff>
      <xdr:row>30</xdr:row>
      <xdr:rowOff>0</xdr:rowOff>
    </xdr:from>
    <xdr:ext cx="476250" cy="476250"/>
    <xdr:pic>
      <xdr:nvPicPr>
        <xdr:cNvPr id="202" name="image94.png">
          <a:extLst>
            <a:ext uri="{FF2B5EF4-FFF2-40B4-BE49-F238E27FC236}">
              <a16:creationId xmlns:a16="http://schemas.microsoft.com/office/drawing/2014/main" id="{00000000-0008-0000-0100-0000CA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9</xdr:col>
      <xdr:colOff>0</xdr:colOff>
      <xdr:row>30</xdr:row>
      <xdr:rowOff>0</xdr:rowOff>
    </xdr:from>
    <xdr:ext cx="476250" cy="476250"/>
    <xdr:pic>
      <xdr:nvPicPr>
        <xdr:cNvPr id="203" name="image14.png">
          <a:extLst>
            <a:ext uri="{FF2B5EF4-FFF2-40B4-BE49-F238E27FC236}">
              <a16:creationId xmlns:a16="http://schemas.microsoft.com/office/drawing/2014/main" id="{00000000-0008-0000-0100-0000CB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30</xdr:row>
      <xdr:rowOff>0</xdr:rowOff>
    </xdr:from>
    <xdr:ext cx="476250" cy="476250"/>
    <xdr:pic>
      <xdr:nvPicPr>
        <xdr:cNvPr id="204" name="image14.png">
          <a:extLst>
            <a:ext uri="{FF2B5EF4-FFF2-40B4-BE49-F238E27FC236}">
              <a16:creationId xmlns:a16="http://schemas.microsoft.com/office/drawing/2014/main" id="{00000000-0008-0000-0100-0000CC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30</xdr:row>
      <xdr:rowOff>0</xdr:rowOff>
    </xdr:from>
    <xdr:ext cx="476250" cy="476250"/>
    <xdr:pic>
      <xdr:nvPicPr>
        <xdr:cNvPr id="205" name="image123.png">
          <a:extLst>
            <a:ext uri="{FF2B5EF4-FFF2-40B4-BE49-F238E27FC236}">
              <a16:creationId xmlns:a16="http://schemas.microsoft.com/office/drawing/2014/main" id="{00000000-0008-0000-0100-0000CD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12</xdr:col>
      <xdr:colOff>0</xdr:colOff>
      <xdr:row>30</xdr:row>
      <xdr:rowOff>0</xdr:rowOff>
    </xdr:from>
    <xdr:ext cx="476250" cy="476250"/>
    <xdr:pic>
      <xdr:nvPicPr>
        <xdr:cNvPr id="206" name="image14.png">
          <a:extLst>
            <a:ext uri="{FF2B5EF4-FFF2-40B4-BE49-F238E27FC236}">
              <a16:creationId xmlns:a16="http://schemas.microsoft.com/office/drawing/2014/main" id="{00000000-0008-0000-0100-0000C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31</xdr:row>
      <xdr:rowOff>0</xdr:rowOff>
    </xdr:from>
    <xdr:ext cx="476250" cy="476250"/>
    <xdr:pic>
      <xdr:nvPicPr>
        <xdr:cNvPr id="207" name="image114.jpg">
          <a:extLst>
            <a:ext uri="{FF2B5EF4-FFF2-40B4-BE49-F238E27FC236}">
              <a16:creationId xmlns:a16="http://schemas.microsoft.com/office/drawing/2014/main" id="{00000000-0008-0000-0100-0000CF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7</xdr:col>
      <xdr:colOff>0</xdr:colOff>
      <xdr:row>31</xdr:row>
      <xdr:rowOff>0</xdr:rowOff>
    </xdr:from>
    <xdr:ext cx="476250" cy="476250"/>
    <xdr:pic>
      <xdr:nvPicPr>
        <xdr:cNvPr id="208" name="image113.png">
          <a:extLst>
            <a:ext uri="{FF2B5EF4-FFF2-40B4-BE49-F238E27FC236}">
              <a16:creationId xmlns:a16="http://schemas.microsoft.com/office/drawing/2014/main" id="{00000000-0008-0000-0100-0000D0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8</xdr:col>
      <xdr:colOff>0</xdr:colOff>
      <xdr:row>31</xdr:row>
      <xdr:rowOff>0</xdr:rowOff>
    </xdr:from>
    <xdr:ext cx="447675" cy="476250"/>
    <xdr:pic>
      <xdr:nvPicPr>
        <xdr:cNvPr id="209" name="image5.png">
          <a:extLst>
            <a:ext uri="{FF2B5EF4-FFF2-40B4-BE49-F238E27FC236}">
              <a16:creationId xmlns:a16="http://schemas.microsoft.com/office/drawing/2014/main" id="{00000000-0008-0000-0100-0000D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31</xdr:row>
      <xdr:rowOff>0</xdr:rowOff>
    </xdr:from>
    <xdr:ext cx="476250" cy="476250"/>
    <xdr:pic>
      <xdr:nvPicPr>
        <xdr:cNvPr id="210" name="image121.png">
          <a:extLst>
            <a:ext uri="{FF2B5EF4-FFF2-40B4-BE49-F238E27FC236}">
              <a16:creationId xmlns:a16="http://schemas.microsoft.com/office/drawing/2014/main" id="{00000000-0008-0000-0100-0000D2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10</xdr:col>
      <xdr:colOff>0</xdr:colOff>
      <xdr:row>31</xdr:row>
      <xdr:rowOff>0</xdr:rowOff>
    </xdr:from>
    <xdr:ext cx="476250" cy="476250"/>
    <xdr:pic>
      <xdr:nvPicPr>
        <xdr:cNvPr id="211" name="image121.png">
          <a:extLst>
            <a:ext uri="{FF2B5EF4-FFF2-40B4-BE49-F238E27FC236}">
              <a16:creationId xmlns:a16="http://schemas.microsoft.com/office/drawing/2014/main" id="{00000000-0008-0000-0100-0000D3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11</xdr:col>
      <xdr:colOff>0</xdr:colOff>
      <xdr:row>31</xdr:row>
      <xdr:rowOff>0</xdr:rowOff>
    </xdr:from>
    <xdr:ext cx="476250" cy="476250"/>
    <xdr:pic>
      <xdr:nvPicPr>
        <xdr:cNvPr id="212" name="image14.png">
          <a:extLst>
            <a:ext uri="{FF2B5EF4-FFF2-40B4-BE49-F238E27FC236}">
              <a16:creationId xmlns:a16="http://schemas.microsoft.com/office/drawing/2014/main" id="{00000000-0008-0000-0100-0000D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31</xdr:row>
      <xdr:rowOff>0</xdr:rowOff>
    </xdr:from>
    <xdr:ext cx="476250" cy="476250"/>
    <xdr:pic>
      <xdr:nvPicPr>
        <xdr:cNvPr id="213" name="image14.png">
          <a:extLst>
            <a:ext uri="{FF2B5EF4-FFF2-40B4-BE49-F238E27FC236}">
              <a16:creationId xmlns:a16="http://schemas.microsoft.com/office/drawing/2014/main" id="{00000000-0008-0000-0100-0000D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32</xdr:row>
      <xdr:rowOff>0</xdr:rowOff>
    </xdr:from>
    <xdr:ext cx="476250" cy="476250"/>
    <xdr:pic>
      <xdr:nvPicPr>
        <xdr:cNvPr id="214" name="image110.jpg">
          <a:extLst>
            <a:ext uri="{FF2B5EF4-FFF2-40B4-BE49-F238E27FC236}">
              <a16:creationId xmlns:a16="http://schemas.microsoft.com/office/drawing/2014/main" id="{00000000-0008-0000-0100-0000D6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7</xdr:col>
      <xdr:colOff>0</xdr:colOff>
      <xdr:row>32</xdr:row>
      <xdr:rowOff>0</xdr:rowOff>
    </xdr:from>
    <xdr:ext cx="476250" cy="476250"/>
    <xdr:pic>
      <xdr:nvPicPr>
        <xdr:cNvPr id="215" name="image107.png">
          <a:extLst>
            <a:ext uri="{FF2B5EF4-FFF2-40B4-BE49-F238E27FC236}">
              <a16:creationId xmlns:a16="http://schemas.microsoft.com/office/drawing/2014/main" id="{00000000-0008-0000-0100-0000D7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8</xdr:col>
      <xdr:colOff>0</xdr:colOff>
      <xdr:row>32</xdr:row>
      <xdr:rowOff>0</xdr:rowOff>
    </xdr:from>
    <xdr:ext cx="476250" cy="476250"/>
    <xdr:pic>
      <xdr:nvPicPr>
        <xdr:cNvPr id="216" name="image107.png">
          <a:extLst>
            <a:ext uri="{FF2B5EF4-FFF2-40B4-BE49-F238E27FC236}">
              <a16:creationId xmlns:a16="http://schemas.microsoft.com/office/drawing/2014/main" id="{00000000-0008-0000-0100-0000D8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9</xdr:col>
      <xdr:colOff>0</xdr:colOff>
      <xdr:row>32</xdr:row>
      <xdr:rowOff>0</xdr:rowOff>
    </xdr:from>
    <xdr:ext cx="476250" cy="476250"/>
    <xdr:pic>
      <xdr:nvPicPr>
        <xdr:cNvPr id="217" name="image117.png">
          <a:extLst>
            <a:ext uri="{FF2B5EF4-FFF2-40B4-BE49-F238E27FC236}">
              <a16:creationId xmlns:a16="http://schemas.microsoft.com/office/drawing/2014/main" id="{00000000-0008-0000-0100-0000D9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10</xdr:col>
      <xdr:colOff>0</xdr:colOff>
      <xdr:row>32</xdr:row>
      <xdr:rowOff>0</xdr:rowOff>
    </xdr:from>
    <xdr:ext cx="476250" cy="476250"/>
    <xdr:pic>
      <xdr:nvPicPr>
        <xdr:cNvPr id="218" name="image117.png">
          <a:extLst>
            <a:ext uri="{FF2B5EF4-FFF2-40B4-BE49-F238E27FC236}">
              <a16:creationId xmlns:a16="http://schemas.microsoft.com/office/drawing/2014/main" id="{00000000-0008-0000-0100-0000DA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11</xdr:col>
      <xdr:colOff>0</xdr:colOff>
      <xdr:row>32</xdr:row>
      <xdr:rowOff>0</xdr:rowOff>
    </xdr:from>
    <xdr:ext cx="476250" cy="476250"/>
    <xdr:pic>
      <xdr:nvPicPr>
        <xdr:cNvPr id="219" name="image14.png">
          <a:extLst>
            <a:ext uri="{FF2B5EF4-FFF2-40B4-BE49-F238E27FC236}">
              <a16:creationId xmlns:a16="http://schemas.microsoft.com/office/drawing/2014/main" id="{00000000-0008-0000-0100-0000DB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32</xdr:row>
      <xdr:rowOff>0</xdr:rowOff>
    </xdr:from>
    <xdr:ext cx="476250" cy="476250"/>
    <xdr:pic>
      <xdr:nvPicPr>
        <xdr:cNvPr id="220" name="image14.png">
          <a:extLst>
            <a:ext uri="{FF2B5EF4-FFF2-40B4-BE49-F238E27FC236}">
              <a16:creationId xmlns:a16="http://schemas.microsoft.com/office/drawing/2014/main" id="{00000000-0008-0000-0100-0000DC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33</xdr:row>
      <xdr:rowOff>0</xdr:rowOff>
    </xdr:from>
    <xdr:ext cx="476250" cy="476250"/>
    <xdr:pic>
      <xdr:nvPicPr>
        <xdr:cNvPr id="221" name="image119.jpg">
          <a:extLst>
            <a:ext uri="{FF2B5EF4-FFF2-40B4-BE49-F238E27FC236}">
              <a16:creationId xmlns:a16="http://schemas.microsoft.com/office/drawing/2014/main" id="{00000000-0008-0000-0100-0000DD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7</xdr:col>
      <xdr:colOff>0</xdr:colOff>
      <xdr:row>33</xdr:row>
      <xdr:rowOff>0</xdr:rowOff>
    </xdr:from>
    <xdr:ext cx="476250" cy="476250"/>
    <xdr:pic>
      <xdr:nvPicPr>
        <xdr:cNvPr id="222" name="image120.png">
          <a:extLst>
            <a:ext uri="{FF2B5EF4-FFF2-40B4-BE49-F238E27FC236}">
              <a16:creationId xmlns:a16="http://schemas.microsoft.com/office/drawing/2014/main" id="{00000000-0008-0000-0100-0000DE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8</xdr:col>
      <xdr:colOff>0</xdr:colOff>
      <xdr:row>33</xdr:row>
      <xdr:rowOff>0</xdr:rowOff>
    </xdr:from>
    <xdr:ext cx="476250" cy="476250"/>
    <xdr:pic>
      <xdr:nvPicPr>
        <xdr:cNvPr id="223" name="image120.png">
          <a:extLst>
            <a:ext uri="{FF2B5EF4-FFF2-40B4-BE49-F238E27FC236}">
              <a16:creationId xmlns:a16="http://schemas.microsoft.com/office/drawing/2014/main" id="{00000000-0008-0000-0100-0000DF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9</xdr:col>
      <xdr:colOff>0</xdr:colOff>
      <xdr:row>33</xdr:row>
      <xdr:rowOff>0</xdr:rowOff>
    </xdr:from>
    <xdr:ext cx="476250" cy="476250"/>
    <xdr:pic>
      <xdr:nvPicPr>
        <xdr:cNvPr id="224" name="image125.png">
          <a:extLst>
            <a:ext uri="{FF2B5EF4-FFF2-40B4-BE49-F238E27FC236}">
              <a16:creationId xmlns:a16="http://schemas.microsoft.com/office/drawing/2014/main" id="{00000000-0008-0000-0100-0000E0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10</xdr:col>
      <xdr:colOff>0</xdr:colOff>
      <xdr:row>33</xdr:row>
      <xdr:rowOff>0</xdr:rowOff>
    </xdr:from>
    <xdr:ext cx="476250" cy="476250"/>
    <xdr:pic>
      <xdr:nvPicPr>
        <xdr:cNvPr id="225" name="image125.png">
          <a:extLst>
            <a:ext uri="{FF2B5EF4-FFF2-40B4-BE49-F238E27FC236}">
              <a16:creationId xmlns:a16="http://schemas.microsoft.com/office/drawing/2014/main" id="{00000000-0008-0000-0100-0000E1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11</xdr:col>
      <xdr:colOff>0</xdr:colOff>
      <xdr:row>33</xdr:row>
      <xdr:rowOff>0</xdr:rowOff>
    </xdr:from>
    <xdr:ext cx="476250" cy="476250"/>
    <xdr:pic>
      <xdr:nvPicPr>
        <xdr:cNvPr id="226" name="image116.png">
          <a:extLst>
            <a:ext uri="{FF2B5EF4-FFF2-40B4-BE49-F238E27FC236}">
              <a16:creationId xmlns:a16="http://schemas.microsoft.com/office/drawing/2014/main" id="{00000000-0008-0000-0100-0000E2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12</xdr:col>
      <xdr:colOff>0</xdr:colOff>
      <xdr:row>33</xdr:row>
      <xdr:rowOff>0</xdr:rowOff>
    </xdr:from>
    <xdr:ext cx="476250" cy="476250"/>
    <xdr:pic>
      <xdr:nvPicPr>
        <xdr:cNvPr id="227" name="image14.png">
          <a:extLst>
            <a:ext uri="{FF2B5EF4-FFF2-40B4-BE49-F238E27FC236}">
              <a16:creationId xmlns:a16="http://schemas.microsoft.com/office/drawing/2014/main" id="{00000000-0008-0000-0100-0000E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34</xdr:row>
      <xdr:rowOff>0</xdr:rowOff>
    </xdr:from>
    <xdr:ext cx="476250" cy="476250"/>
    <xdr:pic>
      <xdr:nvPicPr>
        <xdr:cNvPr id="228" name="image140.jpg">
          <a:extLst>
            <a:ext uri="{FF2B5EF4-FFF2-40B4-BE49-F238E27FC236}">
              <a16:creationId xmlns:a16="http://schemas.microsoft.com/office/drawing/2014/main" id="{00000000-0008-0000-0100-0000E4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7</xdr:col>
      <xdr:colOff>0</xdr:colOff>
      <xdr:row>34</xdr:row>
      <xdr:rowOff>0</xdr:rowOff>
    </xdr:from>
    <xdr:ext cx="476250" cy="476250"/>
    <xdr:pic>
      <xdr:nvPicPr>
        <xdr:cNvPr id="229" name="image124.png">
          <a:extLst>
            <a:ext uri="{FF2B5EF4-FFF2-40B4-BE49-F238E27FC236}">
              <a16:creationId xmlns:a16="http://schemas.microsoft.com/office/drawing/2014/main" id="{00000000-0008-0000-0100-0000E5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8</xdr:col>
      <xdr:colOff>0</xdr:colOff>
      <xdr:row>34</xdr:row>
      <xdr:rowOff>0</xdr:rowOff>
    </xdr:from>
    <xdr:ext cx="476250" cy="476250"/>
    <xdr:pic>
      <xdr:nvPicPr>
        <xdr:cNvPr id="230" name="image3.png">
          <a:extLst>
            <a:ext uri="{FF2B5EF4-FFF2-40B4-BE49-F238E27FC236}">
              <a16:creationId xmlns:a16="http://schemas.microsoft.com/office/drawing/2014/main" id="{00000000-0008-0000-0100-0000E6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9</xdr:col>
      <xdr:colOff>0</xdr:colOff>
      <xdr:row>34</xdr:row>
      <xdr:rowOff>0</xdr:rowOff>
    </xdr:from>
    <xdr:ext cx="476250" cy="476250"/>
    <xdr:pic>
      <xdr:nvPicPr>
        <xdr:cNvPr id="231" name="image118.png">
          <a:extLst>
            <a:ext uri="{FF2B5EF4-FFF2-40B4-BE49-F238E27FC236}">
              <a16:creationId xmlns:a16="http://schemas.microsoft.com/office/drawing/2014/main" id="{00000000-0008-0000-0100-0000E7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10</xdr:col>
      <xdr:colOff>0</xdr:colOff>
      <xdr:row>34</xdr:row>
      <xdr:rowOff>0</xdr:rowOff>
    </xdr:from>
    <xdr:ext cx="476250" cy="476250"/>
    <xdr:pic>
      <xdr:nvPicPr>
        <xdr:cNvPr id="232" name="image118.png">
          <a:extLst>
            <a:ext uri="{FF2B5EF4-FFF2-40B4-BE49-F238E27FC236}">
              <a16:creationId xmlns:a16="http://schemas.microsoft.com/office/drawing/2014/main" id="{00000000-0008-0000-0100-0000E8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11</xdr:col>
      <xdr:colOff>0</xdr:colOff>
      <xdr:row>34</xdr:row>
      <xdr:rowOff>0</xdr:rowOff>
    </xdr:from>
    <xdr:ext cx="476250" cy="476250"/>
    <xdr:pic>
      <xdr:nvPicPr>
        <xdr:cNvPr id="233" name="image3.png">
          <a:extLst>
            <a:ext uri="{FF2B5EF4-FFF2-40B4-BE49-F238E27FC236}">
              <a16:creationId xmlns:a16="http://schemas.microsoft.com/office/drawing/2014/main" id="{00000000-0008-0000-0100-0000E9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0</xdr:colOff>
      <xdr:row>34</xdr:row>
      <xdr:rowOff>0</xdr:rowOff>
    </xdr:from>
    <xdr:ext cx="476250" cy="476250"/>
    <xdr:pic>
      <xdr:nvPicPr>
        <xdr:cNvPr id="234" name="image14.png">
          <a:extLst>
            <a:ext uri="{FF2B5EF4-FFF2-40B4-BE49-F238E27FC236}">
              <a16:creationId xmlns:a16="http://schemas.microsoft.com/office/drawing/2014/main" id="{00000000-0008-0000-0100-0000EA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35</xdr:row>
      <xdr:rowOff>0</xdr:rowOff>
    </xdr:from>
    <xdr:ext cx="476250" cy="476250"/>
    <xdr:pic>
      <xdr:nvPicPr>
        <xdr:cNvPr id="235" name="image128.jpg">
          <a:extLst>
            <a:ext uri="{FF2B5EF4-FFF2-40B4-BE49-F238E27FC236}">
              <a16:creationId xmlns:a16="http://schemas.microsoft.com/office/drawing/2014/main" id="{00000000-0008-0000-0100-0000EB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7</xdr:col>
      <xdr:colOff>0</xdr:colOff>
      <xdr:row>35</xdr:row>
      <xdr:rowOff>0</xdr:rowOff>
    </xdr:from>
    <xdr:ext cx="466725" cy="476250"/>
    <xdr:pic>
      <xdr:nvPicPr>
        <xdr:cNvPr id="236" name="image127.png">
          <a:extLst>
            <a:ext uri="{FF2B5EF4-FFF2-40B4-BE49-F238E27FC236}">
              <a16:creationId xmlns:a16="http://schemas.microsoft.com/office/drawing/2014/main" id="{00000000-0008-0000-0100-0000EC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8</xdr:col>
      <xdr:colOff>0</xdr:colOff>
      <xdr:row>35</xdr:row>
      <xdr:rowOff>0</xdr:rowOff>
    </xdr:from>
    <xdr:ext cx="476250" cy="476250"/>
    <xdr:pic>
      <xdr:nvPicPr>
        <xdr:cNvPr id="237" name="image30.png">
          <a:extLst>
            <a:ext uri="{FF2B5EF4-FFF2-40B4-BE49-F238E27FC236}">
              <a16:creationId xmlns:a16="http://schemas.microsoft.com/office/drawing/2014/main" id="{00000000-0008-0000-0100-0000ED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9</xdr:col>
      <xdr:colOff>0</xdr:colOff>
      <xdr:row>35</xdr:row>
      <xdr:rowOff>0</xdr:rowOff>
    </xdr:from>
    <xdr:ext cx="476250" cy="476250"/>
    <xdr:pic>
      <xdr:nvPicPr>
        <xdr:cNvPr id="238" name="image120.png">
          <a:extLst>
            <a:ext uri="{FF2B5EF4-FFF2-40B4-BE49-F238E27FC236}">
              <a16:creationId xmlns:a16="http://schemas.microsoft.com/office/drawing/2014/main" id="{00000000-0008-0000-0100-0000EE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10</xdr:col>
      <xdr:colOff>0</xdr:colOff>
      <xdr:row>35</xdr:row>
      <xdr:rowOff>0</xdr:rowOff>
    </xdr:from>
    <xdr:ext cx="476250" cy="476250"/>
    <xdr:pic>
      <xdr:nvPicPr>
        <xdr:cNvPr id="239" name="image120.png">
          <a:extLst>
            <a:ext uri="{FF2B5EF4-FFF2-40B4-BE49-F238E27FC236}">
              <a16:creationId xmlns:a16="http://schemas.microsoft.com/office/drawing/2014/main" id="{00000000-0008-0000-0100-0000EF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11</xdr:col>
      <xdr:colOff>0</xdr:colOff>
      <xdr:row>35</xdr:row>
      <xdr:rowOff>0</xdr:rowOff>
    </xdr:from>
    <xdr:ext cx="476250" cy="476250"/>
    <xdr:pic>
      <xdr:nvPicPr>
        <xdr:cNvPr id="240" name="image3.png">
          <a:extLst>
            <a:ext uri="{FF2B5EF4-FFF2-40B4-BE49-F238E27FC236}">
              <a16:creationId xmlns:a16="http://schemas.microsoft.com/office/drawing/2014/main" id="{00000000-0008-0000-0100-0000F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0</xdr:colOff>
      <xdr:row>35</xdr:row>
      <xdr:rowOff>0</xdr:rowOff>
    </xdr:from>
    <xdr:ext cx="476250" cy="476250"/>
    <xdr:pic>
      <xdr:nvPicPr>
        <xdr:cNvPr id="241" name="image14.png">
          <a:extLst>
            <a:ext uri="{FF2B5EF4-FFF2-40B4-BE49-F238E27FC236}">
              <a16:creationId xmlns:a16="http://schemas.microsoft.com/office/drawing/2014/main" id="{00000000-0008-0000-0100-0000F1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36</xdr:row>
      <xdr:rowOff>0</xdr:rowOff>
    </xdr:from>
    <xdr:ext cx="476250" cy="476250"/>
    <xdr:pic>
      <xdr:nvPicPr>
        <xdr:cNvPr id="242" name="image129.jpg">
          <a:extLst>
            <a:ext uri="{FF2B5EF4-FFF2-40B4-BE49-F238E27FC236}">
              <a16:creationId xmlns:a16="http://schemas.microsoft.com/office/drawing/2014/main" id="{00000000-0008-0000-0100-0000F2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7</xdr:col>
      <xdr:colOff>0</xdr:colOff>
      <xdr:row>36</xdr:row>
      <xdr:rowOff>0</xdr:rowOff>
    </xdr:from>
    <xdr:ext cx="476250" cy="476250"/>
    <xdr:pic>
      <xdr:nvPicPr>
        <xdr:cNvPr id="243" name="image130.png">
          <a:extLst>
            <a:ext uri="{FF2B5EF4-FFF2-40B4-BE49-F238E27FC236}">
              <a16:creationId xmlns:a16="http://schemas.microsoft.com/office/drawing/2014/main" id="{00000000-0008-0000-0100-0000F3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8</xdr:col>
      <xdr:colOff>0</xdr:colOff>
      <xdr:row>36</xdr:row>
      <xdr:rowOff>0</xdr:rowOff>
    </xdr:from>
    <xdr:ext cx="476250" cy="476250"/>
    <xdr:pic>
      <xdr:nvPicPr>
        <xdr:cNvPr id="244" name="image132.png">
          <a:extLst>
            <a:ext uri="{FF2B5EF4-FFF2-40B4-BE49-F238E27FC236}">
              <a16:creationId xmlns:a16="http://schemas.microsoft.com/office/drawing/2014/main" id="{00000000-0008-0000-0100-0000F4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9</xdr:col>
      <xdr:colOff>0</xdr:colOff>
      <xdr:row>36</xdr:row>
      <xdr:rowOff>0</xdr:rowOff>
    </xdr:from>
    <xdr:ext cx="447675" cy="476250"/>
    <xdr:pic>
      <xdr:nvPicPr>
        <xdr:cNvPr id="245" name="image5.png">
          <a:extLst>
            <a:ext uri="{FF2B5EF4-FFF2-40B4-BE49-F238E27FC236}">
              <a16:creationId xmlns:a16="http://schemas.microsoft.com/office/drawing/2014/main" id="{00000000-0008-0000-0100-0000F5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10</xdr:col>
      <xdr:colOff>0</xdr:colOff>
      <xdr:row>36</xdr:row>
      <xdr:rowOff>0</xdr:rowOff>
    </xdr:from>
    <xdr:ext cx="447675" cy="476250"/>
    <xdr:pic>
      <xdr:nvPicPr>
        <xdr:cNvPr id="246" name="image5.png">
          <a:extLst>
            <a:ext uri="{FF2B5EF4-FFF2-40B4-BE49-F238E27FC236}">
              <a16:creationId xmlns:a16="http://schemas.microsoft.com/office/drawing/2014/main" id="{00000000-0008-0000-0100-0000F6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0</xdr:colOff>
      <xdr:row>36</xdr:row>
      <xdr:rowOff>0</xdr:rowOff>
    </xdr:from>
    <xdr:ext cx="476250" cy="476250"/>
    <xdr:pic>
      <xdr:nvPicPr>
        <xdr:cNvPr id="247" name="image78.png">
          <a:extLst>
            <a:ext uri="{FF2B5EF4-FFF2-40B4-BE49-F238E27FC236}">
              <a16:creationId xmlns:a16="http://schemas.microsoft.com/office/drawing/2014/main" id="{00000000-0008-0000-0100-0000F7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12</xdr:col>
      <xdr:colOff>0</xdr:colOff>
      <xdr:row>36</xdr:row>
      <xdr:rowOff>0</xdr:rowOff>
    </xdr:from>
    <xdr:ext cx="476250" cy="476250"/>
    <xdr:pic>
      <xdr:nvPicPr>
        <xdr:cNvPr id="248" name="image14.png">
          <a:extLst>
            <a:ext uri="{FF2B5EF4-FFF2-40B4-BE49-F238E27FC236}">
              <a16:creationId xmlns:a16="http://schemas.microsoft.com/office/drawing/2014/main" id="{00000000-0008-0000-0100-0000F8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37</xdr:row>
      <xdr:rowOff>0</xdr:rowOff>
    </xdr:from>
    <xdr:ext cx="476250" cy="476250"/>
    <xdr:pic>
      <xdr:nvPicPr>
        <xdr:cNvPr id="249" name="image126.jpg">
          <a:extLst>
            <a:ext uri="{FF2B5EF4-FFF2-40B4-BE49-F238E27FC236}">
              <a16:creationId xmlns:a16="http://schemas.microsoft.com/office/drawing/2014/main" id="{00000000-0008-0000-0100-0000F9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7</xdr:col>
      <xdr:colOff>0</xdr:colOff>
      <xdr:row>37</xdr:row>
      <xdr:rowOff>0</xdr:rowOff>
    </xdr:from>
    <xdr:ext cx="466725" cy="476250"/>
    <xdr:pic>
      <xdr:nvPicPr>
        <xdr:cNvPr id="250" name="image22.png">
          <a:extLst>
            <a:ext uri="{FF2B5EF4-FFF2-40B4-BE49-F238E27FC236}">
              <a16:creationId xmlns:a16="http://schemas.microsoft.com/office/drawing/2014/main" id="{00000000-0008-0000-0100-0000FA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0</xdr:colOff>
      <xdr:row>37</xdr:row>
      <xdr:rowOff>0</xdr:rowOff>
    </xdr:from>
    <xdr:ext cx="476250" cy="476250"/>
    <xdr:pic>
      <xdr:nvPicPr>
        <xdr:cNvPr id="251" name="image137.png">
          <a:extLst>
            <a:ext uri="{FF2B5EF4-FFF2-40B4-BE49-F238E27FC236}">
              <a16:creationId xmlns:a16="http://schemas.microsoft.com/office/drawing/2014/main" id="{00000000-0008-0000-0100-0000FB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9</xdr:col>
      <xdr:colOff>0</xdr:colOff>
      <xdr:row>37</xdr:row>
      <xdr:rowOff>0</xdr:rowOff>
    </xdr:from>
    <xdr:ext cx="476250" cy="476250"/>
    <xdr:pic>
      <xdr:nvPicPr>
        <xdr:cNvPr id="252" name="image11.png">
          <a:extLst>
            <a:ext uri="{FF2B5EF4-FFF2-40B4-BE49-F238E27FC236}">
              <a16:creationId xmlns:a16="http://schemas.microsoft.com/office/drawing/2014/main" id="{00000000-0008-0000-0100-0000F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37</xdr:row>
      <xdr:rowOff>0</xdr:rowOff>
    </xdr:from>
    <xdr:ext cx="476250" cy="476250"/>
    <xdr:pic>
      <xdr:nvPicPr>
        <xdr:cNvPr id="253" name="image120.png">
          <a:extLst>
            <a:ext uri="{FF2B5EF4-FFF2-40B4-BE49-F238E27FC236}">
              <a16:creationId xmlns:a16="http://schemas.microsoft.com/office/drawing/2014/main" id="{00000000-0008-0000-0100-0000FD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11</xdr:col>
      <xdr:colOff>0</xdr:colOff>
      <xdr:row>37</xdr:row>
      <xdr:rowOff>0</xdr:rowOff>
    </xdr:from>
    <xdr:ext cx="447675" cy="476250"/>
    <xdr:pic>
      <xdr:nvPicPr>
        <xdr:cNvPr id="254" name="image5.png">
          <a:extLst>
            <a:ext uri="{FF2B5EF4-FFF2-40B4-BE49-F238E27FC236}">
              <a16:creationId xmlns:a16="http://schemas.microsoft.com/office/drawing/2014/main" id="{00000000-0008-0000-0100-0000FE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0</xdr:colOff>
      <xdr:row>37</xdr:row>
      <xdr:rowOff>0</xdr:rowOff>
    </xdr:from>
    <xdr:ext cx="457200" cy="476250"/>
    <xdr:pic>
      <xdr:nvPicPr>
        <xdr:cNvPr id="255" name="image55.png">
          <a:extLst>
            <a:ext uri="{FF2B5EF4-FFF2-40B4-BE49-F238E27FC236}">
              <a16:creationId xmlns:a16="http://schemas.microsoft.com/office/drawing/2014/main" id="{00000000-0008-0000-0100-0000FF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3</xdr:col>
      <xdr:colOff>0</xdr:colOff>
      <xdr:row>38</xdr:row>
      <xdr:rowOff>0</xdr:rowOff>
    </xdr:from>
    <xdr:ext cx="476250" cy="476250"/>
    <xdr:pic>
      <xdr:nvPicPr>
        <xdr:cNvPr id="256" name="image131.jpg">
          <a:extLst>
            <a:ext uri="{FF2B5EF4-FFF2-40B4-BE49-F238E27FC236}">
              <a16:creationId xmlns:a16="http://schemas.microsoft.com/office/drawing/2014/main" id="{00000000-0008-0000-0100-00000001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7</xdr:col>
      <xdr:colOff>0</xdr:colOff>
      <xdr:row>38</xdr:row>
      <xdr:rowOff>0</xdr:rowOff>
    </xdr:from>
    <xdr:ext cx="476250" cy="476250"/>
    <xdr:pic>
      <xdr:nvPicPr>
        <xdr:cNvPr id="257" name="image132.png">
          <a:extLst>
            <a:ext uri="{FF2B5EF4-FFF2-40B4-BE49-F238E27FC236}">
              <a16:creationId xmlns:a16="http://schemas.microsoft.com/office/drawing/2014/main" id="{00000000-0008-0000-0100-00000101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8</xdr:col>
      <xdr:colOff>0</xdr:colOff>
      <xdr:row>38</xdr:row>
      <xdr:rowOff>0</xdr:rowOff>
    </xdr:from>
    <xdr:ext cx="476250" cy="476250"/>
    <xdr:pic>
      <xdr:nvPicPr>
        <xdr:cNvPr id="258" name="image132.png">
          <a:extLst>
            <a:ext uri="{FF2B5EF4-FFF2-40B4-BE49-F238E27FC236}">
              <a16:creationId xmlns:a16="http://schemas.microsoft.com/office/drawing/2014/main" id="{00000000-0008-0000-0100-00000201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9</xdr:col>
      <xdr:colOff>0</xdr:colOff>
      <xdr:row>38</xdr:row>
      <xdr:rowOff>0</xdr:rowOff>
    </xdr:from>
    <xdr:ext cx="476250" cy="476250"/>
    <xdr:pic>
      <xdr:nvPicPr>
        <xdr:cNvPr id="259" name="image10.png" title="Image">
          <a:extLst>
            <a:ext uri="{FF2B5EF4-FFF2-40B4-BE49-F238E27FC236}">
              <a16:creationId xmlns:a16="http://schemas.microsoft.com/office/drawing/2014/main" id="{00000000-0008-0000-0100-00000301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38</xdr:row>
      <xdr:rowOff>0</xdr:rowOff>
    </xdr:from>
    <xdr:ext cx="476250" cy="476250"/>
    <xdr:pic>
      <xdr:nvPicPr>
        <xdr:cNvPr id="260" name="image10.png" title="Image">
          <a:extLst>
            <a:ext uri="{FF2B5EF4-FFF2-40B4-BE49-F238E27FC236}">
              <a16:creationId xmlns:a16="http://schemas.microsoft.com/office/drawing/2014/main" id="{00000000-0008-0000-0100-00000401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0</xdr:colOff>
      <xdr:row>38</xdr:row>
      <xdr:rowOff>0</xdr:rowOff>
    </xdr:from>
    <xdr:ext cx="476250" cy="476250"/>
    <xdr:pic>
      <xdr:nvPicPr>
        <xdr:cNvPr id="261" name="image3.png">
          <a:extLst>
            <a:ext uri="{FF2B5EF4-FFF2-40B4-BE49-F238E27FC236}">
              <a16:creationId xmlns:a16="http://schemas.microsoft.com/office/drawing/2014/main" id="{00000000-0008-0000-0100-00000501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0</xdr:colOff>
      <xdr:row>38</xdr:row>
      <xdr:rowOff>0</xdr:rowOff>
    </xdr:from>
    <xdr:ext cx="476250" cy="476250"/>
    <xdr:pic>
      <xdr:nvPicPr>
        <xdr:cNvPr id="262" name="image3.png">
          <a:extLst>
            <a:ext uri="{FF2B5EF4-FFF2-40B4-BE49-F238E27FC236}">
              <a16:creationId xmlns:a16="http://schemas.microsoft.com/office/drawing/2014/main" id="{00000000-0008-0000-0100-00000601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0</xdr:colOff>
      <xdr:row>39</xdr:row>
      <xdr:rowOff>0</xdr:rowOff>
    </xdr:from>
    <xdr:ext cx="476250" cy="476250"/>
    <xdr:pic>
      <xdr:nvPicPr>
        <xdr:cNvPr id="263" name="image139.jpg">
          <a:extLst>
            <a:ext uri="{FF2B5EF4-FFF2-40B4-BE49-F238E27FC236}">
              <a16:creationId xmlns:a16="http://schemas.microsoft.com/office/drawing/2014/main" id="{00000000-0008-0000-0100-00000701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7</xdr:col>
      <xdr:colOff>0</xdr:colOff>
      <xdr:row>39</xdr:row>
      <xdr:rowOff>0</xdr:rowOff>
    </xdr:from>
    <xdr:ext cx="466725" cy="476250"/>
    <xdr:pic>
      <xdr:nvPicPr>
        <xdr:cNvPr id="264" name="image134.png">
          <a:extLst>
            <a:ext uri="{FF2B5EF4-FFF2-40B4-BE49-F238E27FC236}">
              <a16:creationId xmlns:a16="http://schemas.microsoft.com/office/drawing/2014/main" id="{00000000-0008-0000-0100-00000801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8</xdr:col>
      <xdr:colOff>0</xdr:colOff>
      <xdr:row>39</xdr:row>
      <xdr:rowOff>0</xdr:rowOff>
    </xdr:from>
    <xdr:ext cx="466725" cy="476250"/>
    <xdr:pic>
      <xdr:nvPicPr>
        <xdr:cNvPr id="265" name="image136.png">
          <a:extLst>
            <a:ext uri="{FF2B5EF4-FFF2-40B4-BE49-F238E27FC236}">
              <a16:creationId xmlns:a16="http://schemas.microsoft.com/office/drawing/2014/main" id="{00000000-0008-0000-0100-00000901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9</xdr:col>
      <xdr:colOff>0</xdr:colOff>
      <xdr:row>39</xdr:row>
      <xdr:rowOff>0</xdr:rowOff>
    </xdr:from>
    <xdr:ext cx="466725" cy="476250"/>
    <xdr:pic>
      <xdr:nvPicPr>
        <xdr:cNvPr id="266" name="image135.png">
          <a:extLst>
            <a:ext uri="{FF2B5EF4-FFF2-40B4-BE49-F238E27FC236}">
              <a16:creationId xmlns:a16="http://schemas.microsoft.com/office/drawing/2014/main" id="{00000000-0008-0000-0100-00000A01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10</xdr:col>
      <xdr:colOff>0</xdr:colOff>
      <xdr:row>39</xdr:row>
      <xdr:rowOff>0</xdr:rowOff>
    </xdr:from>
    <xdr:ext cx="466725" cy="476250"/>
    <xdr:pic>
      <xdr:nvPicPr>
        <xdr:cNvPr id="267" name="image135.png">
          <a:extLst>
            <a:ext uri="{FF2B5EF4-FFF2-40B4-BE49-F238E27FC236}">
              <a16:creationId xmlns:a16="http://schemas.microsoft.com/office/drawing/2014/main" id="{00000000-0008-0000-0100-00000B01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11</xdr:col>
      <xdr:colOff>0</xdr:colOff>
      <xdr:row>39</xdr:row>
      <xdr:rowOff>0</xdr:rowOff>
    </xdr:from>
    <xdr:ext cx="466725" cy="476250"/>
    <xdr:pic>
      <xdr:nvPicPr>
        <xdr:cNvPr id="268" name="image136.png">
          <a:extLst>
            <a:ext uri="{FF2B5EF4-FFF2-40B4-BE49-F238E27FC236}">
              <a16:creationId xmlns:a16="http://schemas.microsoft.com/office/drawing/2014/main" id="{00000000-0008-0000-0100-00000C01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12</xdr:col>
      <xdr:colOff>0</xdr:colOff>
      <xdr:row>39</xdr:row>
      <xdr:rowOff>0</xdr:rowOff>
    </xdr:from>
    <xdr:ext cx="476250" cy="476250"/>
    <xdr:pic>
      <xdr:nvPicPr>
        <xdr:cNvPr id="269" name="image14.png">
          <a:extLst>
            <a:ext uri="{FF2B5EF4-FFF2-40B4-BE49-F238E27FC236}">
              <a16:creationId xmlns:a16="http://schemas.microsoft.com/office/drawing/2014/main" id="{00000000-0008-0000-0100-00000D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40</xdr:row>
      <xdr:rowOff>0</xdr:rowOff>
    </xdr:from>
    <xdr:ext cx="476250" cy="476250"/>
    <xdr:pic>
      <xdr:nvPicPr>
        <xdr:cNvPr id="270" name="image138.jpg">
          <a:extLst>
            <a:ext uri="{FF2B5EF4-FFF2-40B4-BE49-F238E27FC236}">
              <a16:creationId xmlns:a16="http://schemas.microsoft.com/office/drawing/2014/main" id="{00000000-0008-0000-0100-00000E01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271" name="image133.png">
          <a:extLst>
            <a:ext uri="{FF2B5EF4-FFF2-40B4-BE49-F238E27FC236}">
              <a16:creationId xmlns:a16="http://schemas.microsoft.com/office/drawing/2014/main" id="{00000000-0008-0000-0100-00000F01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8</xdr:col>
      <xdr:colOff>0</xdr:colOff>
      <xdr:row>40</xdr:row>
      <xdr:rowOff>0</xdr:rowOff>
    </xdr:from>
    <xdr:ext cx="466725" cy="476250"/>
    <xdr:pic>
      <xdr:nvPicPr>
        <xdr:cNvPr id="272" name="image45.png">
          <a:extLst>
            <a:ext uri="{FF2B5EF4-FFF2-40B4-BE49-F238E27FC236}">
              <a16:creationId xmlns:a16="http://schemas.microsoft.com/office/drawing/2014/main" id="{00000000-0008-0000-0100-00001001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9</xdr:col>
      <xdr:colOff>0</xdr:colOff>
      <xdr:row>40</xdr:row>
      <xdr:rowOff>0</xdr:rowOff>
    </xdr:from>
    <xdr:ext cx="476250" cy="476250"/>
    <xdr:pic>
      <xdr:nvPicPr>
        <xdr:cNvPr id="273" name="image10.png" title="Image">
          <a:extLst>
            <a:ext uri="{FF2B5EF4-FFF2-40B4-BE49-F238E27FC236}">
              <a16:creationId xmlns:a16="http://schemas.microsoft.com/office/drawing/2014/main" id="{00000000-0008-0000-0100-00001101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40</xdr:row>
      <xdr:rowOff>0</xdr:rowOff>
    </xdr:from>
    <xdr:ext cx="476250" cy="476250"/>
    <xdr:pic>
      <xdr:nvPicPr>
        <xdr:cNvPr id="274" name="image10.png" title="Image">
          <a:extLst>
            <a:ext uri="{FF2B5EF4-FFF2-40B4-BE49-F238E27FC236}">
              <a16:creationId xmlns:a16="http://schemas.microsoft.com/office/drawing/2014/main" id="{00000000-0008-0000-0100-00001201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0</xdr:colOff>
      <xdr:row>40</xdr:row>
      <xdr:rowOff>0</xdr:rowOff>
    </xdr:from>
    <xdr:ext cx="476250" cy="476250"/>
    <xdr:pic>
      <xdr:nvPicPr>
        <xdr:cNvPr id="275" name="image3.png">
          <a:extLst>
            <a:ext uri="{FF2B5EF4-FFF2-40B4-BE49-F238E27FC236}">
              <a16:creationId xmlns:a16="http://schemas.microsoft.com/office/drawing/2014/main" id="{00000000-0008-0000-0100-00001301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0</xdr:colOff>
      <xdr:row>40</xdr:row>
      <xdr:rowOff>0</xdr:rowOff>
    </xdr:from>
    <xdr:ext cx="476250" cy="476250"/>
    <xdr:pic>
      <xdr:nvPicPr>
        <xdr:cNvPr id="276" name="image27.png">
          <a:extLst>
            <a:ext uri="{FF2B5EF4-FFF2-40B4-BE49-F238E27FC236}">
              <a16:creationId xmlns:a16="http://schemas.microsoft.com/office/drawing/2014/main" id="{00000000-0008-0000-0100-00001401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0</xdr:colOff>
      <xdr:row>41</xdr:row>
      <xdr:rowOff>0</xdr:rowOff>
    </xdr:from>
    <xdr:ext cx="476250" cy="476250"/>
    <xdr:pic>
      <xdr:nvPicPr>
        <xdr:cNvPr id="277" name="image156.jpg">
          <a:extLst>
            <a:ext uri="{FF2B5EF4-FFF2-40B4-BE49-F238E27FC236}">
              <a16:creationId xmlns:a16="http://schemas.microsoft.com/office/drawing/2014/main" id="{00000000-0008-0000-0100-00001501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7</xdr:col>
      <xdr:colOff>0</xdr:colOff>
      <xdr:row>41</xdr:row>
      <xdr:rowOff>0</xdr:rowOff>
    </xdr:from>
    <xdr:ext cx="476250" cy="476250"/>
    <xdr:pic>
      <xdr:nvPicPr>
        <xdr:cNvPr id="278" name="image125.png">
          <a:extLst>
            <a:ext uri="{FF2B5EF4-FFF2-40B4-BE49-F238E27FC236}">
              <a16:creationId xmlns:a16="http://schemas.microsoft.com/office/drawing/2014/main" id="{00000000-0008-0000-0100-00001601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8</xdr:col>
      <xdr:colOff>0</xdr:colOff>
      <xdr:row>41</xdr:row>
      <xdr:rowOff>0</xdr:rowOff>
    </xdr:from>
    <xdr:ext cx="476250" cy="476250"/>
    <xdr:pic>
      <xdr:nvPicPr>
        <xdr:cNvPr id="279" name="image133.png">
          <a:extLst>
            <a:ext uri="{FF2B5EF4-FFF2-40B4-BE49-F238E27FC236}">
              <a16:creationId xmlns:a16="http://schemas.microsoft.com/office/drawing/2014/main" id="{00000000-0008-0000-0100-00001701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9</xdr:col>
      <xdr:colOff>0</xdr:colOff>
      <xdr:row>41</xdr:row>
      <xdr:rowOff>0</xdr:rowOff>
    </xdr:from>
    <xdr:ext cx="476250" cy="476250"/>
    <xdr:pic>
      <xdr:nvPicPr>
        <xdr:cNvPr id="280" name="image78.png">
          <a:extLst>
            <a:ext uri="{FF2B5EF4-FFF2-40B4-BE49-F238E27FC236}">
              <a16:creationId xmlns:a16="http://schemas.microsoft.com/office/drawing/2014/main" id="{00000000-0008-0000-0100-00001801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10</xdr:col>
      <xdr:colOff>0</xdr:colOff>
      <xdr:row>41</xdr:row>
      <xdr:rowOff>0</xdr:rowOff>
    </xdr:from>
    <xdr:ext cx="476250" cy="476250"/>
    <xdr:pic>
      <xdr:nvPicPr>
        <xdr:cNvPr id="281" name="image78.png">
          <a:extLst>
            <a:ext uri="{FF2B5EF4-FFF2-40B4-BE49-F238E27FC236}">
              <a16:creationId xmlns:a16="http://schemas.microsoft.com/office/drawing/2014/main" id="{00000000-0008-0000-0100-00001901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11</xdr:col>
      <xdr:colOff>0</xdr:colOff>
      <xdr:row>41</xdr:row>
      <xdr:rowOff>0</xdr:rowOff>
    </xdr:from>
    <xdr:ext cx="485775" cy="466725"/>
    <xdr:pic>
      <xdr:nvPicPr>
        <xdr:cNvPr id="282" name="image144.png">
          <a:extLst>
            <a:ext uri="{FF2B5EF4-FFF2-40B4-BE49-F238E27FC236}">
              <a16:creationId xmlns:a16="http://schemas.microsoft.com/office/drawing/2014/main" id="{00000000-0008-0000-0100-00001A01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12</xdr:col>
      <xdr:colOff>0</xdr:colOff>
      <xdr:row>41</xdr:row>
      <xdr:rowOff>0</xdr:rowOff>
    </xdr:from>
    <xdr:ext cx="485775" cy="466725"/>
    <xdr:pic>
      <xdr:nvPicPr>
        <xdr:cNvPr id="283" name="image144.png">
          <a:extLst>
            <a:ext uri="{FF2B5EF4-FFF2-40B4-BE49-F238E27FC236}">
              <a16:creationId xmlns:a16="http://schemas.microsoft.com/office/drawing/2014/main" id="{00000000-0008-0000-0100-00001B01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3</xdr:col>
      <xdr:colOff>0</xdr:colOff>
      <xdr:row>42</xdr:row>
      <xdr:rowOff>0</xdr:rowOff>
    </xdr:from>
    <xdr:ext cx="476250" cy="476250"/>
    <xdr:pic>
      <xdr:nvPicPr>
        <xdr:cNvPr id="284" name="image143.jpg">
          <a:extLst>
            <a:ext uri="{FF2B5EF4-FFF2-40B4-BE49-F238E27FC236}">
              <a16:creationId xmlns:a16="http://schemas.microsoft.com/office/drawing/2014/main" id="{00000000-0008-0000-0100-00001C01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7</xdr:col>
      <xdr:colOff>0</xdr:colOff>
      <xdr:row>42</xdr:row>
      <xdr:rowOff>0</xdr:rowOff>
    </xdr:from>
    <xdr:ext cx="476250" cy="476250"/>
    <xdr:pic>
      <xdr:nvPicPr>
        <xdr:cNvPr id="285" name="image141.png">
          <a:extLst>
            <a:ext uri="{FF2B5EF4-FFF2-40B4-BE49-F238E27FC236}">
              <a16:creationId xmlns:a16="http://schemas.microsoft.com/office/drawing/2014/main" id="{00000000-0008-0000-0100-00001D01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8</xdr:col>
      <xdr:colOff>0</xdr:colOff>
      <xdr:row>42</xdr:row>
      <xdr:rowOff>0</xdr:rowOff>
    </xdr:from>
    <xdr:ext cx="476250" cy="476250"/>
    <xdr:pic>
      <xdr:nvPicPr>
        <xdr:cNvPr id="286" name="image35.png">
          <a:extLst>
            <a:ext uri="{FF2B5EF4-FFF2-40B4-BE49-F238E27FC236}">
              <a16:creationId xmlns:a16="http://schemas.microsoft.com/office/drawing/2014/main" id="{00000000-0008-0000-0100-00001E01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9</xdr:col>
      <xdr:colOff>0</xdr:colOff>
      <xdr:row>42</xdr:row>
      <xdr:rowOff>0</xdr:rowOff>
    </xdr:from>
    <xdr:ext cx="476250" cy="476250"/>
    <xdr:pic>
      <xdr:nvPicPr>
        <xdr:cNvPr id="287" name="image151.png">
          <a:extLst>
            <a:ext uri="{FF2B5EF4-FFF2-40B4-BE49-F238E27FC236}">
              <a16:creationId xmlns:a16="http://schemas.microsoft.com/office/drawing/2014/main" id="{00000000-0008-0000-0100-00001F01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10</xdr:col>
      <xdr:colOff>0</xdr:colOff>
      <xdr:row>42</xdr:row>
      <xdr:rowOff>0</xdr:rowOff>
    </xdr:from>
    <xdr:ext cx="476250" cy="476250"/>
    <xdr:pic>
      <xdr:nvPicPr>
        <xdr:cNvPr id="288" name="image151.png">
          <a:extLst>
            <a:ext uri="{FF2B5EF4-FFF2-40B4-BE49-F238E27FC236}">
              <a16:creationId xmlns:a16="http://schemas.microsoft.com/office/drawing/2014/main" id="{00000000-0008-0000-0100-00002001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11</xdr:col>
      <xdr:colOff>0</xdr:colOff>
      <xdr:row>42</xdr:row>
      <xdr:rowOff>0</xdr:rowOff>
    </xdr:from>
    <xdr:ext cx="476250" cy="476250"/>
    <xdr:pic>
      <xdr:nvPicPr>
        <xdr:cNvPr id="289" name="image35.png">
          <a:extLst>
            <a:ext uri="{FF2B5EF4-FFF2-40B4-BE49-F238E27FC236}">
              <a16:creationId xmlns:a16="http://schemas.microsoft.com/office/drawing/2014/main" id="{00000000-0008-0000-0100-00002101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12</xdr:col>
      <xdr:colOff>0</xdr:colOff>
      <xdr:row>42</xdr:row>
      <xdr:rowOff>0</xdr:rowOff>
    </xdr:from>
    <xdr:ext cx="476250" cy="476250"/>
    <xdr:pic>
      <xdr:nvPicPr>
        <xdr:cNvPr id="290" name="image14.png">
          <a:extLst>
            <a:ext uri="{FF2B5EF4-FFF2-40B4-BE49-F238E27FC236}">
              <a16:creationId xmlns:a16="http://schemas.microsoft.com/office/drawing/2014/main" id="{00000000-0008-0000-0100-000022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43</xdr:row>
      <xdr:rowOff>0</xdr:rowOff>
    </xdr:from>
    <xdr:ext cx="476250" cy="476250"/>
    <xdr:pic>
      <xdr:nvPicPr>
        <xdr:cNvPr id="291" name="image158.jpg">
          <a:extLst>
            <a:ext uri="{FF2B5EF4-FFF2-40B4-BE49-F238E27FC236}">
              <a16:creationId xmlns:a16="http://schemas.microsoft.com/office/drawing/2014/main" id="{00000000-0008-0000-0100-00002301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7</xdr:col>
      <xdr:colOff>0</xdr:colOff>
      <xdr:row>43</xdr:row>
      <xdr:rowOff>0</xdr:rowOff>
    </xdr:from>
    <xdr:ext cx="476250" cy="476250"/>
    <xdr:pic>
      <xdr:nvPicPr>
        <xdr:cNvPr id="292" name="image142.png">
          <a:extLst>
            <a:ext uri="{FF2B5EF4-FFF2-40B4-BE49-F238E27FC236}">
              <a16:creationId xmlns:a16="http://schemas.microsoft.com/office/drawing/2014/main" id="{00000000-0008-0000-0100-00002401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8</xdr:col>
      <xdr:colOff>0</xdr:colOff>
      <xdr:row>43</xdr:row>
      <xdr:rowOff>0</xdr:rowOff>
    </xdr:from>
    <xdr:ext cx="476250" cy="476250"/>
    <xdr:pic>
      <xdr:nvPicPr>
        <xdr:cNvPr id="293" name="image142.png">
          <a:extLst>
            <a:ext uri="{FF2B5EF4-FFF2-40B4-BE49-F238E27FC236}">
              <a16:creationId xmlns:a16="http://schemas.microsoft.com/office/drawing/2014/main" id="{00000000-0008-0000-0100-00002501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9</xdr:col>
      <xdr:colOff>0</xdr:colOff>
      <xdr:row>43</xdr:row>
      <xdr:rowOff>0</xdr:rowOff>
    </xdr:from>
    <xdr:ext cx="476250" cy="476250"/>
    <xdr:pic>
      <xdr:nvPicPr>
        <xdr:cNvPr id="294" name="image23.png">
          <a:extLst>
            <a:ext uri="{FF2B5EF4-FFF2-40B4-BE49-F238E27FC236}">
              <a16:creationId xmlns:a16="http://schemas.microsoft.com/office/drawing/2014/main" id="{00000000-0008-0000-0100-00002601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10</xdr:col>
      <xdr:colOff>0</xdr:colOff>
      <xdr:row>43</xdr:row>
      <xdr:rowOff>0</xdr:rowOff>
    </xdr:from>
    <xdr:ext cx="476250" cy="476250"/>
    <xdr:pic>
      <xdr:nvPicPr>
        <xdr:cNvPr id="295" name="image23.png">
          <a:extLst>
            <a:ext uri="{FF2B5EF4-FFF2-40B4-BE49-F238E27FC236}">
              <a16:creationId xmlns:a16="http://schemas.microsoft.com/office/drawing/2014/main" id="{00000000-0008-0000-0100-00002701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11</xdr:col>
      <xdr:colOff>0</xdr:colOff>
      <xdr:row>43</xdr:row>
      <xdr:rowOff>0</xdr:rowOff>
    </xdr:from>
    <xdr:ext cx="476250" cy="476250"/>
    <xdr:pic>
      <xdr:nvPicPr>
        <xdr:cNvPr id="296" name="image141.png">
          <a:extLst>
            <a:ext uri="{FF2B5EF4-FFF2-40B4-BE49-F238E27FC236}">
              <a16:creationId xmlns:a16="http://schemas.microsoft.com/office/drawing/2014/main" id="{00000000-0008-0000-0100-00002801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12</xdr:col>
      <xdr:colOff>0</xdr:colOff>
      <xdr:row>43</xdr:row>
      <xdr:rowOff>0</xdr:rowOff>
    </xdr:from>
    <xdr:ext cx="476250" cy="476250"/>
    <xdr:pic>
      <xdr:nvPicPr>
        <xdr:cNvPr id="297" name="image14.png">
          <a:extLst>
            <a:ext uri="{FF2B5EF4-FFF2-40B4-BE49-F238E27FC236}">
              <a16:creationId xmlns:a16="http://schemas.microsoft.com/office/drawing/2014/main" id="{00000000-0008-0000-0100-000029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44</xdr:row>
      <xdr:rowOff>0</xdr:rowOff>
    </xdr:from>
    <xdr:ext cx="476250" cy="476250"/>
    <xdr:pic>
      <xdr:nvPicPr>
        <xdr:cNvPr id="298" name="image145.jpg">
          <a:extLst>
            <a:ext uri="{FF2B5EF4-FFF2-40B4-BE49-F238E27FC236}">
              <a16:creationId xmlns:a16="http://schemas.microsoft.com/office/drawing/2014/main" id="{00000000-0008-0000-0100-00002A01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7</xdr:col>
      <xdr:colOff>0</xdr:colOff>
      <xdr:row>44</xdr:row>
      <xdr:rowOff>0</xdr:rowOff>
    </xdr:from>
    <xdr:ext cx="476250" cy="476250"/>
    <xdr:pic>
      <xdr:nvPicPr>
        <xdr:cNvPr id="299" name="image147.png">
          <a:extLst>
            <a:ext uri="{FF2B5EF4-FFF2-40B4-BE49-F238E27FC236}">
              <a16:creationId xmlns:a16="http://schemas.microsoft.com/office/drawing/2014/main" id="{00000000-0008-0000-0100-00002B01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8</xdr:col>
      <xdr:colOff>0</xdr:colOff>
      <xdr:row>44</xdr:row>
      <xdr:rowOff>0</xdr:rowOff>
    </xdr:from>
    <xdr:ext cx="447675" cy="476250"/>
    <xdr:pic>
      <xdr:nvPicPr>
        <xdr:cNvPr id="300" name="image5.png">
          <a:extLst>
            <a:ext uri="{FF2B5EF4-FFF2-40B4-BE49-F238E27FC236}">
              <a16:creationId xmlns:a16="http://schemas.microsoft.com/office/drawing/2014/main" id="{00000000-0008-0000-0100-00002C01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44</xdr:row>
      <xdr:rowOff>0</xdr:rowOff>
    </xdr:from>
    <xdr:ext cx="476250" cy="476250"/>
    <xdr:pic>
      <xdr:nvPicPr>
        <xdr:cNvPr id="301" name="image172.png">
          <a:extLst>
            <a:ext uri="{FF2B5EF4-FFF2-40B4-BE49-F238E27FC236}">
              <a16:creationId xmlns:a16="http://schemas.microsoft.com/office/drawing/2014/main" id="{00000000-0008-0000-0100-00002D01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10</xdr:col>
      <xdr:colOff>0</xdr:colOff>
      <xdr:row>44</xdr:row>
      <xdr:rowOff>0</xdr:rowOff>
    </xdr:from>
    <xdr:ext cx="476250" cy="476250"/>
    <xdr:pic>
      <xdr:nvPicPr>
        <xdr:cNvPr id="302" name="image172.png">
          <a:extLst>
            <a:ext uri="{FF2B5EF4-FFF2-40B4-BE49-F238E27FC236}">
              <a16:creationId xmlns:a16="http://schemas.microsoft.com/office/drawing/2014/main" id="{00000000-0008-0000-0100-00002E01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11</xdr:col>
      <xdr:colOff>0</xdr:colOff>
      <xdr:row>44</xdr:row>
      <xdr:rowOff>0</xdr:rowOff>
    </xdr:from>
    <xdr:ext cx="476250" cy="476250"/>
    <xdr:pic>
      <xdr:nvPicPr>
        <xdr:cNvPr id="303" name="image14.png">
          <a:extLst>
            <a:ext uri="{FF2B5EF4-FFF2-40B4-BE49-F238E27FC236}">
              <a16:creationId xmlns:a16="http://schemas.microsoft.com/office/drawing/2014/main" id="{00000000-0008-0000-0100-00002F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44</xdr:row>
      <xdr:rowOff>0</xdr:rowOff>
    </xdr:from>
    <xdr:ext cx="476250" cy="476250"/>
    <xdr:pic>
      <xdr:nvPicPr>
        <xdr:cNvPr id="304" name="image14.png">
          <a:extLst>
            <a:ext uri="{FF2B5EF4-FFF2-40B4-BE49-F238E27FC236}">
              <a16:creationId xmlns:a16="http://schemas.microsoft.com/office/drawing/2014/main" id="{00000000-0008-0000-0100-000030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45</xdr:row>
      <xdr:rowOff>0</xdr:rowOff>
    </xdr:from>
    <xdr:ext cx="476250" cy="476250"/>
    <xdr:pic>
      <xdr:nvPicPr>
        <xdr:cNvPr id="305" name="image150.jpg">
          <a:extLst>
            <a:ext uri="{FF2B5EF4-FFF2-40B4-BE49-F238E27FC236}">
              <a16:creationId xmlns:a16="http://schemas.microsoft.com/office/drawing/2014/main" id="{00000000-0008-0000-0100-00003101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7</xdr:col>
      <xdr:colOff>0</xdr:colOff>
      <xdr:row>45</xdr:row>
      <xdr:rowOff>0</xdr:rowOff>
    </xdr:from>
    <xdr:ext cx="476250" cy="476250"/>
    <xdr:pic>
      <xdr:nvPicPr>
        <xdr:cNvPr id="306" name="image148.png">
          <a:extLst>
            <a:ext uri="{FF2B5EF4-FFF2-40B4-BE49-F238E27FC236}">
              <a16:creationId xmlns:a16="http://schemas.microsoft.com/office/drawing/2014/main" id="{00000000-0008-0000-0100-00003201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8</xdr:col>
      <xdr:colOff>0</xdr:colOff>
      <xdr:row>45</xdr:row>
      <xdr:rowOff>0</xdr:rowOff>
    </xdr:from>
    <xdr:ext cx="466725" cy="476250"/>
    <xdr:pic>
      <xdr:nvPicPr>
        <xdr:cNvPr id="307" name="image161.png">
          <a:extLst>
            <a:ext uri="{FF2B5EF4-FFF2-40B4-BE49-F238E27FC236}">
              <a16:creationId xmlns:a16="http://schemas.microsoft.com/office/drawing/2014/main" id="{00000000-0008-0000-0100-00003301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9</xdr:col>
      <xdr:colOff>0</xdr:colOff>
      <xdr:row>45</xdr:row>
      <xdr:rowOff>0</xdr:rowOff>
    </xdr:from>
    <xdr:ext cx="466725" cy="476250"/>
    <xdr:pic>
      <xdr:nvPicPr>
        <xdr:cNvPr id="308" name="image153.png">
          <a:extLst>
            <a:ext uri="{FF2B5EF4-FFF2-40B4-BE49-F238E27FC236}">
              <a16:creationId xmlns:a16="http://schemas.microsoft.com/office/drawing/2014/main" id="{00000000-0008-0000-0100-00003401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10</xdr:col>
      <xdr:colOff>0</xdr:colOff>
      <xdr:row>45</xdr:row>
      <xdr:rowOff>0</xdr:rowOff>
    </xdr:from>
    <xdr:ext cx="466725" cy="476250"/>
    <xdr:pic>
      <xdr:nvPicPr>
        <xdr:cNvPr id="309" name="image153.png">
          <a:extLst>
            <a:ext uri="{FF2B5EF4-FFF2-40B4-BE49-F238E27FC236}">
              <a16:creationId xmlns:a16="http://schemas.microsoft.com/office/drawing/2014/main" id="{00000000-0008-0000-0100-00003501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11</xdr:col>
      <xdr:colOff>0</xdr:colOff>
      <xdr:row>45</xdr:row>
      <xdr:rowOff>0</xdr:rowOff>
    </xdr:from>
    <xdr:ext cx="466725" cy="476250"/>
    <xdr:pic>
      <xdr:nvPicPr>
        <xdr:cNvPr id="310" name="image64.png">
          <a:extLst>
            <a:ext uri="{FF2B5EF4-FFF2-40B4-BE49-F238E27FC236}">
              <a16:creationId xmlns:a16="http://schemas.microsoft.com/office/drawing/2014/main" id="{00000000-0008-0000-0100-00003601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12</xdr:col>
      <xdr:colOff>0</xdr:colOff>
      <xdr:row>45</xdr:row>
      <xdr:rowOff>0</xdr:rowOff>
    </xdr:from>
    <xdr:ext cx="476250" cy="476250"/>
    <xdr:pic>
      <xdr:nvPicPr>
        <xdr:cNvPr id="311" name="image14.png">
          <a:extLst>
            <a:ext uri="{FF2B5EF4-FFF2-40B4-BE49-F238E27FC236}">
              <a16:creationId xmlns:a16="http://schemas.microsoft.com/office/drawing/2014/main" id="{00000000-0008-0000-0100-000037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46</xdr:row>
      <xdr:rowOff>0</xdr:rowOff>
    </xdr:from>
    <xdr:ext cx="476250" cy="476250"/>
    <xdr:pic>
      <xdr:nvPicPr>
        <xdr:cNvPr id="312" name="image154.jpg">
          <a:extLst>
            <a:ext uri="{FF2B5EF4-FFF2-40B4-BE49-F238E27FC236}">
              <a16:creationId xmlns:a16="http://schemas.microsoft.com/office/drawing/2014/main" id="{00000000-0008-0000-0100-00003801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7</xdr:col>
      <xdr:colOff>0</xdr:colOff>
      <xdr:row>46</xdr:row>
      <xdr:rowOff>0</xdr:rowOff>
    </xdr:from>
    <xdr:ext cx="476250" cy="476250"/>
    <xdr:pic>
      <xdr:nvPicPr>
        <xdr:cNvPr id="313" name="image14.png">
          <a:extLst>
            <a:ext uri="{FF2B5EF4-FFF2-40B4-BE49-F238E27FC236}">
              <a16:creationId xmlns:a16="http://schemas.microsoft.com/office/drawing/2014/main" id="{00000000-0008-0000-0100-000039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0</xdr:colOff>
      <xdr:row>46</xdr:row>
      <xdr:rowOff>0</xdr:rowOff>
    </xdr:from>
    <xdr:ext cx="476250" cy="476250"/>
    <xdr:pic>
      <xdr:nvPicPr>
        <xdr:cNvPr id="314" name="image14.png">
          <a:extLst>
            <a:ext uri="{FF2B5EF4-FFF2-40B4-BE49-F238E27FC236}">
              <a16:creationId xmlns:a16="http://schemas.microsoft.com/office/drawing/2014/main" id="{00000000-0008-0000-0100-00003A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0</xdr:colOff>
      <xdr:row>46</xdr:row>
      <xdr:rowOff>0</xdr:rowOff>
    </xdr:from>
    <xdr:ext cx="476250" cy="476250"/>
    <xdr:pic>
      <xdr:nvPicPr>
        <xdr:cNvPr id="315" name="image14.png">
          <a:extLst>
            <a:ext uri="{FF2B5EF4-FFF2-40B4-BE49-F238E27FC236}">
              <a16:creationId xmlns:a16="http://schemas.microsoft.com/office/drawing/2014/main" id="{00000000-0008-0000-0100-00003B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46</xdr:row>
      <xdr:rowOff>0</xdr:rowOff>
    </xdr:from>
    <xdr:ext cx="476250" cy="476250"/>
    <xdr:pic>
      <xdr:nvPicPr>
        <xdr:cNvPr id="316" name="image14.png">
          <a:extLst>
            <a:ext uri="{FF2B5EF4-FFF2-40B4-BE49-F238E27FC236}">
              <a16:creationId xmlns:a16="http://schemas.microsoft.com/office/drawing/2014/main" id="{00000000-0008-0000-0100-00003C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46</xdr:row>
      <xdr:rowOff>0</xdr:rowOff>
    </xdr:from>
    <xdr:ext cx="476250" cy="476250"/>
    <xdr:pic>
      <xdr:nvPicPr>
        <xdr:cNvPr id="317" name="image14.png">
          <a:extLst>
            <a:ext uri="{FF2B5EF4-FFF2-40B4-BE49-F238E27FC236}">
              <a16:creationId xmlns:a16="http://schemas.microsoft.com/office/drawing/2014/main" id="{00000000-0008-0000-0100-00003D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46</xdr:row>
      <xdr:rowOff>0</xdr:rowOff>
    </xdr:from>
    <xdr:ext cx="476250" cy="476250"/>
    <xdr:pic>
      <xdr:nvPicPr>
        <xdr:cNvPr id="318" name="image14.png">
          <a:extLst>
            <a:ext uri="{FF2B5EF4-FFF2-40B4-BE49-F238E27FC236}">
              <a16:creationId xmlns:a16="http://schemas.microsoft.com/office/drawing/2014/main" id="{00000000-0008-0000-0100-00003E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47</xdr:row>
      <xdr:rowOff>0</xdr:rowOff>
    </xdr:from>
    <xdr:ext cx="476250" cy="476250"/>
    <xdr:pic>
      <xdr:nvPicPr>
        <xdr:cNvPr id="319" name="image146.jpg">
          <a:extLst>
            <a:ext uri="{FF2B5EF4-FFF2-40B4-BE49-F238E27FC236}">
              <a16:creationId xmlns:a16="http://schemas.microsoft.com/office/drawing/2014/main" id="{00000000-0008-0000-0100-00003F01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7</xdr:col>
      <xdr:colOff>0</xdr:colOff>
      <xdr:row>47</xdr:row>
      <xdr:rowOff>0</xdr:rowOff>
    </xdr:from>
    <xdr:ext cx="476250" cy="476250"/>
    <xdr:pic>
      <xdr:nvPicPr>
        <xdr:cNvPr id="320" name="image149.png">
          <a:extLst>
            <a:ext uri="{FF2B5EF4-FFF2-40B4-BE49-F238E27FC236}">
              <a16:creationId xmlns:a16="http://schemas.microsoft.com/office/drawing/2014/main" id="{00000000-0008-0000-0100-00004001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8</xdr:col>
      <xdr:colOff>0</xdr:colOff>
      <xdr:row>47</xdr:row>
      <xdr:rowOff>0</xdr:rowOff>
    </xdr:from>
    <xdr:ext cx="476250" cy="476250"/>
    <xdr:pic>
      <xdr:nvPicPr>
        <xdr:cNvPr id="321" name="image152.png">
          <a:extLst>
            <a:ext uri="{FF2B5EF4-FFF2-40B4-BE49-F238E27FC236}">
              <a16:creationId xmlns:a16="http://schemas.microsoft.com/office/drawing/2014/main" id="{00000000-0008-0000-0100-00004101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9</xdr:col>
      <xdr:colOff>0</xdr:colOff>
      <xdr:row>47</xdr:row>
      <xdr:rowOff>0</xdr:rowOff>
    </xdr:from>
    <xdr:ext cx="476250" cy="476250"/>
    <xdr:pic>
      <xdr:nvPicPr>
        <xdr:cNvPr id="322" name="image47.png">
          <a:extLst>
            <a:ext uri="{FF2B5EF4-FFF2-40B4-BE49-F238E27FC236}">
              <a16:creationId xmlns:a16="http://schemas.microsoft.com/office/drawing/2014/main" id="{00000000-0008-0000-0100-000042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10</xdr:col>
      <xdr:colOff>0</xdr:colOff>
      <xdr:row>47</xdr:row>
      <xdr:rowOff>0</xdr:rowOff>
    </xdr:from>
    <xdr:ext cx="476250" cy="476250"/>
    <xdr:pic>
      <xdr:nvPicPr>
        <xdr:cNvPr id="323" name="image47.png">
          <a:extLst>
            <a:ext uri="{FF2B5EF4-FFF2-40B4-BE49-F238E27FC236}">
              <a16:creationId xmlns:a16="http://schemas.microsoft.com/office/drawing/2014/main" id="{00000000-0008-0000-0100-000043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11</xdr:col>
      <xdr:colOff>0</xdr:colOff>
      <xdr:row>47</xdr:row>
      <xdr:rowOff>0</xdr:rowOff>
    </xdr:from>
    <xdr:ext cx="476250" cy="476250"/>
    <xdr:pic>
      <xdr:nvPicPr>
        <xdr:cNvPr id="324" name="image175.png">
          <a:extLst>
            <a:ext uri="{FF2B5EF4-FFF2-40B4-BE49-F238E27FC236}">
              <a16:creationId xmlns:a16="http://schemas.microsoft.com/office/drawing/2014/main" id="{00000000-0008-0000-0100-00004401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12</xdr:col>
      <xdr:colOff>0</xdr:colOff>
      <xdr:row>47</xdr:row>
      <xdr:rowOff>0</xdr:rowOff>
    </xdr:from>
    <xdr:ext cx="476250" cy="476250"/>
    <xdr:pic>
      <xdr:nvPicPr>
        <xdr:cNvPr id="325" name="image165.png" title="Image">
          <a:extLst>
            <a:ext uri="{FF2B5EF4-FFF2-40B4-BE49-F238E27FC236}">
              <a16:creationId xmlns:a16="http://schemas.microsoft.com/office/drawing/2014/main" id="{00000000-0008-0000-0100-00004501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13</xdr:col>
      <xdr:colOff>0</xdr:colOff>
      <xdr:row>47</xdr:row>
      <xdr:rowOff>0</xdr:rowOff>
    </xdr:from>
    <xdr:ext cx="476250" cy="476250"/>
    <xdr:pic>
      <xdr:nvPicPr>
        <xdr:cNvPr id="326" name="image155.png">
          <a:extLst>
            <a:ext uri="{FF2B5EF4-FFF2-40B4-BE49-F238E27FC236}">
              <a16:creationId xmlns:a16="http://schemas.microsoft.com/office/drawing/2014/main" id="{00000000-0008-0000-0100-00004601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3</xdr:col>
      <xdr:colOff>0</xdr:colOff>
      <xdr:row>48</xdr:row>
      <xdr:rowOff>0</xdr:rowOff>
    </xdr:from>
    <xdr:ext cx="476250" cy="476250"/>
    <xdr:pic>
      <xdr:nvPicPr>
        <xdr:cNvPr id="327" name="image159.jpg">
          <a:extLst>
            <a:ext uri="{FF2B5EF4-FFF2-40B4-BE49-F238E27FC236}">
              <a16:creationId xmlns:a16="http://schemas.microsoft.com/office/drawing/2014/main" id="{00000000-0008-0000-0100-00004701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7</xdr:col>
      <xdr:colOff>0</xdr:colOff>
      <xdr:row>48</xdr:row>
      <xdr:rowOff>0</xdr:rowOff>
    </xdr:from>
    <xdr:ext cx="476250" cy="476250"/>
    <xdr:pic>
      <xdr:nvPicPr>
        <xdr:cNvPr id="328" name="image47.png">
          <a:extLst>
            <a:ext uri="{FF2B5EF4-FFF2-40B4-BE49-F238E27FC236}">
              <a16:creationId xmlns:a16="http://schemas.microsoft.com/office/drawing/2014/main" id="{00000000-0008-0000-0100-000048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8</xdr:col>
      <xdr:colOff>0</xdr:colOff>
      <xdr:row>48</xdr:row>
      <xdr:rowOff>0</xdr:rowOff>
    </xdr:from>
    <xdr:ext cx="476250" cy="476250"/>
    <xdr:pic>
      <xdr:nvPicPr>
        <xdr:cNvPr id="329" name="image47.png">
          <a:extLst>
            <a:ext uri="{FF2B5EF4-FFF2-40B4-BE49-F238E27FC236}">
              <a16:creationId xmlns:a16="http://schemas.microsoft.com/office/drawing/2014/main" id="{00000000-0008-0000-0100-000049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48</xdr:row>
      <xdr:rowOff>0</xdr:rowOff>
    </xdr:from>
    <xdr:ext cx="476250" cy="476250"/>
    <xdr:pic>
      <xdr:nvPicPr>
        <xdr:cNvPr id="330" name="image180.png">
          <a:extLst>
            <a:ext uri="{FF2B5EF4-FFF2-40B4-BE49-F238E27FC236}">
              <a16:creationId xmlns:a16="http://schemas.microsoft.com/office/drawing/2014/main" id="{00000000-0008-0000-0100-00004A01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10</xdr:col>
      <xdr:colOff>0</xdr:colOff>
      <xdr:row>48</xdr:row>
      <xdr:rowOff>0</xdr:rowOff>
    </xdr:from>
    <xdr:ext cx="476250" cy="476250"/>
    <xdr:pic>
      <xdr:nvPicPr>
        <xdr:cNvPr id="331" name="image180.png">
          <a:extLst>
            <a:ext uri="{FF2B5EF4-FFF2-40B4-BE49-F238E27FC236}">
              <a16:creationId xmlns:a16="http://schemas.microsoft.com/office/drawing/2014/main" id="{00000000-0008-0000-0100-00004B01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11</xdr:col>
      <xdr:colOff>0</xdr:colOff>
      <xdr:row>48</xdr:row>
      <xdr:rowOff>0</xdr:rowOff>
    </xdr:from>
    <xdr:ext cx="476250" cy="476250"/>
    <xdr:pic>
      <xdr:nvPicPr>
        <xdr:cNvPr id="332" name="image160.png">
          <a:extLst>
            <a:ext uri="{FF2B5EF4-FFF2-40B4-BE49-F238E27FC236}">
              <a16:creationId xmlns:a16="http://schemas.microsoft.com/office/drawing/2014/main" id="{00000000-0008-0000-0100-00004C01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12</xdr:col>
      <xdr:colOff>0</xdr:colOff>
      <xdr:row>48</xdr:row>
      <xdr:rowOff>0</xdr:rowOff>
    </xdr:from>
    <xdr:ext cx="476250" cy="476250"/>
    <xdr:pic>
      <xdr:nvPicPr>
        <xdr:cNvPr id="333" name="image168.png">
          <a:extLst>
            <a:ext uri="{FF2B5EF4-FFF2-40B4-BE49-F238E27FC236}">
              <a16:creationId xmlns:a16="http://schemas.microsoft.com/office/drawing/2014/main" id="{00000000-0008-0000-0100-00004D01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13</xdr:col>
      <xdr:colOff>0</xdr:colOff>
      <xdr:row>48</xdr:row>
      <xdr:rowOff>0</xdr:rowOff>
    </xdr:from>
    <xdr:ext cx="476250" cy="476250"/>
    <xdr:pic>
      <xdr:nvPicPr>
        <xdr:cNvPr id="334" name="image162.png">
          <a:extLst>
            <a:ext uri="{FF2B5EF4-FFF2-40B4-BE49-F238E27FC236}">
              <a16:creationId xmlns:a16="http://schemas.microsoft.com/office/drawing/2014/main" id="{00000000-0008-0000-0100-00004E01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3</xdr:col>
      <xdr:colOff>0</xdr:colOff>
      <xdr:row>49</xdr:row>
      <xdr:rowOff>0</xdr:rowOff>
    </xdr:from>
    <xdr:ext cx="476250" cy="476250"/>
    <xdr:pic>
      <xdr:nvPicPr>
        <xdr:cNvPr id="335" name="image174.jpg">
          <a:extLst>
            <a:ext uri="{FF2B5EF4-FFF2-40B4-BE49-F238E27FC236}">
              <a16:creationId xmlns:a16="http://schemas.microsoft.com/office/drawing/2014/main" id="{00000000-0008-0000-0100-00004F01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7</xdr:col>
      <xdr:colOff>0</xdr:colOff>
      <xdr:row>49</xdr:row>
      <xdr:rowOff>0</xdr:rowOff>
    </xdr:from>
    <xdr:ext cx="476250" cy="476250"/>
    <xdr:pic>
      <xdr:nvPicPr>
        <xdr:cNvPr id="336" name="image157.png">
          <a:extLst>
            <a:ext uri="{FF2B5EF4-FFF2-40B4-BE49-F238E27FC236}">
              <a16:creationId xmlns:a16="http://schemas.microsoft.com/office/drawing/2014/main" id="{00000000-0008-0000-0100-00005001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8</xdr:col>
      <xdr:colOff>0</xdr:colOff>
      <xdr:row>49</xdr:row>
      <xdr:rowOff>0</xdr:rowOff>
    </xdr:from>
    <xdr:ext cx="476250" cy="476250"/>
    <xdr:pic>
      <xdr:nvPicPr>
        <xdr:cNvPr id="337" name="image157.png">
          <a:extLst>
            <a:ext uri="{FF2B5EF4-FFF2-40B4-BE49-F238E27FC236}">
              <a16:creationId xmlns:a16="http://schemas.microsoft.com/office/drawing/2014/main" id="{00000000-0008-0000-0100-00005101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9</xdr:col>
      <xdr:colOff>0</xdr:colOff>
      <xdr:row>49</xdr:row>
      <xdr:rowOff>0</xdr:rowOff>
    </xdr:from>
    <xdr:ext cx="476250" cy="476250"/>
    <xdr:pic>
      <xdr:nvPicPr>
        <xdr:cNvPr id="338" name="image48.png">
          <a:extLst>
            <a:ext uri="{FF2B5EF4-FFF2-40B4-BE49-F238E27FC236}">
              <a16:creationId xmlns:a16="http://schemas.microsoft.com/office/drawing/2014/main" id="{00000000-0008-0000-0100-00005201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10</xdr:col>
      <xdr:colOff>0</xdr:colOff>
      <xdr:row>49</xdr:row>
      <xdr:rowOff>0</xdr:rowOff>
    </xdr:from>
    <xdr:ext cx="476250" cy="476250"/>
    <xdr:pic>
      <xdr:nvPicPr>
        <xdr:cNvPr id="339" name="image48.png">
          <a:extLst>
            <a:ext uri="{FF2B5EF4-FFF2-40B4-BE49-F238E27FC236}">
              <a16:creationId xmlns:a16="http://schemas.microsoft.com/office/drawing/2014/main" id="{00000000-0008-0000-0100-00005301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11</xdr:col>
      <xdr:colOff>0</xdr:colOff>
      <xdr:row>49</xdr:row>
      <xdr:rowOff>0</xdr:rowOff>
    </xdr:from>
    <xdr:ext cx="476250" cy="476250"/>
    <xdr:pic>
      <xdr:nvPicPr>
        <xdr:cNvPr id="340" name="image166.png">
          <a:extLst>
            <a:ext uri="{FF2B5EF4-FFF2-40B4-BE49-F238E27FC236}">
              <a16:creationId xmlns:a16="http://schemas.microsoft.com/office/drawing/2014/main" id="{00000000-0008-0000-0100-00005401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12</xdr:col>
      <xdr:colOff>0</xdr:colOff>
      <xdr:row>49</xdr:row>
      <xdr:rowOff>0</xdr:rowOff>
    </xdr:from>
    <xdr:ext cx="476250" cy="476250"/>
    <xdr:pic>
      <xdr:nvPicPr>
        <xdr:cNvPr id="341" name="image166.png">
          <a:extLst>
            <a:ext uri="{FF2B5EF4-FFF2-40B4-BE49-F238E27FC236}">
              <a16:creationId xmlns:a16="http://schemas.microsoft.com/office/drawing/2014/main" id="{00000000-0008-0000-0100-00005501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13</xdr:col>
      <xdr:colOff>0</xdr:colOff>
      <xdr:row>49</xdr:row>
      <xdr:rowOff>0</xdr:rowOff>
    </xdr:from>
    <xdr:ext cx="476250" cy="476250"/>
    <xdr:pic>
      <xdr:nvPicPr>
        <xdr:cNvPr id="342" name="image169.png">
          <a:extLst>
            <a:ext uri="{FF2B5EF4-FFF2-40B4-BE49-F238E27FC236}">
              <a16:creationId xmlns:a16="http://schemas.microsoft.com/office/drawing/2014/main" id="{00000000-0008-0000-0100-00005601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3</xdr:col>
      <xdr:colOff>0</xdr:colOff>
      <xdr:row>50</xdr:row>
      <xdr:rowOff>0</xdr:rowOff>
    </xdr:from>
    <xdr:ext cx="476250" cy="476250"/>
    <xdr:pic>
      <xdr:nvPicPr>
        <xdr:cNvPr id="343" name="image176.jpg">
          <a:extLst>
            <a:ext uri="{FF2B5EF4-FFF2-40B4-BE49-F238E27FC236}">
              <a16:creationId xmlns:a16="http://schemas.microsoft.com/office/drawing/2014/main" id="{00000000-0008-0000-0100-00005701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7</xdr:col>
      <xdr:colOff>0</xdr:colOff>
      <xdr:row>50</xdr:row>
      <xdr:rowOff>0</xdr:rowOff>
    </xdr:from>
    <xdr:ext cx="476250" cy="476250"/>
    <xdr:pic>
      <xdr:nvPicPr>
        <xdr:cNvPr id="344" name="image185.png">
          <a:extLst>
            <a:ext uri="{FF2B5EF4-FFF2-40B4-BE49-F238E27FC236}">
              <a16:creationId xmlns:a16="http://schemas.microsoft.com/office/drawing/2014/main" id="{00000000-0008-0000-0100-00005801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8</xdr:col>
      <xdr:colOff>0</xdr:colOff>
      <xdr:row>50</xdr:row>
      <xdr:rowOff>0</xdr:rowOff>
    </xdr:from>
    <xdr:ext cx="476250" cy="476250"/>
    <xdr:pic>
      <xdr:nvPicPr>
        <xdr:cNvPr id="345" name="image185.png">
          <a:extLst>
            <a:ext uri="{FF2B5EF4-FFF2-40B4-BE49-F238E27FC236}">
              <a16:creationId xmlns:a16="http://schemas.microsoft.com/office/drawing/2014/main" id="{00000000-0008-0000-0100-00005901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9</xdr:col>
      <xdr:colOff>0</xdr:colOff>
      <xdr:row>50</xdr:row>
      <xdr:rowOff>0</xdr:rowOff>
    </xdr:from>
    <xdr:ext cx="476250" cy="476250"/>
    <xdr:pic>
      <xdr:nvPicPr>
        <xdr:cNvPr id="346" name="image47.png">
          <a:extLst>
            <a:ext uri="{FF2B5EF4-FFF2-40B4-BE49-F238E27FC236}">
              <a16:creationId xmlns:a16="http://schemas.microsoft.com/office/drawing/2014/main" id="{00000000-0008-0000-0100-00005A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10</xdr:col>
      <xdr:colOff>0</xdr:colOff>
      <xdr:row>50</xdr:row>
      <xdr:rowOff>0</xdr:rowOff>
    </xdr:from>
    <xdr:ext cx="476250" cy="476250"/>
    <xdr:pic>
      <xdr:nvPicPr>
        <xdr:cNvPr id="347" name="image47.png">
          <a:extLst>
            <a:ext uri="{FF2B5EF4-FFF2-40B4-BE49-F238E27FC236}">
              <a16:creationId xmlns:a16="http://schemas.microsoft.com/office/drawing/2014/main" id="{00000000-0008-0000-0100-00005B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11</xdr:col>
      <xdr:colOff>0</xdr:colOff>
      <xdr:row>50</xdr:row>
      <xdr:rowOff>0</xdr:rowOff>
    </xdr:from>
    <xdr:ext cx="476250" cy="476250"/>
    <xdr:pic>
      <xdr:nvPicPr>
        <xdr:cNvPr id="348" name="image163.png">
          <a:extLst>
            <a:ext uri="{FF2B5EF4-FFF2-40B4-BE49-F238E27FC236}">
              <a16:creationId xmlns:a16="http://schemas.microsoft.com/office/drawing/2014/main" id="{00000000-0008-0000-0100-00005C01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12</xdr:col>
      <xdr:colOff>0</xdr:colOff>
      <xdr:row>50</xdr:row>
      <xdr:rowOff>0</xdr:rowOff>
    </xdr:from>
    <xdr:ext cx="476250" cy="476250"/>
    <xdr:pic>
      <xdr:nvPicPr>
        <xdr:cNvPr id="349" name="image14.png">
          <a:extLst>
            <a:ext uri="{FF2B5EF4-FFF2-40B4-BE49-F238E27FC236}">
              <a16:creationId xmlns:a16="http://schemas.microsoft.com/office/drawing/2014/main" id="{00000000-0008-0000-0100-00005D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50</xdr:row>
      <xdr:rowOff>0</xdr:rowOff>
    </xdr:from>
    <xdr:ext cx="476250" cy="476250"/>
    <xdr:pic>
      <xdr:nvPicPr>
        <xdr:cNvPr id="350" name="image173.png">
          <a:extLst>
            <a:ext uri="{FF2B5EF4-FFF2-40B4-BE49-F238E27FC236}">
              <a16:creationId xmlns:a16="http://schemas.microsoft.com/office/drawing/2014/main" id="{00000000-0008-0000-0100-00005E01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3</xdr:col>
      <xdr:colOff>0</xdr:colOff>
      <xdr:row>51</xdr:row>
      <xdr:rowOff>0</xdr:rowOff>
    </xdr:from>
    <xdr:ext cx="476250" cy="476250"/>
    <xdr:pic>
      <xdr:nvPicPr>
        <xdr:cNvPr id="351" name="image170.jpg">
          <a:extLst>
            <a:ext uri="{FF2B5EF4-FFF2-40B4-BE49-F238E27FC236}">
              <a16:creationId xmlns:a16="http://schemas.microsoft.com/office/drawing/2014/main" id="{00000000-0008-0000-0100-00005F01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7</xdr:col>
      <xdr:colOff>0</xdr:colOff>
      <xdr:row>51</xdr:row>
      <xdr:rowOff>0</xdr:rowOff>
    </xdr:from>
    <xdr:ext cx="476250" cy="476250"/>
    <xdr:pic>
      <xdr:nvPicPr>
        <xdr:cNvPr id="352" name="image47.png">
          <a:extLst>
            <a:ext uri="{FF2B5EF4-FFF2-40B4-BE49-F238E27FC236}">
              <a16:creationId xmlns:a16="http://schemas.microsoft.com/office/drawing/2014/main" id="{00000000-0008-0000-0100-000060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8</xdr:col>
      <xdr:colOff>0</xdr:colOff>
      <xdr:row>51</xdr:row>
      <xdr:rowOff>0</xdr:rowOff>
    </xdr:from>
    <xdr:ext cx="476250" cy="476250"/>
    <xdr:pic>
      <xdr:nvPicPr>
        <xdr:cNvPr id="353" name="image167.png">
          <a:extLst>
            <a:ext uri="{FF2B5EF4-FFF2-40B4-BE49-F238E27FC236}">
              <a16:creationId xmlns:a16="http://schemas.microsoft.com/office/drawing/2014/main" id="{00000000-0008-0000-0100-00006101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9</xdr:col>
      <xdr:colOff>0</xdr:colOff>
      <xdr:row>51</xdr:row>
      <xdr:rowOff>0</xdr:rowOff>
    </xdr:from>
    <xdr:ext cx="476250" cy="476250"/>
    <xdr:pic>
      <xdr:nvPicPr>
        <xdr:cNvPr id="354" name="image167.png">
          <a:extLst>
            <a:ext uri="{FF2B5EF4-FFF2-40B4-BE49-F238E27FC236}">
              <a16:creationId xmlns:a16="http://schemas.microsoft.com/office/drawing/2014/main" id="{00000000-0008-0000-0100-00006201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10</xdr:col>
      <xdr:colOff>0</xdr:colOff>
      <xdr:row>51</xdr:row>
      <xdr:rowOff>0</xdr:rowOff>
    </xdr:from>
    <xdr:ext cx="476250" cy="476250"/>
    <xdr:pic>
      <xdr:nvPicPr>
        <xdr:cNvPr id="355" name="image164.png">
          <a:extLst>
            <a:ext uri="{FF2B5EF4-FFF2-40B4-BE49-F238E27FC236}">
              <a16:creationId xmlns:a16="http://schemas.microsoft.com/office/drawing/2014/main" id="{00000000-0008-0000-0100-00006301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11</xdr:col>
      <xdr:colOff>0</xdr:colOff>
      <xdr:row>51</xdr:row>
      <xdr:rowOff>0</xdr:rowOff>
    </xdr:from>
    <xdr:ext cx="476250" cy="476250"/>
    <xdr:pic>
      <xdr:nvPicPr>
        <xdr:cNvPr id="356" name="image1.png">
          <a:extLst>
            <a:ext uri="{FF2B5EF4-FFF2-40B4-BE49-F238E27FC236}">
              <a16:creationId xmlns:a16="http://schemas.microsoft.com/office/drawing/2014/main" id="{00000000-0008-0000-0100-00006401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12</xdr:col>
      <xdr:colOff>0</xdr:colOff>
      <xdr:row>51</xdr:row>
      <xdr:rowOff>0</xdr:rowOff>
    </xdr:from>
    <xdr:ext cx="476250" cy="476250"/>
    <xdr:pic>
      <xdr:nvPicPr>
        <xdr:cNvPr id="357" name="image14.png">
          <a:extLst>
            <a:ext uri="{FF2B5EF4-FFF2-40B4-BE49-F238E27FC236}">
              <a16:creationId xmlns:a16="http://schemas.microsoft.com/office/drawing/2014/main" id="{00000000-0008-0000-0100-000065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51</xdr:row>
      <xdr:rowOff>0</xdr:rowOff>
    </xdr:from>
    <xdr:ext cx="476250" cy="476250"/>
    <xdr:pic>
      <xdr:nvPicPr>
        <xdr:cNvPr id="358" name="image177.png">
          <a:extLst>
            <a:ext uri="{FF2B5EF4-FFF2-40B4-BE49-F238E27FC236}">
              <a16:creationId xmlns:a16="http://schemas.microsoft.com/office/drawing/2014/main" id="{00000000-0008-0000-0100-00006601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3</xdr:col>
      <xdr:colOff>0</xdr:colOff>
      <xdr:row>52</xdr:row>
      <xdr:rowOff>0</xdr:rowOff>
    </xdr:from>
    <xdr:ext cx="476250" cy="476250"/>
    <xdr:pic>
      <xdr:nvPicPr>
        <xdr:cNvPr id="359" name="image178.jpg">
          <a:extLst>
            <a:ext uri="{FF2B5EF4-FFF2-40B4-BE49-F238E27FC236}">
              <a16:creationId xmlns:a16="http://schemas.microsoft.com/office/drawing/2014/main" id="{00000000-0008-0000-0100-00006701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7</xdr:col>
      <xdr:colOff>0</xdr:colOff>
      <xdr:row>52</xdr:row>
      <xdr:rowOff>0</xdr:rowOff>
    </xdr:from>
    <xdr:ext cx="476250" cy="476250"/>
    <xdr:pic>
      <xdr:nvPicPr>
        <xdr:cNvPr id="360" name="image175.png">
          <a:extLst>
            <a:ext uri="{FF2B5EF4-FFF2-40B4-BE49-F238E27FC236}">
              <a16:creationId xmlns:a16="http://schemas.microsoft.com/office/drawing/2014/main" id="{00000000-0008-0000-0100-00006801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8</xdr:col>
      <xdr:colOff>0</xdr:colOff>
      <xdr:row>52</xdr:row>
      <xdr:rowOff>0</xdr:rowOff>
    </xdr:from>
    <xdr:ext cx="476250" cy="476250"/>
    <xdr:pic>
      <xdr:nvPicPr>
        <xdr:cNvPr id="361" name="image180.png">
          <a:extLst>
            <a:ext uri="{FF2B5EF4-FFF2-40B4-BE49-F238E27FC236}">
              <a16:creationId xmlns:a16="http://schemas.microsoft.com/office/drawing/2014/main" id="{00000000-0008-0000-0100-00006901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9</xdr:col>
      <xdr:colOff>0</xdr:colOff>
      <xdr:row>52</xdr:row>
      <xdr:rowOff>0</xdr:rowOff>
    </xdr:from>
    <xdr:ext cx="466725" cy="476250"/>
    <xdr:pic>
      <xdr:nvPicPr>
        <xdr:cNvPr id="362" name="image171.png">
          <a:extLst>
            <a:ext uri="{FF2B5EF4-FFF2-40B4-BE49-F238E27FC236}">
              <a16:creationId xmlns:a16="http://schemas.microsoft.com/office/drawing/2014/main" id="{00000000-0008-0000-0100-00006A01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10</xdr:col>
      <xdr:colOff>0</xdr:colOff>
      <xdr:row>52</xdr:row>
      <xdr:rowOff>0</xdr:rowOff>
    </xdr:from>
    <xdr:ext cx="466725" cy="476250"/>
    <xdr:pic>
      <xdr:nvPicPr>
        <xdr:cNvPr id="363" name="image171.png">
          <a:extLst>
            <a:ext uri="{FF2B5EF4-FFF2-40B4-BE49-F238E27FC236}">
              <a16:creationId xmlns:a16="http://schemas.microsoft.com/office/drawing/2014/main" id="{00000000-0008-0000-0100-00006B01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11</xdr:col>
      <xdr:colOff>0</xdr:colOff>
      <xdr:row>52</xdr:row>
      <xdr:rowOff>0</xdr:rowOff>
    </xdr:from>
    <xdr:ext cx="476250" cy="476250"/>
    <xdr:pic>
      <xdr:nvPicPr>
        <xdr:cNvPr id="364" name="image47.png">
          <a:extLst>
            <a:ext uri="{FF2B5EF4-FFF2-40B4-BE49-F238E27FC236}">
              <a16:creationId xmlns:a16="http://schemas.microsoft.com/office/drawing/2014/main" id="{00000000-0008-0000-0100-00006C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12</xdr:col>
      <xdr:colOff>0</xdr:colOff>
      <xdr:row>52</xdr:row>
      <xdr:rowOff>0</xdr:rowOff>
    </xdr:from>
    <xdr:ext cx="476250" cy="476250"/>
    <xdr:pic>
      <xdr:nvPicPr>
        <xdr:cNvPr id="365" name="image14.png">
          <a:extLst>
            <a:ext uri="{FF2B5EF4-FFF2-40B4-BE49-F238E27FC236}">
              <a16:creationId xmlns:a16="http://schemas.microsoft.com/office/drawing/2014/main" id="{00000000-0008-0000-0100-00006D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52</xdr:row>
      <xdr:rowOff>0</xdr:rowOff>
    </xdr:from>
    <xdr:ext cx="476250" cy="476250"/>
    <xdr:pic>
      <xdr:nvPicPr>
        <xdr:cNvPr id="366" name="image199.png">
          <a:extLst>
            <a:ext uri="{FF2B5EF4-FFF2-40B4-BE49-F238E27FC236}">
              <a16:creationId xmlns:a16="http://schemas.microsoft.com/office/drawing/2014/main" id="{00000000-0008-0000-0100-00006E01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3</xdr:col>
      <xdr:colOff>0</xdr:colOff>
      <xdr:row>53</xdr:row>
      <xdr:rowOff>0</xdr:rowOff>
    </xdr:from>
    <xdr:ext cx="476250" cy="476250"/>
    <xdr:pic>
      <xdr:nvPicPr>
        <xdr:cNvPr id="367" name="image186.jpg">
          <a:extLst>
            <a:ext uri="{FF2B5EF4-FFF2-40B4-BE49-F238E27FC236}">
              <a16:creationId xmlns:a16="http://schemas.microsoft.com/office/drawing/2014/main" id="{00000000-0008-0000-0100-00006F01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7</xdr:col>
      <xdr:colOff>0</xdr:colOff>
      <xdr:row>53</xdr:row>
      <xdr:rowOff>0</xdr:rowOff>
    </xdr:from>
    <xdr:ext cx="476250" cy="476250"/>
    <xdr:pic>
      <xdr:nvPicPr>
        <xdr:cNvPr id="368" name="image181.png">
          <a:extLst>
            <a:ext uri="{FF2B5EF4-FFF2-40B4-BE49-F238E27FC236}">
              <a16:creationId xmlns:a16="http://schemas.microsoft.com/office/drawing/2014/main" id="{00000000-0008-0000-0100-00007001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8</xdr:col>
      <xdr:colOff>0</xdr:colOff>
      <xdr:row>53</xdr:row>
      <xdr:rowOff>0</xdr:rowOff>
    </xdr:from>
    <xdr:ext cx="476250" cy="476250"/>
    <xdr:pic>
      <xdr:nvPicPr>
        <xdr:cNvPr id="369" name="image181.png">
          <a:extLst>
            <a:ext uri="{FF2B5EF4-FFF2-40B4-BE49-F238E27FC236}">
              <a16:creationId xmlns:a16="http://schemas.microsoft.com/office/drawing/2014/main" id="{00000000-0008-0000-0100-00007101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9</xdr:col>
      <xdr:colOff>0</xdr:colOff>
      <xdr:row>53</xdr:row>
      <xdr:rowOff>0</xdr:rowOff>
    </xdr:from>
    <xdr:ext cx="476250" cy="476250"/>
    <xdr:pic>
      <xdr:nvPicPr>
        <xdr:cNvPr id="370" name="image48.png">
          <a:extLst>
            <a:ext uri="{FF2B5EF4-FFF2-40B4-BE49-F238E27FC236}">
              <a16:creationId xmlns:a16="http://schemas.microsoft.com/office/drawing/2014/main" id="{00000000-0008-0000-0100-00007201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10</xdr:col>
      <xdr:colOff>0</xdr:colOff>
      <xdr:row>53</xdr:row>
      <xdr:rowOff>0</xdr:rowOff>
    </xdr:from>
    <xdr:ext cx="476250" cy="476250"/>
    <xdr:pic>
      <xdr:nvPicPr>
        <xdr:cNvPr id="371" name="image48.png">
          <a:extLst>
            <a:ext uri="{FF2B5EF4-FFF2-40B4-BE49-F238E27FC236}">
              <a16:creationId xmlns:a16="http://schemas.microsoft.com/office/drawing/2014/main" id="{00000000-0008-0000-0100-00007301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11</xdr:col>
      <xdr:colOff>0</xdr:colOff>
      <xdr:row>53</xdr:row>
      <xdr:rowOff>0</xdr:rowOff>
    </xdr:from>
    <xdr:ext cx="476250" cy="476250"/>
    <xdr:pic>
      <xdr:nvPicPr>
        <xdr:cNvPr id="372" name="image191.png">
          <a:extLst>
            <a:ext uri="{FF2B5EF4-FFF2-40B4-BE49-F238E27FC236}">
              <a16:creationId xmlns:a16="http://schemas.microsoft.com/office/drawing/2014/main" id="{00000000-0008-0000-0100-00007401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12</xdr:col>
      <xdr:colOff>0</xdr:colOff>
      <xdr:row>53</xdr:row>
      <xdr:rowOff>0</xdr:rowOff>
    </xdr:from>
    <xdr:ext cx="476250" cy="476250"/>
    <xdr:pic>
      <xdr:nvPicPr>
        <xdr:cNvPr id="373" name="image191.png">
          <a:extLst>
            <a:ext uri="{FF2B5EF4-FFF2-40B4-BE49-F238E27FC236}">
              <a16:creationId xmlns:a16="http://schemas.microsoft.com/office/drawing/2014/main" id="{00000000-0008-0000-0100-00007501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13</xdr:col>
      <xdr:colOff>0</xdr:colOff>
      <xdr:row>53</xdr:row>
      <xdr:rowOff>0</xdr:rowOff>
    </xdr:from>
    <xdr:ext cx="476250" cy="476250"/>
    <xdr:pic>
      <xdr:nvPicPr>
        <xdr:cNvPr id="374" name="image183.png">
          <a:extLst>
            <a:ext uri="{FF2B5EF4-FFF2-40B4-BE49-F238E27FC236}">
              <a16:creationId xmlns:a16="http://schemas.microsoft.com/office/drawing/2014/main" id="{00000000-0008-0000-0100-00007601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3</xdr:col>
      <xdr:colOff>0</xdr:colOff>
      <xdr:row>54</xdr:row>
      <xdr:rowOff>0</xdr:rowOff>
    </xdr:from>
    <xdr:ext cx="476250" cy="476250"/>
    <xdr:pic>
      <xdr:nvPicPr>
        <xdr:cNvPr id="375" name="image184.jpg">
          <a:extLst>
            <a:ext uri="{FF2B5EF4-FFF2-40B4-BE49-F238E27FC236}">
              <a16:creationId xmlns:a16="http://schemas.microsoft.com/office/drawing/2014/main" id="{00000000-0008-0000-0100-00007701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7</xdr:col>
      <xdr:colOff>0</xdr:colOff>
      <xdr:row>54</xdr:row>
      <xdr:rowOff>0</xdr:rowOff>
    </xdr:from>
    <xdr:ext cx="476250" cy="476250"/>
    <xdr:pic>
      <xdr:nvPicPr>
        <xdr:cNvPr id="376" name="image46.png">
          <a:extLst>
            <a:ext uri="{FF2B5EF4-FFF2-40B4-BE49-F238E27FC236}">
              <a16:creationId xmlns:a16="http://schemas.microsoft.com/office/drawing/2014/main" id="{00000000-0008-0000-0100-00007801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8</xdr:col>
      <xdr:colOff>0</xdr:colOff>
      <xdr:row>54</xdr:row>
      <xdr:rowOff>0</xdr:rowOff>
    </xdr:from>
    <xdr:ext cx="476250" cy="476250"/>
    <xdr:pic>
      <xdr:nvPicPr>
        <xdr:cNvPr id="377" name="image179.png">
          <a:extLst>
            <a:ext uri="{FF2B5EF4-FFF2-40B4-BE49-F238E27FC236}">
              <a16:creationId xmlns:a16="http://schemas.microsoft.com/office/drawing/2014/main" id="{00000000-0008-0000-0100-00007901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9</xdr:col>
      <xdr:colOff>0</xdr:colOff>
      <xdr:row>54</xdr:row>
      <xdr:rowOff>0</xdr:rowOff>
    </xdr:from>
    <xdr:ext cx="476250" cy="476250"/>
    <xdr:pic>
      <xdr:nvPicPr>
        <xdr:cNvPr id="378" name="image182.png">
          <a:extLst>
            <a:ext uri="{FF2B5EF4-FFF2-40B4-BE49-F238E27FC236}">
              <a16:creationId xmlns:a16="http://schemas.microsoft.com/office/drawing/2014/main" id="{00000000-0008-0000-0100-00007A01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10</xdr:col>
      <xdr:colOff>0</xdr:colOff>
      <xdr:row>54</xdr:row>
      <xdr:rowOff>0</xdr:rowOff>
    </xdr:from>
    <xdr:ext cx="476250" cy="476250"/>
    <xdr:pic>
      <xdr:nvPicPr>
        <xdr:cNvPr id="379" name="image197.png">
          <a:extLst>
            <a:ext uri="{FF2B5EF4-FFF2-40B4-BE49-F238E27FC236}">
              <a16:creationId xmlns:a16="http://schemas.microsoft.com/office/drawing/2014/main" id="{00000000-0008-0000-0100-00007B01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11</xdr:col>
      <xdr:colOff>0</xdr:colOff>
      <xdr:row>54</xdr:row>
      <xdr:rowOff>0</xdr:rowOff>
    </xdr:from>
    <xdr:ext cx="476250" cy="476250"/>
    <xdr:pic>
      <xdr:nvPicPr>
        <xdr:cNvPr id="380" name="image166.png">
          <a:extLst>
            <a:ext uri="{FF2B5EF4-FFF2-40B4-BE49-F238E27FC236}">
              <a16:creationId xmlns:a16="http://schemas.microsoft.com/office/drawing/2014/main" id="{00000000-0008-0000-0100-00007C01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12</xdr:col>
      <xdr:colOff>0</xdr:colOff>
      <xdr:row>54</xdr:row>
      <xdr:rowOff>0</xdr:rowOff>
    </xdr:from>
    <xdr:ext cx="476250" cy="476250"/>
    <xdr:pic>
      <xdr:nvPicPr>
        <xdr:cNvPr id="381" name="image188.png">
          <a:extLst>
            <a:ext uri="{FF2B5EF4-FFF2-40B4-BE49-F238E27FC236}">
              <a16:creationId xmlns:a16="http://schemas.microsoft.com/office/drawing/2014/main" id="{00000000-0008-0000-0100-00007D01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13</xdr:col>
      <xdr:colOff>0</xdr:colOff>
      <xdr:row>54</xdr:row>
      <xdr:rowOff>0</xdr:rowOff>
    </xdr:from>
    <xdr:ext cx="476250" cy="476250"/>
    <xdr:pic>
      <xdr:nvPicPr>
        <xdr:cNvPr id="382" name="image195.png">
          <a:extLst>
            <a:ext uri="{FF2B5EF4-FFF2-40B4-BE49-F238E27FC236}">
              <a16:creationId xmlns:a16="http://schemas.microsoft.com/office/drawing/2014/main" id="{00000000-0008-0000-0100-00007E01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3</xdr:col>
      <xdr:colOff>0</xdr:colOff>
      <xdr:row>55</xdr:row>
      <xdr:rowOff>0</xdr:rowOff>
    </xdr:from>
    <xdr:ext cx="476250" cy="476250"/>
    <xdr:pic>
      <xdr:nvPicPr>
        <xdr:cNvPr id="383" name="image187.jpg">
          <a:extLst>
            <a:ext uri="{FF2B5EF4-FFF2-40B4-BE49-F238E27FC236}">
              <a16:creationId xmlns:a16="http://schemas.microsoft.com/office/drawing/2014/main" id="{00000000-0008-0000-0100-00007F01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7</xdr:col>
      <xdr:colOff>0</xdr:colOff>
      <xdr:row>55</xdr:row>
      <xdr:rowOff>0</xdr:rowOff>
    </xdr:from>
    <xdr:ext cx="466725" cy="476250"/>
    <xdr:pic>
      <xdr:nvPicPr>
        <xdr:cNvPr id="384" name="image189.png">
          <a:extLst>
            <a:ext uri="{FF2B5EF4-FFF2-40B4-BE49-F238E27FC236}">
              <a16:creationId xmlns:a16="http://schemas.microsoft.com/office/drawing/2014/main" id="{00000000-0008-0000-0100-00008001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8</xdr:col>
      <xdr:colOff>0</xdr:colOff>
      <xdr:row>55</xdr:row>
      <xdr:rowOff>0</xdr:rowOff>
    </xdr:from>
    <xdr:ext cx="476250" cy="476250"/>
    <xdr:pic>
      <xdr:nvPicPr>
        <xdr:cNvPr id="385" name="image47.png">
          <a:extLst>
            <a:ext uri="{FF2B5EF4-FFF2-40B4-BE49-F238E27FC236}">
              <a16:creationId xmlns:a16="http://schemas.microsoft.com/office/drawing/2014/main" id="{00000000-0008-0000-0100-000081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55</xdr:row>
      <xdr:rowOff>0</xdr:rowOff>
    </xdr:from>
    <xdr:ext cx="457200" cy="476250"/>
    <xdr:pic>
      <xdr:nvPicPr>
        <xdr:cNvPr id="386" name="image194.png">
          <a:extLst>
            <a:ext uri="{FF2B5EF4-FFF2-40B4-BE49-F238E27FC236}">
              <a16:creationId xmlns:a16="http://schemas.microsoft.com/office/drawing/2014/main" id="{00000000-0008-0000-0100-00008201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10</xdr:col>
      <xdr:colOff>0</xdr:colOff>
      <xdr:row>55</xdr:row>
      <xdr:rowOff>0</xdr:rowOff>
    </xdr:from>
    <xdr:ext cx="457200" cy="476250"/>
    <xdr:pic>
      <xdr:nvPicPr>
        <xdr:cNvPr id="387" name="image194.png">
          <a:extLst>
            <a:ext uri="{FF2B5EF4-FFF2-40B4-BE49-F238E27FC236}">
              <a16:creationId xmlns:a16="http://schemas.microsoft.com/office/drawing/2014/main" id="{00000000-0008-0000-0100-00008301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11</xdr:col>
      <xdr:colOff>0</xdr:colOff>
      <xdr:row>55</xdr:row>
      <xdr:rowOff>0</xdr:rowOff>
    </xdr:from>
    <xdr:ext cx="476250" cy="476250"/>
    <xdr:pic>
      <xdr:nvPicPr>
        <xdr:cNvPr id="388" name="image47.png">
          <a:extLst>
            <a:ext uri="{FF2B5EF4-FFF2-40B4-BE49-F238E27FC236}">
              <a16:creationId xmlns:a16="http://schemas.microsoft.com/office/drawing/2014/main" id="{00000000-0008-0000-0100-000084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12</xdr:col>
      <xdr:colOff>0</xdr:colOff>
      <xdr:row>55</xdr:row>
      <xdr:rowOff>0</xdr:rowOff>
    </xdr:from>
    <xdr:ext cx="476250" cy="476250"/>
    <xdr:pic>
      <xdr:nvPicPr>
        <xdr:cNvPr id="389" name="image14.png">
          <a:extLst>
            <a:ext uri="{FF2B5EF4-FFF2-40B4-BE49-F238E27FC236}">
              <a16:creationId xmlns:a16="http://schemas.microsoft.com/office/drawing/2014/main" id="{00000000-0008-0000-0100-000085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55</xdr:row>
      <xdr:rowOff>0</xdr:rowOff>
    </xdr:from>
    <xdr:ext cx="476250" cy="476250"/>
    <xdr:pic>
      <xdr:nvPicPr>
        <xdr:cNvPr id="390" name="image190.png">
          <a:extLst>
            <a:ext uri="{FF2B5EF4-FFF2-40B4-BE49-F238E27FC236}">
              <a16:creationId xmlns:a16="http://schemas.microsoft.com/office/drawing/2014/main" id="{00000000-0008-0000-0100-00008601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3</xdr:col>
      <xdr:colOff>0</xdr:colOff>
      <xdr:row>56</xdr:row>
      <xdr:rowOff>0</xdr:rowOff>
    </xdr:from>
    <xdr:ext cx="476250" cy="476250"/>
    <xdr:pic>
      <xdr:nvPicPr>
        <xdr:cNvPr id="391" name="image200.jpg">
          <a:extLst>
            <a:ext uri="{FF2B5EF4-FFF2-40B4-BE49-F238E27FC236}">
              <a16:creationId xmlns:a16="http://schemas.microsoft.com/office/drawing/2014/main" id="{00000000-0008-0000-0100-00008701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7</xdr:col>
      <xdr:colOff>0</xdr:colOff>
      <xdr:row>56</xdr:row>
      <xdr:rowOff>0</xdr:rowOff>
    </xdr:from>
    <xdr:ext cx="476250" cy="476250"/>
    <xdr:pic>
      <xdr:nvPicPr>
        <xdr:cNvPr id="392" name="image61.png">
          <a:extLst>
            <a:ext uri="{FF2B5EF4-FFF2-40B4-BE49-F238E27FC236}">
              <a16:creationId xmlns:a16="http://schemas.microsoft.com/office/drawing/2014/main" id="{00000000-0008-0000-0100-00008801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8</xdr:col>
      <xdr:colOff>0</xdr:colOff>
      <xdr:row>56</xdr:row>
      <xdr:rowOff>0</xdr:rowOff>
    </xdr:from>
    <xdr:ext cx="457200" cy="476250"/>
    <xdr:pic>
      <xdr:nvPicPr>
        <xdr:cNvPr id="393" name="image79.png">
          <a:extLst>
            <a:ext uri="{FF2B5EF4-FFF2-40B4-BE49-F238E27FC236}">
              <a16:creationId xmlns:a16="http://schemas.microsoft.com/office/drawing/2014/main" id="{00000000-0008-0000-0100-00008901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9</xdr:col>
      <xdr:colOff>0</xdr:colOff>
      <xdr:row>56</xdr:row>
      <xdr:rowOff>0</xdr:rowOff>
    </xdr:from>
    <xdr:ext cx="466725" cy="476250"/>
    <xdr:pic>
      <xdr:nvPicPr>
        <xdr:cNvPr id="394" name="image222.png">
          <a:extLst>
            <a:ext uri="{FF2B5EF4-FFF2-40B4-BE49-F238E27FC236}">
              <a16:creationId xmlns:a16="http://schemas.microsoft.com/office/drawing/2014/main" id="{00000000-0008-0000-0100-00008A01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10</xdr:col>
      <xdr:colOff>0</xdr:colOff>
      <xdr:row>56</xdr:row>
      <xdr:rowOff>0</xdr:rowOff>
    </xdr:from>
    <xdr:ext cx="466725" cy="476250"/>
    <xdr:pic>
      <xdr:nvPicPr>
        <xdr:cNvPr id="395" name="image222.png">
          <a:extLst>
            <a:ext uri="{FF2B5EF4-FFF2-40B4-BE49-F238E27FC236}">
              <a16:creationId xmlns:a16="http://schemas.microsoft.com/office/drawing/2014/main" id="{00000000-0008-0000-0100-00008B01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11</xdr:col>
      <xdr:colOff>0</xdr:colOff>
      <xdr:row>56</xdr:row>
      <xdr:rowOff>0</xdr:rowOff>
    </xdr:from>
    <xdr:ext cx="457200" cy="476250"/>
    <xdr:pic>
      <xdr:nvPicPr>
        <xdr:cNvPr id="396" name="image112.png">
          <a:extLst>
            <a:ext uri="{FF2B5EF4-FFF2-40B4-BE49-F238E27FC236}">
              <a16:creationId xmlns:a16="http://schemas.microsoft.com/office/drawing/2014/main" id="{00000000-0008-0000-0100-00008C01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12</xdr:col>
      <xdr:colOff>0</xdr:colOff>
      <xdr:row>56</xdr:row>
      <xdr:rowOff>0</xdr:rowOff>
    </xdr:from>
    <xdr:ext cx="476250" cy="476250"/>
    <xdr:pic>
      <xdr:nvPicPr>
        <xdr:cNvPr id="397" name="image14.png">
          <a:extLst>
            <a:ext uri="{FF2B5EF4-FFF2-40B4-BE49-F238E27FC236}">
              <a16:creationId xmlns:a16="http://schemas.microsoft.com/office/drawing/2014/main" id="{00000000-0008-0000-0100-00008D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56</xdr:row>
      <xdr:rowOff>0</xdr:rowOff>
    </xdr:from>
    <xdr:ext cx="476250" cy="476250"/>
    <xdr:pic>
      <xdr:nvPicPr>
        <xdr:cNvPr id="398" name="image225.png">
          <a:extLst>
            <a:ext uri="{FF2B5EF4-FFF2-40B4-BE49-F238E27FC236}">
              <a16:creationId xmlns:a16="http://schemas.microsoft.com/office/drawing/2014/main" id="{00000000-0008-0000-0100-00008E01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3</xdr:col>
      <xdr:colOff>0</xdr:colOff>
      <xdr:row>57</xdr:row>
      <xdr:rowOff>0</xdr:rowOff>
    </xdr:from>
    <xdr:ext cx="476250" cy="476250"/>
    <xdr:pic>
      <xdr:nvPicPr>
        <xdr:cNvPr id="399" name="image202.jpg">
          <a:extLst>
            <a:ext uri="{FF2B5EF4-FFF2-40B4-BE49-F238E27FC236}">
              <a16:creationId xmlns:a16="http://schemas.microsoft.com/office/drawing/2014/main" id="{00000000-0008-0000-0100-00008F01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7</xdr:col>
      <xdr:colOff>0</xdr:colOff>
      <xdr:row>57</xdr:row>
      <xdr:rowOff>0</xdr:rowOff>
    </xdr:from>
    <xdr:ext cx="466725" cy="476250"/>
    <xdr:pic>
      <xdr:nvPicPr>
        <xdr:cNvPr id="400" name="image196.png">
          <a:extLst>
            <a:ext uri="{FF2B5EF4-FFF2-40B4-BE49-F238E27FC236}">
              <a16:creationId xmlns:a16="http://schemas.microsoft.com/office/drawing/2014/main" id="{00000000-0008-0000-0100-00009001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8</xdr:col>
      <xdr:colOff>0</xdr:colOff>
      <xdr:row>57</xdr:row>
      <xdr:rowOff>0</xdr:rowOff>
    </xdr:from>
    <xdr:ext cx="466725" cy="476250"/>
    <xdr:pic>
      <xdr:nvPicPr>
        <xdr:cNvPr id="401" name="image161.png">
          <a:extLst>
            <a:ext uri="{FF2B5EF4-FFF2-40B4-BE49-F238E27FC236}">
              <a16:creationId xmlns:a16="http://schemas.microsoft.com/office/drawing/2014/main" id="{00000000-0008-0000-0100-00009101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9</xdr:col>
      <xdr:colOff>0</xdr:colOff>
      <xdr:row>57</xdr:row>
      <xdr:rowOff>0</xdr:rowOff>
    </xdr:from>
    <xdr:ext cx="476250" cy="476250"/>
    <xdr:pic>
      <xdr:nvPicPr>
        <xdr:cNvPr id="402" name="image70.png">
          <a:extLst>
            <a:ext uri="{FF2B5EF4-FFF2-40B4-BE49-F238E27FC236}">
              <a16:creationId xmlns:a16="http://schemas.microsoft.com/office/drawing/2014/main" id="{00000000-0008-0000-0100-00009201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10</xdr:col>
      <xdr:colOff>0</xdr:colOff>
      <xdr:row>57</xdr:row>
      <xdr:rowOff>0</xdr:rowOff>
    </xdr:from>
    <xdr:ext cx="476250" cy="476250"/>
    <xdr:pic>
      <xdr:nvPicPr>
        <xdr:cNvPr id="403" name="image70.png">
          <a:extLst>
            <a:ext uri="{FF2B5EF4-FFF2-40B4-BE49-F238E27FC236}">
              <a16:creationId xmlns:a16="http://schemas.microsoft.com/office/drawing/2014/main" id="{00000000-0008-0000-0100-00009301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11</xdr:col>
      <xdr:colOff>0</xdr:colOff>
      <xdr:row>57</xdr:row>
      <xdr:rowOff>0</xdr:rowOff>
    </xdr:from>
    <xdr:ext cx="476250" cy="476250"/>
    <xdr:pic>
      <xdr:nvPicPr>
        <xdr:cNvPr id="404" name="image20.png">
          <a:extLst>
            <a:ext uri="{FF2B5EF4-FFF2-40B4-BE49-F238E27FC236}">
              <a16:creationId xmlns:a16="http://schemas.microsoft.com/office/drawing/2014/main" id="{00000000-0008-0000-0100-00009401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0</xdr:colOff>
      <xdr:row>57</xdr:row>
      <xdr:rowOff>0</xdr:rowOff>
    </xdr:from>
    <xdr:ext cx="476250" cy="476250"/>
    <xdr:pic>
      <xdr:nvPicPr>
        <xdr:cNvPr id="405" name="image14.png">
          <a:extLst>
            <a:ext uri="{FF2B5EF4-FFF2-40B4-BE49-F238E27FC236}">
              <a16:creationId xmlns:a16="http://schemas.microsoft.com/office/drawing/2014/main" id="{00000000-0008-0000-0100-000095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57</xdr:row>
      <xdr:rowOff>0</xdr:rowOff>
    </xdr:from>
    <xdr:ext cx="476250" cy="476250"/>
    <xdr:pic>
      <xdr:nvPicPr>
        <xdr:cNvPr id="406" name="image193.png">
          <a:extLst>
            <a:ext uri="{FF2B5EF4-FFF2-40B4-BE49-F238E27FC236}">
              <a16:creationId xmlns:a16="http://schemas.microsoft.com/office/drawing/2014/main" id="{00000000-0008-0000-0100-00009601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3</xdr:col>
      <xdr:colOff>0</xdr:colOff>
      <xdr:row>58</xdr:row>
      <xdr:rowOff>0</xdr:rowOff>
    </xdr:from>
    <xdr:ext cx="476250" cy="476250"/>
    <xdr:pic>
      <xdr:nvPicPr>
        <xdr:cNvPr id="407" name="image192.jpg">
          <a:extLst>
            <a:ext uri="{FF2B5EF4-FFF2-40B4-BE49-F238E27FC236}">
              <a16:creationId xmlns:a16="http://schemas.microsoft.com/office/drawing/2014/main" id="{00000000-0008-0000-0100-00009701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7</xdr:col>
      <xdr:colOff>0</xdr:colOff>
      <xdr:row>58</xdr:row>
      <xdr:rowOff>0</xdr:rowOff>
    </xdr:from>
    <xdr:ext cx="476250" cy="476250"/>
    <xdr:pic>
      <xdr:nvPicPr>
        <xdr:cNvPr id="408" name="image209.png">
          <a:extLst>
            <a:ext uri="{FF2B5EF4-FFF2-40B4-BE49-F238E27FC236}">
              <a16:creationId xmlns:a16="http://schemas.microsoft.com/office/drawing/2014/main" id="{00000000-0008-0000-0100-00009801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8</xdr:col>
      <xdr:colOff>0</xdr:colOff>
      <xdr:row>58</xdr:row>
      <xdr:rowOff>0</xdr:rowOff>
    </xdr:from>
    <xdr:ext cx="476250" cy="476250"/>
    <xdr:pic>
      <xdr:nvPicPr>
        <xdr:cNvPr id="409" name="image201.png">
          <a:extLst>
            <a:ext uri="{FF2B5EF4-FFF2-40B4-BE49-F238E27FC236}">
              <a16:creationId xmlns:a16="http://schemas.microsoft.com/office/drawing/2014/main" id="{00000000-0008-0000-0100-00009901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9</xdr:col>
      <xdr:colOff>0</xdr:colOff>
      <xdr:row>58</xdr:row>
      <xdr:rowOff>0</xdr:rowOff>
    </xdr:from>
    <xdr:ext cx="476250" cy="476250"/>
    <xdr:pic>
      <xdr:nvPicPr>
        <xdr:cNvPr id="410" name="image198.png">
          <a:extLst>
            <a:ext uri="{FF2B5EF4-FFF2-40B4-BE49-F238E27FC236}">
              <a16:creationId xmlns:a16="http://schemas.microsoft.com/office/drawing/2014/main" id="{00000000-0008-0000-0100-00009A01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10</xdr:col>
      <xdr:colOff>0</xdr:colOff>
      <xdr:row>58</xdr:row>
      <xdr:rowOff>0</xdr:rowOff>
    </xdr:from>
    <xdr:ext cx="476250" cy="476250"/>
    <xdr:pic>
      <xdr:nvPicPr>
        <xdr:cNvPr id="411" name="image204.png">
          <a:extLst>
            <a:ext uri="{FF2B5EF4-FFF2-40B4-BE49-F238E27FC236}">
              <a16:creationId xmlns:a16="http://schemas.microsoft.com/office/drawing/2014/main" id="{00000000-0008-0000-0100-00009B01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11</xdr:col>
      <xdr:colOff>0</xdr:colOff>
      <xdr:row>58</xdr:row>
      <xdr:rowOff>0</xdr:rowOff>
    </xdr:from>
    <xdr:ext cx="476250" cy="476250"/>
    <xdr:pic>
      <xdr:nvPicPr>
        <xdr:cNvPr id="412" name="image219.png">
          <a:extLst>
            <a:ext uri="{FF2B5EF4-FFF2-40B4-BE49-F238E27FC236}">
              <a16:creationId xmlns:a16="http://schemas.microsoft.com/office/drawing/2014/main" id="{00000000-0008-0000-0100-00009C01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12</xdr:col>
      <xdr:colOff>0</xdr:colOff>
      <xdr:row>58</xdr:row>
      <xdr:rowOff>0</xdr:rowOff>
    </xdr:from>
    <xdr:ext cx="476250" cy="476250"/>
    <xdr:pic>
      <xdr:nvPicPr>
        <xdr:cNvPr id="413" name="image163.png">
          <a:extLst>
            <a:ext uri="{FF2B5EF4-FFF2-40B4-BE49-F238E27FC236}">
              <a16:creationId xmlns:a16="http://schemas.microsoft.com/office/drawing/2014/main" id="{00000000-0008-0000-0100-00009D01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13</xdr:col>
      <xdr:colOff>0</xdr:colOff>
      <xdr:row>58</xdr:row>
      <xdr:rowOff>0</xdr:rowOff>
    </xdr:from>
    <xdr:ext cx="476250" cy="476250"/>
    <xdr:pic>
      <xdr:nvPicPr>
        <xdr:cNvPr id="414" name="image207.png">
          <a:extLst>
            <a:ext uri="{FF2B5EF4-FFF2-40B4-BE49-F238E27FC236}">
              <a16:creationId xmlns:a16="http://schemas.microsoft.com/office/drawing/2014/main" id="{00000000-0008-0000-0100-00009E01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3</xdr:col>
      <xdr:colOff>0</xdr:colOff>
      <xdr:row>59</xdr:row>
      <xdr:rowOff>0</xdr:rowOff>
    </xdr:from>
    <xdr:ext cx="476250" cy="476250"/>
    <xdr:pic>
      <xdr:nvPicPr>
        <xdr:cNvPr id="415" name="image203.jpg">
          <a:extLst>
            <a:ext uri="{FF2B5EF4-FFF2-40B4-BE49-F238E27FC236}">
              <a16:creationId xmlns:a16="http://schemas.microsoft.com/office/drawing/2014/main" id="{00000000-0008-0000-0100-00009F01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7</xdr:col>
      <xdr:colOff>0</xdr:colOff>
      <xdr:row>59</xdr:row>
      <xdr:rowOff>0</xdr:rowOff>
    </xdr:from>
    <xdr:ext cx="476250" cy="476250"/>
    <xdr:pic>
      <xdr:nvPicPr>
        <xdr:cNvPr id="416" name="image205.png">
          <a:extLst>
            <a:ext uri="{FF2B5EF4-FFF2-40B4-BE49-F238E27FC236}">
              <a16:creationId xmlns:a16="http://schemas.microsoft.com/office/drawing/2014/main" id="{00000000-0008-0000-0100-0000A001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8</xdr:col>
      <xdr:colOff>0</xdr:colOff>
      <xdr:row>59</xdr:row>
      <xdr:rowOff>0</xdr:rowOff>
    </xdr:from>
    <xdr:ext cx="476250" cy="476250"/>
    <xdr:pic>
      <xdr:nvPicPr>
        <xdr:cNvPr id="417" name="image23.png">
          <a:extLst>
            <a:ext uri="{FF2B5EF4-FFF2-40B4-BE49-F238E27FC236}">
              <a16:creationId xmlns:a16="http://schemas.microsoft.com/office/drawing/2014/main" id="{00000000-0008-0000-0100-0000A101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9</xdr:col>
      <xdr:colOff>0</xdr:colOff>
      <xdr:row>59</xdr:row>
      <xdr:rowOff>0</xdr:rowOff>
    </xdr:from>
    <xdr:ext cx="476250" cy="476250"/>
    <xdr:pic>
      <xdr:nvPicPr>
        <xdr:cNvPr id="418" name="image217.png">
          <a:extLst>
            <a:ext uri="{FF2B5EF4-FFF2-40B4-BE49-F238E27FC236}">
              <a16:creationId xmlns:a16="http://schemas.microsoft.com/office/drawing/2014/main" id="{00000000-0008-0000-0100-0000A201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10</xdr:col>
      <xdr:colOff>0</xdr:colOff>
      <xdr:row>59</xdr:row>
      <xdr:rowOff>0</xdr:rowOff>
    </xdr:from>
    <xdr:ext cx="476250" cy="476250"/>
    <xdr:pic>
      <xdr:nvPicPr>
        <xdr:cNvPr id="419" name="image217.png">
          <a:extLst>
            <a:ext uri="{FF2B5EF4-FFF2-40B4-BE49-F238E27FC236}">
              <a16:creationId xmlns:a16="http://schemas.microsoft.com/office/drawing/2014/main" id="{00000000-0008-0000-0100-0000A301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11</xdr:col>
      <xdr:colOff>0</xdr:colOff>
      <xdr:row>59</xdr:row>
      <xdr:rowOff>0</xdr:rowOff>
    </xdr:from>
    <xdr:ext cx="476250" cy="476250"/>
    <xdr:pic>
      <xdr:nvPicPr>
        <xdr:cNvPr id="420" name="image23.png">
          <a:extLst>
            <a:ext uri="{FF2B5EF4-FFF2-40B4-BE49-F238E27FC236}">
              <a16:creationId xmlns:a16="http://schemas.microsoft.com/office/drawing/2014/main" id="{00000000-0008-0000-0100-0000A401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0</xdr:colOff>
      <xdr:row>59</xdr:row>
      <xdr:rowOff>0</xdr:rowOff>
    </xdr:from>
    <xdr:ext cx="476250" cy="476250"/>
    <xdr:pic>
      <xdr:nvPicPr>
        <xdr:cNvPr id="421" name="image14.png">
          <a:extLst>
            <a:ext uri="{FF2B5EF4-FFF2-40B4-BE49-F238E27FC236}">
              <a16:creationId xmlns:a16="http://schemas.microsoft.com/office/drawing/2014/main" id="{00000000-0008-0000-0100-0000A5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59</xdr:row>
      <xdr:rowOff>0</xdr:rowOff>
    </xdr:from>
    <xdr:ext cx="476250" cy="476250"/>
    <xdr:pic>
      <xdr:nvPicPr>
        <xdr:cNvPr id="422" name="image220.png">
          <a:extLst>
            <a:ext uri="{FF2B5EF4-FFF2-40B4-BE49-F238E27FC236}">
              <a16:creationId xmlns:a16="http://schemas.microsoft.com/office/drawing/2014/main" id="{00000000-0008-0000-0100-0000A601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3</xdr:col>
      <xdr:colOff>0</xdr:colOff>
      <xdr:row>60</xdr:row>
      <xdr:rowOff>0</xdr:rowOff>
    </xdr:from>
    <xdr:ext cx="476250" cy="476250"/>
    <xdr:pic>
      <xdr:nvPicPr>
        <xdr:cNvPr id="423" name="image212.jpg">
          <a:extLst>
            <a:ext uri="{FF2B5EF4-FFF2-40B4-BE49-F238E27FC236}">
              <a16:creationId xmlns:a16="http://schemas.microsoft.com/office/drawing/2014/main" id="{00000000-0008-0000-0100-0000A701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7</xdr:col>
      <xdr:colOff>0</xdr:colOff>
      <xdr:row>60</xdr:row>
      <xdr:rowOff>0</xdr:rowOff>
    </xdr:from>
    <xdr:ext cx="476250" cy="476250"/>
    <xdr:pic>
      <xdr:nvPicPr>
        <xdr:cNvPr id="424" name="image210.png">
          <a:extLst>
            <a:ext uri="{FF2B5EF4-FFF2-40B4-BE49-F238E27FC236}">
              <a16:creationId xmlns:a16="http://schemas.microsoft.com/office/drawing/2014/main" id="{00000000-0008-0000-0100-0000A801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8</xdr:col>
      <xdr:colOff>0</xdr:colOff>
      <xdr:row>60</xdr:row>
      <xdr:rowOff>0</xdr:rowOff>
    </xdr:from>
    <xdr:ext cx="476250" cy="476250"/>
    <xdr:pic>
      <xdr:nvPicPr>
        <xdr:cNvPr id="425" name="image47.png">
          <a:extLst>
            <a:ext uri="{FF2B5EF4-FFF2-40B4-BE49-F238E27FC236}">
              <a16:creationId xmlns:a16="http://schemas.microsoft.com/office/drawing/2014/main" id="{00000000-0008-0000-0100-0000A9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60</xdr:row>
      <xdr:rowOff>0</xdr:rowOff>
    </xdr:from>
    <xdr:ext cx="476250" cy="476250"/>
    <xdr:pic>
      <xdr:nvPicPr>
        <xdr:cNvPr id="426" name="image43.png">
          <a:extLst>
            <a:ext uri="{FF2B5EF4-FFF2-40B4-BE49-F238E27FC236}">
              <a16:creationId xmlns:a16="http://schemas.microsoft.com/office/drawing/2014/main" id="{00000000-0008-0000-0100-0000AA01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10</xdr:col>
      <xdr:colOff>0</xdr:colOff>
      <xdr:row>60</xdr:row>
      <xdr:rowOff>0</xdr:rowOff>
    </xdr:from>
    <xdr:ext cx="476250" cy="476250"/>
    <xdr:pic>
      <xdr:nvPicPr>
        <xdr:cNvPr id="427" name="image43.png">
          <a:extLst>
            <a:ext uri="{FF2B5EF4-FFF2-40B4-BE49-F238E27FC236}">
              <a16:creationId xmlns:a16="http://schemas.microsoft.com/office/drawing/2014/main" id="{00000000-0008-0000-0100-0000AB01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11</xdr:col>
      <xdr:colOff>0</xdr:colOff>
      <xdr:row>60</xdr:row>
      <xdr:rowOff>0</xdr:rowOff>
    </xdr:from>
    <xdr:ext cx="476250" cy="476250"/>
    <xdr:pic>
      <xdr:nvPicPr>
        <xdr:cNvPr id="428" name="image23.png">
          <a:extLst>
            <a:ext uri="{FF2B5EF4-FFF2-40B4-BE49-F238E27FC236}">
              <a16:creationId xmlns:a16="http://schemas.microsoft.com/office/drawing/2014/main" id="{00000000-0008-0000-0100-0000AC01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0</xdr:colOff>
      <xdr:row>60</xdr:row>
      <xdr:rowOff>0</xdr:rowOff>
    </xdr:from>
    <xdr:ext cx="476250" cy="476250"/>
    <xdr:pic>
      <xdr:nvPicPr>
        <xdr:cNvPr id="429" name="image23.png">
          <a:extLst>
            <a:ext uri="{FF2B5EF4-FFF2-40B4-BE49-F238E27FC236}">
              <a16:creationId xmlns:a16="http://schemas.microsoft.com/office/drawing/2014/main" id="{00000000-0008-0000-0100-0000AD01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13</xdr:col>
      <xdr:colOff>0</xdr:colOff>
      <xdr:row>60</xdr:row>
      <xdr:rowOff>0</xdr:rowOff>
    </xdr:from>
    <xdr:ext cx="476250" cy="476250"/>
    <xdr:pic>
      <xdr:nvPicPr>
        <xdr:cNvPr id="430" name="image216.png">
          <a:extLst>
            <a:ext uri="{FF2B5EF4-FFF2-40B4-BE49-F238E27FC236}">
              <a16:creationId xmlns:a16="http://schemas.microsoft.com/office/drawing/2014/main" id="{00000000-0008-0000-0100-0000AE01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3</xdr:col>
      <xdr:colOff>0</xdr:colOff>
      <xdr:row>61</xdr:row>
      <xdr:rowOff>0</xdr:rowOff>
    </xdr:from>
    <xdr:ext cx="476250" cy="476250"/>
    <xdr:pic>
      <xdr:nvPicPr>
        <xdr:cNvPr id="431" name="image208.jpg">
          <a:extLst>
            <a:ext uri="{FF2B5EF4-FFF2-40B4-BE49-F238E27FC236}">
              <a16:creationId xmlns:a16="http://schemas.microsoft.com/office/drawing/2014/main" id="{00000000-0008-0000-0100-0000AF01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7</xdr:col>
      <xdr:colOff>0</xdr:colOff>
      <xdr:row>61</xdr:row>
      <xdr:rowOff>0</xdr:rowOff>
    </xdr:from>
    <xdr:ext cx="466725" cy="476250"/>
    <xdr:pic>
      <xdr:nvPicPr>
        <xdr:cNvPr id="432" name="image62.png">
          <a:extLst>
            <a:ext uri="{FF2B5EF4-FFF2-40B4-BE49-F238E27FC236}">
              <a16:creationId xmlns:a16="http://schemas.microsoft.com/office/drawing/2014/main" id="{00000000-0008-0000-0100-0000B001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8</xdr:col>
      <xdr:colOff>0</xdr:colOff>
      <xdr:row>61</xdr:row>
      <xdr:rowOff>0</xdr:rowOff>
    </xdr:from>
    <xdr:ext cx="476250" cy="476250"/>
    <xdr:pic>
      <xdr:nvPicPr>
        <xdr:cNvPr id="433" name="image168.png">
          <a:extLst>
            <a:ext uri="{FF2B5EF4-FFF2-40B4-BE49-F238E27FC236}">
              <a16:creationId xmlns:a16="http://schemas.microsoft.com/office/drawing/2014/main" id="{00000000-0008-0000-0100-0000B101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9</xdr:col>
      <xdr:colOff>0</xdr:colOff>
      <xdr:row>61</xdr:row>
      <xdr:rowOff>0</xdr:rowOff>
    </xdr:from>
    <xdr:ext cx="476250" cy="476250"/>
    <xdr:pic>
      <xdr:nvPicPr>
        <xdr:cNvPr id="434" name="image72.png">
          <a:extLst>
            <a:ext uri="{FF2B5EF4-FFF2-40B4-BE49-F238E27FC236}">
              <a16:creationId xmlns:a16="http://schemas.microsoft.com/office/drawing/2014/main" id="{00000000-0008-0000-0100-0000B201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10</xdr:col>
      <xdr:colOff>0</xdr:colOff>
      <xdr:row>61</xdr:row>
      <xdr:rowOff>0</xdr:rowOff>
    </xdr:from>
    <xdr:ext cx="476250" cy="476250"/>
    <xdr:pic>
      <xdr:nvPicPr>
        <xdr:cNvPr id="435" name="image72.png">
          <a:extLst>
            <a:ext uri="{FF2B5EF4-FFF2-40B4-BE49-F238E27FC236}">
              <a16:creationId xmlns:a16="http://schemas.microsoft.com/office/drawing/2014/main" id="{00000000-0008-0000-0100-0000B301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11</xdr:col>
      <xdr:colOff>0</xdr:colOff>
      <xdr:row>61</xdr:row>
      <xdr:rowOff>0</xdr:rowOff>
    </xdr:from>
    <xdr:ext cx="476250" cy="476250"/>
    <xdr:pic>
      <xdr:nvPicPr>
        <xdr:cNvPr id="436" name="image14.png">
          <a:extLst>
            <a:ext uri="{FF2B5EF4-FFF2-40B4-BE49-F238E27FC236}">
              <a16:creationId xmlns:a16="http://schemas.microsoft.com/office/drawing/2014/main" id="{00000000-0008-0000-0100-0000B4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61</xdr:row>
      <xdr:rowOff>0</xdr:rowOff>
    </xdr:from>
    <xdr:ext cx="476250" cy="476250"/>
    <xdr:pic>
      <xdr:nvPicPr>
        <xdr:cNvPr id="437" name="image14.png">
          <a:extLst>
            <a:ext uri="{FF2B5EF4-FFF2-40B4-BE49-F238E27FC236}">
              <a16:creationId xmlns:a16="http://schemas.microsoft.com/office/drawing/2014/main" id="{00000000-0008-0000-0100-0000B5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61</xdr:row>
      <xdr:rowOff>0</xdr:rowOff>
    </xdr:from>
    <xdr:ext cx="476250" cy="476250"/>
    <xdr:pic>
      <xdr:nvPicPr>
        <xdr:cNvPr id="438" name="image211.png">
          <a:extLst>
            <a:ext uri="{FF2B5EF4-FFF2-40B4-BE49-F238E27FC236}">
              <a16:creationId xmlns:a16="http://schemas.microsoft.com/office/drawing/2014/main" id="{00000000-0008-0000-0100-0000B601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3</xdr:col>
      <xdr:colOff>0</xdr:colOff>
      <xdr:row>62</xdr:row>
      <xdr:rowOff>0</xdr:rowOff>
    </xdr:from>
    <xdr:ext cx="476250" cy="476250"/>
    <xdr:pic>
      <xdr:nvPicPr>
        <xdr:cNvPr id="439" name="image223.jpg">
          <a:extLst>
            <a:ext uri="{FF2B5EF4-FFF2-40B4-BE49-F238E27FC236}">
              <a16:creationId xmlns:a16="http://schemas.microsoft.com/office/drawing/2014/main" id="{00000000-0008-0000-0100-0000B701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7</xdr:col>
      <xdr:colOff>0</xdr:colOff>
      <xdr:row>62</xdr:row>
      <xdr:rowOff>0</xdr:rowOff>
    </xdr:from>
    <xdr:ext cx="466725" cy="476250"/>
    <xdr:pic>
      <xdr:nvPicPr>
        <xdr:cNvPr id="440" name="image196.png">
          <a:extLst>
            <a:ext uri="{FF2B5EF4-FFF2-40B4-BE49-F238E27FC236}">
              <a16:creationId xmlns:a16="http://schemas.microsoft.com/office/drawing/2014/main" id="{00000000-0008-0000-0100-0000B801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8</xdr:col>
      <xdr:colOff>0</xdr:colOff>
      <xdr:row>62</xdr:row>
      <xdr:rowOff>0</xdr:rowOff>
    </xdr:from>
    <xdr:ext cx="476250" cy="476250"/>
    <xdr:pic>
      <xdr:nvPicPr>
        <xdr:cNvPr id="441" name="image47.png">
          <a:extLst>
            <a:ext uri="{FF2B5EF4-FFF2-40B4-BE49-F238E27FC236}">
              <a16:creationId xmlns:a16="http://schemas.microsoft.com/office/drawing/2014/main" id="{00000000-0008-0000-0100-0000B901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62</xdr:row>
      <xdr:rowOff>0</xdr:rowOff>
    </xdr:from>
    <xdr:ext cx="476250" cy="476250"/>
    <xdr:pic>
      <xdr:nvPicPr>
        <xdr:cNvPr id="442" name="image14.png">
          <a:extLst>
            <a:ext uri="{FF2B5EF4-FFF2-40B4-BE49-F238E27FC236}">
              <a16:creationId xmlns:a16="http://schemas.microsoft.com/office/drawing/2014/main" id="{00000000-0008-0000-0100-0000BA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62</xdr:row>
      <xdr:rowOff>0</xdr:rowOff>
    </xdr:from>
    <xdr:ext cx="476250" cy="476250"/>
    <xdr:pic>
      <xdr:nvPicPr>
        <xdr:cNvPr id="443" name="image14.png">
          <a:extLst>
            <a:ext uri="{FF2B5EF4-FFF2-40B4-BE49-F238E27FC236}">
              <a16:creationId xmlns:a16="http://schemas.microsoft.com/office/drawing/2014/main" id="{00000000-0008-0000-0100-0000BB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62</xdr:row>
      <xdr:rowOff>0</xdr:rowOff>
    </xdr:from>
    <xdr:ext cx="476250" cy="476250"/>
    <xdr:pic>
      <xdr:nvPicPr>
        <xdr:cNvPr id="444" name="image23.png">
          <a:extLst>
            <a:ext uri="{FF2B5EF4-FFF2-40B4-BE49-F238E27FC236}">
              <a16:creationId xmlns:a16="http://schemas.microsoft.com/office/drawing/2014/main" id="{00000000-0008-0000-0100-0000BC01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0</xdr:colOff>
      <xdr:row>62</xdr:row>
      <xdr:rowOff>0</xdr:rowOff>
    </xdr:from>
    <xdr:ext cx="476250" cy="476250"/>
    <xdr:pic>
      <xdr:nvPicPr>
        <xdr:cNvPr id="445" name="image14.png">
          <a:extLst>
            <a:ext uri="{FF2B5EF4-FFF2-40B4-BE49-F238E27FC236}">
              <a16:creationId xmlns:a16="http://schemas.microsoft.com/office/drawing/2014/main" id="{00000000-0008-0000-0100-0000BD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62</xdr:row>
      <xdr:rowOff>0</xdr:rowOff>
    </xdr:from>
    <xdr:ext cx="476250" cy="476250"/>
    <xdr:pic>
      <xdr:nvPicPr>
        <xdr:cNvPr id="446" name="image214.png">
          <a:extLst>
            <a:ext uri="{FF2B5EF4-FFF2-40B4-BE49-F238E27FC236}">
              <a16:creationId xmlns:a16="http://schemas.microsoft.com/office/drawing/2014/main" id="{00000000-0008-0000-0100-0000BE01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3</xdr:col>
      <xdr:colOff>0</xdr:colOff>
      <xdr:row>63</xdr:row>
      <xdr:rowOff>0</xdr:rowOff>
    </xdr:from>
    <xdr:ext cx="476250" cy="476250"/>
    <xdr:pic>
      <xdr:nvPicPr>
        <xdr:cNvPr id="447" name="image206.jpg">
          <a:extLst>
            <a:ext uri="{FF2B5EF4-FFF2-40B4-BE49-F238E27FC236}">
              <a16:creationId xmlns:a16="http://schemas.microsoft.com/office/drawing/2014/main" id="{00000000-0008-0000-0100-0000BF01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7</xdr:col>
      <xdr:colOff>0</xdr:colOff>
      <xdr:row>63</xdr:row>
      <xdr:rowOff>0</xdr:rowOff>
    </xdr:from>
    <xdr:ext cx="476250" cy="476250"/>
    <xdr:pic>
      <xdr:nvPicPr>
        <xdr:cNvPr id="448" name="image231.png">
          <a:extLst>
            <a:ext uri="{FF2B5EF4-FFF2-40B4-BE49-F238E27FC236}">
              <a16:creationId xmlns:a16="http://schemas.microsoft.com/office/drawing/2014/main" id="{00000000-0008-0000-0100-0000C001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8</xdr:col>
      <xdr:colOff>0</xdr:colOff>
      <xdr:row>63</xdr:row>
      <xdr:rowOff>0</xdr:rowOff>
    </xdr:from>
    <xdr:ext cx="476250" cy="476250"/>
    <xdr:pic>
      <xdr:nvPicPr>
        <xdr:cNvPr id="449" name="image213.png">
          <a:extLst>
            <a:ext uri="{FF2B5EF4-FFF2-40B4-BE49-F238E27FC236}">
              <a16:creationId xmlns:a16="http://schemas.microsoft.com/office/drawing/2014/main" id="{00000000-0008-0000-0100-0000C101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9</xdr:col>
      <xdr:colOff>0</xdr:colOff>
      <xdr:row>63</xdr:row>
      <xdr:rowOff>0</xdr:rowOff>
    </xdr:from>
    <xdr:ext cx="476250" cy="476250"/>
    <xdr:pic>
      <xdr:nvPicPr>
        <xdr:cNvPr id="450" name="image218.png">
          <a:extLst>
            <a:ext uri="{FF2B5EF4-FFF2-40B4-BE49-F238E27FC236}">
              <a16:creationId xmlns:a16="http://schemas.microsoft.com/office/drawing/2014/main" id="{00000000-0008-0000-0100-0000C201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10</xdr:col>
      <xdr:colOff>0</xdr:colOff>
      <xdr:row>63</xdr:row>
      <xdr:rowOff>0</xdr:rowOff>
    </xdr:from>
    <xdr:ext cx="476250" cy="476250"/>
    <xdr:pic>
      <xdr:nvPicPr>
        <xdr:cNvPr id="451" name="image218.png">
          <a:extLst>
            <a:ext uri="{FF2B5EF4-FFF2-40B4-BE49-F238E27FC236}">
              <a16:creationId xmlns:a16="http://schemas.microsoft.com/office/drawing/2014/main" id="{00000000-0008-0000-0100-0000C301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11</xdr:col>
      <xdr:colOff>0</xdr:colOff>
      <xdr:row>63</xdr:row>
      <xdr:rowOff>0</xdr:rowOff>
    </xdr:from>
    <xdr:ext cx="476250" cy="476250"/>
    <xdr:pic>
      <xdr:nvPicPr>
        <xdr:cNvPr id="452" name="image226.png">
          <a:extLst>
            <a:ext uri="{FF2B5EF4-FFF2-40B4-BE49-F238E27FC236}">
              <a16:creationId xmlns:a16="http://schemas.microsoft.com/office/drawing/2014/main" id="{00000000-0008-0000-0100-0000C401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12</xdr:col>
      <xdr:colOff>0</xdr:colOff>
      <xdr:row>63</xdr:row>
      <xdr:rowOff>0</xdr:rowOff>
    </xdr:from>
    <xdr:ext cx="476250" cy="476250"/>
    <xdr:pic>
      <xdr:nvPicPr>
        <xdr:cNvPr id="453" name="image14.png">
          <a:extLst>
            <a:ext uri="{FF2B5EF4-FFF2-40B4-BE49-F238E27FC236}">
              <a16:creationId xmlns:a16="http://schemas.microsoft.com/office/drawing/2014/main" id="{00000000-0008-0000-0100-0000C5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64</xdr:row>
      <xdr:rowOff>0</xdr:rowOff>
    </xdr:from>
    <xdr:ext cx="476250" cy="476250"/>
    <xdr:pic>
      <xdr:nvPicPr>
        <xdr:cNvPr id="454" name="image215.jpg">
          <a:extLst>
            <a:ext uri="{FF2B5EF4-FFF2-40B4-BE49-F238E27FC236}">
              <a16:creationId xmlns:a16="http://schemas.microsoft.com/office/drawing/2014/main" id="{00000000-0008-0000-0100-0000C601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7</xdr:col>
      <xdr:colOff>0</xdr:colOff>
      <xdr:row>64</xdr:row>
      <xdr:rowOff>0</xdr:rowOff>
    </xdr:from>
    <xdr:ext cx="476250" cy="476250"/>
    <xdr:pic>
      <xdr:nvPicPr>
        <xdr:cNvPr id="455" name="image228.png">
          <a:extLst>
            <a:ext uri="{FF2B5EF4-FFF2-40B4-BE49-F238E27FC236}">
              <a16:creationId xmlns:a16="http://schemas.microsoft.com/office/drawing/2014/main" id="{00000000-0008-0000-0100-0000C701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8</xdr:col>
      <xdr:colOff>0</xdr:colOff>
      <xdr:row>64</xdr:row>
      <xdr:rowOff>0</xdr:rowOff>
    </xdr:from>
    <xdr:ext cx="476250" cy="476250"/>
    <xdr:pic>
      <xdr:nvPicPr>
        <xdr:cNvPr id="456" name="image244.png">
          <a:extLst>
            <a:ext uri="{FF2B5EF4-FFF2-40B4-BE49-F238E27FC236}">
              <a16:creationId xmlns:a16="http://schemas.microsoft.com/office/drawing/2014/main" id="{00000000-0008-0000-0100-0000C801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9</xdr:col>
      <xdr:colOff>0</xdr:colOff>
      <xdr:row>64</xdr:row>
      <xdr:rowOff>0</xdr:rowOff>
    </xdr:from>
    <xdr:ext cx="476250" cy="476250"/>
    <xdr:pic>
      <xdr:nvPicPr>
        <xdr:cNvPr id="457" name="image227.png">
          <a:extLst>
            <a:ext uri="{FF2B5EF4-FFF2-40B4-BE49-F238E27FC236}">
              <a16:creationId xmlns:a16="http://schemas.microsoft.com/office/drawing/2014/main" id="{00000000-0008-0000-0100-0000C901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10</xdr:col>
      <xdr:colOff>0</xdr:colOff>
      <xdr:row>64</xdr:row>
      <xdr:rowOff>0</xdr:rowOff>
    </xdr:from>
    <xdr:ext cx="476250" cy="476250"/>
    <xdr:pic>
      <xdr:nvPicPr>
        <xdr:cNvPr id="458" name="image227.png">
          <a:extLst>
            <a:ext uri="{FF2B5EF4-FFF2-40B4-BE49-F238E27FC236}">
              <a16:creationId xmlns:a16="http://schemas.microsoft.com/office/drawing/2014/main" id="{00000000-0008-0000-0100-0000CA01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11</xdr:col>
      <xdr:colOff>0</xdr:colOff>
      <xdr:row>64</xdr:row>
      <xdr:rowOff>0</xdr:rowOff>
    </xdr:from>
    <xdr:ext cx="476250" cy="476250"/>
    <xdr:pic>
      <xdr:nvPicPr>
        <xdr:cNvPr id="459" name="image20.png">
          <a:extLst>
            <a:ext uri="{FF2B5EF4-FFF2-40B4-BE49-F238E27FC236}">
              <a16:creationId xmlns:a16="http://schemas.microsoft.com/office/drawing/2014/main" id="{00000000-0008-0000-0100-0000CB01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0</xdr:colOff>
      <xdr:row>64</xdr:row>
      <xdr:rowOff>0</xdr:rowOff>
    </xdr:from>
    <xdr:ext cx="476250" cy="476250"/>
    <xdr:pic>
      <xdr:nvPicPr>
        <xdr:cNvPr id="460" name="image14.png">
          <a:extLst>
            <a:ext uri="{FF2B5EF4-FFF2-40B4-BE49-F238E27FC236}">
              <a16:creationId xmlns:a16="http://schemas.microsoft.com/office/drawing/2014/main" id="{00000000-0008-0000-0100-0000CC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65</xdr:row>
      <xdr:rowOff>0</xdr:rowOff>
    </xdr:from>
    <xdr:ext cx="476250" cy="476250"/>
    <xdr:pic>
      <xdr:nvPicPr>
        <xdr:cNvPr id="461" name="image221.jpg">
          <a:extLst>
            <a:ext uri="{FF2B5EF4-FFF2-40B4-BE49-F238E27FC236}">
              <a16:creationId xmlns:a16="http://schemas.microsoft.com/office/drawing/2014/main" id="{00000000-0008-0000-0100-0000CD01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7</xdr:col>
      <xdr:colOff>0</xdr:colOff>
      <xdr:row>65</xdr:row>
      <xdr:rowOff>0</xdr:rowOff>
    </xdr:from>
    <xdr:ext cx="476250" cy="476250"/>
    <xdr:pic>
      <xdr:nvPicPr>
        <xdr:cNvPr id="462" name="image243.png">
          <a:extLst>
            <a:ext uri="{FF2B5EF4-FFF2-40B4-BE49-F238E27FC236}">
              <a16:creationId xmlns:a16="http://schemas.microsoft.com/office/drawing/2014/main" id="{00000000-0008-0000-0100-0000CE01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8</xdr:col>
      <xdr:colOff>0</xdr:colOff>
      <xdr:row>65</xdr:row>
      <xdr:rowOff>0</xdr:rowOff>
    </xdr:from>
    <xdr:ext cx="466725" cy="476250"/>
    <xdr:pic>
      <xdr:nvPicPr>
        <xdr:cNvPr id="463" name="image161.png">
          <a:extLst>
            <a:ext uri="{FF2B5EF4-FFF2-40B4-BE49-F238E27FC236}">
              <a16:creationId xmlns:a16="http://schemas.microsoft.com/office/drawing/2014/main" id="{00000000-0008-0000-0100-0000CF01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9</xdr:col>
      <xdr:colOff>0</xdr:colOff>
      <xdr:row>65</xdr:row>
      <xdr:rowOff>0</xdr:rowOff>
    </xdr:from>
    <xdr:ext cx="466725" cy="476250"/>
    <xdr:pic>
      <xdr:nvPicPr>
        <xdr:cNvPr id="464" name="image247.png">
          <a:extLst>
            <a:ext uri="{FF2B5EF4-FFF2-40B4-BE49-F238E27FC236}">
              <a16:creationId xmlns:a16="http://schemas.microsoft.com/office/drawing/2014/main" id="{00000000-0008-0000-0100-0000D001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10</xdr:col>
      <xdr:colOff>0</xdr:colOff>
      <xdr:row>65</xdr:row>
      <xdr:rowOff>0</xdr:rowOff>
    </xdr:from>
    <xdr:ext cx="466725" cy="476250"/>
    <xdr:pic>
      <xdr:nvPicPr>
        <xdr:cNvPr id="465" name="image247.png">
          <a:extLst>
            <a:ext uri="{FF2B5EF4-FFF2-40B4-BE49-F238E27FC236}">
              <a16:creationId xmlns:a16="http://schemas.microsoft.com/office/drawing/2014/main" id="{00000000-0008-0000-0100-0000D101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11</xdr:col>
      <xdr:colOff>0</xdr:colOff>
      <xdr:row>65</xdr:row>
      <xdr:rowOff>0</xdr:rowOff>
    </xdr:from>
    <xdr:ext cx="476250" cy="476250"/>
    <xdr:pic>
      <xdr:nvPicPr>
        <xdr:cNvPr id="466" name="image132.png">
          <a:extLst>
            <a:ext uri="{FF2B5EF4-FFF2-40B4-BE49-F238E27FC236}">
              <a16:creationId xmlns:a16="http://schemas.microsoft.com/office/drawing/2014/main" id="{00000000-0008-0000-0100-0000D201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12</xdr:col>
      <xdr:colOff>0</xdr:colOff>
      <xdr:row>65</xdr:row>
      <xdr:rowOff>0</xdr:rowOff>
    </xdr:from>
    <xdr:ext cx="476250" cy="476250"/>
    <xdr:pic>
      <xdr:nvPicPr>
        <xdr:cNvPr id="467" name="image20.png">
          <a:extLst>
            <a:ext uri="{FF2B5EF4-FFF2-40B4-BE49-F238E27FC236}">
              <a16:creationId xmlns:a16="http://schemas.microsoft.com/office/drawing/2014/main" id="{00000000-0008-0000-0100-0000D301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0</xdr:colOff>
      <xdr:row>66</xdr:row>
      <xdr:rowOff>0</xdr:rowOff>
    </xdr:from>
    <xdr:ext cx="476250" cy="476250"/>
    <xdr:pic>
      <xdr:nvPicPr>
        <xdr:cNvPr id="468" name="image230.jpg">
          <a:extLst>
            <a:ext uri="{FF2B5EF4-FFF2-40B4-BE49-F238E27FC236}">
              <a16:creationId xmlns:a16="http://schemas.microsoft.com/office/drawing/2014/main" id="{00000000-0008-0000-0100-0000D401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7</xdr:col>
      <xdr:colOff>0</xdr:colOff>
      <xdr:row>66</xdr:row>
      <xdr:rowOff>0</xdr:rowOff>
    </xdr:from>
    <xdr:ext cx="476250" cy="476250"/>
    <xdr:pic>
      <xdr:nvPicPr>
        <xdr:cNvPr id="469" name="image229.png">
          <a:extLst>
            <a:ext uri="{FF2B5EF4-FFF2-40B4-BE49-F238E27FC236}">
              <a16:creationId xmlns:a16="http://schemas.microsoft.com/office/drawing/2014/main" id="{00000000-0008-0000-0100-0000D501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8</xdr:col>
      <xdr:colOff>0</xdr:colOff>
      <xdr:row>66</xdr:row>
      <xdr:rowOff>0</xdr:rowOff>
    </xdr:from>
    <xdr:ext cx="476250" cy="476250"/>
    <xdr:pic>
      <xdr:nvPicPr>
        <xdr:cNvPr id="470" name="image224.png">
          <a:extLst>
            <a:ext uri="{FF2B5EF4-FFF2-40B4-BE49-F238E27FC236}">
              <a16:creationId xmlns:a16="http://schemas.microsoft.com/office/drawing/2014/main" id="{00000000-0008-0000-0100-0000D601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9</xdr:col>
      <xdr:colOff>0</xdr:colOff>
      <xdr:row>66</xdr:row>
      <xdr:rowOff>0</xdr:rowOff>
    </xdr:from>
    <xdr:ext cx="476250" cy="476250"/>
    <xdr:pic>
      <xdr:nvPicPr>
        <xdr:cNvPr id="471" name="image89.png">
          <a:extLst>
            <a:ext uri="{FF2B5EF4-FFF2-40B4-BE49-F238E27FC236}">
              <a16:creationId xmlns:a16="http://schemas.microsoft.com/office/drawing/2014/main" id="{00000000-0008-0000-0100-0000D701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10</xdr:col>
      <xdr:colOff>0</xdr:colOff>
      <xdr:row>66</xdr:row>
      <xdr:rowOff>0</xdr:rowOff>
    </xdr:from>
    <xdr:ext cx="476250" cy="476250"/>
    <xdr:pic>
      <xdr:nvPicPr>
        <xdr:cNvPr id="472" name="image89.png">
          <a:extLst>
            <a:ext uri="{FF2B5EF4-FFF2-40B4-BE49-F238E27FC236}">
              <a16:creationId xmlns:a16="http://schemas.microsoft.com/office/drawing/2014/main" id="{00000000-0008-0000-0100-0000D801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11</xdr:col>
      <xdr:colOff>0</xdr:colOff>
      <xdr:row>66</xdr:row>
      <xdr:rowOff>0</xdr:rowOff>
    </xdr:from>
    <xdr:ext cx="476250" cy="476250"/>
    <xdr:pic>
      <xdr:nvPicPr>
        <xdr:cNvPr id="473" name="image232.png">
          <a:extLst>
            <a:ext uri="{FF2B5EF4-FFF2-40B4-BE49-F238E27FC236}">
              <a16:creationId xmlns:a16="http://schemas.microsoft.com/office/drawing/2014/main" id="{00000000-0008-0000-0100-0000D901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12</xdr:col>
      <xdr:colOff>0</xdr:colOff>
      <xdr:row>66</xdr:row>
      <xdr:rowOff>0</xdr:rowOff>
    </xdr:from>
    <xdr:ext cx="476250" cy="476250"/>
    <xdr:pic>
      <xdr:nvPicPr>
        <xdr:cNvPr id="474" name="image232.png">
          <a:extLst>
            <a:ext uri="{FF2B5EF4-FFF2-40B4-BE49-F238E27FC236}">
              <a16:creationId xmlns:a16="http://schemas.microsoft.com/office/drawing/2014/main" id="{00000000-0008-0000-0100-0000DA01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3</xdr:col>
      <xdr:colOff>0</xdr:colOff>
      <xdr:row>67</xdr:row>
      <xdr:rowOff>0</xdr:rowOff>
    </xdr:from>
    <xdr:ext cx="476250" cy="476250"/>
    <xdr:pic>
      <xdr:nvPicPr>
        <xdr:cNvPr id="475" name="image255.jpg">
          <a:extLst>
            <a:ext uri="{FF2B5EF4-FFF2-40B4-BE49-F238E27FC236}">
              <a16:creationId xmlns:a16="http://schemas.microsoft.com/office/drawing/2014/main" id="{00000000-0008-0000-0100-0000DB01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7</xdr:col>
      <xdr:colOff>0</xdr:colOff>
      <xdr:row>67</xdr:row>
      <xdr:rowOff>0</xdr:rowOff>
    </xdr:from>
    <xdr:ext cx="476250" cy="476250"/>
    <xdr:pic>
      <xdr:nvPicPr>
        <xdr:cNvPr id="476" name="image240.png">
          <a:extLst>
            <a:ext uri="{FF2B5EF4-FFF2-40B4-BE49-F238E27FC236}">
              <a16:creationId xmlns:a16="http://schemas.microsoft.com/office/drawing/2014/main" id="{00000000-0008-0000-0100-0000DC01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8</xdr:col>
      <xdr:colOff>0</xdr:colOff>
      <xdr:row>67</xdr:row>
      <xdr:rowOff>0</xdr:rowOff>
    </xdr:from>
    <xdr:ext cx="476250" cy="476250"/>
    <xdr:pic>
      <xdr:nvPicPr>
        <xdr:cNvPr id="477" name="image224.png">
          <a:extLst>
            <a:ext uri="{FF2B5EF4-FFF2-40B4-BE49-F238E27FC236}">
              <a16:creationId xmlns:a16="http://schemas.microsoft.com/office/drawing/2014/main" id="{00000000-0008-0000-0100-0000DD01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9</xdr:col>
      <xdr:colOff>0</xdr:colOff>
      <xdr:row>67</xdr:row>
      <xdr:rowOff>0</xdr:rowOff>
    </xdr:from>
    <xdr:ext cx="466725" cy="476250"/>
    <xdr:pic>
      <xdr:nvPicPr>
        <xdr:cNvPr id="478" name="image237.png">
          <a:extLst>
            <a:ext uri="{FF2B5EF4-FFF2-40B4-BE49-F238E27FC236}">
              <a16:creationId xmlns:a16="http://schemas.microsoft.com/office/drawing/2014/main" id="{00000000-0008-0000-0100-0000DE01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10</xdr:col>
      <xdr:colOff>0</xdr:colOff>
      <xdr:row>67</xdr:row>
      <xdr:rowOff>0</xdr:rowOff>
    </xdr:from>
    <xdr:ext cx="476250" cy="476250"/>
    <xdr:pic>
      <xdr:nvPicPr>
        <xdr:cNvPr id="479" name="image132.png">
          <a:extLst>
            <a:ext uri="{FF2B5EF4-FFF2-40B4-BE49-F238E27FC236}">
              <a16:creationId xmlns:a16="http://schemas.microsoft.com/office/drawing/2014/main" id="{00000000-0008-0000-0100-0000DF01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11</xdr:col>
      <xdr:colOff>0</xdr:colOff>
      <xdr:row>67</xdr:row>
      <xdr:rowOff>0</xdr:rowOff>
    </xdr:from>
    <xdr:ext cx="457200" cy="476250"/>
    <xdr:pic>
      <xdr:nvPicPr>
        <xdr:cNvPr id="480" name="image16.png">
          <a:extLst>
            <a:ext uri="{FF2B5EF4-FFF2-40B4-BE49-F238E27FC236}">
              <a16:creationId xmlns:a16="http://schemas.microsoft.com/office/drawing/2014/main" id="{00000000-0008-0000-0100-0000E001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0</xdr:colOff>
      <xdr:row>67</xdr:row>
      <xdr:rowOff>0</xdr:rowOff>
    </xdr:from>
    <xdr:ext cx="476250" cy="476250"/>
    <xdr:pic>
      <xdr:nvPicPr>
        <xdr:cNvPr id="481" name="image10.png" title="Image">
          <a:extLst>
            <a:ext uri="{FF2B5EF4-FFF2-40B4-BE49-F238E27FC236}">
              <a16:creationId xmlns:a16="http://schemas.microsoft.com/office/drawing/2014/main" id="{00000000-0008-0000-0100-0000E101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68</xdr:row>
      <xdr:rowOff>0</xdr:rowOff>
    </xdr:from>
    <xdr:ext cx="476250" cy="476250"/>
    <xdr:pic>
      <xdr:nvPicPr>
        <xdr:cNvPr id="482" name="image235.jpg">
          <a:extLst>
            <a:ext uri="{FF2B5EF4-FFF2-40B4-BE49-F238E27FC236}">
              <a16:creationId xmlns:a16="http://schemas.microsoft.com/office/drawing/2014/main" id="{00000000-0008-0000-0100-0000E201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7</xdr:col>
      <xdr:colOff>0</xdr:colOff>
      <xdr:row>68</xdr:row>
      <xdr:rowOff>0</xdr:rowOff>
    </xdr:from>
    <xdr:ext cx="476250" cy="476250"/>
    <xdr:pic>
      <xdr:nvPicPr>
        <xdr:cNvPr id="483" name="image234.png">
          <a:extLst>
            <a:ext uri="{FF2B5EF4-FFF2-40B4-BE49-F238E27FC236}">
              <a16:creationId xmlns:a16="http://schemas.microsoft.com/office/drawing/2014/main" id="{00000000-0008-0000-0100-0000E301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8</xdr:col>
      <xdr:colOff>0</xdr:colOff>
      <xdr:row>68</xdr:row>
      <xdr:rowOff>0</xdr:rowOff>
    </xdr:from>
    <xdr:ext cx="476250" cy="476250"/>
    <xdr:pic>
      <xdr:nvPicPr>
        <xdr:cNvPr id="484" name="image130.png">
          <a:extLst>
            <a:ext uri="{FF2B5EF4-FFF2-40B4-BE49-F238E27FC236}">
              <a16:creationId xmlns:a16="http://schemas.microsoft.com/office/drawing/2014/main" id="{00000000-0008-0000-0100-0000E401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9</xdr:col>
      <xdr:colOff>0</xdr:colOff>
      <xdr:row>68</xdr:row>
      <xdr:rowOff>0</xdr:rowOff>
    </xdr:from>
    <xdr:ext cx="476250" cy="476250"/>
    <xdr:pic>
      <xdr:nvPicPr>
        <xdr:cNvPr id="485" name="image92.png">
          <a:extLst>
            <a:ext uri="{FF2B5EF4-FFF2-40B4-BE49-F238E27FC236}">
              <a16:creationId xmlns:a16="http://schemas.microsoft.com/office/drawing/2014/main" id="{00000000-0008-0000-0100-0000E501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10</xdr:col>
      <xdr:colOff>0</xdr:colOff>
      <xdr:row>68</xdr:row>
      <xdr:rowOff>0</xdr:rowOff>
    </xdr:from>
    <xdr:ext cx="476250" cy="476250"/>
    <xdr:pic>
      <xdr:nvPicPr>
        <xdr:cNvPr id="486" name="image92.png">
          <a:extLst>
            <a:ext uri="{FF2B5EF4-FFF2-40B4-BE49-F238E27FC236}">
              <a16:creationId xmlns:a16="http://schemas.microsoft.com/office/drawing/2014/main" id="{00000000-0008-0000-0100-0000E601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11</xdr:col>
      <xdr:colOff>0</xdr:colOff>
      <xdr:row>68</xdr:row>
      <xdr:rowOff>0</xdr:rowOff>
    </xdr:from>
    <xdr:ext cx="476250" cy="476250"/>
    <xdr:pic>
      <xdr:nvPicPr>
        <xdr:cNvPr id="487" name="image130.png">
          <a:extLst>
            <a:ext uri="{FF2B5EF4-FFF2-40B4-BE49-F238E27FC236}">
              <a16:creationId xmlns:a16="http://schemas.microsoft.com/office/drawing/2014/main" id="{00000000-0008-0000-0100-0000E701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12</xdr:col>
      <xdr:colOff>0</xdr:colOff>
      <xdr:row>68</xdr:row>
      <xdr:rowOff>0</xdr:rowOff>
    </xdr:from>
    <xdr:ext cx="476250" cy="476250"/>
    <xdr:pic>
      <xdr:nvPicPr>
        <xdr:cNvPr id="488" name="image20.png">
          <a:extLst>
            <a:ext uri="{FF2B5EF4-FFF2-40B4-BE49-F238E27FC236}">
              <a16:creationId xmlns:a16="http://schemas.microsoft.com/office/drawing/2014/main" id="{00000000-0008-0000-0100-0000E801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0</xdr:colOff>
      <xdr:row>69</xdr:row>
      <xdr:rowOff>0</xdr:rowOff>
    </xdr:from>
    <xdr:ext cx="476250" cy="476250"/>
    <xdr:pic>
      <xdr:nvPicPr>
        <xdr:cNvPr id="489" name="image249.jpg">
          <a:extLst>
            <a:ext uri="{FF2B5EF4-FFF2-40B4-BE49-F238E27FC236}">
              <a16:creationId xmlns:a16="http://schemas.microsoft.com/office/drawing/2014/main" id="{00000000-0008-0000-0100-0000E901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7</xdr:col>
      <xdr:colOff>0</xdr:colOff>
      <xdr:row>69</xdr:row>
      <xdr:rowOff>0</xdr:rowOff>
    </xdr:from>
    <xdr:ext cx="466725" cy="476250"/>
    <xdr:pic>
      <xdr:nvPicPr>
        <xdr:cNvPr id="490" name="image196.png">
          <a:extLst>
            <a:ext uri="{FF2B5EF4-FFF2-40B4-BE49-F238E27FC236}">
              <a16:creationId xmlns:a16="http://schemas.microsoft.com/office/drawing/2014/main" id="{00000000-0008-0000-0100-0000EA01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8</xdr:col>
      <xdr:colOff>0</xdr:colOff>
      <xdr:row>69</xdr:row>
      <xdr:rowOff>0</xdr:rowOff>
    </xdr:from>
    <xdr:ext cx="466725" cy="476250"/>
    <xdr:pic>
      <xdr:nvPicPr>
        <xdr:cNvPr id="491" name="image237.png">
          <a:extLst>
            <a:ext uri="{FF2B5EF4-FFF2-40B4-BE49-F238E27FC236}">
              <a16:creationId xmlns:a16="http://schemas.microsoft.com/office/drawing/2014/main" id="{00000000-0008-0000-0100-0000EB01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9</xdr:col>
      <xdr:colOff>0</xdr:colOff>
      <xdr:row>69</xdr:row>
      <xdr:rowOff>0</xdr:rowOff>
    </xdr:from>
    <xdr:ext cx="476250" cy="476250"/>
    <xdr:pic>
      <xdr:nvPicPr>
        <xdr:cNvPr id="492" name="image132.png">
          <a:extLst>
            <a:ext uri="{FF2B5EF4-FFF2-40B4-BE49-F238E27FC236}">
              <a16:creationId xmlns:a16="http://schemas.microsoft.com/office/drawing/2014/main" id="{00000000-0008-0000-0100-0000EC01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10</xdr:col>
      <xdr:colOff>0</xdr:colOff>
      <xdr:row>69</xdr:row>
      <xdr:rowOff>0</xdr:rowOff>
    </xdr:from>
    <xdr:ext cx="476250" cy="476250"/>
    <xdr:pic>
      <xdr:nvPicPr>
        <xdr:cNvPr id="493" name="image132.png">
          <a:extLst>
            <a:ext uri="{FF2B5EF4-FFF2-40B4-BE49-F238E27FC236}">
              <a16:creationId xmlns:a16="http://schemas.microsoft.com/office/drawing/2014/main" id="{00000000-0008-0000-0100-0000ED01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11</xdr:col>
      <xdr:colOff>0</xdr:colOff>
      <xdr:row>69</xdr:row>
      <xdr:rowOff>0</xdr:rowOff>
    </xdr:from>
    <xdr:ext cx="476250" cy="476250"/>
    <xdr:pic>
      <xdr:nvPicPr>
        <xdr:cNvPr id="494" name="image236.png">
          <a:extLst>
            <a:ext uri="{FF2B5EF4-FFF2-40B4-BE49-F238E27FC236}">
              <a16:creationId xmlns:a16="http://schemas.microsoft.com/office/drawing/2014/main" id="{00000000-0008-0000-0100-0000EE01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12</xdr:col>
      <xdr:colOff>0</xdr:colOff>
      <xdr:row>69</xdr:row>
      <xdr:rowOff>0</xdr:rowOff>
    </xdr:from>
    <xdr:ext cx="476250" cy="476250"/>
    <xdr:pic>
      <xdr:nvPicPr>
        <xdr:cNvPr id="495" name="image1.png">
          <a:extLst>
            <a:ext uri="{FF2B5EF4-FFF2-40B4-BE49-F238E27FC236}">
              <a16:creationId xmlns:a16="http://schemas.microsoft.com/office/drawing/2014/main" id="{00000000-0008-0000-0100-0000EF01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0</xdr:colOff>
      <xdr:row>70</xdr:row>
      <xdr:rowOff>0</xdr:rowOff>
    </xdr:from>
    <xdr:ext cx="476250" cy="476250"/>
    <xdr:pic>
      <xdr:nvPicPr>
        <xdr:cNvPr id="496" name="image252.jpg">
          <a:extLst>
            <a:ext uri="{FF2B5EF4-FFF2-40B4-BE49-F238E27FC236}">
              <a16:creationId xmlns:a16="http://schemas.microsoft.com/office/drawing/2014/main" id="{00000000-0008-0000-0100-0000F001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7</xdr:col>
      <xdr:colOff>0</xdr:colOff>
      <xdr:row>70</xdr:row>
      <xdr:rowOff>0</xdr:rowOff>
    </xdr:from>
    <xdr:ext cx="476250" cy="476250"/>
    <xdr:pic>
      <xdr:nvPicPr>
        <xdr:cNvPr id="497" name="image248.png">
          <a:extLst>
            <a:ext uri="{FF2B5EF4-FFF2-40B4-BE49-F238E27FC236}">
              <a16:creationId xmlns:a16="http://schemas.microsoft.com/office/drawing/2014/main" id="{00000000-0008-0000-0100-0000F101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8</xdr:col>
      <xdr:colOff>0</xdr:colOff>
      <xdr:row>70</xdr:row>
      <xdr:rowOff>0</xdr:rowOff>
    </xdr:from>
    <xdr:ext cx="476250" cy="476250"/>
    <xdr:pic>
      <xdr:nvPicPr>
        <xdr:cNvPr id="498" name="image238.png">
          <a:extLst>
            <a:ext uri="{FF2B5EF4-FFF2-40B4-BE49-F238E27FC236}">
              <a16:creationId xmlns:a16="http://schemas.microsoft.com/office/drawing/2014/main" id="{00000000-0008-0000-0100-0000F201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9</xdr:col>
      <xdr:colOff>0</xdr:colOff>
      <xdr:row>70</xdr:row>
      <xdr:rowOff>0</xdr:rowOff>
    </xdr:from>
    <xdr:ext cx="476250" cy="476250"/>
    <xdr:pic>
      <xdr:nvPicPr>
        <xdr:cNvPr id="499" name="image238.png">
          <a:extLst>
            <a:ext uri="{FF2B5EF4-FFF2-40B4-BE49-F238E27FC236}">
              <a16:creationId xmlns:a16="http://schemas.microsoft.com/office/drawing/2014/main" id="{00000000-0008-0000-0100-0000F301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10</xdr:col>
      <xdr:colOff>0</xdr:colOff>
      <xdr:row>70</xdr:row>
      <xdr:rowOff>0</xdr:rowOff>
    </xdr:from>
    <xdr:ext cx="476250" cy="476250"/>
    <xdr:pic>
      <xdr:nvPicPr>
        <xdr:cNvPr id="500" name="image238.png">
          <a:extLst>
            <a:ext uri="{FF2B5EF4-FFF2-40B4-BE49-F238E27FC236}">
              <a16:creationId xmlns:a16="http://schemas.microsoft.com/office/drawing/2014/main" id="{00000000-0008-0000-0100-0000F401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11</xdr:col>
      <xdr:colOff>0</xdr:colOff>
      <xdr:row>70</xdr:row>
      <xdr:rowOff>0</xdr:rowOff>
    </xdr:from>
    <xdr:ext cx="476250" cy="476250"/>
    <xdr:pic>
      <xdr:nvPicPr>
        <xdr:cNvPr id="501" name="image233.png">
          <a:extLst>
            <a:ext uri="{FF2B5EF4-FFF2-40B4-BE49-F238E27FC236}">
              <a16:creationId xmlns:a16="http://schemas.microsoft.com/office/drawing/2014/main" id="{00000000-0008-0000-0100-0000F501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12</xdr:col>
      <xdr:colOff>0</xdr:colOff>
      <xdr:row>70</xdr:row>
      <xdr:rowOff>0</xdr:rowOff>
    </xdr:from>
    <xdr:ext cx="476250" cy="476250"/>
    <xdr:pic>
      <xdr:nvPicPr>
        <xdr:cNvPr id="502" name="image14.png">
          <a:extLst>
            <a:ext uri="{FF2B5EF4-FFF2-40B4-BE49-F238E27FC236}">
              <a16:creationId xmlns:a16="http://schemas.microsoft.com/office/drawing/2014/main" id="{00000000-0008-0000-0100-0000F601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71</xdr:row>
      <xdr:rowOff>0</xdr:rowOff>
    </xdr:from>
    <xdr:ext cx="476250" cy="476250"/>
    <xdr:pic>
      <xdr:nvPicPr>
        <xdr:cNvPr id="503" name="image253.jpg">
          <a:extLst>
            <a:ext uri="{FF2B5EF4-FFF2-40B4-BE49-F238E27FC236}">
              <a16:creationId xmlns:a16="http://schemas.microsoft.com/office/drawing/2014/main" id="{00000000-0008-0000-0100-0000F701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7</xdr:col>
      <xdr:colOff>0</xdr:colOff>
      <xdr:row>71</xdr:row>
      <xdr:rowOff>0</xdr:rowOff>
    </xdr:from>
    <xdr:ext cx="476250" cy="476250"/>
    <xdr:pic>
      <xdr:nvPicPr>
        <xdr:cNvPr id="504" name="image251.png">
          <a:extLst>
            <a:ext uri="{FF2B5EF4-FFF2-40B4-BE49-F238E27FC236}">
              <a16:creationId xmlns:a16="http://schemas.microsoft.com/office/drawing/2014/main" id="{00000000-0008-0000-0100-0000F801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8</xdr:col>
      <xdr:colOff>0</xdr:colOff>
      <xdr:row>71</xdr:row>
      <xdr:rowOff>0</xdr:rowOff>
    </xdr:from>
    <xdr:ext cx="476250" cy="476250"/>
    <xdr:pic>
      <xdr:nvPicPr>
        <xdr:cNvPr id="505" name="image241.png">
          <a:extLst>
            <a:ext uri="{FF2B5EF4-FFF2-40B4-BE49-F238E27FC236}">
              <a16:creationId xmlns:a16="http://schemas.microsoft.com/office/drawing/2014/main" id="{00000000-0008-0000-0100-0000F901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oneCellAnchor>
    <xdr:from>
      <xdr:col>9</xdr:col>
      <xdr:colOff>0</xdr:colOff>
      <xdr:row>71</xdr:row>
      <xdr:rowOff>0</xdr:rowOff>
    </xdr:from>
    <xdr:ext cx="476250" cy="476250"/>
    <xdr:pic>
      <xdr:nvPicPr>
        <xdr:cNvPr id="506" name="image245.png">
          <a:extLst>
            <a:ext uri="{FF2B5EF4-FFF2-40B4-BE49-F238E27FC236}">
              <a16:creationId xmlns:a16="http://schemas.microsoft.com/office/drawing/2014/main" id="{00000000-0008-0000-0100-0000FA01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10</xdr:col>
      <xdr:colOff>0</xdr:colOff>
      <xdr:row>71</xdr:row>
      <xdr:rowOff>0</xdr:rowOff>
    </xdr:from>
    <xdr:ext cx="476250" cy="476250"/>
    <xdr:pic>
      <xdr:nvPicPr>
        <xdr:cNvPr id="507" name="image245.png">
          <a:extLst>
            <a:ext uri="{FF2B5EF4-FFF2-40B4-BE49-F238E27FC236}">
              <a16:creationId xmlns:a16="http://schemas.microsoft.com/office/drawing/2014/main" id="{00000000-0008-0000-0100-0000FB01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11</xdr:col>
      <xdr:colOff>0</xdr:colOff>
      <xdr:row>71</xdr:row>
      <xdr:rowOff>0</xdr:rowOff>
    </xdr:from>
    <xdr:ext cx="476250" cy="476250"/>
    <xdr:pic>
      <xdr:nvPicPr>
        <xdr:cNvPr id="508" name="image239.png">
          <a:extLst>
            <a:ext uri="{FF2B5EF4-FFF2-40B4-BE49-F238E27FC236}">
              <a16:creationId xmlns:a16="http://schemas.microsoft.com/office/drawing/2014/main" id="{00000000-0008-0000-0100-0000FC01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12</xdr:col>
      <xdr:colOff>0</xdr:colOff>
      <xdr:row>71</xdr:row>
      <xdr:rowOff>0</xdr:rowOff>
    </xdr:from>
    <xdr:ext cx="476250" cy="476250"/>
    <xdr:pic>
      <xdr:nvPicPr>
        <xdr:cNvPr id="509" name="image121.png">
          <a:extLst>
            <a:ext uri="{FF2B5EF4-FFF2-40B4-BE49-F238E27FC236}">
              <a16:creationId xmlns:a16="http://schemas.microsoft.com/office/drawing/2014/main" id="{00000000-0008-0000-0100-0000FD01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3</xdr:col>
      <xdr:colOff>0</xdr:colOff>
      <xdr:row>72</xdr:row>
      <xdr:rowOff>0</xdr:rowOff>
    </xdr:from>
    <xdr:ext cx="476250" cy="476250"/>
    <xdr:pic>
      <xdr:nvPicPr>
        <xdr:cNvPr id="510" name="image254.jpg">
          <a:extLst>
            <a:ext uri="{FF2B5EF4-FFF2-40B4-BE49-F238E27FC236}">
              <a16:creationId xmlns:a16="http://schemas.microsoft.com/office/drawing/2014/main" id="{00000000-0008-0000-0100-0000FE01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7</xdr:col>
      <xdr:colOff>0</xdr:colOff>
      <xdr:row>72</xdr:row>
      <xdr:rowOff>0</xdr:rowOff>
    </xdr:from>
    <xdr:ext cx="476250" cy="476250"/>
    <xdr:pic>
      <xdr:nvPicPr>
        <xdr:cNvPr id="511" name="image246.png">
          <a:extLst>
            <a:ext uri="{FF2B5EF4-FFF2-40B4-BE49-F238E27FC236}">
              <a16:creationId xmlns:a16="http://schemas.microsoft.com/office/drawing/2014/main" id="{00000000-0008-0000-0100-0000FF010000}"/>
            </a:ext>
          </a:extLst>
        </xdr:cNvPr>
        <xdr:cNvPicPr preferRelativeResize="0"/>
      </xdr:nvPicPr>
      <xdr:blipFill>
        <a:blip xmlns:r="http://schemas.openxmlformats.org/officeDocument/2006/relationships" r:embed="rId252" cstate="print"/>
        <a:stretch>
          <a:fillRect/>
        </a:stretch>
      </xdr:blipFill>
      <xdr:spPr>
        <a:prstGeom prst="rect">
          <a:avLst/>
        </a:prstGeom>
        <a:noFill/>
      </xdr:spPr>
    </xdr:pic>
    <xdr:clientData fLocksWithSheet="0"/>
  </xdr:oneCellAnchor>
  <xdr:oneCellAnchor>
    <xdr:from>
      <xdr:col>8</xdr:col>
      <xdr:colOff>0</xdr:colOff>
      <xdr:row>72</xdr:row>
      <xdr:rowOff>0</xdr:rowOff>
    </xdr:from>
    <xdr:ext cx="476250" cy="476250"/>
    <xdr:pic>
      <xdr:nvPicPr>
        <xdr:cNvPr id="512" name="image250.png">
          <a:extLst>
            <a:ext uri="{FF2B5EF4-FFF2-40B4-BE49-F238E27FC236}">
              <a16:creationId xmlns:a16="http://schemas.microsoft.com/office/drawing/2014/main" id="{00000000-0008-0000-0100-00000002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9</xdr:col>
      <xdr:colOff>0</xdr:colOff>
      <xdr:row>72</xdr:row>
      <xdr:rowOff>0</xdr:rowOff>
    </xdr:from>
    <xdr:ext cx="476250" cy="476250"/>
    <xdr:pic>
      <xdr:nvPicPr>
        <xdr:cNvPr id="513" name="image242.png">
          <a:extLst>
            <a:ext uri="{FF2B5EF4-FFF2-40B4-BE49-F238E27FC236}">
              <a16:creationId xmlns:a16="http://schemas.microsoft.com/office/drawing/2014/main" id="{00000000-0008-0000-0100-00000102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10</xdr:col>
      <xdr:colOff>0</xdr:colOff>
      <xdr:row>72</xdr:row>
      <xdr:rowOff>0</xdr:rowOff>
    </xdr:from>
    <xdr:ext cx="476250" cy="476250"/>
    <xdr:pic>
      <xdr:nvPicPr>
        <xdr:cNvPr id="514" name="image242.png">
          <a:extLst>
            <a:ext uri="{FF2B5EF4-FFF2-40B4-BE49-F238E27FC236}">
              <a16:creationId xmlns:a16="http://schemas.microsoft.com/office/drawing/2014/main" id="{00000000-0008-0000-0100-00000202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11</xdr:col>
      <xdr:colOff>0</xdr:colOff>
      <xdr:row>72</xdr:row>
      <xdr:rowOff>0</xdr:rowOff>
    </xdr:from>
    <xdr:ext cx="476250" cy="476250"/>
    <xdr:pic>
      <xdr:nvPicPr>
        <xdr:cNvPr id="515" name="image250.png">
          <a:extLst>
            <a:ext uri="{FF2B5EF4-FFF2-40B4-BE49-F238E27FC236}">
              <a16:creationId xmlns:a16="http://schemas.microsoft.com/office/drawing/2014/main" id="{00000000-0008-0000-0100-00000302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12</xdr:col>
      <xdr:colOff>0</xdr:colOff>
      <xdr:row>72</xdr:row>
      <xdr:rowOff>0</xdr:rowOff>
    </xdr:from>
    <xdr:ext cx="476250" cy="476250"/>
    <xdr:pic>
      <xdr:nvPicPr>
        <xdr:cNvPr id="516" name="image14.png">
          <a:extLst>
            <a:ext uri="{FF2B5EF4-FFF2-40B4-BE49-F238E27FC236}">
              <a16:creationId xmlns:a16="http://schemas.microsoft.com/office/drawing/2014/main" id="{00000000-0008-0000-0100-000004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73</xdr:row>
      <xdr:rowOff>0</xdr:rowOff>
    </xdr:from>
    <xdr:ext cx="476250" cy="476250"/>
    <xdr:pic>
      <xdr:nvPicPr>
        <xdr:cNvPr id="517" name="image278.jpg">
          <a:extLst>
            <a:ext uri="{FF2B5EF4-FFF2-40B4-BE49-F238E27FC236}">
              <a16:creationId xmlns:a16="http://schemas.microsoft.com/office/drawing/2014/main" id="{00000000-0008-0000-0100-000005020000}"/>
            </a:ext>
          </a:extLst>
        </xdr:cNvPr>
        <xdr:cNvPicPr preferRelativeResize="0"/>
      </xdr:nvPicPr>
      <xdr:blipFill>
        <a:blip xmlns:r="http://schemas.openxmlformats.org/officeDocument/2006/relationships" r:embed="rId255" cstate="print"/>
        <a:stretch>
          <a:fillRect/>
        </a:stretch>
      </xdr:blipFill>
      <xdr:spPr>
        <a:prstGeom prst="rect">
          <a:avLst/>
        </a:prstGeom>
        <a:noFill/>
      </xdr:spPr>
    </xdr:pic>
    <xdr:clientData fLocksWithSheet="0"/>
  </xdr:oneCellAnchor>
  <xdr:oneCellAnchor>
    <xdr:from>
      <xdr:col>7</xdr:col>
      <xdr:colOff>0</xdr:colOff>
      <xdr:row>73</xdr:row>
      <xdr:rowOff>0</xdr:rowOff>
    </xdr:from>
    <xdr:ext cx="476250" cy="476250"/>
    <xdr:pic>
      <xdr:nvPicPr>
        <xdr:cNvPr id="518" name="image14.png">
          <a:extLst>
            <a:ext uri="{FF2B5EF4-FFF2-40B4-BE49-F238E27FC236}">
              <a16:creationId xmlns:a16="http://schemas.microsoft.com/office/drawing/2014/main" id="{00000000-0008-0000-0100-000006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0</xdr:colOff>
      <xdr:row>73</xdr:row>
      <xdr:rowOff>0</xdr:rowOff>
    </xdr:from>
    <xdr:ext cx="476250" cy="476250"/>
    <xdr:pic>
      <xdr:nvPicPr>
        <xdr:cNvPr id="519" name="image14.png">
          <a:extLst>
            <a:ext uri="{FF2B5EF4-FFF2-40B4-BE49-F238E27FC236}">
              <a16:creationId xmlns:a16="http://schemas.microsoft.com/office/drawing/2014/main" id="{00000000-0008-0000-0100-000007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0</xdr:colOff>
      <xdr:row>73</xdr:row>
      <xdr:rowOff>0</xdr:rowOff>
    </xdr:from>
    <xdr:ext cx="466725" cy="476250"/>
    <xdr:pic>
      <xdr:nvPicPr>
        <xdr:cNvPr id="520" name="image237.png">
          <a:extLst>
            <a:ext uri="{FF2B5EF4-FFF2-40B4-BE49-F238E27FC236}">
              <a16:creationId xmlns:a16="http://schemas.microsoft.com/office/drawing/2014/main" id="{00000000-0008-0000-0100-00000802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10</xdr:col>
      <xdr:colOff>0</xdr:colOff>
      <xdr:row>73</xdr:row>
      <xdr:rowOff>0</xdr:rowOff>
    </xdr:from>
    <xdr:ext cx="476250" cy="476250"/>
    <xdr:pic>
      <xdr:nvPicPr>
        <xdr:cNvPr id="521" name="image14.png">
          <a:extLst>
            <a:ext uri="{FF2B5EF4-FFF2-40B4-BE49-F238E27FC236}">
              <a16:creationId xmlns:a16="http://schemas.microsoft.com/office/drawing/2014/main" id="{00000000-0008-0000-0100-000009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73</xdr:row>
      <xdr:rowOff>0</xdr:rowOff>
    </xdr:from>
    <xdr:ext cx="466725" cy="476250"/>
    <xdr:pic>
      <xdr:nvPicPr>
        <xdr:cNvPr id="522" name="image237.png">
          <a:extLst>
            <a:ext uri="{FF2B5EF4-FFF2-40B4-BE49-F238E27FC236}">
              <a16:creationId xmlns:a16="http://schemas.microsoft.com/office/drawing/2014/main" id="{00000000-0008-0000-0100-00000A02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12</xdr:col>
      <xdr:colOff>0</xdr:colOff>
      <xdr:row>73</xdr:row>
      <xdr:rowOff>0</xdr:rowOff>
    </xdr:from>
    <xdr:ext cx="476250" cy="476250"/>
    <xdr:pic>
      <xdr:nvPicPr>
        <xdr:cNvPr id="523" name="image264.png">
          <a:extLst>
            <a:ext uri="{FF2B5EF4-FFF2-40B4-BE49-F238E27FC236}">
              <a16:creationId xmlns:a16="http://schemas.microsoft.com/office/drawing/2014/main" id="{00000000-0008-0000-0100-00000B020000}"/>
            </a:ext>
          </a:extLst>
        </xdr:cNvPr>
        <xdr:cNvPicPr preferRelativeResize="0"/>
      </xdr:nvPicPr>
      <xdr:blipFill>
        <a:blip xmlns:r="http://schemas.openxmlformats.org/officeDocument/2006/relationships" r:embed="rId256" cstate="print"/>
        <a:stretch>
          <a:fillRect/>
        </a:stretch>
      </xdr:blipFill>
      <xdr:spPr>
        <a:prstGeom prst="rect">
          <a:avLst/>
        </a:prstGeom>
        <a:noFill/>
      </xdr:spPr>
    </xdr:pic>
    <xdr:clientData fLocksWithSheet="0"/>
  </xdr:oneCellAnchor>
  <xdr:oneCellAnchor>
    <xdr:from>
      <xdr:col>3</xdr:col>
      <xdr:colOff>0</xdr:colOff>
      <xdr:row>74</xdr:row>
      <xdr:rowOff>0</xdr:rowOff>
    </xdr:from>
    <xdr:ext cx="476250" cy="476250"/>
    <xdr:pic>
      <xdr:nvPicPr>
        <xdr:cNvPr id="524" name="image261.jpg">
          <a:extLst>
            <a:ext uri="{FF2B5EF4-FFF2-40B4-BE49-F238E27FC236}">
              <a16:creationId xmlns:a16="http://schemas.microsoft.com/office/drawing/2014/main" id="{00000000-0008-0000-0100-00000C02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7</xdr:col>
      <xdr:colOff>0</xdr:colOff>
      <xdr:row>74</xdr:row>
      <xdr:rowOff>0</xdr:rowOff>
    </xdr:from>
    <xdr:ext cx="476250" cy="476250"/>
    <xdr:pic>
      <xdr:nvPicPr>
        <xdr:cNvPr id="525" name="image73.png">
          <a:extLst>
            <a:ext uri="{FF2B5EF4-FFF2-40B4-BE49-F238E27FC236}">
              <a16:creationId xmlns:a16="http://schemas.microsoft.com/office/drawing/2014/main" id="{00000000-0008-0000-0100-00000D02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8</xdr:col>
      <xdr:colOff>0</xdr:colOff>
      <xdr:row>74</xdr:row>
      <xdr:rowOff>0</xdr:rowOff>
    </xdr:from>
    <xdr:ext cx="476250" cy="476250"/>
    <xdr:pic>
      <xdr:nvPicPr>
        <xdr:cNvPr id="526" name="image260.png">
          <a:extLst>
            <a:ext uri="{FF2B5EF4-FFF2-40B4-BE49-F238E27FC236}">
              <a16:creationId xmlns:a16="http://schemas.microsoft.com/office/drawing/2014/main" id="{00000000-0008-0000-0100-00000E02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9</xdr:col>
      <xdr:colOff>0</xdr:colOff>
      <xdr:row>74</xdr:row>
      <xdr:rowOff>0</xdr:rowOff>
    </xdr:from>
    <xdr:ext cx="476250" cy="476250"/>
    <xdr:pic>
      <xdr:nvPicPr>
        <xdr:cNvPr id="527" name="image132.png">
          <a:extLst>
            <a:ext uri="{FF2B5EF4-FFF2-40B4-BE49-F238E27FC236}">
              <a16:creationId xmlns:a16="http://schemas.microsoft.com/office/drawing/2014/main" id="{00000000-0008-0000-0100-00000F02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10</xdr:col>
      <xdr:colOff>0</xdr:colOff>
      <xdr:row>74</xdr:row>
      <xdr:rowOff>0</xdr:rowOff>
    </xdr:from>
    <xdr:ext cx="476250" cy="476250"/>
    <xdr:pic>
      <xdr:nvPicPr>
        <xdr:cNvPr id="528" name="image132.png">
          <a:extLst>
            <a:ext uri="{FF2B5EF4-FFF2-40B4-BE49-F238E27FC236}">
              <a16:creationId xmlns:a16="http://schemas.microsoft.com/office/drawing/2014/main" id="{00000000-0008-0000-0100-00001002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11</xdr:col>
      <xdr:colOff>0</xdr:colOff>
      <xdr:row>74</xdr:row>
      <xdr:rowOff>0</xdr:rowOff>
    </xdr:from>
    <xdr:ext cx="476250" cy="476250"/>
    <xdr:pic>
      <xdr:nvPicPr>
        <xdr:cNvPr id="529" name="image258.png">
          <a:extLst>
            <a:ext uri="{FF2B5EF4-FFF2-40B4-BE49-F238E27FC236}">
              <a16:creationId xmlns:a16="http://schemas.microsoft.com/office/drawing/2014/main" id="{00000000-0008-0000-0100-00001102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12</xdr:col>
      <xdr:colOff>0</xdr:colOff>
      <xdr:row>74</xdr:row>
      <xdr:rowOff>0</xdr:rowOff>
    </xdr:from>
    <xdr:ext cx="476250" cy="476250"/>
    <xdr:pic>
      <xdr:nvPicPr>
        <xdr:cNvPr id="530" name="image14.png">
          <a:extLst>
            <a:ext uri="{FF2B5EF4-FFF2-40B4-BE49-F238E27FC236}">
              <a16:creationId xmlns:a16="http://schemas.microsoft.com/office/drawing/2014/main" id="{00000000-0008-0000-0100-000012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75</xdr:row>
      <xdr:rowOff>0</xdr:rowOff>
    </xdr:from>
    <xdr:ext cx="476250" cy="476250"/>
    <xdr:pic>
      <xdr:nvPicPr>
        <xdr:cNvPr id="531" name="image256.jpg">
          <a:extLst>
            <a:ext uri="{FF2B5EF4-FFF2-40B4-BE49-F238E27FC236}">
              <a16:creationId xmlns:a16="http://schemas.microsoft.com/office/drawing/2014/main" id="{00000000-0008-0000-0100-00001302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7</xdr:col>
      <xdr:colOff>0</xdr:colOff>
      <xdr:row>75</xdr:row>
      <xdr:rowOff>0</xdr:rowOff>
    </xdr:from>
    <xdr:ext cx="476250" cy="476250"/>
    <xdr:pic>
      <xdr:nvPicPr>
        <xdr:cNvPr id="532" name="image271.png">
          <a:extLst>
            <a:ext uri="{FF2B5EF4-FFF2-40B4-BE49-F238E27FC236}">
              <a16:creationId xmlns:a16="http://schemas.microsoft.com/office/drawing/2014/main" id="{00000000-0008-0000-0100-00001402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8</xdr:col>
      <xdr:colOff>0</xdr:colOff>
      <xdr:row>75</xdr:row>
      <xdr:rowOff>0</xdr:rowOff>
    </xdr:from>
    <xdr:ext cx="476250" cy="476250"/>
    <xdr:pic>
      <xdr:nvPicPr>
        <xdr:cNvPr id="533" name="image263.png">
          <a:extLst>
            <a:ext uri="{FF2B5EF4-FFF2-40B4-BE49-F238E27FC236}">
              <a16:creationId xmlns:a16="http://schemas.microsoft.com/office/drawing/2014/main" id="{00000000-0008-0000-0100-00001502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9</xdr:col>
      <xdr:colOff>0</xdr:colOff>
      <xdr:row>75</xdr:row>
      <xdr:rowOff>0</xdr:rowOff>
    </xdr:from>
    <xdr:ext cx="476250" cy="476250"/>
    <xdr:pic>
      <xdr:nvPicPr>
        <xdr:cNvPr id="534" name="image259.png">
          <a:extLst>
            <a:ext uri="{FF2B5EF4-FFF2-40B4-BE49-F238E27FC236}">
              <a16:creationId xmlns:a16="http://schemas.microsoft.com/office/drawing/2014/main" id="{00000000-0008-0000-0100-00001602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10</xdr:col>
      <xdr:colOff>0</xdr:colOff>
      <xdr:row>75</xdr:row>
      <xdr:rowOff>0</xdr:rowOff>
    </xdr:from>
    <xdr:ext cx="476250" cy="476250"/>
    <xdr:pic>
      <xdr:nvPicPr>
        <xdr:cNvPr id="535" name="image259.png">
          <a:extLst>
            <a:ext uri="{FF2B5EF4-FFF2-40B4-BE49-F238E27FC236}">
              <a16:creationId xmlns:a16="http://schemas.microsoft.com/office/drawing/2014/main" id="{00000000-0008-0000-0100-00001702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11</xdr:col>
      <xdr:colOff>0</xdr:colOff>
      <xdr:row>75</xdr:row>
      <xdr:rowOff>0</xdr:rowOff>
    </xdr:from>
    <xdr:ext cx="476250" cy="476250"/>
    <xdr:pic>
      <xdr:nvPicPr>
        <xdr:cNvPr id="536" name="image14.png">
          <a:extLst>
            <a:ext uri="{FF2B5EF4-FFF2-40B4-BE49-F238E27FC236}">
              <a16:creationId xmlns:a16="http://schemas.microsoft.com/office/drawing/2014/main" id="{00000000-0008-0000-0100-000018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75</xdr:row>
      <xdr:rowOff>0</xdr:rowOff>
    </xdr:from>
    <xdr:ext cx="476250" cy="476250"/>
    <xdr:pic>
      <xdr:nvPicPr>
        <xdr:cNvPr id="537" name="image14.png">
          <a:extLst>
            <a:ext uri="{FF2B5EF4-FFF2-40B4-BE49-F238E27FC236}">
              <a16:creationId xmlns:a16="http://schemas.microsoft.com/office/drawing/2014/main" id="{00000000-0008-0000-0100-000019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76</xdr:row>
      <xdr:rowOff>0</xdr:rowOff>
    </xdr:from>
    <xdr:ext cx="476250" cy="476250"/>
    <xdr:pic>
      <xdr:nvPicPr>
        <xdr:cNvPr id="538" name="image277.jpg">
          <a:extLst>
            <a:ext uri="{FF2B5EF4-FFF2-40B4-BE49-F238E27FC236}">
              <a16:creationId xmlns:a16="http://schemas.microsoft.com/office/drawing/2014/main" id="{00000000-0008-0000-0100-00001A02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7</xdr:col>
      <xdr:colOff>0</xdr:colOff>
      <xdr:row>76</xdr:row>
      <xdr:rowOff>0</xdr:rowOff>
    </xdr:from>
    <xdr:ext cx="476250" cy="476250"/>
    <xdr:pic>
      <xdr:nvPicPr>
        <xdr:cNvPr id="539" name="image265.png">
          <a:extLst>
            <a:ext uri="{FF2B5EF4-FFF2-40B4-BE49-F238E27FC236}">
              <a16:creationId xmlns:a16="http://schemas.microsoft.com/office/drawing/2014/main" id="{00000000-0008-0000-0100-00001B02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8</xdr:col>
      <xdr:colOff>0</xdr:colOff>
      <xdr:row>76</xdr:row>
      <xdr:rowOff>0</xdr:rowOff>
    </xdr:from>
    <xdr:ext cx="476250" cy="476250"/>
    <xdr:pic>
      <xdr:nvPicPr>
        <xdr:cNvPr id="540" name="image257.png">
          <a:extLst>
            <a:ext uri="{FF2B5EF4-FFF2-40B4-BE49-F238E27FC236}">
              <a16:creationId xmlns:a16="http://schemas.microsoft.com/office/drawing/2014/main" id="{00000000-0008-0000-0100-00001C02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9</xdr:col>
      <xdr:colOff>0</xdr:colOff>
      <xdr:row>76</xdr:row>
      <xdr:rowOff>0</xdr:rowOff>
    </xdr:from>
    <xdr:ext cx="476250" cy="476250"/>
    <xdr:pic>
      <xdr:nvPicPr>
        <xdr:cNvPr id="541" name="image273.png">
          <a:extLst>
            <a:ext uri="{FF2B5EF4-FFF2-40B4-BE49-F238E27FC236}">
              <a16:creationId xmlns:a16="http://schemas.microsoft.com/office/drawing/2014/main" id="{00000000-0008-0000-0100-00001D02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10</xdr:col>
      <xdr:colOff>0</xdr:colOff>
      <xdr:row>76</xdr:row>
      <xdr:rowOff>0</xdr:rowOff>
    </xdr:from>
    <xdr:ext cx="476250" cy="476250"/>
    <xdr:pic>
      <xdr:nvPicPr>
        <xdr:cNvPr id="542" name="image273.png">
          <a:extLst>
            <a:ext uri="{FF2B5EF4-FFF2-40B4-BE49-F238E27FC236}">
              <a16:creationId xmlns:a16="http://schemas.microsoft.com/office/drawing/2014/main" id="{00000000-0008-0000-0100-00001E02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11</xdr:col>
      <xdr:colOff>0</xdr:colOff>
      <xdr:row>76</xdr:row>
      <xdr:rowOff>0</xdr:rowOff>
    </xdr:from>
    <xdr:ext cx="476250" cy="476250"/>
    <xdr:pic>
      <xdr:nvPicPr>
        <xdr:cNvPr id="543" name="image116.png">
          <a:extLst>
            <a:ext uri="{FF2B5EF4-FFF2-40B4-BE49-F238E27FC236}">
              <a16:creationId xmlns:a16="http://schemas.microsoft.com/office/drawing/2014/main" id="{00000000-0008-0000-0100-00001F02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12</xdr:col>
      <xdr:colOff>0</xdr:colOff>
      <xdr:row>76</xdr:row>
      <xdr:rowOff>0</xdr:rowOff>
    </xdr:from>
    <xdr:ext cx="476250" cy="476250"/>
    <xdr:pic>
      <xdr:nvPicPr>
        <xdr:cNvPr id="544" name="image14.png">
          <a:extLst>
            <a:ext uri="{FF2B5EF4-FFF2-40B4-BE49-F238E27FC236}">
              <a16:creationId xmlns:a16="http://schemas.microsoft.com/office/drawing/2014/main" id="{00000000-0008-0000-0100-000020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77</xdr:row>
      <xdr:rowOff>0</xdr:rowOff>
    </xdr:from>
    <xdr:ext cx="476250" cy="476250"/>
    <xdr:pic>
      <xdr:nvPicPr>
        <xdr:cNvPr id="545" name="image267.jpg">
          <a:extLst>
            <a:ext uri="{FF2B5EF4-FFF2-40B4-BE49-F238E27FC236}">
              <a16:creationId xmlns:a16="http://schemas.microsoft.com/office/drawing/2014/main" id="{00000000-0008-0000-0100-00002102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7</xdr:col>
      <xdr:colOff>0</xdr:colOff>
      <xdr:row>77</xdr:row>
      <xdr:rowOff>0</xdr:rowOff>
    </xdr:from>
    <xdr:ext cx="466725" cy="476250"/>
    <xdr:pic>
      <xdr:nvPicPr>
        <xdr:cNvPr id="546" name="image237.png">
          <a:extLst>
            <a:ext uri="{FF2B5EF4-FFF2-40B4-BE49-F238E27FC236}">
              <a16:creationId xmlns:a16="http://schemas.microsoft.com/office/drawing/2014/main" id="{00000000-0008-0000-0100-00002202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8</xdr:col>
      <xdr:colOff>0</xdr:colOff>
      <xdr:row>77</xdr:row>
      <xdr:rowOff>0</xdr:rowOff>
    </xdr:from>
    <xdr:ext cx="466725" cy="476250"/>
    <xdr:pic>
      <xdr:nvPicPr>
        <xdr:cNvPr id="547" name="image237.png">
          <a:extLst>
            <a:ext uri="{FF2B5EF4-FFF2-40B4-BE49-F238E27FC236}">
              <a16:creationId xmlns:a16="http://schemas.microsoft.com/office/drawing/2014/main" id="{00000000-0008-0000-0100-00002302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9</xdr:col>
      <xdr:colOff>0</xdr:colOff>
      <xdr:row>77</xdr:row>
      <xdr:rowOff>0</xdr:rowOff>
    </xdr:from>
    <xdr:ext cx="476250" cy="476250"/>
    <xdr:pic>
      <xdr:nvPicPr>
        <xdr:cNvPr id="548" name="image132.png">
          <a:extLst>
            <a:ext uri="{FF2B5EF4-FFF2-40B4-BE49-F238E27FC236}">
              <a16:creationId xmlns:a16="http://schemas.microsoft.com/office/drawing/2014/main" id="{00000000-0008-0000-0100-00002402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10</xdr:col>
      <xdr:colOff>0</xdr:colOff>
      <xdr:row>77</xdr:row>
      <xdr:rowOff>0</xdr:rowOff>
    </xdr:from>
    <xdr:ext cx="476250" cy="476250"/>
    <xdr:pic>
      <xdr:nvPicPr>
        <xdr:cNvPr id="549" name="image132.png">
          <a:extLst>
            <a:ext uri="{FF2B5EF4-FFF2-40B4-BE49-F238E27FC236}">
              <a16:creationId xmlns:a16="http://schemas.microsoft.com/office/drawing/2014/main" id="{00000000-0008-0000-0100-00002502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11</xdr:col>
      <xdr:colOff>0</xdr:colOff>
      <xdr:row>77</xdr:row>
      <xdr:rowOff>0</xdr:rowOff>
    </xdr:from>
    <xdr:ext cx="466725" cy="476250"/>
    <xdr:pic>
      <xdr:nvPicPr>
        <xdr:cNvPr id="550" name="image45.png">
          <a:extLst>
            <a:ext uri="{FF2B5EF4-FFF2-40B4-BE49-F238E27FC236}">
              <a16:creationId xmlns:a16="http://schemas.microsoft.com/office/drawing/2014/main" id="{00000000-0008-0000-0100-00002602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12</xdr:col>
      <xdr:colOff>0</xdr:colOff>
      <xdr:row>77</xdr:row>
      <xdr:rowOff>0</xdr:rowOff>
    </xdr:from>
    <xdr:ext cx="466725" cy="476250"/>
    <xdr:pic>
      <xdr:nvPicPr>
        <xdr:cNvPr id="551" name="image45.png">
          <a:extLst>
            <a:ext uri="{FF2B5EF4-FFF2-40B4-BE49-F238E27FC236}">
              <a16:creationId xmlns:a16="http://schemas.microsoft.com/office/drawing/2014/main" id="{00000000-0008-0000-0100-00002702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3</xdr:col>
      <xdr:colOff>0</xdr:colOff>
      <xdr:row>78</xdr:row>
      <xdr:rowOff>0</xdr:rowOff>
    </xdr:from>
    <xdr:ext cx="476250" cy="476250"/>
    <xdr:pic>
      <xdr:nvPicPr>
        <xdr:cNvPr id="552" name="image262.jpg">
          <a:extLst>
            <a:ext uri="{FF2B5EF4-FFF2-40B4-BE49-F238E27FC236}">
              <a16:creationId xmlns:a16="http://schemas.microsoft.com/office/drawing/2014/main" id="{00000000-0008-0000-0100-000028020000}"/>
            </a:ext>
          </a:extLst>
        </xdr:cNvPr>
        <xdr:cNvPicPr preferRelativeResize="0"/>
      </xdr:nvPicPr>
      <xdr:blipFill>
        <a:blip xmlns:r="http://schemas.openxmlformats.org/officeDocument/2006/relationships" r:embed="rId269" cstate="print"/>
        <a:stretch>
          <a:fillRect/>
        </a:stretch>
      </xdr:blipFill>
      <xdr:spPr>
        <a:prstGeom prst="rect">
          <a:avLst/>
        </a:prstGeom>
        <a:noFill/>
      </xdr:spPr>
    </xdr:pic>
    <xdr:clientData fLocksWithSheet="0"/>
  </xdr:oneCellAnchor>
  <xdr:oneCellAnchor>
    <xdr:from>
      <xdr:col>7</xdr:col>
      <xdr:colOff>0</xdr:colOff>
      <xdr:row>78</xdr:row>
      <xdr:rowOff>0</xdr:rowOff>
    </xdr:from>
    <xdr:ext cx="476250" cy="476250"/>
    <xdr:pic>
      <xdr:nvPicPr>
        <xdr:cNvPr id="553" name="image234.png">
          <a:extLst>
            <a:ext uri="{FF2B5EF4-FFF2-40B4-BE49-F238E27FC236}">
              <a16:creationId xmlns:a16="http://schemas.microsoft.com/office/drawing/2014/main" id="{00000000-0008-0000-0100-00002902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8</xdr:col>
      <xdr:colOff>0</xdr:colOff>
      <xdr:row>78</xdr:row>
      <xdr:rowOff>0</xdr:rowOff>
    </xdr:from>
    <xdr:ext cx="476250" cy="476250"/>
    <xdr:pic>
      <xdr:nvPicPr>
        <xdr:cNvPr id="554" name="image268.png">
          <a:extLst>
            <a:ext uri="{FF2B5EF4-FFF2-40B4-BE49-F238E27FC236}">
              <a16:creationId xmlns:a16="http://schemas.microsoft.com/office/drawing/2014/main" id="{00000000-0008-0000-0100-00002A020000}"/>
            </a:ext>
          </a:extLst>
        </xdr:cNvPr>
        <xdr:cNvPicPr preferRelativeResize="0"/>
      </xdr:nvPicPr>
      <xdr:blipFill>
        <a:blip xmlns:r="http://schemas.openxmlformats.org/officeDocument/2006/relationships" r:embed="rId270" cstate="print"/>
        <a:stretch>
          <a:fillRect/>
        </a:stretch>
      </xdr:blipFill>
      <xdr:spPr>
        <a:prstGeom prst="rect">
          <a:avLst/>
        </a:prstGeom>
        <a:noFill/>
      </xdr:spPr>
    </xdr:pic>
    <xdr:clientData fLocksWithSheet="0"/>
  </xdr:oneCellAnchor>
  <xdr:oneCellAnchor>
    <xdr:from>
      <xdr:col>9</xdr:col>
      <xdr:colOff>0</xdr:colOff>
      <xdr:row>78</xdr:row>
      <xdr:rowOff>0</xdr:rowOff>
    </xdr:from>
    <xdr:ext cx="476250" cy="476250"/>
    <xdr:pic>
      <xdr:nvPicPr>
        <xdr:cNvPr id="555" name="image117.png">
          <a:extLst>
            <a:ext uri="{FF2B5EF4-FFF2-40B4-BE49-F238E27FC236}">
              <a16:creationId xmlns:a16="http://schemas.microsoft.com/office/drawing/2014/main" id="{00000000-0008-0000-0100-00002B02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10</xdr:col>
      <xdr:colOff>0</xdr:colOff>
      <xdr:row>78</xdr:row>
      <xdr:rowOff>0</xdr:rowOff>
    </xdr:from>
    <xdr:ext cx="476250" cy="476250"/>
    <xdr:pic>
      <xdr:nvPicPr>
        <xdr:cNvPr id="556" name="image107.png">
          <a:extLst>
            <a:ext uri="{FF2B5EF4-FFF2-40B4-BE49-F238E27FC236}">
              <a16:creationId xmlns:a16="http://schemas.microsoft.com/office/drawing/2014/main" id="{00000000-0008-0000-0100-00002C02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11</xdr:col>
      <xdr:colOff>0</xdr:colOff>
      <xdr:row>78</xdr:row>
      <xdr:rowOff>0</xdr:rowOff>
    </xdr:from>
    <xdr:ext cx="476250" cy="476250"/>
    <xdr:pic>
      <xdr:nvPicPr>
        <xdr:cNvPr id="557" name="image269.png">
          <a:extLst>
            <a:ext uri="{FF2B5EF4-FFF2-40B4-BE49-F238E27FC236}">
              <a16:creationId xmlns:a16="http://schemas.microsoft.com/office/drawing/2014/main" id="{00000000-0008-0000-0100-00002D02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12</xdr:col>
      <xdr:colOff>0</xdr:colOff>
      <xdr:row>78</xdr:row>
      <xdr:rowOff>0</xdr:rowOff>
    </xdr:from>
    <xdr:ext cx="476250" cy="476250"/>
    <xdr:pic>
      <xdr:nvPicPr>
        <xdr:cNvPr id="558" name="image270.png">
          <a:extLst>
            <a:ext uri="{FF2B5EF4-FFF2-40B4-BE49-F238E27FC236}">
              <a16:creationId xmlns:a16="http://schemas.microsoft.com/office/drawing/2014/main" id="{00000000-0008-0000-0100-00002E020000}"/>
            </a:ext>
          </a:extLst>
        </xdr:cNvPr>
        <xdr:cNvPicPr preferRelativeResize="0"/>
      </xdr:nvPicPr>
      <xdr:blipFill>
        <a:blip xmlns:r="http://schemas.openxmlformats.org/officeDocument/2006/relationships" r:embed="rId272" cstate="print"/>
        <a:stretch>
          <a:fillRect/>
        </a:stretch>
      </xdr:blipFill>
      <xdr:spPr>
        <a:prstGeom prst="rect">
          <a:avLst/>
        </a:prstGeom>
        <a:noFill/>
      </xdr:spPr>
    </xdr:pic>
    <xdr:clientData fLocksWithSheet="0"/>
  </xdr:oneCellAnchor>
  <xdr:oneCellAnchor>
    <xdr:from>
      <xdr:col>3</xdr:col>
      <xdr:colOff>0</xdr:colOff>
      <xdr:row>79</xdr:row>
      <xdr:rowOff>0</xdr:rowOff>
    </xdr:from>
    <xdr:ext cx="476250" cy="476250"/>
    <xdr:pic>
      <xdr:nvPicPr>
        <xdr:cNvPr id="559" name="image272.jpg">
          <a:extLst>
            <a:ext uri="{FF2B5EF4-FFF2-40B4-BE49-F238E27FC236}">
              <a16:creationId xmlns:a16="http://schemas.microsoft.com/office/drawing/2014/main" id="{00000000-0008-0000-0100-00002F020000}"/>
            </a:ext>
          </a:extLst>
        </xdr:cNvPr>
        <xdr:cNvPicPr preferRelativeResize="0"/>
      </xdr:nvPicPr>
      <xdr:blipFill>
        <a:blip xmlns:r="http://schemas.openxmlformats.org/officeDocument/2006/relationships" r:embed="rId273" cstate="print"/>
        <a:stretch>
          <a:fillRect/>
        </a:stretch>
      </xdr:blipFill>
      <xdr:spPr>
        <a:prstGeom prst="rect">
          <a:avLst/>
        </a:prstGeom>
        <a:noFill/>
      </xdr:spPr>
    </xdr:pic>
    <xdr:clientData fLocksWithSheet="0"/>
  </xdr:oneCellAnchor>
  <xdr:oneCellAnchor>
    <xdr:from>
      <xdr:col>7</xdr:col>
      <xdr:colOff>0</xdr:colOff>
      <xdr:row>79</xdr:row>
      <xdr:rowOff>0</xdr:rowOff>
    </xdr:from>
    <xdr:ext cx="485775" cy="466725"/>
    <xdr:pic>
      <xdr:nvPicPr>
        <xdr:cNvPr id="560" name="image275.png">
          <a:extLst>
            <a:ext uri="{FF2B5EF4-FFF2-40B4-BE49-F238E27FC236}">
              <a16:creationId xmlns:a16="http://schemas.microsoft.com/office/drawing/2014/main" id="{00000000-0008-0000-0100-000030020000}"/>
            </a:ext>
          </a:extLst>
        </xdr:cNvPr>
        <xdr:cNvPicPr preferRelativeResize="0"/>
      </xdr:nvPicPr>
      <xdr:blipFill>
        <a:blip xmlns:r="http://schemas.openxmlformats.org/officeDocument/2006/relationships" r:embed="rId274" cstate="print"/>
        <a:stretch>
          <a:fillRect/>
        </a:stretch>
      </xdr:blipFill>
      <xdr:spPr>
        <a:prstGeom prst="rect">
          <a:avLst/>
        </a:prstGeom>
        <a:noFill/>
      </xdr:spPr>
    </xdr:pic>
    <xdr:clientData fLocksWithSheet="0"/>
  </xdr:oneCellAnchor>
  <xdr:oneCellAnchor>
    <xdr:from>
      <xdr:col>8</xdr:col>
      <xdr:colOff>0</xdr:colOff>
      <xdr:row>79</xdr:row>
      <xdr:rowOff>0</xdr:rowOff>
    </xdr:from>
    <xdr:ext cx="485775" cy="466725"/>
    <xdr:pic>
      <xdr:nvPicPr>
        <xdr:cNvPr id="561" name="image266.png">
          <a:extLst>
            <a:ext uri="{FF2B5EF4-FFF2-40B4-BE49-F238E27FC236}">
              <a16:creationId xmlns:a16="http://schemas.microsoft.com/office/drawing/2014/main" id="{00000000-0008-0000-0100-000031020000}"/>
            </a:ext>
          </a:extLst>
        </xdr:cNvPr>
        <xdr:cNvPicPr preferRelativeResize="0"/>
      </xdr:nvPicPr>
      <xdr:blipFill>
        <a:blip xmlns:r="http://schemas.openxmlformats.org/officeDocument/2006/relationships" r:embed="rId275" cstate="print"/>
        <a:stretch>
          <a:fillRect/>
        </a:stretch>
      </xdr:blipFill>
      <xdr:spPr>
        <a:prstGeom prst="rect">
          <a:avLst/>
        </a:prstGeom>
        <a:noFill/>
      </xdr:spPr>
    </xdr:pic>
    <xdr:clientData fLocksWithSheet="0"/>
  </xdr:oneCellAnchor>
  <xdr:oneCellAnchor>
    <xdr:from>
      <xdr:col>9</xdr:col>
      <xdr:colOff>0</xdr:colOff>
      <xdr:row>79</xdr:row>
      <xdr:rowOff>0</xdr:rowOff>
    </xdr:from>
    <xdr:ext cx="485775" cy="466725"/>
    <xdr:pic>
      <xdr:nvPicPr>
        <xdr:cNvPr id="562" name="image274.png">
          <a:extLst>
            <a:ext uri="{FF2B5EF4-FFF2-40B4-BE49-F238E27FC236}">
              <a16:creationId xmlns:a16="http://schemas.microsoft.com/office/drawing/2014/main" id="{00000000-0008-0000-0100-00003202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10</xdr:col>
      <xdr:colOff>0</xdr:colOff>
      <xdr:row>79</xdr:row>
      <xdr:rowOff>0</xdr:rowOff>
    </xdr:from>
    <xdr:ext cx="485775" cy="466725"/>
    <xdr:pic>
      <xdr:nvPicPr>
        <xdr:cNvPr id="563" name="image274.png">
          <a:extLst>
            <a:ext uri="{FF2B5EF4-FFF2-40B4-BE49-F238E27FC236}">
              <a16:creationId xmlns:a16="http://schemas.microsoft.com/office/drawing/2014/main" id="{00000000-0008-0000-0100-00003302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11</xdr:col>
      <xdr:colOff>0</xdr:colOff>
      <xdr:row>79</xdr:row>
      <xdr:rowOff>0</xdr:rowOff>
    </xdr:from>
    <xdr:ext cx="476250" cy="476250"/>
    <xdr:pic>
      <xdr:nvPicPr>
        <xdr:cNvPr id="564" name="image279.png">
          <a:extLst>
            <a:ext uri="{FF2B5EF4-FFF2-40B4-BE49-F238E27FC236}">
              <a16:creationId xmlns:a16="http://schemas.microsoft.com/office/drawing/2014/main" id="{00000000-0008-0000-0100-00003402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12</xdr:col>
      <xdr:colOff>0</xdr:colOff>
      <xdr:row>79</xdr:row>
      <xdr:rowOff>0</xdr:rowOff>
    </xdr:from>
    <xdr:ext cx="476250" cy="476250"/>
    <xdr:pic>
      <xdr:nvPicPr>
        <xdr:cNvPr id="565" name="image14.png">
          <a:extLst>
            <a:ext uri="{FF2B5EF4-FFF2-40B4-BE49-F238E27FC236}">
              <a16:creationId xmlns:a16="http://schemas.microsoft.com/office/drawing/2014/main" id="{00000000-0008-0000-0100-000035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80</xdr:row>
      <xdr:rowOff>0</xdr:rowOff>
    </xdr:from>
    <xdr:ext cx="476250" cy="476250"/>
    <xdr:pic>
      <xdr:nvPicPr>
        <xdr:cNvPr id="566" name="image283.jpg">
          <a:extLst>
            <a:ext uri="{FF2B5EF4-FFF2-40B4-BE49-F238E27FC236}">
              <a16:creationId xmlns:a16="http://schemas.microsoft.com/office/drawing/2014/main" id="{00000000-0008-0000-0100-000036020000}"/>
            </a:ext>
          </a:extLst>
        </xdr:cNvPr>
        <xdr:cNvPicPr preferRelativeResize="0"/>
      </xdr:nvPicPr>
      <xdr:blipFill>
        <a:blip xmlns:r="http://schemas.openxmlformats.org/officeDocument/2006/relationships" r:embed="rId278" cstate="print"/>
        <a:stretch>
          <a:fillRect/>
        </a:stretch>
      </xdr:blipFill>
      <xdr:spPr>
        <a:prstGeom prst="rect">
          <a:avLst/>
        </a:prstGeom>
        <a:noFill/>
      </xdr:spPr>
    </xdr:pic>
    <xdr:clientData fLocksWithSheet="0"/>
  </xdr:oneCellAnchor>
  <xdr:oneCellAnchor>
    <xdr:from>
      <xdr:col>7</xdr:col>
      <xdr:colOff>0</xdr:colOff>
      <xdr:row>80</xdr:row>
      <xdr:rowOff>0</xdr:rowOff>
    </xdr:from>
    <xdr:ext cx="476250" cy="476250"/>
    <xdr:pic>
      <xdr:nvPicPr>
        <xdr:cNvPr id="567" name="image282.png">
          <a:extLst>
            <a:ext uri="{FF2B5EF4-FFF2-40B4-BE49-F238E27FC236}">
              <a16:creationId xmlns:a16="http://schemas.microsoft.com/office/drawing/2014/main" id="{00000000-0008-0000-0100-00003702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8</xdr:col>
      <xdr:colOff>0</xdr:colOff>
      <xdr:row>80</xdr:row>
      <xdr:rowOff>0</xdr:rowOff>
    </xdr:from>
    <xdr:ext cx="476250" cy="476250"/>
    <xdr:pic>
      <xdr:nvPicPr>
        <xdr:cNvPr id="568" name="image282.png">
          <a:extLst>
            <a:ext uri="{FF2B5EF4-FFF2-40B4-BE49-F238E27FC236}">
              <a16:creationId xmlns:a16="http://schemas.microsoft.com/office/drawing/2014/main" id="{00000000-0008-0000-0100-00003802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9</xdr:col>
      <xdr:colOff>0</xdr:colOff>
      <xdr:row>80</xdr:row>
      <xdr:rowOff>0</xdr:rowOff>
    </xdr:from>
    <xdr:ext cx="476250" cy="476250"/>
    <xdr:pic>
      <xdr:nvPicPr>
        <xdr:cNvPr id="569" name="image276.png">
          <a:extLst>
            <a:ext uri="{FF2B5EF4-FFF2-40B4-BE49-F238E27FC236}">
              <a16:creationId xmlns:a16="http://schemas.microsoft.com/office/drawing/2014/main" id="{00000000-0008-0000-0100-00003902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10</xdr:col>
      <xdr:colOff>0</xdr:colOff>
      <xdr:row>80</xdr:row>
      <xdr:rowOff>0</xdr:rowOff>
    </xdr:from>
    <xdr:ext cx="476250" cy="476250"/>
    <xdr:pic>
      <xdr:nvPicPr>
        <xdr:cNvPr id="570" name="image276.png">
          <a:extLst>
            <a:ext uri="{FF2B5EF4-FFF2-40B4-BE49-F238E27FC236}">
              <a16:creationId xmlns:a16="http://schemas.microsoft.com/office/drawing/2014/main" id="{00000000-0008-0000-0100-00003A02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11</xdr:col>
      <xdr:colOff>0</xdr:colOff>
      <xdr:row>80</xdr:row>
      <xdr:rowOff>0</xdr:rowOff>
    </xdr:from>
    <xdr:ext cx="476250" cy="476250"/>
    <xdr:pic>
      <xdr:nvPicPr>
        <xdr:cNvPr id="571" name="image179.png">
          <a:extLst>
            <a:ext uri="{FF2B5EF4-FFF2-40B4-BE49-F238E27FC236}">
              <a16:creationId xmlns:a16="http://schemas.microsoft.com/office/drawing/2014/main" id="{00000000-0008-0000-0100-00003B02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12</xdr:col>
      <xdr:colOff>0</xdr:colOff>
      <xdr:row>80</xdr:row>
      <xdr:rowOff>0</xdr:rowOff>
    </xdr:from>
    <xdr:ext cx="476250" cy="476250"/>
    <xdr:pic>
      <xdr:nvPicPr>
        <xdr:cNvPr id="572" name="image14.png">
          <a:extLst>
            <a:ext uri="{FF2B5EF4-FFF2-40B4-BE49-F238E27FC236}">
              <a16:creationId xmlns:a16="http://schemas.microsoft.com/office/drawing/2014/main" id="{00000000-0008-0000-0100-00003C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81</xdr:row>
      <xdr:rowOff>0</xdr:rowOff>
    </xdr:from>
    <xdr:ext cx="476250" cy="476250"/>
    <xdr:pic>
      <xdr:nvPicPr>
        <xdr:cNvPr id="573" name="image289.jpg">
          <a:extLst>
            <a:ext uri="{FF2B5EF4-FFF2-40B4-BE49-F238E27FC236}">
              <a16:creationId xmlns:a16="http://schemas.microsoft.com/office/drawing/2014/main" id="{00000000-0008-0000-0100-00003D020000}"/>
            </a:ext>
          </a:extLst>
        </xdr:cNvPr>
        <xdr:cNvPicPr preferRelativeResize="0"/>
      </xdr:nvPicPr>
      <xdr:blipFill>
        <a:blip xmlns:r="http://schemas.openxmlformats.org/officeDocument/2006/relationships" r:embed="rId281" cstate="print"/>
        <a:stretch>
          <a:fillRect/>
        </a:stretch>
      </xdr:blipFill>
      <xdr:spPr>
        <a:prstGeom prst="rect">
          <a:avLst/>
        </a:prstGeom>
        <a:noFill/>
      </xdr:spPr>
    </xdr:pic>
    <xdr:clientData fLocksWithSheet="0"/>
  </xdr:oneCellAnchor>
  <xdr:oneCellAnchor>
    <xdr:from>
      <xdr:col>7</xdr:col>
      <xdr:colOff>0</xdr:colOff>
      <xdr:row>81</xdr:row>
      <xdr:rowOff>0</xdr:rowOff>
    </xdr:from>
    <xdr:ext cx="476250" cy="476250"/>
    <xdr:pic>
      <xdr:nvPicPr>
        <xdr:cNvPr id="574" name="image27.png">
          <a:extLst>
            <a:ext uri="{FF2B5EF4-FFF2-40B4-BE49-F238E27FC236}">
              <a16:creationId xmlns:a16="http://schemas.microsoft.com/office/drawing/2014/main" id="{00000000-0008-0000-0100-00003E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xdr:col>
      <xdr:colOff>0</xdr:colOff>
      <xdr:row>81</xdr:row>
      <xdr:rowOff>0</xdr:rowOff>
    </xdr:from>
    <xdr:ext cx="476250" cy="476250"/>
    <xdr:pic>
      <xdr:nvPicPr>
        <xdr:cNvPr id="575" name="image27.png">
          <a:extLst>
            <a:ext uri="{FF2B5EF4-FFF2-40B4-BE49-F238E27FC236}">
              <a16:creationId xmlns:a16="http://schemas.microsoft.com/office/drawing/2014/main" id="{00000000-0008-0000-0100-00003F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9</xdr:col>
      <xdr:colOff>0</xdr:colOff>
      <xdr:row>81</xdr:row>
      <xdr:rowOff>0</xdr:rowOff>
    </xdr:from>
    <xdr:ext cx="476250" cy="476250"/>
    <xdr:pic>
      <xdr:nvPicPr>
        <xdr:cNvPr id="576" name="image27.png">
          <a:extLst>
            <a:ext uri="{FF2B5EF4-FFF2-40B4-BE49-F238E27FC236}">
              <a16:creationId xmlns:a16="http://schemas.microsoft.com/office/drawing/2014/main" id="{00000000-0008-0000-0100-000040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10</xdr:col>
      <xdr:colOff>0</xdr:colOff>
      <xdr:row>81</xdr:row>
      <xdr:rowOff>0</xdr:rowOff>
    </xdr:from>
    <xdr:ext cx="476250" cy="476250"/>
    <xdr:pic>
      <xdr:nvPicPr>
        <xdr:cNvPr id="577" name="image27.png">
          <a:extLst>
            <a:ext uri="{FF2B5EF4-FFF2-40B4-BE49-F238E27FC236}">
              <a16:creationId xmlns:a16="http://schemas.microsoft.com/office/drawing/2014/main" id="{00000000-0008-0000-0100-000041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11</xdr:col>
      <xdr:colOff>0</xdr:colOff>
      <xdr:row>81</xdr:row>
      <xdr:rowOff>0</xdr:rowOff>
    </xdr:from>
    <xdr:ext cx="476250" cy="476250"/>
    <xdr:pic>
      <xdr:nvPicPr>
        <xdr:cNvPr id="578" name="image27.png">
          <a:extLst>
            <a:ext uri="{FF2B5EF4-FFF2-40B4-BE49-F238E27FC236}">
              <a16:creationId xmlns:a16="http://schemas.microsoft.com/office/drawing/2014/main" id="{00000000-0008-0000-0100-000042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0</xdr:colOff>
      <xdr:row>81</xdr:row>
      <xdr:rowOff>0</xdr:rowOff>
    </xdr:from>
    <xdr:ext cx="476250" cy="476250"/>
    <xdr:pic>
      <xdr:nvPicPr>
        <xdr:cNvPr id="579" name="image14.png">
          <a:extLst>
            <a:ext uri="{FF2B5EF4-FFF2-40B4-BE49-F238E27FC236}">
              <a16:creationId xmlns:a16="http://schemas.microsoft.com/office/drawing/2014/main" id="{00000000-0008-0000-0100-000043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14</xdr:col>
      <xdr:colOff>0</xdr:colOff>
      <xdr:row>81</xdr:row>
      <xdr:rowOff>0</xdr:rowOff>
    </xdr:from>
    <xdr:ext cx="476250" cy="476250"/>
    <xdr:pic>
      <xdr:nvPicPr>
        <xdr:cNvPr id="580" name="image285.png">
          <a:extLst>
            <a:ext uri="{FF2B5EF4-FFF2-40B4-BE49-F238E27FC236}">
              <a16:creationId xmlns:a16="http://schemas.microsoft.com/office/drawing/2014/main" id="{00000000-0008-0000-0100-000044020000}"/>
            </a:ext>
          </a:extLst>
        </xdr:cNvPr>
        <xdr:cNvPicPr preferRelativeResize="0"/>
      </xdr:nvPicPr>
      <xdr:blipFill>
        <a:blip xmlns:r="http://schemas.openxmlformats.org/officeDocument/2006/relationships" r:embed="rId282" cstate="print"/>
        <a:stretch>
          <a:fillRect/>
        </a:stretch>
      </xdr:blipFill>
      <xdr:spPr>
        <a:prstGeom prst="rect">
          <a:avLst/>
        </a:prstGeom>
        <a:noFill/>
      </xdr:spPr>
    </xdr:pic>
    <xdr:clientData fLocksWithSheet="0"/>
  </xdr:oneCellAnchor>
  <xdr:oneCellAnchor>
    <xdr:from>
      <xdr:col>3</xdr:col>
      <xdr:colOff>0</xdr:colOff>
      <xdr:row>82</xdr:row>
      <xdr:rowOff>0</xdr:rowOff>
    </xdr:from>
    <xdr:ext cx="476250" cy="476250"/>
    <xdr:pic>
      <xdr:nvPicPr>
        <xdr:cNvPr id="581" name="image288.png">
          <a:extLst>
            <a:ext uri="{FF2B5EF4-FFF2-40B4-BE49-F238E27FC236}">
              <a16:creationId xmlns:a16="http://schemas.microsoft.com/office/drawing/2014/main" id="{00000000-0008-0000-0100-000045020000}"/>
            </a:ext>
          </a:extLst>
        </xdr:cNvPr>
        <xdr:cNvPicPr preferRelativeResize="0"/>
      </xdr:nvPicPr>
      <xdr:blipFill>
        <a:blip xmlns:r="http://schemas.openxmlformats.org/officeDocument/2006/relationships" r:embed="rId283" cstate="print"/>
        <a:stretch>
          <a:fillRect/>
        </a:stretch>
      </xdr:blipFill>
      <xdr:spPr>
        <a:prstGeom prst="rect">
          <a:avLst/>
        </a:prstGeom>
        <a:noFill/>
      </xdr:spPr>
    </xdr:pic>
    <xdr:clientData fLocksWithSheet="0"/>
  </xdr:oneCellAnchor>
  <xdr:oneCellAnchor>
    <xdr:from>
      <xdr:col>7</xdr:col>
      <xdr:colOff>0</xdr:colOff>
      <xdr:row>82</xdr:row>
      <xdr:rowOff>0</xdr:rowOff>
    </xdr:from>
    <xdr:ext cx="476250" cy="476250"/>
    <xdr:pic>
      <xdr:nvPicPr>
        <xdr:cNvPr id="582" name="image27.png">
          <a:extLst>
            <a:ext uri="{FF2B5EF4-FFF2-40B4-BE49-F238E27FC236}">
              <a16:creationId xmlns:a16="http://schemas.microsoft.com/office/drawing/2014/main" id="{00000000-0008-0000-0100-000046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xdr:col>
      <xdr:colOff>0</xdr:colOff>
      <xdr:row>82</xdr:row>
      <xdr:rowOff>0</xdr:rowOff>
    </xdr:from>
    <xdr:ext cx="476250" cy="476250"/>
    <xdr:pic>
      <xdr:nvPicPr>
        <xdr:cNvPr id="583" name="image27.png">
          <a:extLst>
            <a:ext uri="{FF2B5EF4-FFF2-40B4-BE49-F238E27FC236}">
              <a16:creationId xmlns:a16="http://schemas.microsoft.com/office/drawing/2014/main" id="{00000000-0008-0000-0100-000047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9</xdr:col>
      <xdr:colOff>0</xdr:colOff>
      <xdr:row>82</xdr:row>
      <xdr:rowOff>0</xdr:rowOff>
    </xdr:from>
    <xdr:ext cx="476250" cy="476250"/>
    <xdr:pic>
      <xdr:nvPicPr>
        <xdr:cNvPr id="584" name="image27.png">
          <a:extLst>
            <a:ext uri="{FF2B5EF4-FFF2-40B4-BE49-F238E27FC236}">
              <a16:creationId xmlns:a16="http://schemas.microsoft.com/office/drawing/2014/main" id="{00000000-0008-0000-0100-000048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10</xdr:col>
      <xdr:colOff>0</xdr:colOff>
      <xdr:row>82</xdr:row>
      <xdr:rowOff>0</xdr:rowOff>
    </xdr:from>
    <xdr:ext cx="476250" cy="476250"/>
    <xdr:pic>
      <xdr:nvPicPr>
        <xdr:cNvPr id="585" name="image27.png">
          <a:extLst>
            <a:ext uri="{FF2B5EF4-FFF2-40B4-BE49-F238E27FC236}">
              <a16:creationId xmlns:a16="http://schemas.microsoft.com/office/drawing/2014/main" id="{00000000-0008-0000-0100-000049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11</xdr:col>
      <xdr:colOff>0</xdr:colOff>
      <xdr:row>82</xdr:row>
      <xdr:rowOff>0</xdr:rowOff>
    </xdr:from>
    <xdr:ext cx="476250" cy="476250"/>
    <xdr:pic>
      <xdr:nvPicPr>
        <xdr:cNvPr id="586" name="image27.png">
          <a:extLst>
            <a:ext uri="{FF2B5EF4-FFF2-40B4-BE49-F238E27FC236}">
              <a16:creationId xmlns:a16="http://schemas.microsoft.com/office/drawing/2014/main" id="{00000000-0008-0000-0100-00004A02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0</xdr:colOff>
      <xdr:row>82</xdr:row>
      <xdr:rowOff>0</xdr:rowOff>
    </xdr:from>
    <xdr:ext cx="476250" cy="476250"/>
    <xdr:pic>
      <xdr:nvPicPr>
        <xdr:cNvPr id="587" name="image14.png">
          <a:extLst>
            <a:ext uri="{FF2B5EF4-FFF2-40B4-BE49-F238E27FC236}">
              <a16:creationId xmlns:a16="http://schemas.microsoft.com/office/drawing/2014/main" id="{00000000-0008-0000-0100-00004B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83</xdr:row>
      <xdr:rowOff>0</xdr:rowOff>
    </xdr:from>
    <xdr:ext cx="476250" cy="476250"/>
    <xdr:pic>
      <xdr:nvPicPr>
        <xdr:cNvPr id="588" name="image281.jpg">
          <a:extLst>
            <a:ext uri="{FF2B5EF4-FFF2-40B4-BE49-F238E27FC236}">
              <a16:creationId xmlns:a16="http://schemas.microsoft.com/office/drawing/2014/main" id="{00000000-0008-0000-0100-00004C020000}"/>
            </a:ext>
          </a:extLst>
        </xdr:cNvPr>
        <xdr:cNvPicPr preferRelativeResize="0"/>
      </xdr:nvPicPr>
      <xdr:blipFill>
        <a:blip xmlns:r="http://schemas.openxmlformats.org/officeDocument/2006/relationships" r:embed="rId284" cstate="print"/>
        <a:stretch>
          <a:fillRect/>
        </a:stretch>
      </xdr:blipFill>
      <xdr:spPr>
        <a:prstGeom prst="rect">
          <a:avLst/>
        </a:prstGeom>
        <a:noFill/>
      </xdr:spPr>
    </xdr:pic>
    <xdr:clientData fLocksWithSheet="0"/>
  </xdr:oneCellAnchor>
  <xdr:oneCellAnchor>
    <xdr:from>
      <xdr:col>7</xdr:col>
      <xdr:colOff>0</xdr:colOff>
      <xdr:row>83</xdr:row>
      <xdr:rowOff>0</xdr:rowOff>
    </xdr:from>
    <xdr:ext cx="476250" cy="476250"/>
    <xdr:pic>
      <xdr:nvPicPr>
        <xdr:cNvPr id="589" name="image290.png">
          <a:extLst>
            <a:ext uri="{FF2B5EF4-FFF2-40B4-BE49-F238E27FC236}">
              <a16:creationId xmlns:a16="http://schemas.microsoft.com/office/drawing/2014/main" id="{00000000-0008-0000-0100-00004D02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8</xdr:col>
      <xdr:colOff>0</xdr:colOff>
      <xdr:row>83</xdr:row>
      <xdr:rowOff>0</xdr:rowOff>
    </xdr:from>
    <xdr:ext cx="476250" cy="476250"/>
    <xdr:pic>
      <xdr:nvPicPr>
        <xdr:cNvPr id="590" name="image284.png">
          <a:extLst>
            <a:ext uri="{FF2B5EF4-FFF2-40B4-BE49-F238E27FC236}">
              <a16:creationId xmlns:a16="http://schemas.microsoft.com/office/drawing/2014/main" id="{00000000-0008-0000-0100-00004E02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9</xdr:col>
      <xdr:colOff>0</xdr:colOff>
      <xdr:row>83</xdr:row>
      <xdr:rowOff>0</xdr:rowOff>
    </xdr:from>
    <xdr:ext cx="476250" cy="476250"/>
    <xdr:pic>
      <xdr:nvPicPr>
        <xdr:cNvPr id="591" name="image286.png">
          <a:extLst>
            <a:ext uri="{FF2B5EF4-FFF2-40B4-BE49-F238E27FC236}">
              <a16:creationId xmlns:a16="http://schemas.microsoft.com/office/drawing/2014/main" id="{00000000-0008-0000-0100-00004F02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10</xdr:col>
      <xdr:colOff>0</xdr:colOff>
      <xdr:row>83</xdr:row>
      <xdr:rowOff>0</xdr:rowOff>
    </xdr:from>
    <xdr:ext cx="476250" cy="476250"/>
    <xdr:pic>
      <xdr:nvPicPr>
        <xdr:cNvPr id="592" name="image286.png">
          <a:extLst>
            <a:ext uri="{FF2B5EF4-FFF2-40B4-BE49-F238E27FC236}">
              <a16:creationId xmlns:a16="http://schemas.microsoft.com/office/drawing/2014/main" id="{00000000-0008-0000-0100-00005002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11</xdr:col>
      <xdr:colOff>0</xdr:colOff>
      <xdr:row>83</xdr:row>
      <xdr:rowOff>0</xdr:rowOff>
    </xdr:from>
    <xdr:ext cx="476250" cy="476250"/>
    <xdr:pic>
      <xdr:nvPicPr>
        <xdr:cNvPr id="593" name="image47.png">
          <a:extLst>
            <a:ext uri="{FF2B5EF4-FFF2-40B4-BE49-F238E27FC236}">
              <a16:creationId xmlns:a16="http://schemas.microsoft.com/office/drawing/2014/main" id="{00000000-0008-0000-0100-00005102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12</xdr:col>
      <xdr:colOff>0</xdr:colOff>
      <xdr:row>83</xdr:row>
      <xdr:rowOff>0</xdr:rowOff>
    </xdr:from>
    <xdr:ext cx="476250" cy="476250"/>
    <xdr:pic>
      <xdr:nvPicPr>
        <xdr:cNvPr id="594" name="image14.png">
          <a:extLst>
            <a:ext uri="{FF2B5EF4-FFF2-40B4-BE49-F238E27FC236}">
              <a16:creationId xmlns:a16="http://schemas.microsoft.com/office/drawing/2014/main" id="{00000000-0008-0000-0100-000052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84</xdr:row>
      <xdr:rowOff>0</xdr:rowOff>
    </xdr:from>
    <xdr:ext cx="476250" cy="476250"/>
    <xdr:pic>
      <xdr:nvPicPr>
        <xdr:cNvPr id="595" name="image297.jpg">
          <a:extLst>
            <a:ext uri="{FF2B5EF4-FFF2-40B4-BE49-F238E27FC236}">
              <a16:creationId xmlns:a16="http://schemas.microsoft.com/office/drawing/2014/main" id="{00000000-0008-0000-0100-000053020000}"/>
            </a:ext>
          </a:extLst>
        </xdr:cNvPr>
        <xdr:cNvPicPr preferRelativeResize="0"/>
      </xdr:nvPicPr>
      <xdr:blipFill>
        <a:blip xmlns:r="http://schemas.openxmlformats.org/officeDocument/2006/relationships" r:embed="rId288" cstate="print"/>
        <a:stretch>
          <a:fillRect/>
        </a:stretch>
      </xdr:blipFill>
      <xdr:spPr>
        <a:prstGeom prst="rect">
          <a:avLst/>
        </a:prstGeom>
        <a:noFill/>
      </xdr:spPr>
    </xdr:pic>
    <xdr:clientData fLocksWithSheet="0"/>
  </xdr:oneCellAnchor>
  <xdr:oneCellAnchor>
    <xdr:from>
      <xdr:col>7</xdr:col>
      <xdr:colOff>0</xdr:colOff>
      <xdr:row>84</xdr:row>
      <xdr:rowOff>0</xdr:rowOff>
    </xdr:from>
    <xdr:ext cx="476250" cy="476250"/>
    <xdr:pic>
      <xdr:nvPicPr>
        <xdr:cNvPr id="596" name="image73.png">
          <a:extLst>
            <a:ext uri="{FF2B5EF4-FFF2-40B4-BE49-F238E27FC236}">
              <a16:creationId xmlns:a16="http://schemas.microsoft.com/office/drawing/2014/main" id="{00000000-0008-0000-0100-00005402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8</xdr:col>
      <xdr:colOff>0</xdr:colOff>
      <xdr:row>84</xdr:row>
      <xdr:rowOff>0</xdr:rowOff>
    </xdr:from>
    <xdr:ext cx="476250" cy="476250"/>
    <xdr:pic>
      <xdr:nvPicPr>
        <xdr:cNvPr id="597" name="image280.png">
          <a:extLst>
            <a:ext uri="{FF2B5EF4-FFF2-40B4-BE49-F238E27FC236}">
              <a16:creationId xmlns:a16="http://schemas.microsoft.com/office/drawing/2014/main" id="{00000000-0008-0000-0100-00005502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9</xdr:col>
      <xdr:colOff>0</xdr:colOff>
      <xdr:row>84</xdr:row>
      <xdr:rowOff>0</xdr:rowOff>
    </xdr:from>
    <xdr:ext cx="476250" cy="476250"/>
    <xdr:pic>
      <xdr:nvPicPr>
        <xdr:cNvPr id="598" name="image299.png">
          <a:extLst>
            <a:ext uri="{FF2B5EF4-FFF2-40B4-BE49-F238E27FC236}">
              <a16:creationId xmlns:a16="http://schemas.microsoft.com/office/drawing/2014/main" id="{00000000-0008-0000-0100-00005602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10</xdr:col>
      <xdr:colOff>0</xdr:colOff>
      <xdr:row>84</xdr:row>
      <xdr:rowOff>0</xdr:rowOff>
    </xdr:from>
    <xdr:ext cx="476250" cy="476250"/>
    <xdr:pic>
      <xdr:nvPicPr>
        <xdr:cNvPr id="599" name="image299.png">
          <a:extLst>
            <a:ext uri="{FF2B5EF4-FFF2-40B4-BE49-F238E27FC236}">
              <a16:creationId xmlns:a16="http://schemas.microsoft.com/office/drawing/2014/main" id="{00000000-0008-0000-0100-00005702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11</xdr:col>
      <xdr:colOff>0</xdr:colOff>
      <xdr:row>84</xdr:row>
      <xdr:rowOff>0</xdr:rowOff>
    </xdr:from>
    <xdr:ext cx="457200" cy="476250"/>
    <xdr:pic>
      <xdr:nvPicPr>
        <xdr:cNvPr id="600" name="image305.png">
          <a:extLst>
            <a:ext uri="{FF2B5EF4-FFF2-40B4-BE49-F238E27FC236}">
              <a16:creationId xmlns:a16="http://schemas.microsoft.com/office/drawing/2014/main" id="{00000000-0008-0000-0100-00005802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12</xdr:col>
      <xdr:colOff>0</xdr:colOff>
      <xdr:row>84</xdr:row>
      <xdr:rowOff>0</xdr:rowOff>
    </xdr:from>
    <xdr:ext cx="457200" cy="476250"/>
    <xdr:pic>
      <xdr:nvPicPr>
        <xdr:cNvPr id="601" name="image305.png">
          <a:extLst>
            <a:ext uri="{FF2B5EF4-FFF2-40B4-BE49-F238E27FC236}">
              <a16:creationId xmlns:a16="http://schemas.microsoft.com/office/drawing/2014/main" id="{00000000-0008-0000-0100-00005902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3</xdr:col>
      <xdr:colOff>0</xdr:colOff>
      <xdr:row>85</xdr:row>
      <xdr:rowOff>0</xdr:rowOff>
    </xdr:from>
    <xdr:ext cx="476250" cy="476250"/>
    <xdr:pic>
      <xdr:nvPicPr>
        <xdr:cNvPr id="602" name="image287.jpg">
          <a:extLst>
            <a:ext uri="{FF2B5EF4-FFF2-40B4-BE49-F238E27FC236}">
              <a16:creationId xmlns:a16="http://schemas.microsoft.com/office/drawing/2014/main" id="{00000000-0008-0000-0100-00005A02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7</xdr:col>
      <xdr:colOff>0</xdr:colOff>
      <xdr:row>85</xdr:row>
      <xdr:rowOff>0</xdr:rowOff>
    </xdr:from>
    <xdr:ext cx="476250" cy="476250"/>
    <xdr:pic>
      <xdr:nvPicPr>
        <xdr:cNvPr id="603" name="image282.png">
          <a:extLst>
            <a:ext uri="{FF2B5EF4-FFF2-40B4-BE49-F238E27FC236}">
              <a16:creationId xmlns:a16="http://schemas.microsoft.com/office/drawing/2014/main" id="{00000000-0008-0000-0100-00005B02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8</xdr:col>
      <xdr:colOff>0</xdr:colOff>
      <xdr:row>85</xdr:row>
      <xdr:rowOff>0</xdr:rowOff>
    </xdr:from>
    <xdr:ext cx="476250" cy="476250"/>
    <xdr:pic>
      <xdr:nvPicPr>
        <xdr:cNvPr id="604" name="image257.png">
          <a:extLst>
            <a:ext uri="{FF2B5EF4-FFF2-40B4-BE49-F238E27FC236}">
              <a16:creationId xmlns:a16="http://schemas.microsoft.com/office/drawing/2014/main" id="{00000000-0008-0000-0100-00005C02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9</xdr:col>
      <xdr:colOff>0</xdr:colOff>
      <xdr:row>85</xdr:row>
      <xdr:rowOff>0</xdr:rowOff>
    </xdr:from>
    <xdr:ext cx="476250" cy="476250"/>
    <xdr:pic>
      <xdr:nvPicPr>
        <xdr:cNvPr id="605" name="image151.png">
          <a:extLst>
            <a:ext uri="{FF2B5EF4-FFF2-40B4-BE49-F238E27FC236}">
              <a16:creationId xmlns:a16="http://schemas.microsoft.com/office/drawing/2014/main" id="{00000000-0008-0000-0100-00005D02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10</xdr:col>
      <xdr:colOff>0</xdr:colOff>
      <xdr:row>85</xdr:row>
      <xdr:rowOff>0</xdr:rowOff>
    </xdr:from>
    <xdr:ext cx="476250" cy="476250"/>
    <xdr:pic>
      <xdr:nvPicPr>
        <xdr:cNvPr id="606" name="image151.png">
          <a:extLst>
            <a:ext uri="{FF2B5EF4-FFF2-40B4-BE49-F238E27FC236}">
              <a16:creationId xmlns:a16="http://schemas.microsoft.com/office/drawing/2014/main" id="{00000000-0008-0000-0100-00005E02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11</xdr:col>
      <xdr:colOff>0</xdr:colOff>
      <xdr:row>85</xdr:row>
      <xdr:rowOff>0</xdr:rowOff>
    </xdr:from>
    <xdr:ext cx="476250" cy="476250"/>
    <xdr:pic>
      <xdr:nvPicPr>
        <xdr:cNvPr id="607" name="image116.png">
          <a:extLst>
            <a:ext uri="{FF2B5EF4-FFF2-40B4-BE49-F238E27FC236}">
              <a16:creationId xmlns:a16="http://schemas.microsoft.com/office/drawing/2014/main" id="{00000000-0008-0000-0100-00005F02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12</xdr:col>
      <xdr:colOff>0</xdr:colOff>
      <xdr:row>85</xdr:row>
      <xdr:rowOff>0</xdr:rowOff>
    </xdr:from>
    <xdr:ext cx="476250" cy="476250"/>
    <xdr:pic>
      <xdr:nvPicPr>
        <xdr:cNvPr id="608" name="image14.png">
          <a:extLst>
            <a:ext uri="{FF2B5EF4-FFF2-40B4-BE49-F238E27FC236}">
              <a16:creationId xmlns:a16="http://schemas.microsoft.com/office/drawing/2014/main" id="{00000000-0008-0000-0100-000060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86</xdr:row>
      <xdr:rowOff>0</xdr:rowOff>
    </xdr:from>
    <xdr:ext cx="476250" cy="476250"/>
    <xdr:pic>
      <xdr:nvPicPr>
        <xdr:cNvPr id="609" name="image296.jpg">
          <a:extLst>
            <a:ext uri="{FF2B5EF4-FFF2-40B4-BE49-F238E27FC236}">
              <a16:creationId xmlns:a16="http://schemas.microsoft.com/office/drawing/2014/main" id="{00000000-0008-0000-0100-00006102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7</xdr:col>
      <xdr:colOff>0</xdr:colOff>
      <xdr:row>86</xdr:row>
      <xdr:rowOff>0</xdr:rowOff>
    </xdr:from>
    <xdr:ext cx="457200" cy="476250"/>
    <xdr:pic>
      <xdr:nvPicPr>
        <xdr:cNvPr id="610" name="image291.png">
          <a:extLst>
            <a:ext uri="{FF2B5EF4-FFF2-40B4-BE49-F238E27FC236}">
              <a16:creationId xmlns:a16="http://schemas.microsoft.com/office/drawing/2014/main" id="{00000000-0008-0000-0100-00006202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8</xdr:col>
      <xdr:colOff>0</xdr:colOff>
      <xdr:row>86</xdr:row>
      <xdr:rowOff>0</xdr:rowOff>
    </xdr:from>
    <xdr:ext cx="457200" cy="476250"/>
    <xdr:pic>
      <xdr:nvPicPr>
        <xdr:cNvPr id="611" name="image291.png">
          <a:extLst>
            <a:ext uri="{FF2B5EF4-FFF2-40B4-BE49-F238E27FC236}">
              <a16:creationId xmlns:a16="http://schemas.microsoft.com/office/drawing/2014/main" id="{00000000-0008-0000-0100-00006302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9</xdr:col>
      <xdr:colOff>0</xdr:colOff>
      <xdr:row>86</xdr:row>
      <xdr:rowOff>0</xdr:rowOff>
    </xdr:from>
    <xdr:ext cx="476250" cy="476250"/>
    <xdr:pic>
      <xdr:nvPicPr>
        <xdr:cNvPr id="612" name="image292.png">
          <a:extLst>
            <a:ext uri="{FF2B5EF4-FFF2-40B4-BE49-F238E27FC236}">
              <a16:creationId xmlns:a16="http://schemas.microsoft.com/office/drawing/2014/main" id="{00000000-0008-0000-0100-00006402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10</xdr:col>
      <xdr:colOff>0</xdr:colOff>
      <xdr:row>86</xdr:row>
      <xdr:rowOff>0</xdr:rowOff>
    </xdr:from>
    <xdr:ext cx="476250" cy="476250"/>
    <xdr:pic>
      <xdr:nvPicPr>
        <xdr:cNvPr id="613" name="image292.png">
          <a:extLst>
            <a:ext uri="{FF2B5EF4-FFF2-40B4-BE49-F238E27FC236}">
              <a16:creationId xmlns:a16="http://schemas.microsoft.com/office/drawing/2014/main" id="{00000000-0008-0000-0100-00006502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11</xdr:col>
      <xdr:colOff>0</xdr:colOff>
      <xdr:row>86</xdr:row>
      <xdr:rowOff>0</xdr:rowOff>
    </xdr:from>
    <xdr:ext cx="476250" cy="476250"/>
    <xdr:pic>
      <xdr:nvPicPr>
        <xdr:cNvPr id="614" name="image298.png">
          <a:extLst>
            <a:ext uri="{FF2B5EF4-FFF2-40B4-BE49-F238E27FC236}">
              <a16:creationId xmlns:a16="http://schemas.microsoft.com/office/drawing/2014/main" id="{00000000-0008-0000-0100-000066020000}"/>
            </a:ext>
          </a:extLst>
        </xdr:cNvPr>
        <xdr:cNvPicPr preferRelativeResize="0"/>
      </xdr:nvPicPr>
      <xdr:blipFill>
        <a:blip xmlns:r="http://schemas.openxmlformats.org/officeDocument/2006/relationships" r:embed="rId296" cstate="print"/>
        <a:stretch>
          <a:fillRect/>
        </a:stretch>
      </xdr:blipFill>
      <xdr:spPr>
        <a:prstGeom prst="rect">
          <a:avLst/>
        </a:prstGeom>
        <a:noFill/>
      </xdr:spPr>
    </xdr:pic>
    <xdr:clientData fLocksWithSheet="0"/>
  </xdr:oneCellAnchor>
  <xdr:oneCellAnchor>
    <xdr:from>
      <xdr:col>12</xdr:col>
      <xdr:colOff>0</xdr:colOff>
      <xdr:row>86</xdr:row>
      <xdr:rowOff>0</xdr:rowOff>
    </xdr:from>
    <xdr:ext cx="466725" cy="476250"/>
    <xdr:pic>
      <xdr:nvPicPr>
        <xdr:cNvPr id="615" name="image293.png">
          <a:extLst>
            <a:ext uri="{FF2B5EF4-FFF2-40B4-BE49-F238E27FC236}">
              <a16:creationId xmlns:a16="http://schemas.microsoft.com/office/drawing/2014/main" id="{00000000-0008-0000-0100-000067020000}"/>
            </a:ext>
          </a:extLst>
        </xdr:cNvPr>
        <xdr:cNvPicPr preferRelativeResize="0"/>
      </xdr:nvPicPr>
      <xdr:blipFill>
        <a:blip xmlns:r="http://schemas.openxmlformats.org/officeDocument/2006/relationships" r:embed="rId297" cstate="print"/>
        <a:stretch>
          <a:fillRect/>
        </a:stretch>
      </xdr:blipFill>
      <xdr:spPr>
        <a:prstGeom prst="rect">
          <a:avLst/>
        </a:prstGeom>
        <a:noFill/>
      </xdr:spPr>
    </xdr:pic>
    <xdr:clientData fLocksWithSheet="0"/>
  </xdr:oneCellAnchor>
  <xdr:oneCellAnchor>
    <xdr:from>
      <xdr:col>3</xdr:col>
      <xdr:colOff>0</xdr:colOff>
      <xdr:row>87</xdr:row>
      <xdr:rowOff>0</xdr:rowOff>
    </xdr:from>
    <xdr:ext cx="476250" cy="476250"/>
    <xdr:pic>
      <xdr:nvPicPr>
        <xdr:cNvPr id="616" name="image295.jpg">
          <a:extLst>
            <a:ext uri="{FF2B5EF4-FFF2-40B4-BE49-F238E27FC236}">
              <a16:creationId xmlns:a16="http://schemas.microsoft.com/office/drawing/2014/main" id="{00000000-0008-0000-0100-000068020000}"/>
            </a:ext>
          </a:extLst>
        </xdr:cNvPr>
        <xdr:cNvPicPr preferRelativeResize="0"/>
      </xdr:nvPicPr>
      <xdr:blipFill>
        <a:blip xmlns:r="http://schemas.openxmlformats.org/officeDocument/2006/relationships" r:embed="rId298" cstate="print"/>
        <a:stretch>
          <a:fillRect/>
        </a:stretch>
      </xdr:blipFill>
      <xdr:spPr>
        <a:prstGeom prst="rect">
          <a:avLst/>
        </a:prstGeom>
        <a:noFill/>
      </xdr:spPr>
    </xdr:pic>
    <xdr:clientData fLocksWithSheet="0"/>
  </xdr:oneCellAnchor>
  <xdr:oneCellAnchor>
    <xdr:from>
      <xdr:col>7</xdr:col>
      <xdr:colOff>0</xdr:colOff>
      <xdr:row>87</xdr:row>
      <xdr:rowOff>0</xdr:rowOff>
    </xdr:from>
    <xdr:ext cx="476250" cy="476250"/>
    <xdr:pic>
      <xdr:nvPicPr>
        <xdr:cNvPr id="617" name="image73.png">
          <a:extLst>
            <a:ext uri="{FF2B5EF4-FFF2-40B4-BE49-F238E27FC236}">
              <a16:creationId xmlns:a16="http://schemas.microsoft.com/office/drawing/2014/main" id="{00000000-0008-0000-0100-00006902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8</xdr:col>
      <xdr:colOff>0</xdr:colOff>
      <xdr:row>87</xdr:row>
      <xdr:rowOff>0</xdr:rowOff>
    </xdr:from>
    <xdr:ext cx="476250" cy="476250"/>
    <xdr:pic>
      <xdr:nvPicPr>
        <xdr:cNvPr id="618" name="image307.png">
          <a:extLst>
            <a:ext uri="{FF2B5EF4-FFF2-40B4-BE49-F238E27FC236}">
              <a16:creationId xmlns:a16="http://schemas.microsoft.com/office/drawing/2014/main" id="{00000000-0008-0000-0100-00006A02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9</xdr:col>
      <xdr:colOff>0</xdr:colOff>
      <xdr:row>87</xdr:row>
      <xdr:rowOff>0</xdr:rowOff>
    </xdr:from>
    <xdr:ext cx="476250" cy="476250"/>
    <xdr:pic>
      <xdr:nvPicPr>
        <xdr:cNvPr id="619" name="image14.png">
          <a:extLst>
            <a:ext uri="{FF2B5EF4-FFF2-40B4-BE49-F238E27FC236}">
              <a16:creationId xmlns:a16="http://schemas.microsoft.com/office/drawing/2014/main" id="{00000000-0008-0000-0100-00006B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87</xdr:row>
      <xdr:rowOff>0</xdr:rowOff>
    </xdr:from>
    <xdr:ext cx="476250" cy="476250"/>
    <xdr:pic>
      <xdr:nvPicPr>
        <xdr:cNvPr id="620" name="image14.png">
          <a:extLst>
            <a:ext uri="{FF2B5EF4-FFF2-40B4-BE49-F238E27FC236}">
              <a16:creationId xmlns:a16="http://schemas.microsoft.com/office/drawing/2014/main" id="{00000000-0008-0000-0100-00006C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87</xdr:row>
      <xdr:rowOff>0</xdr:rowOff>
    </xdr:from>
    <xdr:ext cx="485775" cy="466725"/>
    <xdr:pic>
      <xdr:nvPicPr>
        <xdr:cNvPr id="621" name="image294.png">
          <a:extLst>
            <a:ext uri="{FF2B5EF4-FFF2-40B4-BE49-F238E27FC236}">
              <a16:creationId xmlns:a16="http://schemas.microsoft.com/office/drawing/2014/main" id="{00000000-0008-0000-0100-00006D02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12</xdr:col>
      <xdr:colOff>0</xdr:colOff>
      <xdr:row>87</xdr:row>
      <xdr:rowOff>0</xdr:rowOff>
    </xdr:from>
    <xdr:ext cx="476250" cy="476250"/>
    <xdr:pic>
      <xdr:nvPicPr>
        <xdr:cNvPr id="622" name="image14.png">
          <a:extLst>
            <a:ext uri="{FF2B5EF4-FFF2-40B4-BE49-F238E27FC236}">
              <a16:creationId xmlns:a16="http://schemas.microsoft.com/office/drawing/2014/main" id="{00000000-0008-0000-0100-00006E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14</xdr:col>
      <xdr:colOff>0</xdr:colOff>
      <xdr:row>87</xdr:row>
      <xdr:rowOff>0</xdr:rowOff>
    </xdr:from>
    <xdr:ext cx="476250" cy="476250"/>
    <xdr:pic>
      <xdr:nvPicPr>
        <xdr:cNvPr id="623" name="image300.png">
          <a:extLst>
            <a:ext uri="{FF2B5EF4-FFF2-40B4-BE49-F238E27FC236}">
              <a16:creationId xmlns:a16="http://schemas.microsoft.com/office/drawing/2014/main" id="{00000000-0008-0000-0100-00006F020000}"/>
            </a:ext>
          </a:extLst>
        </xdr:cNvPr>
        <xdr:cNvPicPr preferRelativeResize="0"/>
      </xdr:nvPicPr>
      <xdr:blipFill>
        <a:blip xmlns:r="http://schemas.openxmlformats.org/officeDocument/2006/relationships" r:embed="rId301" cstate="print"/>
        <a:stretch>
          <a:fillRect/>
        </a:stretch>
      </xdr:blipFill>
      <xdr:spPr>
        <a:prstGeom prst="rect">
          <a:avLst/>
        </a:prstGeom>
        <a:noFill/>
      </xdr:spPr>
    </xdr:pic>
    <xdr:clientData fLocksWithSheet="0"/>
  </xdr:oneCellAnchor>
  <xdr:oneCellAnchor>
    <xdr:from>
      <xdr:col>3</xdr:col>
      <xdr:colOff>0</xdr:colOff>
      <xdr:row>88</xdr:row>
      <xdr:rowOff>0</xdr:rowOff>
    </xdr:from>
    <xdr:ext cx="476250" cy="476250"/>
    <xdr:pic>
      <xdr:nvPicPr>
        <xdr:cNvPr id="624" name="image311.jpg">
          <a:extLst>
            <a:ext uri="{FF2B5EF4-FFF2-40B4-BE49-F238E27FC236}">
              <a16:creationId xmlns:a16="http://schemas.microsoft.com/office/drawing/2014/main" id="{00000000-0008-0000-0100-00007002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7</xdr:col>
      <xdr:colOff>0</xdr:colOff>
      <xdr:row>88</xdr:row>
      <xdr:rowOff>0</xdr:rowOff>
    </xdr:from>
    <xdr:ext cx="476250" cy="476250"/>
    <xdr:pic>
      <xdr:nvPicPr>
        <xdr:cNvPr id="625" name="image303.png">
          <a:extLst>
            <a:ext uri="{FF2B5EF4-FFF2-40B4-BE49-F238E27FC236}">
              <a16:creationId xmlns:a16="http://schemas.microsoft.com/office/drawing/2014/main" id="{00000000-0008-0000-0100-00007102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8</xdr:col>
      <xdr:colOff>0</xdr:colOff>
      <xdr:row>88</xdr:row>
      <xdr:rowOff>0</xdr:rowOff>
    </xdr:from>
    <xdr:ext cx="485775" cy="466725"/>
    <xdr:pic>
      <xdr:nvPicPr>
        <xdr:cNvPr id="626" name="image323.png">
          <a:extLst>
            <a:ext uri="{FF2B5EF4-FFF2-40B4-BE49-F238E27FC236}">
              <a16:creationId xmlns:a16="http://schemas.microsoft.com/office/drawing/2014/main" id="{00000000-0008-0000-0100-00007202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9</xdr:col>
      <xdr:colOff>0</xdr:colOff>
      <xdr:row>88</xdr:row>
      <xdr:rowOff>0</xdr:rowOff>
    </xdr:from>
    <xdr:ext cx="476250" cy="476250"/>
    <xdr:pic>
      <xdr:nvPicPr>
        <xdr:cNvPr id="627" name="image301.png">
          <a:extLst>
            <a:ext uri="{FF2B5EF4-FFF2-40B4-BE49-F238E27FC236}">
              <a16:creationId xmlns:a16="http://schemas.microsoft.com/office/drawing/2014/main" id="{00000000-0008-0000-0100-00007302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10</xdr:col>
      <xdr:colOff>0</xdr:colOff>
      <xdr:row>88</xdr:row>
      <xdr:rowOff>0</xdr:rowOff>
    </xdr:from>
    <xdr:ext cx="476250" cy="476250"/>
    <xdr:pic>
      <xdr:nvPicPr>
        <xdr:cNvPr id="628" name="image301.png">
          <a:extLst>
            <a:ext uri="{FF2B5EF4-FFF2-40B4-BE49-F238E27FC236}">
              <a16:creationId xmlns:a16="http://schemas.microsoft.com/office/drawing/2014/main" id="{00000000-0008-0000-0100-00007402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11</xdr:col>
      <xdr:colOff>0</xdr:colOff>
      <xdr:row>88</xdr:row>
      <xdr:rowOff>0</xdr:rowOff>
    </xdr:from>
    <xdr:ext cx="485775" cy="466725"/>
    <xdr:pic>
      <xdr:nvPicPr>
        <xdr:cNvPr id="629" name="image323.png">
          <a:extLst>
            <a:ext uri="{FF2B5EF4-FFF2-40B4-BE49-F238E27FC236}">
              <a16:creationId xmlns:a16="http://schemas.microsoft.com/office/drawing/2014/main" id="{00000000-0008-0000-0100-00007502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12</xdr:col>
      <xdr:colOff>0</xdr:colOff>
      <xdr:row>88</xdr:row>
      <xdr:rowOff>0</xdr:rowOff>
    </xdr:from>
    <xdr:ext cx="476250" cy="476250"/>
    <xdr:pic>
      <xdr:nvPicPr>
        <xdr:cNvPr id="630" name="image14.png">
          <a:extLst>
            <a:ext uri="{FF2B5EF4-FFF2-40B4-BE49-F238E27FC236}">
              <a16:creationId xmlns:a16="http://schemas.microsoft.com/office/drawing/2014/main" id="{00000000-0008-0000-0100-000076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88</xdr:row>
      <xdr:rowOff>0</xdr:rowOff>
    </xdr:from>
    <xdr:ext cx="476250" cy="476250"/>
    <xdr:pic>
      <xdr:nvPicPr>
        <xdr:cNvPr id="631" name="image304.png">
          <a:extLst>
            <a:ext uri="{FF2B5EF4-FFF2-40B4-BE49-F238E27FC236}">
              <a16:creationId xmlns:a16="http://schemas.microsoft.com/office/drawing/2014/main" id="{00000000-0008-0000-0100-000077020000}"/>
            </a:ext>
          </a:extLst>
        </xdr:cNvPr>
        <xdr:cNvPicPr preferRelativeResize="0"/>
      </xdr:nvPicPr>
      <xdr:blipFill>
        <a:blip xmlns:r="http://schemas.openxmlformats.org/officeDocument/2006/relationships" r:embed="rId306" cstate="print"/>
        <a:stretch>
          <a:fillRect/>
        </a:stretch>
      </xdr:blipFill>
      <xdr:spPr>
        <a:prstGeom prst="rect">
          <a:avLst/>
        </a:prstGeom>
        <a:noFill/>
      </xdr:spPr>
    </xdr:pic>
    <xdr:clientData fLocksWithSheet="0"/>
  </xdr:oneCellAnchor>
  <xdr:oneCellAnchor>
    <xdr:from>
      <xdr:col>3</xdr:col>
      <xdr:colOff>0</xdr:colOff>
      <xdr:row>89</xdr:row>
      <xdr:rowOff>0</xdr:rowOff>
    </xdr:from>
    <xdr:ext cx="476250" cy="476250"/>
    <xdr:pic>
      <xdr:nvPicPr>
        <xdr:cNvPr id="632" name="image312.jpg">
          <a:extLst>
            <a:ext uri="{FF2B5EF4-FFF2-40B4-BE49-F238E27FC236}">
              <a16:creationId xmlns:a16="http://schemas.microsoft.com/office/drawing/2014/main" id="{00000000-0008-0000-0100-000078020000}"/>
            </a:ext>
          </a:extLst>
        </xdr:cNvPr>
        <xdr:cNvPicPr preferRelativeResize="0"/>
      </xdr:nvPicPr>
      <xdr:blipFill>
        <a:blip xmlns:r="http://schemas.openxmlformats.org/officeDocument/2006/relationships" r:embed="rId307" cstate="print"/>
        <a:stretch>
          <a:fillRect/>
        </a:stretch>
      </xdr:blipFill>
      <xdr:spPr>
        <a:prstGeom prst="rect">
          <a:avLst/>
        </a:prstGeom>
        <a:noFill/>
      </xdr:spPr>
    </xdr:pic>
    <xdr:clientData fLocksWithSheet="0"/>
  </xdr:oneCellAnchor>
  <xdr:oneCellAnchor>
    <xdr:from>
      <xdr:col>7</xdr:col>
      <xdr:colOff>0</xdr:colOff>
      <xdr:row>89</xdr:row>
      <xdr:rowOff>0</xdr:rowOff>
    </xdr:from>
    <xdr:ext cx="476250" cy="476250"/>
    <xdr:pic>
      <xdr:nvPicPr>
        <xdr:cNvPr id="633" name="image302.png">
          <a:extLst>
            <a:ext uri="{FF2B5EF4-FFF2-40B4-BE49-F238E27FC236}">
              <a16:creationId xmlns:a16="http://schemas.microsoft.com/office/drawing/2014/main" id="{00000000-0008-0000-0100-00007902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8</xdr:col>
      <xdr:colOff>0</xdr:colOff>
      <xdr:row>89</xdr:row>
      <xdr:rowOff>0</xdr:rowOff>
    </xdr:from>
    <xdr:ext cx="476250" cy="476250"/>
    <xdr:pic>
      <xdr:nvPicPr>
        <xdr:cNvPr id="634" name="image46.png">
          <a:extLst>
            <a:ext uri="{FF2B5EF4-FFF2-40B4-BE49-F238E27FC236}">
              <a16:creationId xmlns:a16="http://schemas.microsoft.com/office/drawing/2014/main" id="{00000000-0008-0000-0100-00007A02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9</xdr:col>
      <xdr:colOff>0</xdr:colOff>
      <xdr:row>89</xdr:row>
      <xdr:rowOff>0</xdr:rowOff>
    </xdr:from>
    <xdr:ext cx="476250" cy="476250"/>
    <xdr:pic>
      <xdr:nvPicPr>
        <xdr:cNvPr id="635" name="image72.png">
          <a:extLst>
            <a:ext uri="{FF2B5EF4-FFF2-40B4-BE49-F238E27FC236}">
              <a16:creationId xmlns:a16="http://schemas.microsoft.com/office/drawing/2014/main" id="{00000000-0008-0000-0100-00007B02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10</xdr:col>
      <xdr:colOff>0</xdr:colOff>
      <xdr:row>89</xdr:row>
      <xdr:rowOff>0</xdr:rowOff>
    </xdr:from>
    <xdr:ext cx="476250" cy="476250"/>
    <xdr:pic>
      <xdr:nvPicPr>
        <xdr:cNvPr id="636" name="image72.png">
          <a:extLst>
            <a:ext uri="{FF2B5EF4-FFF2-40B4-BE49-F238E27FC236}">
              <a16:creationId xmlns:a16="http://schemas.microsoft.com/office/drawing/2014/main" id="{00000000-0008-0000-0100-00007C02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11</xdr:col>
      <xdr:colOff>0</xdr:colOff>
      <xdr:row>89</xdr:row>
      <xdr:rowOff>0</xdr:rowOff>
    </xdr:from>
    <xdr:ext cx="476250" cy="476250"/>
    <xdr:pic>
      <xdr:nvPicPr>
        <xdr:cNvPr id="637" name="image20.png">
          <a:extLst>
            <a:ext uri="{FF2B5EF4-FFF2-40B4-BE49-F238E27FC236}">
              <a16:creationId xmlns:a16="http://schemas.microsoft.com/office/drawing/2014/main" id="{00000000-0008-0000-0100-00007D02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0</xdr:colOff>
      <xdr:row>89</xdr:row>
      <xdr:rowOff>0</xdr:rowOff>
    </xdr:from>
    <xdr:ext cx="476250" cy="476250"/>
    <xdr:pic>
      <xdr:nvPicPr>
        <xdr:cNvPr id="638" name="image14.png">
          <a:extLst>
            <a:ext uri="{FF2B5EF4-FFF2-40B4-BE49-F238E27FC236}">
              <a16:creationId xmlns:a16="http://schemas.microsoft.com/office/drawing/2014/main" id="{00000000-0008-0000-0100-00007E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89</xdr:row>
      <xdr:rowOff>0</xdr:rowOff>
    </xdr:from>
    <xdr:ext cx="476250" cy="476250"/>
    <xdr:pic>
      <xdr:nvPicPr>
        <xdr:cNvPr id="639" name="image314.png">
          <a:extLst>
            <a:ext uri="{FF2B5EF4-FFF2-40B4-BE49-F238E27FC236}">
              <a16:creationId xmlns:a16="http://schemas.microsoft.com/office/drawing/2014/main" id="{00000000-0008-0000-0100-00007F02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3</xdr:col>
      <xdr:colOff>0</xdr:colOff>
      <xdr:row>90</xdr:row>
      <xdr:rowOff>0</xdr:rowOff>
    </xdr:from>
    <xdr:ext cx="476250" cy="476250"/>
    <xdr:pic>
      <xdr:nvPicPr>
        <xdr:cNvPr id="640" name="image319.jpg">
          <a:extLst>
            <a:ext uri="{FF2B5EF4-FFF2-40B4-BE49-F238E27FC236}">
              <a16:creationId xmlns:a16="http://schemas.microsoft.com/office/drawing/2014/main" id="{00000000-0008-0000-0100-00008002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7</xdr:col>
      <xdr:colOff>0</xdr:colOff>
      <xdr:row>90</xdr:row>
      <xdr:rowOff>0</xdr:rowOff>
    </xdr:from>
    <xdr:ext cx="485775" cy="466725"/>
    <xdr:pic>
      <xdr:nvPicPr>
        <xdr:cNvPr id="641" name="image323.png">
          <a:extLst>
            <a:ext uri="{FF2B5EF4-FFF2-40B4-BE49-F238E27FC236}">
              <a16:creationId xmlns:a16="http://schemas.microsoft.com/office/drawing/2014/main" id="{00000000-0008-0000-0100-00008102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8</xdr:col>
      <xdr:colOff>0</xdr:colOff>
      <xdr:row>90</xdr:row>
      <xdr:rowOff>0</xdr:rowOff>
    </xdr:from>
    <xdr:ext cx="485775" cy="466725"/>
    <xdr:pic>
      <xdr:nvPicPr>
        <xdr:cNvPr id="642" name="image323.png">
          <a:extLst>
            <a:ext uri="{FF2B5EF4-FFF2-40B4-BE49-F238E27FC236}">
              <a16:creationId xmlns:a16="http://schemas.microsoft.com/office/drawing/2014/main" id="{00000000-0008-0000-0100-00008202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9</xdr:col>
      <xdr:colOff>0</xdr:colOff>
      <xdr:row>90</xdr:row>
      <xdr:rowOff>0</xdr:rowOff>
    </xdr:from>
    <xdr:ext cx="476250" cy="476250"/>
    <xdr:pic>
      <xdr:nvPicPr>
        <xdr:cNvPr id="643" name="image142.png">
          <a:extLst>
            <a:ext uri="{FF2B5EF4-FFF2-40B4-BE49-F238E27FC236}">
              <a16:creationId xmlns:a16="http://schemas.microsoft.com/office/drawing/2014/main" id="{00000000-0008-0000-0100-00008302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10</xdr:col>
      <xdr:colOff>0</xdr:colOff>
      <xdr:row>90</xdr:row>
      <xdr:rowOff>0</xdr:rowOff>
    </xdr:from>
    <xdr:ext cx="476250" cy="476250"/>
    <xdr:pic>
      <xdr:nvPicPr>
        <xdr:cNvPr id="644" name="image142.png">
          <a:extLst>
            <a:ext uri="{FF2B5EF4-FFF2-40B4-BE49-F238E27FC236}">
              <a16:creationId xmlns:a16="http://schemas.microsoft.com/office/drawing/2014/main" id="{00000000-0008-0000-0100-00008402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11</xdr:col>
      <xdr:colOff>0</xdr:colOff>
      <xdr:row>90</xdr:row>
      <xdr:rowOff>0</xdr:rowOff>
    </xdr:from>
    <xdr:ext cx="476250" cy="476250"/>
    <xdr:pic>
      <xdr:nvPicPr>
        <xdr:cNvPr id="645" name="image185.png">
          <a:extLst>
            <a:ext uri="{FF2B5EF4-FFF2-40B4-BE49-F238E27FC236}">
              <a16:creationId xmlns:a16="http://schemas.microsoft.com/office/drawing/2014/main" id="{00000000-0008-0000-0100-00008502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12</xdr:col>
      <xdr:colOff>0</xdr:colOff>
      <xdr:row>90</xdr:row>
      <xdr:rowOff>0</xdr:rowOff>
    </xdr:from>
    <xdr:ext cx="476250" cy="476250"/>
    <xdr:pic>
      <xdr:nvPicPr>
        <xdr:cNvPr id="646" name="image185.png">
          <a:extLst>
            <a:ext uri="{FF2B5EF4-FFF2-40B4-BE49-F238E27FC236}">
              <a16:creationId xmlns:a16="http://schemas.microsoft.com/office/drawing/2014/main" id="{00000000-0008-0000-0100-00008602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13</xdr:col>
      <xdr:colOff>0</xdr:colOff>
      <xdr:row>90</xdr:row>
      <xdr:rowOff>0</xdr:rowOff>
    </xdr:from>
    <xdr:ext cx="476250" cy="476250"/>
    <xdr:pic>
      <xdr:nvPicPr>
        <xdr:cNvPr id="647" name="image309.png">
          <a:extLst>
            <a:ext uri="{FF2B5EF4-FFF2-40B4-BE49-F238E27FC236}">
              <a16:creationId xmlns:a16="http://schemas.microsoft.com/office/drawing/2014/main" id="{00000000-0008-0000-0100-000087020000}"/>
            </a:ext>
          </a:extLst>
        </xdr:cNvPr>
        <xdr:cNvPicPr preferRelativeResize="0"/>
      </xdr:nvPicPr>
      <xdr:blipFill>
        <a:blip xmlns:r="http://schemas.openxmlformats.org/officeDocument/2006/relationships" r:embed="rId311" cstate="print"/>
        <a:stretch>
          <a:fillRect/>
        </a:stretch>
      </xdr:blipFill>
      <xdr:spPr>
        <a:prstGeom prst="rect">
          <a:avLst/>
        </a:prstGeom>
        <a:noFill/>
      </xdr:spPr>
    </xdr:pic>
    <xdr:clientData fLocksWithSheet="0"/>
  </xdr:oneCellAnchor>
  <xdr:oneCellAnchor>
    <xdr:from>
      <xdr:col>3</xdr:col>
      <xdr:colOff>0</xdr:colOff>
      <xdr:row>91</xdr:row>
      <xdr:rowOff>0</xdr:rowOff>
    </xdr:from>
    <xdr:ext cx="476250" cy="476250"/>
    <xdr:pic>
      <xdr:nvPicPr>
        <xdr:cNvPr id="648" name="image317.jpg">
          <a:extLst>
            <a:ext uri="{FF2B5EF4-FFF2-40B4-BE49-F238E27FC236}">
              <a16:creationId xmlns:a16="http://schemas.microsoft.com/office/drawing/2014/main" id="{00000000-0008-0000-0100-00008802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7</xdr:col>
      <xdr:colOff>0</xdr:colOff>
      <xdr:row>91</xdr:row>
      <xdr:rowOff>0</xdr:rowOff>
    </xdr:from>
    <xdr:ext cx="466725" cy="476250"/>
    <xdr:pic>
      <xdr:nvPicPr>
        <xdr:cNvPr id="649" name="image196.png">
          <a:extLst>
            <a:ext uri="{FF2B5EF4-FFF2-40B4-BE49-F238E27FC236}">
              <a16:creationId xmlns:a16="http://schemas.microsoft.com/office/drawing/2014/main" id="{00000000-0008-0000-0100-00008902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8</xdr:col>
      <xdr:colOff>0</xdr:colOff>
      <xdr:row>91</xdr:row>
      <xdr:rowOff>0</xdr:rowOff>
    </xdr:from>
    <xdr:ext cx="476250" cy="476250"/>
    <xdr:pic>
      <xdr:nvPicPr>
        <xdr:cNvPr id="650" name="image310.png">
          <a:extLst>
            <a:ext uri="{FF2B5EF4-FFF2-40B4-BE49-F238E27FC236}">
              <a16:creationId xmlns:a16="http://schemas.microsoft.com/office/drawing/2014/main" id="{00000000-0008-0000-0100-00008A02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9</xdr:col>
      <xdr:colOff>0</xdr:colOff>
      <xdr:row>91</xdr:row>
      <xdr:rowOff>0</xdr:rowOff>
    </xdr:from>
    <xdr:ext cx="476250" cy="476250"/>
    <xdr:pic>
      <xdr:nvPicPr>
        <xdr:cNvPr id="651" name="image166.png">
          <a:extLst>
            <a:ext uri="{FF2B5EF4-FFF2-40B4-BE49-F238E27FC236}">
              <a16:creationId xmlns:a16="http://schemas.microsoft.com/office/drawing/2014/main" id="{00000000-0008-0000-0100-00008B02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10</xdr:col>
      <xdr:colOff>0</xdr:colOff>
      <xdr:row>91</xdr:row>
      <xdr:rowOff>0</xdr:rowOff>
    </xdr:from>
    <xdr:ext cx="476250" cy="476250"/>
    <xdr:pic>
      <xdr:nvPicPr>
        <xdr:cNvPr id="652" name="image157.png">
          <a:extLst>
            <a:ext uri="{FF2B5EF4-FFF2-40B4-BE49-F238E27FC236}">
              <a16:creationId xmlns:a16="http://schemas.microsoft.com/office/drawing/2014/main" id="{00000000-0008-0000-0100-00008C02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11</xdr:col>
      <xdr:colOff>0</xdr:colOff>
      <xdr:row>91</xdr:row>
      <xdr:rowOff>0</xdr:rowOff>
    </xdr:from>
    <xdr:ext cx="466725" cy="476250"/>
    <xdr:pic>
      <xdr:nvPicPr>
        <xdr:cNvPr id="653" name="image306.png">
          <a:extLst>
            <a:ext uri="{FF2B5EF4-FFF2-40B4-BE49-F238E27FC236}">
              <a16:creationId xmlns:a16="http://schemas.microsoft.com/office/drawing/2014/main" id="{00000000-0008-0000-0100-00008D02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12</xdr:col>
      <xdr:colOff>0</xdr:colOff>
      <xdr:row>91</xdr:row>
      <xdr:rowOff>0</xdr:rowOff>
    </xdr:from>
    <xdr:ext cx="476250" cy="476250"/>
    <xdr:pic>
      <xdr:nvPicPr>
        <xdr:cNvPr id="654" name="image14.png">
          <a:extLst>
            <a:ext uri="{FF2B5EF4-FFF2-40B4-BE49-F238E27FC236}">
              <a16:creationId xmlns:a16="http://schemas.microsoft.com/office/drawing/2014/main" id="{00000000-0008-0000-0100-00008E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91</xdr:row>
      <xdr:rowOff>0</xdr:rowOff>
    </xdr:from>
    <xdr:ext cx="476250" cy="476250"/>
    <xdr:pic>
      <xdr:nvPicPr>
        <xdr:cNvPr id="655" name="image321.png">
          <a:extLst>
            <a:ext uri="{FF2B5EF4-FFF2-40B4-BE49-F238E27FC236}">
              <a16:creationId xmlns:a16="http://schemas.microsoft.com/office/drawing/2014/main" id="{00000000-0008-0000-0100-00008F020000}"/>
            </a:ext>
          </a:extLst>
        </xdr:cNvPr>
        <xdr:cNvPicPr preferRelativeResize="0"/>
      </xdr:nvPicPr>
      <xdr:blipFill>
        <a:blip xmlns:r="http://schemas.openxmlformats.org/officeDocument/2006/relationships" r:embed="rId315" cstate="print"/>
        <a:stretch>
          <a:fillRect/>
        </a:stretch>
      </xdr:blipFill>
      <xdr:spPr>
        <a:prstGeom prst="rect">
          <a:avLst/>
        </a:prstGeom>
        <a:noFill/>
      </xdr:spPr>
    </xdr:pic>
    <xdr:clientData fLocksWithSheet="0"/>
  </xdr:oneCellAnchor>
  <xdr:oneCellAnchor>
    <xdr:from>
      <xdr:col>3</xdr:col>
      <xdr:colOff>0</xdr:colOff>
      <xdr:row>92</xdr:row>
      <xdr:rowOff>0</xdr:rowOff>
    </xdr:from>
    <xdr:ext cx="476250" cy="476250"/>
    <xdr:pic>
      <xdr:nvPicPr>
        <xdr:cNvPr id="656" name="image313.jpg">
          <a:extLst>
            <a:ext uri="{FF2B5EF4-FFF2-40B4-BE49-F238E27FC236}">
              <a16:creationId xmlns:a16="http://schemas.microsoft.com/office/drawing/2014/main" id="{00000000-0008-0000-0100-000090020000}"/>
            </a:ext>
          </a:extLst>
        </xdr:cNvPr>
        <xdr:cNvPicPr preferRelativeResize="0"/>
      </xdr:nvPicPr>
      <xdr:blipFill>
        <a:blip xmlns:r="http://schemas.openxmlformats.org/officeDocument/2006/relationships" r:embed="rId316" cstate="print"/>
        <a:stretch>
          <a:fillRect/>
        </a:stretch>
      </xdr:blipFill>
      <xdr:spPr>
        <a:prstGeom prst="rect">
          <a:avLst/>
        </a:prstGeom>
        <a:noFill/>
      </xdr:spPr>
    </xdr:pic>
    <xdr:clientData fLocksWithSheet="0"/>
  </xdr:oneCellAnchor>
  <xdr:oneCellAnchor>
    <xdr:from>
      <xdr:col>7</xdr:col>
      <xdr:colOff>0</xdr:colOff>
      <xdr:row>92</xdr:row>
      <xdr:rowOff>0</xdr:rowOff>
    </xdr:from>
    <xdr:ext cx="476250" cy="476250"/>
    <xdr:pic>
      <xdr:nvPicPr>
        <xdr:cNvPr id="657" name="image315.png">
          <a:extLst>
            <a:ext uri="{FF2B5EF4-FFF2-40B4-BE49-F238E27FC236}">
              <a16:creationId xmlns:a16="http://schemas.microsoft.com/office/drawing/2014/main" id="{00000000-0008-0000-0100-00009102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8</xdr:col>
      <xdr:colOff>0</xdr:colOff>
      <xdr:row>92</xdr:row>
      <xdr:rowOff>0</xdr:rowOff>
    </xdr:from>
    <xdr:ext cx="476250" cy="476250"/>
    <xdr:pic>
      <xdr:nvPicPr>
        <xdr:cNvPr id="658" name="image324.png">
          <a:extLst>
            <a:ext uri="{FF2B5EF4-FFF2-40B4-BE49-F238E27FC236}">
              <a16:creationId xmlns:a16="http://schemas.microsoft.com/office/drawing/2014/main" id="{00000000-0008-0000-0100-00009202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9</xdr:col>
      <xdr:colOff>0</xdr:colOff>
      <xdr:row>92</xdr:row>
      <xdr:rowOff>0</xdr:rowOff>
    </xdr:from>
    <xdr:ext cx="485775" cy="466725"/>
    <xdr:pic>
      <xdr:nvPicPr>
        <xdr:cNvPr id="659" name="image323.png">
          <a:extLst>
            <a:ext uri="{FF2B5EF4-FFF2-40B4-BE49-F238E27FC236}">
              <a16:creationId xmlns:a16="http://schemas.microsoft.com/office/drawing/2014/main" id="{00000000-0008-0000-0100-00009302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10</xdr:col>
      <xdr:colOff>0</xdr:colOff>
      <xdr:row>92</xdr:row>
      <xdr:rowOff>0</xdr:rowOff>
    </xdr:from>
    <xdr:ext cx="485775" cy="466725"/>
    <xdr:pic>
      <xdr:nvPicPr>
        <xdr:cNvPr id="660" name="image323.png">
          <a:extLst>
            <a:ext uri="{FF2B5EF4-FFF2-40B4-BE49-F238E27FC236}">
              <a16:creationId xmlns:a16="http://schemas.microsoft.com/office/drawing/2014/main" id="{00000000-0008-0000-0100-00009402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11</xdr:col>
      <xdr:colOff>0</xdr:colOff>
      <xdr:row>92</xdr:row>
      <xdr:rowOff>0</xdr:rowOff>
    </xdr:from>
    <xdr:ext cx="476250" cy="476250"/>
    <xdr:pic>
      <xdr:nvPicPr>
        <xdr:cNvPr id="661" name="image324.png">
          <a:extLst>
            <a:ext uri="{FF2B5EF4-FFF2-40B4-BE49-F238E27FC236}">
              <a16:creationId xmlns:a16="http://schemas.microsoft.com/office/drawing/2014/main" id="{00000000-0008-0000-0100-00009502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12</xdr:col>
      <xdr:colOff>0</xdr:colOff>
      <xdr:row>92</xdr:row>
      <xdr:rowOff>0</xdr:rowOff>
    </xdr:from>
    <xdr:ext cx="476250" cy="476250"/>
    <xdr:pic>
      <xdr:nvPicPr>
        <xdr:cNvPr id="662" name="image14.png">
          <a:extLst>
            <a:ext uri="{FF2B5EF4-FFF2-40B4-BE49-F238E27FC236}">
              <a16:creationId xmlns:a16="http://schemas.microsoft.com/office/drawing/2014/main" id="{00000000-0008-0000-0100-000096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92</xdr:row>
      <xdr:rowOff>0</xdr:rowOff>
    </xdr:from>
    <xdr:ext cx="476250" cy="476250"/>
    <xdr:pic>
      <xdr:nvPicPr>
        <xdr:cNvPr id="663" name="image308.png">
          <a:extLst>
            <a:ext uri="{FF2B5EF4-FFF2-40B4-BE49-F238E27FC236}">
              <a16:creationId xmlns:a16="http://schemas.microsoft.com/office/drawing/2014/main" id="{00000000-0008-0000-0100-000097020000}"/>
            </a:ext>
          </a:extLst>
        </xdr:cNvPr>
        <xdr:cNvPicPr preferRelativeResize="0"/>
      </xdr:nvPicPr>
      <xdr:blipFill>
        <a:blip xmlns:r="http://schemas.openxmlformats.org/officeDocument/2006/relationships" r:embed="rId319" cstate="print"/>
        <a:stretch>
          <a:fillRect/>
        </a:stretch>
      </xdr:blipFill>
      <xdr:spPr>
        <a:prstGeom prst="rect">
          <a:avLst/>
        </a:prstGeom>
        <a:noFill/>
      </xdr:spPr>
    </xdr:pic>
    <xdr:clientData fLocksWithSheet="0"/>
  </xdr:oneCellAnchor>
  <xdr:oneCellAnchor>
    <xdr:from>
      <xdr:col>3</xdr:col>
      <xdr:colOff>0</xdr:colOff>
      <xdr:row>93</xdr:row>
      <xdr:rowOff>0</xdr:rowOff>
    </xdr:from>
    <xdr:ext cx="476250" cy="476250"/>
    <xdr:pic>
      <xdr:nvPicPr>
        <xdr:cNvPr id="664" name="image349.jpg">
          <a:extLst>
            <a:ext uri="{FF2B5EF4-FFF2-40B4-BE49-F238E27FC236}">
              <a16:creationId xmlns:a16="http://schemas.microsoft.com/office/drawing/2014/main" id="{00000000-0008-0000-0100-00009802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7</xdr:col>
      <xdr:colOff>0</xdr:colOff>
      <xdr:row>93</xdr:row>
      <xdr:rowOff>0</xdr:rowOff>
    </xdr:from>
    <xdr:ext cx="466725" cy="476250"/>
    <xdr:pic>
      <xdr:nvPicPr>
        <xdr:cNvPr id="665" name="image196.png">
          <a:extLst>
            <a:ext uri="{FF2B5EF4-FFF2-40B4-BE49-F238E27FC236}">
              <a16:creationId xmlns:a16="http://schemas.microsoft.com/office/drawing/2014/main" id="{00000000-0008-0000-0100-00009902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8</xdr:col>
      <xdr:colOff>0</xdr:colOff>
      <xdr:row>93</xdr:row>
      <xdr:rowOff>0</xdr:rowOff>
    </xdr:from>
    <xdr:ext cx="476250" cy="476250"/>
    <xdr:pic>
      <xdr:nvPicPr>
        <xdr:cNvPr id="666" name="image279.png">
          <a:extLst>
            <a:ext uri="{FF2B5EF4-FFF2-40B4-BE49-F238E27FC236}">
              <a16:creationId xmlns:a16="http://schemas.microsoft.com/office/drawing/2014/main" id="{00000000-0008-0000-0100-00009A02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9</xdr:col>
      <xdr:colOff>0</xdr:colOff>
      <xdr:row>93</xdr:row>
      <xdr:rowOff>0</xdr:rowOff>
    </xdr:from>
    <xdr:ext cx="476250" cy="476250"/>
    <xdr:pic>
      <xdr:nvPicPr>
        <xdr:cNvPr id="667" name="image14.png">
          <a:extLst>
            <a:ext uri="{FF2B5EF4-FFF2-40B4-BE49-F238E27FC236}">
              <a16:creationId xmlns:a16="http://schemas.microsoft.com/office/drawing/2014/main" id="{00000000-0008-0000-0100-00009B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93</xdr:row>
      <xdr:rowOff>0</xdr:rowOff>
    </xdr:from>
    <xdr:ext cx="476250" cy="476250"/>
    <xdr:pic>
      <xdr:nvPicPr>
        <xdr:cNvPr id="668" name="image14.png">
          <a:extLst>
            <a:ext uri="{FF2B5EF4-FFF2-40B4-BE49-F238E27FC236}">
              <a16:creationId xmlns:a16="http://schemas.microsoft.com/office/drawing/2014/main" id="{00000000-0008-0000-0100-00009C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93</xdr:row>
      <xdr:rowOff>0</xdr:rowOff>
    </xdr:from>
    <xdr:ext cx="466725" cy="476250"/>
    <xdr:pic>
      <xdr:nvPicPr>
        <xdr:cNvPr id="669" name="image316.png">
          <a:extLst>
            <a:ext uri="{FF2B5EF4-FFF2-40B4-BE49-F238E27FC236}">
              <a16:creationId xmlns:a16="http://schemas.microsoft.com/office/drawing/2014/main" id="{00000000-0008-0000-0100-00009D020000}"/>
            </a:ext>
          </a:extLst>
        </xdr:cNvPr>
        <xdr:cNvPicPr preferRelativeResize="0"/>
      </xdr:nvPicPr>
      <xdr:blipFill>
        <a:blip xmlns:r="http://schemas.openxmlformats.org/officeDocument/2006/relationships" r:embed="rId321" cstate="print"/>
        <a:stretch>
          <a:fillRect/>
        </a:stretch>
      </xdr:blipFill>
      <xdr:spPr>
        <a:prstGeom prst="rect">
          <a:avLst/>
        </a:prstGeom>
        <a:noFill/>
      </xdr:spPr>
    </xdr:pic>
    <xdr:clientData fLocksWithSheet="0"/>
  </xdr:oneCellAnchor>
  <xdr:oneCellAnchor>
    <xdr:from>
      <xdr:col>12</xdr:col>
      <xdr:colOff>0</xdr:colOff>
      <xdr:row>93</xdr:row>
      <xdr:rowOff>0</xdr:rowOff>
    </xdr:from>
    <xdr:ext cx="476250" cy="476250"/>
    <xdr:pic>
      <xdr:nvPicPr>
        <xdr:cNvPr id="670" name="image320.png">
          <a:extLst>
            <a:ext uri="{FF2B5EF4-FFF2-40B4-BE49-F238E27FC236}">
              <a16:creationId xmlns:a16="http://schemas.microsoft.com/office/drawing/2014/main" id="{00000000-0008-0000-0100-00009E020000}"/>
            </a:ext>
          </a:extLst>
        </xdr:cNvPr>
        <xdr:cNvPicPr preferRelativeResize="0"/>
      </xdr:nvPicPr>
      <xdr:blipFill>
        <a:blip xmlns:r="http://schemas.openxmlformats.org/officeDocument/2006/relationships" r:embed="rId322" cstate="print"/>
        <a:stretch>
          <a:fillRect/>
        </a:stretch>
      </xdr:blipFill>
      <xdr:spPr>
        <a:prstGeom prst="rect">
          <a:avLst/>
        </a:prstGeom>
        <a:noFill/>
      </xdr:spPr>
    </xdr:pic>
    <xdr:clientData fLocksWithSheet="0"/>
  </xdr:oneCellAnchor>
  <xdr:oneCellAnchor>
    <xdr:from>
      <xdr:col>13</xdr:col>
      <xdr:colOff>0</xdr:colOff>
      <xdr:row>93</xdr:row>
      <xdr:rowOff>0</xdr:rowOff>
    </xdr:from>
    <xdr:ext cx="476250" cy="476250"/>
    <xdr:pic>
      <xdr:nvPicPr>
        <xdr:cNvPr id="671" name="image318.png">
          <a:extLst>
            <a:ext uri="{FF2B5EF4-FFF2-40B4-BE49-F238E27FC236}">
              <a16:creationId xmlns:a16="http://schemas.microsoft.com/office/drawing/2014/main" id="{00000000-0008-0000-0100-00009F020000}"/>
            </a:ext>
          </a:extLst>
        </xdr:cNvPr>
        <xdr:cNvPicPr preferRelativeResize="0"/>
      </xdr:nvPicPr>
      <xdr:blipFill>
        <a:blip xmlns:r="http://schemas.openxmlformats.org/officeDocument/2006/relationships" r:embed="rId323" cstate="print"/>
        <a:stretch>
          <a:fillRect/>
        </a:stretch>
      </xdr:blipFill>
      <xdr:spPr>
        <a:prstGeom prst="rect">
          <a:avLst/>
        </a:prstGeom>
        <a:noFill/>
      </xdr:spPr>
    </xdr:pic>
    <xdr:clientData fLocksWithSheet="0"/>
  </xdr:oneCellAnchor>
  <xdr:oneCellAnchor>
    <xdr:from>
      <xdr:col>3</xdr:col>
      <xdr:colOff>0</xdr:colOff>
      <xdr:row>94</xdr:row>
      <xdr:rowOff>0</xdr:rowOff>
    </xdr:from>
    <xdr:ext cx="476250" cy="476250"/>
    <xdr:pic>
      <xdr:nvPicPr>
        <xdr:cNvPr id="672" name="image335.jpg">
          <a:extLst>
            <a:ext uri="{FF2B5EF4-FFF2-40B4-BE49-F238E27FC236}">
              <a16:creationId xmlns:a16="http://schemas.microsoft.com/office/drawing/2014/main" id="{00000000-0008-0000-0100-0000A002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7</xdr:col>
      <xdr:colOff>0</xdr:colOff>
      <xdr:row>94</xdr:row>
      <xdr:rowOff>0</xdr:rowOff>
    </xdr:from>
    <xdr:ext cx="476250" cy="476250"/>
    <xdr:pic>
      <xdr:nvPicPr>
        <xdr:cNvPr id="673" name="image322.png">
          <a:extLst>
            <a:ext uri="{FF2B5EF4-FFF2-40B4-BE49-F238E27FC236}">
              <a16:creationId xmlns:a16="http://schemas.microsoft.com/office/drawing/2014/main" id="{00000000-0008-0000-0100-0000A102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8</xdr:col>
      <xdr:colOff>0</xdr:colOff>
      <xdr:row>94</xdr:row>
      <xdr:rowOff>0</xdr:rowOff>
    </xdr:from>
    <xdr:ext cx="476250" cy="476250"/>
    <xdr:pic>
      <xdr:nvPicPr>
        <xdr:cNvPr id="674" name="image179.png">
          <a:extLst>
            <a:ext uri="{FF2B5EF4-FFF2-40B4-BE49-F238E27FC236}">
              <a16:creationId xmlns:a16="http://schemas.microsoft.com/office/drawing/2014/main" id="{00000000-0008-0000-0100-0000A202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9</xdr:col>
      <xdr:colOff>0</xdr:colOff>
      <xdr:row>94</xdr:row>
      <xdr:rowOff>0</xdr:rowOff>
    </xdr:from>
    <xdr:ext cx="476250" cy="476250"/>
    <xdr:pic>
      <xdr:nvPicPr>
        <xdr:cNvPr id="675" name="image47.png">
          <a:extLst>
            <a:ext uri="{FF2B5EF4-FFF2-40B4-BE49-F238E27FC236}">
              <a16:creationId xmlns:a16="http://schemas.microsoft.com/office/drawing/2014/main" id="{00000000-0008-0000-0100-0000A302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10</xdr:col>
      <xdr:colOff>0</xdr:colOff>
      <xdr:row>94</xdr:row>
      <xdr:rowOff>0</xdr:rowOff>
    </xdr:from>
    <xdr:ext cx="476250" cy="476250"/>
    <xdr:pic>
      <xdr:nvPicPr>
        <xdr:cNvPr id="676" name="image47.png">
          <a:extLst>
            <a:ext uri="{FF2B5EF4-FFF2-40B4-BE49-F238E27FC236}">
              <a16:creationId xmlns:a16="http://schemas.microsoft.com/office/drawing/2014/main" id="{00000000-0008-0000-0100-0000A402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11</xdr:col>
      <xdr:colOff>0</xdr:colOff>
      <xdr:row>94</xdr:row>
      <xdr:rowOff>0</xdr:rowOff>
    </xdr:from>
    <xdr:ext cx="476250" cy="476250"/>
    <xdr:pic>
      <xdr:nvPicPr>
        <xdr:cNvPr id="677" name="image346.png">
          <a:extLst>
            <a:ext uri="{FF2B5EF4-FFF2-40B4-BE49-F238E27FC236}">
              <a16:creationId xmlns:a16="http://schemas.microsoft.com/office/drawing/2014/main" id="{00000000-0008-0000-0100-0000A502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12</xdr:col>
      <xdr:colOff>0</xdr:colOff>
      <xdr:row>94</xdr:row>
      <xdr:rowOff>0</xdr:rowOff>
    </xdr:from>
    <xdr:ext cx="476250" cy="476250"/>
    <xdr:pic>
      <xdr:nvPicPr>
        <xdr:cNvPr id="678" name="image14.png">
          <a:extLst>
            <a:ext uri="{FF2B5EF4-FFF2-40B4-BE49-F238E27FC236}">
              <a16:creationId xmlns:a16="http://schemas.microsoft.com/office/drawing/2014/main" id="{00000000-0008-0000-0100-0000A6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94</xdr:row>
      <xdr:rowOff>0</xdr:rowOff>
    </xdr:from>
    <xdr:ext cx="476250" cy="476250"/>
    <xdr:pic>
      <xdr:nvPicPr>
        <xdr:cNvPr id="679" name="image325.png">
          <a:extLst>
            <a:ext uri="{FF2B5EF4-FFF2-40B4-BE49-F238E27FC236}">
              <a16:creationId xmlns:a16="http://schemas.microsoft.com/office/drawing/2014/main" id="{00000000-0008-0000-0100-0000A702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3</xdr:col>
      <xdr:colOff>0</xdr:colOff>
      <xdr:row>95</xdr:row>
      <xdr:rowOff>0</xdr:rowOff>
    </xdr:from>
    <xdr:ext cx="476250" cy="476250"/>
    <xdr:pic>
      <xdr:nvPicPr>
        <xdr:cNvPr id="680" name="image327.jpg">
          <a:extLst>
            <a:ext uri="{FF2B5EF4-FFF2-40B4-BE49-F238E27FC236}">
              <a16:creationId xmlns:a16="http://schemas.microsoft.com/office/drawing/2014/main" id="{00000000-0008-0000-0100-0000A8020000}"/>
            </a:ext>
          </a:extLst>
        </xdr:cNvPr>
        <xdr:cNvPicPr preferRelativeResize="0"/>
      </xdr:nvPicPr>
      <xdr:blipFill>
        <a:blip xmlns:r="http://schemas.openxmlformats.org/officeDocument/2006/relationships" r:embed="rId328" cstate="print"/>
        <a:stretch>
          <a:fillRect/>
        </a:stretch>
      </xdr:blipFill>
      <xdr:spPr>
        <a:prstGeom prst="rect">
          <a:avLst/>
        </a:prstGeom>
        <a:noFill/>
      </xdr:spPr>
    </xdr:pic>
    <xdr:clientData fLocksWithSheet="0"/>
  </xdr:oneCellAnchor>
  <xdr:oneCellAnchor>
    <xdr:from>
      <xdr:col>7</xdr:col>
      <xdr:colOff>0</xdr:colOff>
      <xdr:row>95</xdr:row>
      <xdr:rowOff>0</xdr:rowOff>
    </xdr:from>
    <xdr:ext cx="466725" cy="476250"/>
    <xdr:pic>
      <xdr:nvPicPr>
        <xdr:cNvPr id="681" name="image341.png">
          <a:extLst>
            <a:ext uri="{FF2B5EF4-FFF2-40B4-BE49-F238E27FC236}">
              <a16:creationId xmlns:a16="http://schemas.microsoft.com/office/drawing/2014/main" id="{00000000-0008-0000-0100-0000A902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8</xdr:col>
      <xdr:colOff>0</xdr:colOff>
      <xdr:row>95</xdr:row>
      <xdr:rowOff>0</xdr:rowOff>
    </xdr:from>
    <xdr:ext cx="476250" cy="476250"/>
    <xdr:pic>
      <xdr:nvPicPr>
        <xdr:cNvPr id="682" name="image326.png">
          <a:extLst>
            <a:ext uri="{FF2B5EF4-FFF2-40B4-BE49-F238E27FC236}">
              <a16:creationId xmlns:a16="http://schemas.microsoft.com/office/drawing/2014/main" id="{00000000-0008-0000-0100-0000AA020000}"/>
            </a:ext>
          </a:extLst>
        </xdr:cNvPr>
        <xdr:cNvPicPr preferRelativeResize="0"/>
      </xdr:nvPicPr>
      <xdr:blipFill>
        <a:blip xmlns:r="http://schemas.openxmlformats.org/officeDocument/2006/relationships" r:embed="rId330" cstate="print"/>
        <a:stretch>
          <a:fillRect/>
        </a:stretch>
      </xdr:blipFill>
      <xdr:spPr>
        <a:prstGeom prst="rect">
          <a:avLst/>
        </a:prstGeom>
        <a:noFill/>
      </xdr:spPr>
    </xdr:pic>
    <xdr:clientData fLocksWithSheet="0"/>
  </xdr:oneCellAnchor>
  <xdr:oneCellAnchor>
    <xdr:from>
      <xdr:col>9</xdr:col>
      <xdr:colOff>0</xdr:colOff>
      <xdr:row>95</xdr:row>
      <xdr:rowOff>0</xdr:rowOff>
    </xdr:from>
    <xdr:ext cx="485775" cy="466725"/>
    <xdr:pic>
      <xdr:nvPicPr>
        <xdr:cNvPr id="683" name="image337.png">
          <a:extLst>
            <a:ext uri="{FF2B5EF4-FFF2-40B4-BE49-F238E27FC236}">
              <a16:creationId xmlns:a16="http://schemas.microsoft.com/office/drawing/2014/main" id="{00000000-0008-0000-0100-0000AB02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10</xdr:col>
      <xdr:colOff>0</xdr:colOff>
      <xdr:row>95</xdr:row>
      <xdr:rowOff>0</xdr:rowOff>
    </xdr:from>
    <xdr:ext cx="476250" cy="476250"/>
    <xdr:pic>
      <xdr:nvPicPr>
        <xdr:cNvPr id="684" name="image329.png">
          <a:extLst>
            <a:ext uri="{FF2B5EF4-FFF2-40B4-BE49-F238E27FC236}">
              <a16:creationId xmlns:a16="http://schemas.microsoft.com/office/drawing/2014/main" id="{00000000-0008-0000-0100-0000AC02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11</xdr:col>
      <xdr:colOff>0</xdr:colOff>
      <xdr:row>95</xdr:row>
      <xdr:rowOff>0</xdr:rowOff>
    </xdr:from>
    <xdr:ext cx="485775" cy="466725"/>
    <xdr:pic>
      <xdr:nvPicPr>
        <xdr:cNvPr id="685" name="image323.png">
          <a:extLst>
            <a:ext uri="{FF2B5EF4-FFF2-40B4-BE49-F238E27FC236}">
              <a16:creationId xmlns:a16="http://schemas.microsoft.com/office/drawing/2014/main" id="{00000000-0008-0000-0100-0000AD02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12</xdr:col>
      <xdr:colOff>0</xdr:colOff>
      <xdr:row>95</xdr:row>
      <xdr:rowOff>0</xdr:rowOff>
    </xdr:from>
    <xdr:ext cx="476250" cy="476250"/>
    <xdr:pic>
      <xdr:nvPicPr>
        <xdr:cNvPr id="686" name="image14.png">
          <a:extLst>
            <a:ext uri="{FF2B5EF4-FFF2-40B4-BE49-F238E27FC236}">
              <a16:creationId xmlns:a16="http://schemas.microsoft.com/office/drawing/2014/main" id="{00000000-0008-0000-0100-0000AE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95</xdr:row>
      <xdr:rowOff>0</xdr:rowOff>
    </xdr:from>
    <xdr:ext cx="476250" cy="476250"/>
    <xdr:pic>
      <xdr:nvPicPr>
        <xdr:cNvPr id="687" name="image328.png">
          <a:extLst>
            <a:ext uri="{FF2B5EF4-FFF2-40B4-BE49-F238E27FC236}">
              <a16:creationId xmlns:a16="http://schemas.microsoft.com/office/drawing/2014/main" id="{00000000-0008-0000-0100-0000AF02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3</xdr:col>
      <xdr:colOff>0</xdr:colOff>
      <xdr:row>96</xdr:row>
      <xdr:rowOff>0</xdr:rowOff>
    </xdr:from>
    <xdr:ext cx="476250" cy="476250"/>
    <xdr:pic>
      <xdr:nvPicPr>
        <xdr:cNvPr id="688" name="image330.jpg">
          <a:extLst>
            <a:ext uri="{FF2B5EF4-FFF2-40B4-BE49-F238E27FC236}">
              <a16:creationId xmlns:a16="http://schemas.microsoft.com/office/drawing/2014/main" id="{00000000-0008-0000-0100-0000B002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7</xdr:col>
      <xdr:colOff>0</xdr:colOff>
      <xdr:row>96</xdr:row>
      <xdr:rowOff>0</xdr:rowOff>
    </xdr:from>
    <xdr:ext cx="476250" cy="476250"/>
    <xdr:pic>
      <xdr:nvPicPr>
        <xdr:cNvPr id="689" name="image333.png">
          <a:extLst>
            <a:ext uri="{FF2B5EF4-FFF2-40B4-BE49-F238E27FC236}">
              <a16:creationId xmlns:a16="http://schemas.microsoft.com/office/drawing/2014/main" id="{00000000-0008-0000-0100-0000B102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8</xdr:col>
      <xdr:colOff>0</xdr:colOff>
      <xdr:row>96</xdr:row>
      <xdr:rowOff>0</xdr:rowOff>
    </xdr:from>
    <xdr:ext cx="476250" cy="476250"/>
    <xdr:pic>
      <xdr:nvPicPr>
        <xdr:cNvPr id="690" name="image332.png">
          <a:extLst>
            <a:ext uri="{FF2B5EF4-FFF2-40B4-BE49-F238E27FC236}">
              <a16:creationId xmlns:a16="http://schemas.microsoft.com/office/drawing/2014/main" id="{00000000-0008-0000-0100-0000B2020000}"/>
            </a:ext>
          </a:extLst>
        </xdr:cNvPr>
        <xdr:cNvPicPr preferRelativeResize="0"/>
      </xdr:nvPicPr>
      <xdr:blipFill>
        <a:blip xmlns:r="http://schemas.openxmlformats.org/officeDocument/2006/relationships" r:embed="rId336" cstate="print"/>
        <a:stretch>
          <a:fillRect/>
        </a:stretch>
      </xdr:blipFill>
      <xdr:spPr>
        <a:prstGeom prst="rect">
          <a:avLst/>
        </a:prstGeom>
        <a:noFill/>
      </xdr:spPr>
    </xdr:pic>
    <xdr:clientData fLocksWithSheet="0"/>
  </xdr:oneCellAnchor>
  <xdr:oneCellAnchor>
    <xdr:from>
      <xdr:col>9</xdr:col>
      <xdr:colOff>0</xdr:colOff>
      <xdr:row>96</xdr:row>
      <xdr:rowOff>0</xdr:rowOff>
    </xdr:from>
    <xdr:ext cx="476250" cy="476250"/>
    <xdr:pic>
      <xdr:nvPicPr>
        <xdr:cNvPr id="691" name="image334.png">
          <a:extLst>
            <a:ext uri="{FF2B5EF4-FFF2-40B4-BE49-F238E27FC236}">
              <a16:creationId xmlns:a16="http://schemas.microsoft.com/office/drawing/2014/main" id="{00000000-0008-0000-0100-0000B302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10</xdr:col>
      <xdr:colOff>0</xdr:colOff>
      <xdr:row>96</xdr:row>
      <xdr:rowOff>0</xdr:rowOff>
    </xdr:from>
    <xdr:ext cx="476250" cy="476250"/>
    <xdr:pic>
      <xdr:nvPicPr>
        <xdr:cNvPr id="692" name="image334.png">
          <a:extLst>
            <a:ext uri="{FF2B5EF4-FFF2-40B4-BE49-F238E27FC236}">
              <a16:creationId xmlns:a16="http://schemas.microsoft.com/office/drawing/2014/main" id="{00000000-0008-0000-0100-0000B402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11</xdr:col>
      <xdr:colOff>0</xdr:colOff>
      <xdr:row>96</xdr:row>
      <xdr:rowOff>0</xdr:rowOff>
    </xdr:from>
    <xdr:ext cx="476250" cy="476250"/>
    <xdr:pic>
      <xdr:nvPicPr>
        <xdr:cNvPr id="693" name="image218.png">
          <a:extLst>
            <a:ext uri="{FF2B5EF4-FFF2-40B4-BE49-F238E27FC236}">
              <a16:creationId xmlns:a16="http://schemas.microsoft.com/office/drawing/2014/main" id="{00000000-0008-0000-0100-0000B502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12</xdr:col>
      <xdr:colOff>0</xdr:colOff>
      <xdr:row>96</xdr:row>
      <xdr:rowOff>0</xdr:rowOff>
    </xdr:from>
    <xdr:ext cx="476250" cy="476250"/>
    <xdr:pic>
      <xdr:nvPicPr>
        <xdr:cNvPr id="694" name="image343.png">
          <a:extLst>
            <a:ext uri="{FF2B5EF4-FFF2-40B4-BE49-F238E27FC236}">
              <a16:creationId xmlns:a16="http://schemas.microsoft.com/office/drawing/2014/main" id="{00000000-0008-0000-0100-0000B6020000}"/>
            </a:ext>
          </a:extLst>
        </xdr:cNvPr>
        <xdr:cNvPicPr preferRelativeResize="0"/>
      </xdr:nvPicPr>
      <xdr:blipFill>
        <a:blip xmlns:r="http://schemas.openxmlformats.org/officeDocument/2006/relationships" r:embed="rId338" cstate="print"/>
        <a:stretch>
          <a:fillRect/>
        </a:stretch>
      </xdr:blipFill>
      <xdr:spPr>
        <a:prstGeom prst="rect">
          <a:avLst/>
        </a:prstGeom>
        <a:noFill/>
      </xdr:spPr>
    </xdr:pic>
    <xdr:clientData fLocksWithSheet="0"/>
  </xdr:oneCellAnchor>
  <xdr:oneCellAnchor>
    <xdr:from>
      <xdr:col>13</xdr:col>
      <xdr:colOff>0</xdr:colOff>
      <xdr:row>96</xdr:row>
      <xdr:rowOff>0</xdr:rowOff>
    </xdr:from>
    <xdr:ext cx="476250" cy="476250"/>
    <xdr:pic>
      <xdr:nvPicPr>
        <xdr:cNvPr id="695" name="image353.png">
          <a:extLst>
            <a:ext uri="{FF2B5EF4-FFF2-40B4-BE49-F238E27FC236}">
              <a16:creationId xmlns:a16="http://schemas.microsoft.com/office/drawing/2014/main" id="{00000000-0008-0000-0100-0000B7020000}"/>
            </a:ext>
          </a:extLst>
        </xdr:cNvPr>
        <xdr:cNvPicPr preferRelativeResize="0"/>
      </xdr:nvPicPr>
      <xdr:blipFill>
        <a:blip xmlns:r="http://schemas.openxmlformats.org/officeDocument/2006/relationships" r:embed="rId339" cstate="print"/>
        <a:stretch>
          <a:fillRect/>
        </a:stretch>
      </xdr:blipFill>
      <xdr:spPr>
        <a:prstGeom prst="rect">
          <a:avLst/>
        </a:prstGeom>
        <a:noFill/>
      </xdr:spPr>
    </xdr:pic>
    <xdr:clientData fLocksWithSheet="0"/>
  </xdr:oneCellAnchor>
  <xdr:oneCellAnchor>
    <xdr:from>
      <xdr:col>3</xdr:col>
      <xdr:colOff>0</xdr:colOff>
      <xdr:row>97</xdr:row>
      <xdr:rowOff>0</xdr:rowOff>
    </xdr:from>
    <xdr:ext cx="476250" cy="476250"/>
    <xdr:pic>
      <xdr:nvPicPr>
        <xdr:cNvPr id="696" name="image344.jpg">
          <a:extLst>
            <a:ext uri="{FF2B5EF4-FFF2-40B4-BE49-F238E27FC236}">
              <a16:creationId xmlns:a16="http://schemas.microsoft.com/office/drawing/2014/main" id="{00000000-0008-0000-0100-0000B8020000}"/>
            </a:ext>
          </a:extLst>
        </xdr:cNvPr>
        <xdr:cNvPicPr preferRelativeResize="0"/>
      </xdr:nvPicPr>
      <xdr:blipFill>
        <a:blip xmlns:r="http://schemas.openxmlformats.org/officeDocument/2006/relationships" r:embed="rId340" cstate="print"/>
        <a:stretch>
          <a:fillRect/>
        </a:stretch>
      </xdr:blipFill>
      <xdr:spPr>
        <a:prstGeom prst="rect">
          <a:avLst/>
        </a:prstGeom>
        <a:noFill/>
      </xdr:spPr>
    </xdr:pic>
    <xdr:clientData fLocksWithSheet="0"/>
  </xdr:oneCellAnchor>
  <xdr:oneCellAnchor>
    <xdr:from>
      <xdr:col>7</xdr:col>
      <xdr:colOff>0</xdr:colOff>
      <xdr:row>97</xdr:row>
      <xdr:rowOff>0</xdr:rowOff>
    </xdr:from>
    <xdr:ext cx="476250" cy="476250"/>
    <xdr:pic>
      <xdr:nvPicPr>
        <xdr:cNvPr id="697" name="image61.png">
          <a:extLst>
            <a:ext uri="{FF2B5EF4-FFF2-40B4-BE49-F238E27FC236}">
              <a16:creationId xmlns:a16="http://schemas.microsoft.com/office/drawing/2014/main" id="{00000000-0008-0000-0100-0000B902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8</xdr:col>
      <xdr:colOff>0</xdr:colOff>
      <xdr:row>97</xdr:row>
      <xdr:rowOff>0</xdr:rowOff>
    </xdr:from>
    <xdr:ext cx="466725" cy="476250"/>
    <xdr:pic>
      <xdr:nvPicPr>
        <xdr:cNvPr id="698" name="image161.png">
          <a:extLst>
            <a:ext uri="{FF2B5EF4-FFF2-40B4-BE49-F238E27FC236}">
              <a16:creationId xmlns:a16="http://schemas.microsoft.com/office/drawing/2014/main" id="{00000000-0008-0000-0100-0000BA02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9</xdr:col>
      <xdr:colOff>0</xdr:colOff>
      <xdr:row>97</xdr:row>
      <xdr:rowOff>0</xdr:rowOff>
    </xdr:from>
    <xdr:ext cx="476250" cy="476250"/>
    <xdr:pic>
      <xdr:nvPicPr>
        <xdr:cNvPr id="699" name="image61.png">
          <a:extLst>
            <a:ext uri="{FF2B5EF4-FFF2-40B4-BE49-F238E27FC236}">
              <a16:creationId xmlns:a16="http://schemas.microsoft.com/office/drawing/2014/main" id="{00000000-0008-0000-0100-0000BB02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10</xdr:col>
      <xdr:colOff>0</xdr:colOff>
      <xdr:row>97</xdr:row>
      <xdr:rowOff>0</xdr:rowOff>
    </xdr:from>
    <xdr:ext cx="476250" cy="476250"/>
    <xdr:pic>
      <xdr:nvPicPr>
        <xdr:cNvPr id="700" name="image61.png">
          <a:extLst>
            <a:ext uri="{FF2B5EF4-FFF2-40B4-BE49-F238E27FC236}">
              <a16:creationId xmlns:a16="http://schemas.microsoft.com/office/drawing/2014/main" id="{00000000-0008-0000-0100-0000BC02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11</xdr:col>
      <xdr:colOff>0</xdr:colOff>
      <xdr:row>97</xdr:row>
      <xdr:rowOff>0</xdr:rowOff>
    </xdr:from>
    <xdr:ext cx="476250" cy="476250"/>
    <xdr:pic>
      <xdr:nvPicPr>
        <xdr:cNvPr id="701" name="image14.png">
          <a:extLst>
            <a:ext uri="{FF2B5EF4-FFF2-40B4-BE49-F238E27FC236}">
              <a16:creationId xmlns:a16="http://schemas.microsoft.com/office/drawing/2014/main" id="{00000000-0008-0000-0100-0000BD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97</xdr:row>
      <xdr:rowOff>0</xdr:rowOff>
    </xdr:from>
    <xdr:ext cx="476250" cy="476250"/>
    <xdr:pic>
      <xdr:nvPicPr>
        <xdr:cNvPr id="702" name="image14.png">
          <a:extLst>
            <a:ext uri="{FF2B5EF4-FFF2-40B4-BE49-F238E27FC236}">
              <a16:creationId xmlns:a16="http://schemas.microsoft.com/office/drawing/2014/main" id="{00000000-0008-0000-0100-0000BE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97</xdr:row>
      <xdr:rowOff>0</xdr:rowOff>
    </xdr:from>
    <xdr:ext cx="476250" cy="476250"/>
    <xdr:pic>
      <xdr:nvPicPr>
        <xdr:cNvPr id="703" name="image345.png">
          <a:extLst>
            <a:ext uri="{FF2B5EF4-FFF2-40B4-BE49-F238E27FC236}">
              <a16:creationId xmlns:a16="http://schemas.microsoft.com/office/drawing/2014/main" id="{00000000-0008-0000-0100-0000BF02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3</xdr:col>
      <xdr:colOff>0</xdr:colOff>
      <xdr:row>98</xdr:row>
      <xdr:rowOff>0</xdr:rowOff>
    </xdr:from>
    <xdr:ext cx="466725" cy="476250"/>
    <xdr:pic>
      <xdr:nvPicPr>
        <xdr:cNvPr id="704" name="image331.jpg">
          <a:extLst>
            <a:ext uri="{FF2B5EF4-FFF2-40B4-BE49-F238E27FC236}">
              <a16:creationId xmlns:a16="http://schemas.microsoft.com/office/drawing/2014/main" id="{00000000-0008-0000-0100-0000C002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7</xdr:col>
      <xdr:colOff>0</xdr:colOff>
      <xdr:row>98</xdr:row>
      <xdr:rowOff>0</xdr:rowOff>
    </xdr:from>
    <xdr:ext cx="476250" cy="476250"/>
    <xdr:pic>
      <xdr:nvPicPr>
        <xdr:cNvPr id="705" name="image347.png">
          <a:extLst>
            <a:ext uri="{FF2B5EF4-FFF2-40B4-BE49-F238E27FC236}">
              <a16:creationId xmlns:a16="http://schemas.microsoft.com/office/drawing/2014/main" id="{00000000-0008-0000-0100-0000C102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8</xdr:col>
      <xdr:colOff>0</xdr:colOff>
      <xdr:row>98</xdr:row>
      <xdr:rowOff>0</xdr:rowOff>
    </xdr:from>
    <xdr:ext cx="476250" cy="476250"/>
    <xdr:pic>
      <xdr:nvPicPr>
        <xdr:cNvPr id="706" name="image61.png">
          <a:extLst>
            <a:ext uri="{FF2B5EF4-FFF2-40B4-BE49-F238E27FC236}">
              <a16:creationId xmlns:a16="http://schemas.microsoft.com/office/drawing/2014/main" id="{00000000-0008-0000-0100-0000C202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9</xdr:col>
      <xdr:colOff>0</xdr:colOff>
      <xdr:row>98</xdr:row>
      <xdr:rowOff>0</xdr:rowOff>
    </xdr:from>
    <xdr:ext cx="476250" cy="476250"/>
    <xdr:pic>
      <xdr:nvPicPr>
        <xdr:cNvPr id="707" name="image43.png">
          <a:extLst>
            <a:ext uri="{FF2B5EF4-FFF2-40B4-BE49-F238E27FC236}">
              <a16:creationId xmlns:a16="http://schemas.microsoft.com/office/drawing/2014/main" id="{00000000-0008-0000-0100-0000C302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10</xdr:col>
      <xdr:colOff>0</xdr:colOff>
      <xdr:row>98</xdr:row>
      <xdr:rowOff>0</xdr:rowOff>
    </xdr:from>
    <xdr:ext cx="476250" cy="476250"/>
    <xdr:pic>
      <xdr:nvPicPr>
        <xdr:cNvPr id="708" name="image43.png">
          <a:extLst>
            <a:ext uri="{FF2B5EF4-FFF2-40B4-BE49-F238E27FC236}">
              <a16:creationId xmlns:a16="http://schemas.microsoft.com/office/drawing/2014/main" id="{00000000-0008-0000-0100-0000C402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11</xdr:col>
      <xdr:colOff>0</xdr:colOff>
      <xdr:row>98</xdr:row>
      <xdr:rowOff>0</xdr:rowOff>
    </xdr:from>
    <xdr:ext cx="457200" cy="476250"/>
    <xdr:pic>
      <xdr:nvPicPr>
        <xdr:cNvPr id="709" name="image194.png">
          <a:extLst>
            <a:ext uri="{FF2B5EF4-FFF2-40B4-BE49-F238E27FC236}">
              <a16:creationId xmlns:a16="http://schemas.microsoft.com/office/drawing/2014/main" id="{00000000-0008-0000-0100-0000C502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12</xdr:col>
      <xdr:colOff>0</xdr:colOff>
      <xdr:row>98</xdr:row>
      <xdr:rowOff>0</xdr:rowOff>
    </xdr:from>
    <xdr:ext cx="457200" cy="476250"/>
    <xdr:pic>
      <xdr:nvPicPr>
        <xdr:cNvPr id="710" name="image194.png">
          <a:extLst>
            <a:ext uri="{FF2B5EF4-FFF2-40B4-BE49-F238E27FC236}">
              <a16:creationId xmlns:a16="http://schemas.microsoft.com/office/drawing/2014/main" id="{00000000-0008-0000-0100-0000C602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13</xdr:col>
      <xdr:colOff>0</xdr:colOff>
      <xdr:row>98</xdr:row>
      <xdr:rowOff>0</xdr:rowOff>
    </xdr:from>
    <xdr:ext cx="476250" cy="476250"/>
    <xdr:pic>
      <xdr:nvPicPr>
        <xdr:cNvPr id="711" name="image336.png">
          <a:extLst>
            <a:ext uri="{FF2B5EF4-FFF2-40B4-BE49-F238E27FC236}">
              <a16:creationId xmlns:a16="http://schemas.microsoft.com/office/drawing/2014/main" id="{00000000-0008-0000-0100-0000C702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3</xdr:col>
      <xdr:colOff>0</xdr:colOff>
      <xdr:row>99</xdr:row>
      <xdr:rowOff>0</xdr:rowOff>
    </xdr:from>
    <xdr:ext cx="476250" cy="476250"/>
    <xdr:pic>
      <xdr:nvPicPr>
        <xdr:cNvPr id="712" name="image340.jpg">
          <a:extLst>
            <a:ext uri="{FF2B5EF4-FFF2-40B4-BE49-F238E27FC236}">
              <a16:creationId xmlns:a16="http://schemas.microsoft.com/office/drawing/2014/main" id="{00000000-0008-0000-0100-0000C802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7</xdr:col>
      <xdr:colOff>0</xdr:colOff>
      <xdr:row>99</xdr:row>
      <xdr:rowOff>0</xdr:rowOff>
    </xdr:from>
    <xdr:ext cx="476250" cy="476250"/>
    <xdr:pic>
      <xdr:nvPicPr>
        <xdr:cNvPr id="713" name="image348.png">
          <a:extLst>
            <a:ext uri="{FF2B5EF4-FFF2-40B4-BE49-F238E27FC236}">
              <a16:creationId xmlns:a16="http://schemas.microsoft.com/office/drawing/2014/main" id="{00000000-0008-0000-0100-0000C902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8</xdr:col>
      <xdr:colOff>0</xdr:colOff>
      <xdr:row>99</xdr:row>
      <xdr:rowOff>0</xdr:rowOff>
    </xdr:from>
    <xdr:ext cx="476250" cy="476250"/>
    <xdr:pic>
      <xdr:nvPicPr>
        <xdr:cNvPr id="714" name="image333.png">
          <a:extLst>
            <a:ext uri="{FF2B5EF4-FFF2-40B4-BE49-F238E27FC236}">
              <a16:creationId xmlns:a16="http://schemas.microsoft.com/office/drawing/2014/main" id="{00000000-0008-0000-0100-0000CA02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9</xdr:col>
      <xdr:colOff>0</xdr:colOff>
      <xdr:row>99</xdr:row>
      <xdr:rowOff>0</xdr:rowOff>
    </xdr:from>
    <xdr:ext cx="476250" cy="476250"/>
    <xdr:pic>
      <xdr:nvPicPr>
        <xdr:cNvPr id="715" name="image81.png">
          <a:extLst>
            <a:ext uri="{FF2B5EF4-FFF2-40B4-BE49-F238E27FC236}">
              <a16:creationId xmlns:a16="http://schemas.microsoft.com/office/drawing/2014/main" id="{00000000-0008-0000-0100-0000CB02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10</xdr:col>
      <xdr:colOff>0</xdr:colOff>
      <xdr:row>99</xdr:row>
      <xdr:rowOff>0</xdr:rowOff>
    </xdr:from>
    <xdr:ext cx="476250" cy="476250"/>
    <xdr:pic>
      <xdr:nvPicPr>
        <xdr:cNvPr id="716" name="image81.png">
          <a:extLst>
            <a:ext uri="{FF2B5EF4-FFF2-40B4-BE49-F238E27FC236}">
              <a16:creationId xmlns:a16="http://schemas.microsoft.com/office/drawing/2014/main" id="{00000000-0008-0000-0100-0000CC02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11</xdr:col>
      <xdr:colOff>0</xdr:colOff>
      <xdr:row>99</xdr:row>
      <xdr:rowOff>0</xdr:rowOff>
    </xdr:from>
    <xdr:ext cx="476250" cy="476250"/>
    <xdr:pic>
      <xdr:nvPicPr>
        <xdr:cNvPr id="717" name="image14.png">
          <a:extLst>
            <a:ext uri="{FF2B5EF4-FFF2-40B4-BE49-F238E27FC236}">
              <a16:creationId xmlns:a16="http://schemas.microsoft.com/office/drawing/2014/main" id="{00000000-0008-0000-0100-0000CD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12</xdr:col>
      <xdr:colOff>0</xdr:colOff>
      <xdr:row>99</xdr:row>
      <xdr:rowOff>0</xdr:rowOff>
    </xdr:from>
    <xdr:ext cx="476250" cy="476250"/>
    <xdr:pic>
      <xdr:nvPicPr>
        <xdr:cNvPr id="718" name="image14.png">
          <a:extLst>
            <a:ext uri="{FF2B5EF4-FFF2-40B4-BE49-F238E27FC236}">
              <a16:creationId xmlns:a16="http://schemas.microsoft.com/office/drawing/2014/main" id="{00000000-0008-0000-0100-0000CE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99</xdr:row>
      <xdr:rowOff>0</xdr:rowOff>
    </xdr:from>
    <xdr:ext cx="476250" cy="476250"/>
    <xdr:pic>
      <xdr:nvPicPr>
        <xdr:cNvPr id="719" name="image342.png">
          <a:extLst>
            <a:ext uri="{FF2B5EF4-FFF2-40B4-BE49-F238E27FC236}">
              <a16:creationId xmlns:a16="http://schemas.microsoft.com/office/drawing/2014/main" id="{00000000-0008-0000-0100-0000CF02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3</xdr:col>
      <xdr:colOff>0</xdr:colOff>
      <xdr:row>100</xdr:row>
      <xdr:rowOff>0</xdr:rowOff>
    </xdr:from>
    <xdr:ext cx="476250" cy="476250"/>
    <xdr:pic>
      <xdr:nvPicPr>
        <xdr:cNvPr id="720" name="image338.jpg">
          <a:extLst>
            <a:ext uri="{FF2B5EF4-FFF2-40B4-BE49-F238E27FC236}">
              <a16:creationId xmlns:a16="http://schemas.microsoft.com/office/drawing/2014/main" id="{00000000-0008-0000-0100-0000D002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7</xdr:col>
      <xdr:colOff>0</xdr:colOff>
      <xdr:row>100</xdr:row>
      <xdr:rowOff>0</xdr:rowOff>
    </xdr:from>
    <xdr:ext cx="476250" cy="476250"/>
    <xdr:pic>
      <xdr:nvPicPr>
        <xdr:cNvPr id="721" name="image350.png">
          <a:extLst>
            <a:ext uri="{FF2B5EF4-FFF2-40B4-BE49-F238E27FC236}">
              <a16:creationId xmlns:a16="http://schemas.microsoft.com/office/drawing/2014/main" id="{00000000-0008-0000-0100-0000D102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oneCellAnchor>
    <xdr:from>
      <xdr:col>8</xdr:col>
      <xdr:colOff>0</xdr:colOff>
      <xdr:row>100</xdr:row>
      <xdr:rowOff>0</xdr:rowOff>
    </xdr:from>
    <xdr:ext cx="466725" cy="476250"/>
    <xdr:pic>
      <xdr:nvPicPr>
        <xdr:cNvPr id="722" name="image196.png">
          <a:extLst>
            <a:ext uri="{FF2B5EF4-FFF2-40B4-BE49-F238E27FC236}">
              <a16:creationId xmlns:a16="http://schemas.microsoft.com/office/drawing/2014/main" id="{00000000-0008-0000-0100-0000D202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9</xdr:col>
      <xdr:colOff>0</xdr:colOff>
      <xdr:row>100</xdr:row>
      <xdr:rowOff>0</xdr:rowOff>
    </xdr:from>
    <xdr:ext cx="476250" cy="476250"/>
    <xdr:pic>
      <xdr:nvPicPr>
        <xdr:cNvPr id="723" name="image72.png">
          <a:extLst>
            <a:ext uri="{FF2B5EF4-FFF2-40B4-BE49-F238E27FC236}">
              <a16:creationId xmlns:a16="http://schemas.microsoft.com/office/drawing/2014/main" id="{00000000-0008-0000-0100-0000D302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10</xdr:col>
      <xdr:colOff>0</xdr:colOff>
      <xdr:row>100</xdr:row>
      <xdr:rowOff>0</xdr:rowOff>
    </xdr:from>
    <xdr:ext cx="476250" cy="476250"/>
    <xdr:pic>
      <xdr:nvPicPr>
        <xdr:cNvPr id="724" name="image72.png">
          <a:extLst>
            <a:ext uri="{FF2B5EF4-FFF2-40B4-BE49-F238E27FC236}">
              <a16:creationId xmlns:a16="http://schemas.microsoft.com/office/drawing/2014/main" id="{00000000-0008-0000-0100-0000D402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11</xdr:col>
      <xdr:colOff>0</xdr:colOff>
      <xdr:row>100</xdr:row>
      <xdr:rowOff>0</xdr:rowOff>
    </xdr:from>
    <xdr:ext cx="476250" cy="476250"/>
    <xdr:pic>
      <xdr:nvPicPr>
        <xdr:cNvPr id="725" name="image20.png">
          <a:extLst>
            <a:ext uri="{FF2B5EF4-FFF2-40B4-BE49-F238E27FC236}">
              <a16:creationId xmlns:a16="http://schemas.microsoft.com/office/drawing/2014/main" id="{00000000-0008-0000-0100-0000D502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0</xdr:colOff>
      <xdr:row>100</xdr:row>
      <xdr:rowOff>0</xdr:rowOff>
    </xdr:from>
    <xdr:ext cx="476250" cy="476250"/>
    <xdr:pic>
      <xdr:nvPicPr>
        <xdr:cNvPr id="726" name="image14.png">
          <a:extLst>
            <a:ext uri="{FF2B5EF4-FFF2-40B4-BE49-F238E27FC236}">
              <a16:creationId xmlns:a16="http://schemas.microsoft.com/office/drawing/2014/main" id="{00000000-0008-0000-0100-0000D6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100</xdr:row>
      <xdr:rowOff>0</xdr:rowOff>
    </xdr:from>
    <xdr:ext cx="476250" cy="476250"/>
    <xdr:pic>
      <xdr:nvPicPr>
        <xdr:cNvPr id="727" name="image339.png">
          <a:extLst>
            <a:ext uri="{FF2B5EF4-FFF2-40B4-BE49-F238E27FC236}">
              <a16:creationId xmlns:a16="http://schemas.microsoft.com/office/drawing/2014/main" id="{00000000-0008-0000-0100-0000D7020000}"/>
            </a:ext>
          </a:extLst>
        </xdr:cNvPr>
        <xdr:cNvPicPr preferRelativeResize="0"/>
      </xdr:nvPicPr>
      <xdr:blipFill>
        <a:blip xmlns:r="http://schemas.openxmlformats.org/officeDocument/2006/relationships" r:embed="rId350" cstate="print"/>
        <a:stretch>
          <a:fillRect/>
        </a:stretch>
      </xdr:blipFill>
      <xdr:spPr>
        <a:prstGeom prst="rect">
          <a:avLst/>
        </a:prstGeom>
        <a:noFill/>
      </xdr:spPr>
    </xdr:pic>
    <xdr:clientData fLocksWithSheet="0"/>
  </xdr:oneCellAnchor>
  <xdr:oneCellAnchor>
    <xdr:from>
      <xdr:col>3</xdr:col>
      <xdr:colOff>0</xdr:colOff>
      <xdr:row>101</xdr:row>
      <xdr:rowOff>0</xdr:rowOff>
    </xdr:from>
    <xdr:ext cx="476250" cy="476250"/>
    <xdr:pic>
      <xdr:nvPicPr>
        <xdr:cNvPr id="728" name="image354.jpg">
          <a:extLst>
            <a:ext uri="{FF2B5EF4-FFF2-40B4-BE49-F238E27FC236}">
              <a16:creationId xmlns:a16="http://schemas.microsoft.com/office/drawing/2014/main" id="{00000000-0008-0000-0100-0000D8020000}"/>
            </a:ext>
          </a:extLst>
        </xdr:cNvPr>
        <xdr:cNvPicPr preferRelativeResize="0"/>
      </xdr:nvPicPr>
      <xdr:blipFill>
        <a:blip xmlns:r="http://schemas.openxmlformats.org/officeDocument/2006/relationships" r:embed="rId351" cstate="print"/>
        <a:stretch>
          <a:fillRect/>
        </a:stretch>
      </xdr:blipFill>
      <xdr:spPr>
        <a:prstGeom prst="rect">
          <a:avLst/>
        </a:prstGeom>
        <a:noFill/>
      </xdr:spPr>
    </xdr:pic>
    <xdr:clientData fLocksWithSheet="0"/>
  </xdr:oneCellAnchor>
  <xdr:oneCellAnchor>
    <xdr:from>
      <xdr:col>7</xdr:col>
      <xdr:colOff>0</xdr:colOff>
      <xdr:row>101</xdr:row>
      <xdr:rowOff>0</xdr:rowOff>
    </xdr:from>
    <xdr:ext cx="476250" cy="476250"/>
    <xdr:pic>
      <xdr:nvPicPr>
        <xdr:cNvPr id="729" name="image73.png">
          <a:extLst>
            <a:ext uri="{FF2B5EF4-FFF2-40B4-BE49-F238E27FC236}">
              <a16:creationId xmlns:a16="http://schemas.microsoft.com/office/drawing/2014/main" id="{00000000-0008-0000-0100-0000D902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8</xdr:col>
      <xdr:colOff>0</xdr:colOff>
      <xdr:row>101</xdr:row>
      <xdr:rowOff>0</xdr:rowOff>
    </xdr:from>
    <xdr:ext cx="466725" cy="476250"/>
    <xdr:pic>
      <xdr:nvPicPr>
        <xdr:cNvPr id="730" name="image161.png">
          <a:extLst>
            <a:ext uri="{FF2B5EF4-FFF2-40B4-BE49-F238E27FC236}">
              <a16:creationId xmlns:a16="http://schemas.microsoft.com/office/drawing/2014/main" id="{00000000-0008-0000-0100-0000DA02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9</xdr:col>
      <xdr:colOff>0</xdr:colOff>
      <xdr:row>101</xdr:row>
      <xdr:rowOff>0</xdr:rowOff>
    </xdr:from>
    <xdr:ext cx="476250" cy="476250"/>
    <xdr:pic>
      <xdr:nvPicPr>
        <xdr:cNvPr id="731" name="image367.png">
          <a:extLst>
            <a:ext uri="{FF2B5EF4-FFF2-40B4-BE49-F238E27FC236}">
              <a16:creationId xmlns:a16="http://schemas.microsoft.com/office/drawing/2014/main" id="{00000000-0008-0000-0100-0000DB02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10</xdr:col>
      <xdr:colOff>0</xdr:colOff>
      <xdr:row>101</xdr:row>
      <xdr:rowOff>0</xdr:rowOff>
    </xdr:from>
    <xdr:ext cx="476250" cy="476250"/>
    <xdr:pic>
      <xdr:nvPicPr>
        <xdr:cNvPr id="732" name="image367.png">
          <a:extLst>
            <a:ext uri="{FF2B5EF4-FFF2-40B4-BE49-F238E27FC236}">
              <a16:creationId xmlns:a16="http://schemas.microsoft.com/office/drawing/2014/main" id="{00000000-0008-0000-0100-0000DC02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11</xdr:col>
      <xdr:colOff>0</xdr:colOff>
      <xdr:row>101</xdr:row>
      <xdr:rowOff>0</xdr:rowOff>
    </xdr:from>
    <xdr:ext cx="476250" cy="476250"/>
    <xdr:pic>
      <xdr:nvPicPr>
        <xdr:cNvPr id="733" name="image20.png">
          <a:extLst>
            <a:ext uri="{FF2B5EF4-FFF2-40B4-BE49-F238E27FC236}">
              <a16:creationId xmlns:a16="http://schemas.microsoft.com/office/drawing/2014/main" id="{00000000-0008-0000-0100-0000DD02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0</xdr:colOff>
      <xdr:row>101</xdr:row>
      <xdr:rowOff>0</xdr:rowOff>
    </xdr:from>
    <xdr:ext cx="476250" cy="476250"/>
    <xdr:pic>
      <xdr:nvPicPr>
        <xdr:cNvPr id="734" name="image14.png">
          <a:extLst>
            <a:ext uri="{FF2B5EF4-FFF2-40B4-BE49-F238E27FC236}">
              <a16:creationId xmlns:a16="http://schemas.microsoft.com/office/drawing/2014/main" id="{00000000-0008-0000-0100-0000DE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101</xdr:row>
      <xdr:rowOff>0</xdr:rowOff>
    </xdr:from>
    <xdr:ext cx="476250" cy="476250"/>
    <xdr:pic>
      <xdr:nvPicPr>
        <xdr:cNvPr id="735" name="image361.png">
          <a:extLst>
            <a:ext uri="{FF2B5EF4-FFF2-40B4-BE49-F238E27FC236}">
              <a16:creationId xmlns:a16="http://schemas.microsoft.com/office/drawing/2014/main" id="{00000000-0008-0000-0100-0000DF020000}"/>
            </a:ext>
          </a:extLst>
        </xdr:cNvPr>
        <xdr:cNvPicPr preferRelativeResize="0"/>
      </xdr:nvPicPr>
      <xdr:blipFill>
        <a:blip xmlns:r="http://schemas.openxmlformats.org/officeDocument/2006/relationships" r:embed="rId353" cstate="print"/>
        <a:stretch>
          <a:fillRect/>
        </a:stretch>
      </xdr:blipFill>
      <xdr:spPr>
        <a:prstGeom prst="rect">
          <a:avLst/>
        </a:prstGeom>
        <a:noFill/>
      </xdr:spPr>
    </xdr:pic>
    <xdr:clientData fLocksWithSheet="0"/>
  </xdr:oneCellAnchor>
  <xdr:oneCellAnchor>
    <xdr:from>
      <xdr:col>3</xdr:col>
      <xdr:colOff>0</xdr:colOff>
      <xdr:row>102</xdr:row>
      <xdr:rowOff>0</xdr:rowOff>
    </xdr:from>
    <xdr:ext cx="476250" cy="476250"/>
    <xdr:pic>
      <xdr:nvPicPr>
        <xdr:cNvPr id="736" name="image351.jpg">
          <a:extLst>
            <a:ext uri="{FF2B5EF4-FFF2-40B4-BE49-F238E27FC236}">
              <a16:creationId xmlns:a16="http://schemas.microsoft.com/office/drawing/2014/main" id="{00000000-0008-0000-0100-0000E0020000}"/>
            </a:ext>
          </a:extLst>
        </xdr:cNvPr>
        <xdr:cNvPicPr preferRelativeResize="0"/>
      </xdr:nvPicPr>
      <xdr:blipFill>
        <a:blip xmlns:r="http://schemas.openxmlformats.org/officeDocument/2006/relationships" r:embed="rId354" cstate="print"/>
        <a:stretch>
          <a:fillRect/>
        </a:stretch>
      </xdr:blipFill>
      <xdr:spPr>
        <a:prstGeom prst="rect">
          <a:avLst/>
        </a:prstGeom>
        <a:noFill/>
      </xdr:spPr>
    </xdr:pic>
    <xdr:clientData fLocksWithSheet="0"/>
  </xdr:oneCellAnchor>
  <xdr:oneCellAnchor>
    <xdr:from>
      <xdr:col>7</xdr:col>
      <xdr:colOff>0</xdr:colOff>
      <xdr:row>102</xdr:row>
      <xdr:rowOff>0</xdr:rowOff>
    </xdr:from>
    <xdr:ext cx="476250" cy="476250"/>
    <xdr:pic>
      <xdr:nvPicPr>
        <xdr:cNvPr id="737" name="image360.png">
          <a:extLst>
            <a:ext uri="{FF2B5EF4-FFF2-40B4-BE49-F238E27FC236}">
              <a16:creationId xmlns:a16="http://schemas.microsoft.com/office/drawing/2014/main" id="{00000000-0008-0000-0100-0000E1020000}"/>
            </a:ext>
          </a:extLst>
        </xdr:cNvPr>
        <xdr:cNvPicPr preferRelativeResize="0"/>
      </xdr:nvPicPr>
      <xdr:blipFill>
        <a:blip xmlns:r="http://schemas.openxmlformats.org/officeDocument/2006/relationships" r:embed="rId355" cstate="print"/>
        <a:stretch>
          <a:fillRect/>
        </a:stretch>
      </xdr:blipFill>
      <xdr:spPr>
        <a:prstGeom prst="rect">
          <a:avLst/>
        </a:prstGeom>
        <a:noFill/>
      </xdr:spPr>
    </xdr:pic>
    <xdr:clientData fLocksWithSheet="0"/>
  </xdr:oneCellAnchor>
  <xdr:oneCellAnchor>
    <xdr:from>
      <xdr:col>8</xdr:col>
      <xdr:colOff>0</xdr:colOff>
      <xdr:row>102</xdr:row>
      <xdr:rowOff>0</xdr:rowOff>
    </xdr:from>
    <xdr:ext cx="476250" cy="476250"/>
    <xdr:pic>
      <xdr:nvPicPr>
        <xdr:cNvPr id="738" name="image368.png">
          <a:extLst>
            <a:ext uri="{FF2B5EF4-FFF2-40B4-BE49-F238E27FC236}">
              <a16:creationId xmlns:a16="http://schemas.microsoft.com/office/drawing/2014/main" id="{00000000-0008-0000-0100-0000E202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9</xdr:col>
      <xdr:colOff>0</xdr:colOff>
      <xdr:row>102</xdr:row>
      <xdr:rowOff>0</xdr:rowOff>
    </xdr:from>
    <xdr:ext cx="476250" cy="476250"/>
    <xdr:pic>
      <xdr:nvPicPr>
        <xdr:cNvPr id="739" name="image14.png">
          <a:extLst>
            <a:ext uri="{FF2B5EF4-FFF2-40B4-BE49-F238E27FC236}">
              <a16:creationId xmlns:a16="http://schemas.microsoft.com/office/drawing/2014/main" id="{00000000-0008-0000-0100-0000E3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102</xdr:row>
      <xdr:rowOff>0</xdr:rowOff>
    </xdr:from>
    <xdr:ext cx="476250" cy="476250"/>
    <xdr:pic>
      <xdr:nvPicPr>
        <xdr:cNvPr id="740" name="image14.png">
          <a:extLst>
            <a:ext uri="{FF2B5EF4-FFF2-40B4-BE49-F238E27FC236}">
              <a16:creationId xmlns:a16="http://schemas.microsoft.com/office/drawing/2014/main" id="{00000000-0008-0000-0100-0000E4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102</xdr:row>
      <xdr:rowOff>0</xdr:rowOff>
    </xdr:from>
    <xdr:ext cx="476250" cy="476250"/>
    <xdr:pic>
      <xdr:nvPicPr>
        <xdr:cNvPr id="741" name="image23.png">
          <a:extLst>
            <a:ext uri="{FF2B5EF4-FFF2-40B4-BE49-F238E27FC236}">
              <a16:creationId xmlns:a16="http://schemas.microsoft.com/office/drawing/2014/main" id="{00000000-0008-0000-0100-0000E502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0</xdr:colOff>
      <xdr:row>102</xdr:row>
      <xdr:rowOff>0</xdr:rowOff>
    </xdr:from>
    <xdr:ext cx="476250" cy="476250"/>
    <xdr:pic>
      <xdr:nvPicPr>
        <xdr:cNvPr id="742" name="image14.png">
          <a:extLst>
            <a:ext uri="{FF2B5EF4-FFF2-40B4-BE49-F238E27FC236}">
              <a16:creationId xmlns:a16="http://schemas.microsoft.com/office/drawing/2014/main" id="{00000000-0008-0000-0100-0000E6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102</xdr:row>
      <xdr:rowOff>0</xdr:rowOff>
    </xdr:from>
    <xdr:ext cx="476250" cy="476250"/>
    <xdr:pic>
      <xdr:nvPicPr>
        <xdr:cNvPr id="743" name="image358.png">
          <a:extLst>
            <a:ext uri="{FF2B5EF4-FFF2-40B4-BE49-F238E27FC236}">
              <a16:creationId xmlns:a16="http://schemas.microsoft.com/office/drawing/2014/main" id="{00000000-0008-0000-0100-0000E7020000}"/>
            </a:ext>
          </a:extLst>
        </xdr:cNvPr>
        <xdr:cNvPicPr preferRelativeResize="0"/>
      </xdr:nvPicPr>
      <xdr:blipFill>
        <a:blip xmlns:r="http://schemas.openxmlformats.org/officeDocument/2006/relationships" r:embed="rId357" cstate="print"/>
        <a:stretch>
          <a:fillRect/>
        </a:stretch>
      </xdr:blipFill>
      <xdr:spPr>
        <a:prstGeom prst="rect">
          <a:avLst/>
        </a:prstGeom>
        <a:noFill/>
      </xdr:spPr>
    </xdr:pic>
    <xdr:clientData fLocksWithSheet="0"/>
  </xdr:oneCellAnchor>
  <xdr:oneCellAnchor>
    <xdr:from>
      <xdr:col>3</xdr:col>
      <xdr:colOff>0</xdr:colOff>
      <xdr:row>103</xdr:row>
      <xdr:rowOff>0</xdr:rowOff>
    </xdr:from>
    <xdr:ext cx="466725" cy="476250"/>
    <xdr:pic>
      <xdr:nvPicPr>
        <xdr:cNvPr id="744" name="image359.jpg">
          <a:extLst>
            <a:ext uri="{FF2B5EF4-FFF2-40B4-BE49-F238E27FC236}">
              <a16:creationId xmlns:a16="http://schemas.microsoft.com/office/drawing/2014/main" id="{00000000-0008-0000-0100-0000E8020000}"/>
            </a:ext>
          </a:extLst>
        </xdr:cNvPr>
        <xdr:cNvPicPr preferRelativeResize="0"/>
      </xdr:nvPicPr>
      <xdr:blipFill>
        <a:blip xmlns:r="http://schemas.openxmlformats.org/officeDocument/2006/relationships" r:embed="rId358" cstate="print"/>
        <a:stretch>
          <a:fillRect/>
        </a:stretch>
      </xdr:blipFill>
      <xdr:spPr>
        <a:prstGeom prst="rect">
          <a:avLst/>
        </a:prstGeom>
        <a:noFill/>
      </xdr:spPr>
    </xdr:pic>
    <xdr:clientData fLocksWithSheet="0"/>
  </xdr:oneCellAnchor>
  <xdr:oneCellAnchor>
    <xdr:from>
      <xdr:col>7</xdr:col>
      <xdr:colOff>0</xdr:colOff>
      <xdr:row>103</xdr:row>
      <xdr:rowOff>0</xdr:rowOff>
    </xdr:from>
    <xdr:ext cx="476250" cy="476250"/>
    <xdr:pic>
      <xdr:nvPicPr>
        <xdr:cNvPr id="745" name="image365.png">
          <a:extLst>
            <a:ext uri="{FF2B5EF4-FFF2-40B4-BE49-F238E27FC236}">
              <a16:creationId xmlns:a16="http://schemas.microsoft.com/office/drawing/2014/main" id="{00000000-0008-0000-0100-0000E9020000}"/>
            </a:ext>
          </a:extLst>
        </xdr:cNvPr>
        <xdr:cNvPicPr preferRelativeResize="0"/>
      </xdr:nvPicPr>
      <xdr:blipFill>
        <a:blip xmlns:r="http://schemas.openxmlformats.org/officeDocument/2006/relationships" r:embed="rId359" cstate="print"/>
        <a:stretch>
          <a:fillRect/>
        </a:stretch>
      </xdr:blipFill>
      <xdr:spPr>
        <a:prstGeom prst="rect">
          <a:avLst/>
        </a:prstGeom>
        <a:noFill/>
      </xdr:spPr>
    </xdr:pic>
    <xdr:clientData fLocksWithSheet="0"/>
  </xdr:oneCellAnchor>
  <xdr:oneCellAnchor>
    <xdr:from>
      <xdr:col>8</xdr:col>
      <xdr:colOff>0</xdr:colOff>
      <xdr:row>103</xdr:row>
      <xdr:rowOff>0</xdr:rowOff>
    </xdr:from>
    <xdr:ext cx="476250" cy="476250"/>
    <xdr:pic>
      <xdr:nvPicPr>
        <xdr:cNvPr id="746" name="image47.png">
          <a:extLst>
            <a:ext uri="{FF2B5EF4-FFF2-40B4-BE49-F238E27FC236}">
              <a16:creationId xmlns:a16="http://schemas.microsoft.com/office/drawing/2014/main" id="{00000000-0008-0000-0100-0000EA02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103</xdr:row>
      <xdr:rowOff>0</xdr:rowOff>
    </xdr:from>
    <xdr:ext cx="476250" cy="476250"/>
    <xdr:pic>
      <xdr:nvPicPr>
        <xdr:cNvPr id="747" name="image352.png">
          <a:extLst>
            <a:ext uri="{FF2B5EF4-FFF2-40B4-BE49-F238E27FC236}">
              <a16:creationId xmlns:a16="http://schemas.microsoft.com/office/drawing/2014/main" id="{00000000-0008-0000-0100-0000EB020000}"/>
            </a:ext>
          </a:extLst>
        </xdr:cNvPr>
        <xdr:cNvPicPr preferRelativeResize="0"/>
      </xdr:nvPicPr>
      <xdr:blipFill>
        <a:blip xmlns:r="http://schemas.openxmlformats.org/officeDocument/2006/relationships" r:embed="rId360" cstate="print"/>
        <a:stretch>
          <a:fillRect/>
        </a:stretch>
      </xdr:blipFill>
      <xdr:spPr>
        <a:prstGeom prst="rect">
          <a:avLst/>
        </a:prstGeom>
        <a:noFill/>
      </xdr:spPr>
    </xdr:pic>
    <xdr:clientData fLocksWithSheet="0"/>
  </xdr:oneCellAnchor>
  <xdr:oneCellAnchor>
    <xdr:from>
      <xdr:col>10</xdr:col>
      <xdr:colOff>0</xdr:colOff>
      <xdr:row>103</xdr:row>
      <xdr:rowOff>0</xdr:rowOff>
    </xdr:from>
    <xdr:ext cx="476250" cy="476250"/>
    <xdr:pic>
      <xdr:nvPicPr>
        <xdr:cNvPr id="748" name="image352.png">
          <a:extLst>
            <a:ext uri="{FF2B5EF4-FFF2-40B4-BE49-F238E27FC236}">
              <a16:creationId xmlns:a16="http://schemas.microsoft.com/office/drawing/2014/main" id="{00000000-0008-0000-0100-0000EC020000}"/>
            </a:ext>
          </a:extLst>
        </xdr:cNvPr>
        <xdr:cNvPicPr preferRelativeResize="0"/>
      </xdr:nvPicPr>
      <xdr:blipFill>
        <a:blip xmlns:r="http://schemas.openxmlformats.org/officeDocument/2006/relationships" r:embed="rId360" cstate="print"/>
        <a:stretch>
          <a:fillRect/>
        </a:stretch>
      </xdr:blipFill>
      <xdr:spPr>
        <a:prstGeom prst="rect">
          <a:avLst/>
        </a:prstGeom>
        <a:noFill/>
      </xdr:spPr>
    </xdr:pic>
    <xdr:clientData fLocksWithSheet="0"/>
  </xdr:oneCellAnchor>
  <xdr:oneCellAnchor>
    <xdr:from>
      <xdr:col>11</xdr:col>
      <xdr:colOff>0</xdr:colOff>
      <xdr:row>103</xdr:row>
      <xdr:rowOff>0</xdr:rowOff>
    </xdr:from>
    <xdr:ext cx="476250" cy="476250"/>
    <xdr:pic>
      <xdr:nvPicPr>
        <xdr:cNvPr id="749" name="image23.png">
          <a:extLst>
            <a:ext uri="{FF2B5EF4-FFF2-40B4-BE49-F238E27FC236}">
              <a16:creationId xmlns:a16="http://schemas.microsoft.com/office/drawing/2014/main" id="{00000000-0008-0000-0100-0000ED02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0</xdr:colOff>
      <xdr:row>103</xdr:row>
      <xdr:rowOff>0</xdr:rowOff>
    </xdr:from>
    <xdr:ext cx="476250" cy="476250"/>
    <xdr:pic>
      <xdr:nvPicPr>
        <xdr:cNvPr id="750" name="image14.png">
          <a:extLst>
            <a:ext uri="{FF2B5EF4-FFF2-40B4-BE49-F238E27FC236}">
              <a16:creationId xmlns:a16="http://schemas.microsoft.com/office/drawing/2014/main" id="{00000000-0008-0000-0100-0000EE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103</xdr:row>
      <xdr:rowOff>0</xdr:rowOff>
    </xdr:from>
    <xdr:ext cx="476250" cy="476250"/>
    <xdr:pic>
      <xdr:nvPicPr>
        <xdr:cNvPr id="751" name="image366.png">
          <a:extLst>
            <a:ext uri="{FF2B5EF4-FFF2-40B4-BE49-F238E27FC236}">
              <a16:creationId xmlns:a16="http://schemas.microsoft.com/office/drawing/2014/main" id="{00000000-0008-0000-0100-0000EF020000}"/>
            </a:ext>
          </a:extLst>
        </xdr:cNvPr>
        <xdr:cNvPicPr preferRelativeResize="0"/>
      </xdr:nvPicPr>
      <xdr:blipFill>
        <a:blip xmlns:r="http://schemas.openxmlformats.org/officeDocument/2006/relationships" r:embed="rId361" cstate="print"/>
        <a:stretch>
          <a:fillRect/>
        </a:stretch>
      </xdr:blipFill>
      <xdr:spPr>
        <a:prstGeom prst="rect">
          <a:avLst/>
        </a:prstGeom>
        <a:noFill/>
      </xdr:spPr>
    </xdr:pic>
    <xdr:clientData fLocksWithSheet="0"/>
  </xdr:oneCellAnchor>
  <xdr:oneCellAnchor>
    <xdr:from>
      <xdr:col>3</xdr:col>
      <xdr:colOff>0</xdr:colOff>
      <xdr:row>104</xdr:row>
      <xdr:rowOff>0</xdr:rowOff>
    </xdr:from>
    <xdr:ext cx="476250" cy="476250"/>
    <xdr:pic>
      <xdr:nvPicPr>
        <xdr:cNvPr id="752" name="image355.png">
          <a:extLst>
            <a:ext uri="{FF2B5EF4-FFF2-40B4-BE49-F238E27FC236}">
              <a16:creationId xmlns:a16="http://schemas.microsoft.com/office/drawing/2014/main" id="{00000000-0008-0000-0100-0000F0020000}"/>
            </a:ext>
          </a:extLst>
        </xdr:cNvPr>
        <xdr:cNvPicPr preferRelativeResize="0"/>
      </xdr:nvPicPr>
      <xdr:blipFill>
        <a:blip xmlns:r="http://schemas.openxmlformats.org/officeDocument/2006/relationships" r:embed="rId362" cstate="print"/>
        <a:stretch>
          <a:fillRect/>
        </a:stretch>
      </xdr:blipFill>
      <xdr:spPr>
        <a:prstGeom prst="rect">
          <a:avLst/>
        </a:prstGeom>
        <a:noFill/>
      </xdr:spPr>
    </xdr:pic>
    <xdr:clientData fLocksWithSheet="0"/>
  </xdr:oneCellAnchor>
  <xdr:oneCellAnchor>
    <xdr:from>
      <xdr:col>7</xdr:col>
      <xdr:colOff>0</xdr:colOff>
      <xdr:row>104</xdr:row>
      <xdr:rowOff>0</xdr:rowOff>
    </xdr:from>
    <xdr:ext cx="476250" cy="476250"/>
    <xdr:pic>
      <xdr:nvPicPr>
        <xdr:cNvPr id="753" name="image347.png">
          <a:extLst>
            <a:ext uri="{FF2B5EF4-FFF2-40B4-BE49-F238E27FC236}">
              <a16:creationId xmlns:a16="http://schemas.microsoft.com/office/drawing/2014/main" id="{00000000-0008-0000-0100-0000F102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8</xdr:col>
      <xdr:colOff>0</xdr:colOff>
      <xdr:row>104</xdr:row>
      <xdr:rowOff>0</xdr:rowOff>
    </xdr:from>
    <xdr:ext cx="476250" cy="476250"/>
    <xdr:pic>
      <xdr:nvPicPr>
        <xdr:cNvPr id="754" name="image14.png">
          <a:extLst>
            <a:ext uri="{FF2B5EF4-FFF2-40B4-BE49-F238E27FC236}">
              <a16:creationId xmlns:a16="http://schemas.microsoft.com/office/drawing/2014/main" id="{00000000-0008-0000-0100-0000F2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0</xdr:colOff>
      <xdr:row>104</xdr:row>
      <xdr:rowOff>0</xdr:rowOff>
    </xdr:from>
    <xdr:ext cx="476250" cy="476250"/>
    <xdr:pic>
      <xdr:nvPicPr>
        <xdr:cNvPr id="755" name="image357.png">
          <a:extLst>
            <a:ext uri="{FF2B5EF4-FFF2-40B4-BE49-F238E27FC236}">
              <a16:creationId xmlns:a16="http://schemas.microsoft.com/office/drawing/2014/main" id="{00000000-0008-0000-0100-0000F3020000}"/>
            </a:ext>
          </a:extLst>
        </xdr:cNvPr>
        <xdr:cNvPicPr preferRelativeResize="0"/>
      </xdr:nvPicPr>
      <xdr:blipFill>
        <a:blip xmlns:r="http://schemas.openxmlformats.org/officeDocument/2006/relationships" r:embed="rId363" cstate="print"/>
        <a:stretch>
          <a:fillRect/>
        </a:stretch>
      </xdr:blipFill>
      <xdr:spPr>
        <a:prstGeom prst="rect">
          <a:avLst/>
        </a:prstGeom>
        <a:noFill/>
      </xdr:spPr>
    </xdr:pic>
    <xdr:clientData fLocksWithSheet="0"/>
  </xdr:oneCellAnchor>
  <xdr:oneCellAnchor>
    <xdr:from>
      <xdr:col>10</xdr:col>
      <xdr:colOff>0</xdr:colOff>
      <xdr:row>104</xdr:row>
      <xdr:rowOff>0</xdr:rowOff>
    </xdr:from>
    <xdr:ext cx="476250" cy="476250"/>
    <xdr:pic>
      <xdr:nvPicPr>
        <xdr:cNvPr id="756" name="image362.png">
          <a:extLst>
            <a:ext uri="{FF2B5EF4-FFF2-40B4-BE49-F238E27FC236}">
              <a16:creationId xmlns:a16="http://schemas.microsoft.com/office/drawing/2014/main" id="{00000000-0008-0000-0100-0000F4020000}"/>
            </a:ext>
          </a:extLst>
        </xdr:cNvPr>
        <xdr:cNvPicPr preferRelativeResize="0"/>
      </xdr:nvPicPr>
      <xdr:blipFill>
        <a:blip xmlns:r="http://schemas.openxmlformats.org/officeDocument/2006/relationships" r:embed="rId364" cstate="print"/>
        <a:stretch>
          <a:fillRect/>
        </a:stretch>
      </xdr:blipFill>
      <xdr:spPr>
        <a:prstGeom prst="rect">
          <a:avLst/>
        </a:prstGeom>
        <a:noFill/>
      </xdr:spPr>
    </xdr:pic>
    <xdr:clientData fLocksWithSheet="0"/>
  </xdr:oneCellAnchor>
  <xdr:oneCellAnchor>
    <xdr:from>
      <xdr:col>11</xdr:col>
      <xdr:colOff>0</xdr:colOff>
      <xdr:row>104</xdr:row>
      <xdr:rowOff>0</xdr:rowOff>
    </xdr:from>
    <xdr:ext cx="476250" cy="476250"/>
    <xdr:pic>
      <xdr:nvPicPr>
        <xdr:cNvPr id="757" name="image364.png">
          <a:extLst>
            <a:ext uri="{FF2B5EF4-FFF2-40B4-BE49-F238E27FC236}">
              <a16:creationId xmlns:a16="http://schemas.microsoft.com/office/drawing/2014/main" id="{00000000-0008-0000-0100-0000F5020000}"/>
            </a:ext>
          </a:extLst>
        </xdr:cNvPr>
        <xdr:cNvPicPr preferRelativeResize="0"/>
      </xdr:nvPicPr>
      <xdr:blipFill>
        <a:blip xmlns:r="http://schemas.openxmlformats.org/officeDocument/2006/relationships" r:embed="rId365" cstate="print"/>
        <a:stretch>
          <a:fillRect/>
        </a:stretch>
      </xdr:blipFill>
      <xdr:spPr>
        <a:prstGeom prst="rect">
          <a:avLst/>
        </a:prstGeom>
        <a:noFill/>
      </xdr:spPr>
    </xdr:pic>
    <xdr:clientData fLocksWithSheet="0"/>
  </xdr:oneCellAnchor>
  <xdr:oneCellAnchor>
    <xdr:from>
      <xdr:col>12</xdr:col>
      <xdr:colOff>0</xdr:colOff>
      <xdr:row>104</xdr:row>
      <xdr:rowOff>0</xdr:rowOff>
    </xdr:from>
    <xdr:ext cx="476250" cy="476250"/>
    <xdr:pic>
      <xdr:nvPicPr>
        <xdr:cNvPr id="758" name="image14.png">
          <a:extLst>
            <a:ext uri="{FF2B5EF4-FFF2-40B4-BE49-F238E27FC236}">
              <a16:creationId xmlns:a16="http://schemas.microsoft.com/office/drawing/2014/main" id="{00000000-0008-0000-0100-0000F602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13</xdr:col>
      <xdr:colOff>0</xdr:colOff>
      <xdr:row>104</xdr:row>
      <xdr:rowOff>0</xdr:rowOff>
    </xdr:from>
    <xdr:ext cx="476250" cy="476250"/>
    <xdr:pic>
      <xdr:nvPicPr>
        <xdr:cNvPr id="759" name="image356.png">
          <a:extLst>
            <a:ext uri="{FF2B5EF4-FFF2-40B4-BE49-F238E27FC236}">
              <a16:creationId xmlns:a16="http://schemas.microsoft.com/office/drawing/2014/main" id="{00000000-0008-0000-0100-0000F7020000}"/>
            </a:ext>
          </a:extLst>
        </xdr:cNvPr>
        <xdr:cNvPicPr preferRelativeResize="0"/>
      </xdr:nvPicPr>
      <xdr:blipFill>
        <a:blip xmlns:r="http://schemas.openxmlformats.org/officeDocument/2006/relationships" r:embed="rId36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3</xdr:row>
      <xdr:rowOff>0</xdr:rowOff>
    </xdr:from>
    <xdr:ext cx="485775" cy="485775"/>
    <xdr:pic>
      <xdr:nvPicPr>
        <xdr:cNvPr id="2" name="image37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xdr:row>
      <xdr:rowOff>0</xdr:rowOff>
    </xdr:from>
    <xdr:ext cx="914400" cy="123825"/>
    <xdr:pic>
      <xdr:nvPicPr>
        <xdr:cNvPr id="3" name="image363.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0</xdr:colOff>
      <xdr:row>3</xdr:row>
      <xdr:rowOff>0</xdr:rowOff>
    </xdr:from>
    <xdr:ext cx="485775" cy="485775"/>
    <xdr:pic>
      <xdr:nvPicPr>
        <xdr:cNvPr id="4" name="image375.pn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0</xdr:colOff>
      <xdr:row>3</xdr:row>
      <xdr:rowOff>0</xdr:rowOff>
    </xdr:from>
    <xdr:ext cx="485775" cy="485775"/>
    <xdr:pic>
      <xdr:nvPicPr>
        <xdr:cNvPr id="5" name="image375.png">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0</xdr:colOff>
      <xdr:row>3</xdr:row>
      <xdr:rowOff>0</xdr:rowOff>
    </xdr:from>
    <xdr:ext cx="485775" cy="485775"/>
    <xdr:pic>
      <xdr:nvPicPr>
        <xdr:cNvPr id="6" name="image375.pn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0</xdr:colOff>
      <xdr:row>3</xdr:row>
      <xdr:rowOff>0</xdr:rowOff>
    </xdr:from>
    <xdr:ext cx="485775" cy="485775"/>
    <xdr:pic>
      <xdr:nvPicPr>
        <xdr:cNvPr id="7" name="image375.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3</xdr:row>
      <xdr:rowOff>0</xdr:rowOff>
    </xdr:from>
    <xdr:ext cx="485775" cy="485775"/>
    <xdr:pic>
      <xdr:nvPicPr>
        <xdr:cNvPr id="8" name="image372.pn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3</xdr:row>
      <xdr:rowOff>0</xdr:rowOff>
    </xdr:from>
    <xdr:ext cx="485775" cy="485775"/>
    <xdr:pic>
      <xdr:nvPicPr>
        <xdr:cNvPr id="9" name="image372.png">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4</xdr:row>
      <xdr:rowOff>0</xdr:rowOff>
    </xdr:from>
    <xdr:ext cx="485775" cy="485775"/>
    <xdr:pic>
      <xdr:nvPicPr>
        <xdr:cNvPr id="10" name="image369.png">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0</xdr:colOff>
      <xdr:row>4</xdr:row>
      <xdr:rowOff>0</xdr:rowOff>
    </xdr:from>
    <xdr:ext cx="914400" cy="123825"/>
    <xdr:pic>
      <xdr:nvPicPr>
        <xdr:cNvPr id="11" name="image373.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0</xdr:colOff>
      <xdr:row>4</xdr:row>
      <xdr:rowOff>0</xdr:rowOff>
    </xdr:from>
    <xdr:ext cx="485775" cy="485775"/>
    <xdr:pic>
      <xdr:nvPicPr>
        <xdr:cNvPr id="12" name="image370.png">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0</xdr:colOff>
      <xdr:row>4</xdr:row>
      <xdr:rowOff>0</xdr:rowOff>
    </xdr:from>
    <xdr:ext cx="485775" cy="485775"/>
    <xdr:pic>
      <xdr:nvPicPr>
        <xdr:cNvPr id="13" name="image370.png">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0</xdr:colOff>
      <xdr:row>4</xdr:row>
      <xdr:rowOff>0</xdr:rowOff>
    </xdr:from>
    <xdr:ext cx="485775" cy="485775"/>
    <xdr:pic>
      <xdr:nvPicPr>
        <xdr:cNvPr id="14" name="image370.png">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4</xdr:row>
      <xdr:rowOff>0</xdr:rowOff>
    </xdr:from>
    <xdr:ext cx="485775" cy="485775"/>
    <xdr:pic>
      <xdr:nvPicPr>
        <xdr:cNvPr id="15" name="image370.png">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10</xdr:col>
      <xdr:colOff>0</xdr:colOff>
      <xdr:row>4</xdr:row>
      <xdr:rowOff>0</xdr:rowOff>
    </xdr:from>
    <xdr:ext cx="485775" cy="485775"/>
    <xdr:pic>
      <xdr:nvPicPr>
        <xdr:cNvPr id="16" name="image376.png">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11</xdr:col>
      <xdr:colOff>0</xdr:colOff>
      <xdr:row>4</xdr:row>
      <xdr:rowOff>0</xdr:rowOff>
    </xdr:from>
    <xdr:ext cx="485775" cy="485775"/>
    <xdr:pic>
      <xdr:nvPicPr>
        <xdr:cNvPr id="17" name="image376.png">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5</xdr:row>
      <xdr:rowOff>0</xdr:rowOff>
    </xdr:from>
    <xdr:ext cx="485775" cy="485775"/>
    <xdr:pic>
      <xdr:nvPicPr>
        <xdr:cNvPr id="18" name="image378.png">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0</xdr:colOff>
      <xdr:row>5</xdr:row>
      <xdr:rowOff>0</xdr:rowOff>
    </xdr:from>
    <xdr:ext cx="914400" cy="123825"/>
    <xdr:pic>
      <xdr:nvPicPr>
        <xdr:cNvPr id="19" name="image385.png">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6</xdr:col>
      <xdr:colOff>0</xdr:colOff>
      <xdr:row>5</xdr:row>
      <xdr:rowOff>0</xdr:rowOff>
    </xdr:from>
    <xdr:ext cx="485775" cy="485775"/>
    <xdr:pic>
      <xdr:nvPicPr>
        <xdr:cNvPr id="20" name="image382.png">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0</xdr:colOff>
      <xdr:row>5</xdr:row>
      <xdr:rowOff>0</xdr:rowOff>
    </xdr:from>
    <xdr:ext cx="485775" cy="485775"/>
    <xdr:pic>
      <xdr:nvPicPr>
        <xdr:cNvPr id="21" name="image377.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0</xdr:colOff>
      <xdr:row>5</xdr:row>
      <xdr:rowOff>0</xdr:rowOff>
    </xdr:from>
    <xdr:ext cx="485775" cy="485775"/>
    <xdr:pic>
      <xdr:nvPicPr>
        <xdr:cNvPr id="22" name="image379.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9</xdr:col>
      <xdr:colOff>0</xdr:colOff>
      <xdr:row>5</xdr:row>
      <xdr:rowOff>0</xdr:rowOff>
    </xdr:from>
    <xdr:ext cx="485775" cy="485775"/>
    <xdr:pic>
      <xdr:nvPicPr>
        <xdr:cNvPr id="23" name="image379.pn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10</xdr:col>
      <xdr:colOff>0</xdr:colOff>
      <xdr:row>5</xdr:row>
      <xdr:rowOff>0</xdr:rowOff>
    </xdr:from>
    <xdr:ext cx="485775" cy="485775"/>
    <xdr:pic>
      <xdr:nvPicPr>
        <xdr:cNvPr id="24" name="image377.png">
          <a:extLst>
            <a:ext uri="{FF2B5EF4-FFF2-40B4-BE49-F238E27FC236}">
              <a16:creationId xmlns:a16="http://schemas.microsoft.com/office/drawing/2014/main" id="{00000000-0008-0000-0200-000018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11</xdr:col>
      <xdr:colOff>0</xdr:colOff>
      <xdr:row>5</xdr:row>
      <xdr:rowOff>0</xdr:rowOff>
    </xdr:from>
    <xdr:ext cx="485775" cy="485775"/>
    <xdr:pic>
      <xdr:nvPicPr>
        <xdr:cNvPr id="25" name="image377.png">
          <a:extLst>
            <a:ext uri="{FF2B5EF4-FFF2-40B4-BE49-F238E27FC236}">
              <a16:creationId xmlns:a16="http://schemas.microsoft.com/office/drawing/2014/main" id="{00000000-0008-0000-0200-000019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0</xdr:colOff>
      <xdr:row>6</xdr:row>
      <xdr:rowOff>0</xdr:rowOff>
    </xdr:from>
    <xdr:ext cx="485775" cy="485775"/>
    <xdr:pic>
      <xdr:nvPicPr>
        <xdr:cNvPr id="26" name="image374.png">
          <a:extLst>
            <a:ext uri="{FF2B5EF4-FFF2-40B4-BE49-F238E27FC236}">
              <a16:creationId xmlns:a16="http://schemas.microsoft.com/office/drawing/2014/main" id="{00000000-0008-0000-0200-00001A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0</xdr:colOff>
      <xdr:row>6</xdr:row>
      <xdr:rowOff>0</xdr:rowOff>
    </xdr:from>
    <xdr:ext cx="914400" cy="123825"/>
    <xdr:pic>
      <xdr:nvPicPr>
        <xdr:cNvPr id="27" name="image363.png">
          <a:extLst>
            <a:ext uri="{FF2B5EF4-FFF2-40B4-BE49-F238E27FC236}">
              <a16:creationId xmlns:a16="http://schemas.microsoft.com/office/drawing/2014/main" id="{00000000-0008-0000-0200-00001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0</xdr:colOff>
      <xdr:row>6</xdr:row>
      <xdr:rowOff>0</xdr:rowOff>
    </xdr:from>
    <xdr:ext cx="485775" cy="485775"/>
    <xdr:pic>
      <xdr:nvPicPr>
        <xdr:cNvPr id="28" name="image380.png">
          <a:extLst>
            <a:ext uri="{FF2B5EF4-FFF2-40B4-BE49-F238E27FC236}">
              <a16:creationId xmlns:a16="http://schemas.microsoft.com/office/drawing/2014/main" id="{00000000-0008-0000-0200-00001C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7</xdr:col>
      <xdr:colOff>0</xdr:colOff>
      <xdr:row>6</xdr:row>
      <xdr:rowOff>0</xdr:rowOff>
    </xdr:from>
    <xdr:ext cx="485775" cy="485775"/>
    <xdr:pic>
      <xdr:nvPicPr>
        <xdr:cNvPr id="29" name="image380.png">
          <a:extLst>
            <a:ext uri="{FF2B5EF4-FFF2-40B4-BE49-F238E27FC236}">
              <a16:creationId xmlns:a16="http://schemas.microsoft.com/office/drawing/2014/main" id="{00000000-0008-0000-0200-00001D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xdr:col>
      <xdr:colOff>0</xdr:colOff>
      <xdr:row>6</xdr:row>
      <xdr:rowOff>0</xdr:rowOff>
    </xdr:from>
    <xdr:ext cx="485775" cy="485775"/>
    <xdr:pic>
      <xdr:nvPicPr>
        <xdr:cNvPr id="30" name="image384.png">
          <a:extLst>
            <a:ext uri="{FF2B5EF4-FFF2-40B4-BE49-F238E27FC236}">
              <a16:creationId xmlns:a16="http://schemas.microsoft.com/office/drawing/2014/main" id="{00000000-0008-0000-0200-00001E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9</xdr:col>
      <xdr:colOff>0</xdr:colOff>
      <xdr:row>6</xdr:row>
      <xdr:rowOff>0</xdr:rowOff>
    </xdr:from>
    <xdr:ext cx="485775" cy="485775"/>
    <xdr:pic>
      <xdr:nvPicPr>
        <xdr:cNvPr id="31" name="image384.png">
          <a:extLst>
            <a:ext uri="{FF2B5EF4-FFF2-40B4-BE49-F238E27FC236}">
              <a16:creationId xmlns:a16="http://schemas.microsoft.com/office/drawing/2014/main" id="{00000000-0008-0000-0200-00001F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10</xdr:col>
      <xdr:colOff>0</xdr:colOff>
      <xdr:row>6</xdr:row>
      <xdr:rowOff>0</xdr:rowOff>
    </xdr:from>
    <xdr:ext cx="485775" cy="485775"/>
    <xdr:pic>
      <xdr:nvPicPr>
        <xdr:cNvPr id="32" name="image380.png">
          <a:extLst>
            <a:ext uri="{FF2B5EF4-FFF2-40B4-BE49-F238E27FC236}">
              <a16:creationId xmlns:a16="http://schemas.microsoft.com/office/drawing/2014/main" id="{00000000-0008-0000-0200-00002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11</xdr:col>
      <xdr:colOff>0</xdr:colOff>
      <xdr:row>6</xdr:row>
      <xdr:rowOff>0</xdr:rowOff>
    </xdr:from>
    <xdr:ext cx="485775" cy="485775"/>
    <xdr:pic>
      <xdr:nvPicPr>
        <xdr:cNvPr id="33" name="image390.png">
          <a:extLst>
            <a:ext uri="{FF2B5EF4-FFF2-40B4-BE49-F238E27FC236}">
              <a16:creationId xmlns:a16="http://schemas.microsoft.com/office/drawing/2014/main" id="{00000000-0008-0000-0200-000021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7</xdr:row>
      <xdr:rowOff>0</xdr:rowOff>
    </xdr:from>
    <xdr:ext cx="485775" cy="485775"/>
    <xdr:pic>
      <xdr:nvPicPr>
        <xdr:cNvPr id="34" name="image381.png">
          <a:extLst>
            <a:ext uri="{FF2B5EF4-FFF2-40B4-BE49-F238E27FC236}">
              <a16:creationId xmlns:a16="http://schemas.microsoft.com/office/drawing/2014/main" id="{00000000-0008-0000-0200-000022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0</xdr:colOff>
      <xdr:row>7</xdr:row>
      <xdr:rowOff>0</xdr:rowOff>
    </xdr:from>
    <xdr:ext cx="914400" cy="123825"/>
    <xdr:pic>
      <xdr:nvPicPr>
        <xdr:cNvPr id="35" name="image387.png">
          <a:extLst>
            <a:ext uri="{FF2B5EF4-FFF2-40B4-BE49-F238E27FC236}">
              <a16:creationId xmlns:a16="http://schemas.microsoft.com/office/drawing/2014/main" id="{00000000-0008-0000-0200-000023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6</xdr:col>
      <xdr:colOff>0</xdr:colOff>
      <xdr:row>7</xdr:row>
      <xdr:rowOff>0</xdr:rowOff>
    </xdr:from>
    <xdr:ext cx="485775" cy="485775"/>
    <xdr:pic>
      <xdr:nvPicPr>
        <xdr:cNvPr id="36" name="image383.png">
          <a:extLst>
            <a:ext uri="{FF2B5EF4-FFF2-40B4-BE49-F238E27FC236}">
              <a16:creationId xmlns:a16="http://schemas.microsoft.com/office/drawing/2014/main" id="{00000000-0008-0000-0200-000024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7</xdr:col>
      <xdr:colOff>0</xdr:colOff>
      <xdr:row>7</xdr:row>
      <xdr:rowOff>0</xdr:rowOff>
    </xdr:from>
    <xdr:ext cx="485775" cy="485775"/>
    <xdr:pic>
      <xdr:nvPicPr>
        <xdr:cNvPr id="37" name="image383.png">
          <a:extLst>
            <a:ext uri="{FF2B5EF4-FFF2-40B4-BE49-F238E27FC236}">
              <a16:creationId xmlns:a16="http://schemas.microsoft.com/office/drawing/2014/main" id="{00000000-0008-0000-0200-00002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0</xdr:colOff>
      <xdr:row>7</xdr:row>
      <xdr:rowOff>0</xdr:rowOff>
    </xdr:from>
    <xdr:ext cx="485775" cy="485775"/>
    <xdr:pic>
      <xdr:nvPicPr>
        <xdr:cNvPr id="38" name="image383.png">
          <a:extLst>
            <a:ext uri="{FF2B5EF4-FFF2-40B4-BE49-F238E27FC236}">
              <a16:creationId xmlns:a16="http://schemas.microsoft.com/office/drawing/2014/main" id="{00000000-0008-0000-0200-000026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9</xdr:col>
      <xdr:colOff>0</xdr:colOff>
      <xdr:row>7</xdr:row>
      <xdr:rowOff>0</xdr:rowOff>
    </xdr:from>
    <xdr:ext cx="485775" cy="485775"/>
    <xdr:pic>
      <xdr:nvPicPr>
        <xdr:cNvPr id="39" name="image383.png">
          <a:extLst>
            <a:ext uri="{FF2B5EF4-FFF2-40B4-BE49-F238E27FC236}">
              <a16:creationId xmlns:a16="http://schemas.microsoft.com/office/drawing/2014/main" id="{00000000-0008-0000-0200-000027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10</xdr:col>
      <xdr:colOff>0</xdr:colOff>
      <xdr:row>7</xdr:row>
      <xdr:rowOff>0</xdr:rowOff>
    </xdr:from>
    <xdr:ext cx="485775" cy="485775"/>
    <xdr:pic>
      <xdr:nvPicPr>
        <xdr:cNvPr id="40" name="image389.png">
          <a:extLst>
            <a:ext uri="{FF2B5EF4-FFF2-40B4-BE49-F238E27FC236}">
              <a16:creationId xmlns:a16="http://schemas.microsoft.com/office/drawing/2014/main" id="{00000000-0008-0000-0200-000028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11</xdr:col>
      <xdr:colOff>0</xdr:colOff>
      <xdr:row>7</xdr:row>
      <xdr:rowOff>0</xdr:rowOff>
    </xdr:from>
    <xdr:ext cx="485775" cy="485775"/>
    <xdr:pic>
      <xdr:nvPicPr>
        <xdr:cNvPr id="41" name="image389.png">
          <a:extLst>
            <a:ext uri="{FF2B5EF4-FFF2-40B4-BE49-F238E27FC236}">
              <a16:creationId xmlns:a16="http://schemas.microsoft.com/office/drawing/2014/main" id="{00000000-0008-0000-0200-000029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0</xdr:colOff>
      <xdr:row>8</xdr:row>
      <xdr:rowOff>0</xdr:rowOff>
    </xdr:from>
    <xdr:ext cx="485775" cy="485775"/>
    <xdr:pic>
      <xdr:nvPicPr>
        <xdr:cNvPr id="42" name="image392.png">
          <a:extLst>
            <a:ext uri="{FF2B5EF4-FFF2-40B4-BE49-F238E27FC236}">
              <a16:creationId xmlns:a16="http://schemas.microsoft.com/office/drawing/2014/main" id="{00000000-0008-0000-0200-00002A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4</xdr:col>
      <xdr:colOff>0</xdr:colOff>
      <xdr:row>8</xdr:row>
      <xdr:rowOff>0</xdr:rowOff>
    </xdr:from>
    <xdr:ext cx="914400" cy="123825"/>
    <xdr:pic>
      <xdr:nvPicPr>
        <xdr:cNvPr id="43" name="image388.png">
          <a:extLst>
            <a:ext uri="{FF2B5EF4-FFF2-40B4-BE49-F238E27FC236}">
              <a16:creationId xmlns:a16="http://schemas.microsoft.com/office/drawing/2014/main" id="{00000000-0008-0000-0200-00002B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6</xdr:col>
      <xdr:colOff>0</xdr:colOff>
      <xdr:row>8</xdr:row>
      <xdr:rowOff>0</xdr:rowOff>
    </xdr:from>
    <xdr:ext cx="485775" cy="485775"/>
    <xdr:pic>
      <xdr:nvPicPr>
        <xdr:cNvPr id="44" name="image393.png">
          <a:extLst>
            <a:ext uri="{FF2B5EF4-FFF2-40B4-BE49-F238E27FC236}">
              <a16:creationId xmlns:a16="http://schemas.microsoft.com/office/drawing/2014/main" id="{00000000-0008-0000-0200-00002C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7</xdr:col>
      <xdr:colOff>0</xdr:colOff>
      <xdr:row>8</xdr:row>
      <xdr:rowOff>0</xdr:rowOff>
    </xdr:from>
    <xdr:ext cx="485775" cy="485775"/>
    <xdr:pic>
      <xdr:nvPicPr>
        <xdr:cNvPr id="45" name="image393.png">
          <a:extLst>
            <a:ext uri="{FF2B5EF4-FFF2-40B4-BE49-F238E27FC236}">
              <a16:creationId xmlns:a16="http://schemas.microsoft.com/office/drawing/2014/main" id="{00000000-0008-0000-0200-00002D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xdr:col>
      <xdr:colOff>0</xdr:colOff>
      <xdr:row>8</xdr:row>
      <xdr:rowOff>0</xdr:rowOff>
    </xdr:from>
    <xdr:ext cx="485775" cy="485775"/>
    <xdr:pic>
      <xdr:nvPicPr>
        <xdr:cNvPr id="46" name="image393.png">
          <a:extLst>
            <a:ext uri="{FF2B5EF4-FFF2-40B4-BE49-F238E27FC236}">
              <a16:creationId xmlns:a16="http://schemas.microsoft.com/office/drawing/2014/main" id="{00000000-0008-0000-0200-00002E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9</xdr:col>
      <xdr:colOff>0</xdr:colOff>
      <xdr:row>8</xdr:row>
      <xdr:rowOff>0</xdr:rowOff>
    </xdr:from>
    <xdr:ext cx="485775" cy="485775"/>
    <xdr:pic>
      <xdr:nvPicPr>
        <xdr:cNvPr id="47" name="image393.png">
          <a:extLst>
            <a:ext uri="{FF2B5EF4-FFF2-40B4-BE49-F238E27FC236}">
              <a16:creationId xmlns:a16="http://schemas.microsoft.com/office/drawing/2014/main" id="{00000000-0008-0000-0200-00002F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10</xdr:col>
      <xdr:colOff>0</xdr:colOff>
      <xdr:row>8</xdr:row>
      <xdr:rowOff>0</xdr:rowOff>
    </xdr:from>
    <xdr:ext cx="485775" cy="485775"/>
    <xdr:pic>
      <xdr:nvPicPr>
        <xdr:cNvPr id="48" name="image390.png">
          <a:extLst>
            <a:ext uri="{FF2B5EF4-FFF2-40B4-BE49-F238E27FC236}">
              <a16:creationId xmlns:a16="http://schemas.microsoft.com/office/drawing/2014/main" id="{00000000-0008-0000-0200-000030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11</xdr:col>
      <xdr:colOff>0</xdr:colOff>
      <xdr:row>8</xdr:row>
      <xdr:rowOff>0</xdr:rowOff>
    </xdr:from>
    <xdr:ext cx="485775" cy="485775"/>
    <xdr:pic>
      <xdr:nvPicPr>
        <xdr:cNvPr id="49" name="image390.png">
          <a:extLst>
            <a:ext uri="{FF2B5EF4-FFF2-40B4-BE49-F238E27FC236}">
              <a16:creationId xmlns:a16="http://schemas.microsoft.com/office/drawing/2014/main" id="{00000000-0008-0000-0200-000031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9</xdr:row>
      <xdr:rowOff>0</xdr:rowOff>
    </xdr:from>
    <xdr:ext cx="485775" cy="485775"/>
    <xdr:pic>
      <xdr:nvPicPr>
        <xdr:cNvPr id="50" name="image391.png">
          <a:extLst>
            <a:ext uri="{FF2B5EF4-FFF2-40B4-BE49-F238E27FC236}">
              <a16:creationId xmlns:a16="http://schemas.microsoft.com/office/drawing/2014/main" id="{00000000-0008-0000-0200-000032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4</xdr:col>
      <xdr:colOff>0</xdr:colOff>
      <xdr:row>9</xdr:row>
      <xdr:rowOff>0</xdr:rowOff>
    </xdr:from>
    <xdr:ext cx="914400" cy="123825"/>
    <xdr:pic>
      <xdr:nvPicPr>
        <xdr:cNvPr id="51" name="image387.png">
          <a:extLst>
            <a:ext uri="{FF2B5EF4-FFF2-40B4-BE49-F238E27FC236}">
              <a16:creationId xmlns:a16="http://schemas.microsoft.com/office/drawing/2014/main" id="{00000000-0008-0000-0200-000033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6</xdr:col>
      <xdr:colOff>0</xdr:colOff>
      <xdr:row>9</xdr:row>
      <xdr:rowOff>0</xdr:rowOff>
    </xdr:from>
    <xdr:ext cx="485775" cy="485775"/>
    <xdr:pic>
      <xdr:nvPicPr>
        <xdr:cNvPr id="52" name="image386.png">
          <a:extLst>
            <a:ext uri="{FF2B5EF4-FFF2-40B4-BE49-F238E27FC236}">
              <a16:creationId xmlns:a16="http://schemas.microsoft.com/office/drawing/2014/main" id="{00000000-0008-0000-0200-000034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7</xdr:col>
      <xdr:colOff>0</xdr:colOff>
      <xdr:row>9</xdr:row>
      <xdr:rowOff>0</xdr:rowOff>
    </xdr:from>
    <xdr:ext cx="485775" cy="485775"/>
    <xdr:pic>
      <xdr:nvPicPr>
        <xdr:cNvPr id="53" name="image386.png">
          <a:extLst>
            <a:ext uri="{FF2B5EF4-FFF2-40B4-BE49-F238E27FC236}">
              <a16:creationId xmlns:a16="http://schemas.microsoft.com/office/drawing/2014/main" id="{00000000-0008-0000-0200-000035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xdr:col>
      <xdr:colOff>0</xdr:colOff>
      <xdr:row>9</xdr:row>
      <xdr:rowOff>0</xdr:rowOff>
    </xdr:from>
    <xdr:ext cx="485775" cy="485775"/>
    <xdr:pic>
      <xdr:nvPicPr>
        <xdr:cNvPr id="54" name="image386.png">
          <a:extLst>
            <a:ext uri="{FF2B5EF4-FFF2-40B4-BE49-F238E27FC236}">
              <a16:creationId xmlns:a16="http://schemas.microsoft.com/office/drawing/2014/main" id="{00000000-0008-0000-0200-000036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9</xdr:col>
      <xdr:colOff>0</xdr:colOff>
      <xdr:row>9</xdr:row>
      <xdr:rowOff>0</xdr:rowOff>
    </xdr:from>
    <xdr:ext cx="485775" cy="485775"/>
    <xdr:pic>
      <xdr:nvPicPr>
        <xdr:cNvPr id="55" name="image386.png">
          <a:extLst>
            <a:ext uri="{FF2B5EF4-FFF2-40B4-BE49-F238E27FC236}">
              <a16:creationId xmlns:a16="http://schemas.microsoft.com/office/drawing/2014/main" id="{00000000-0008-0000-0200-000037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10</xdr:col>
      <xdr:colOff>0</xdr:colOff>
      <xdr:row>9</xdr:row>
      <xdr:rowOff>0</xdr:rowOff>
    </xdr:from>
    <xdr:ext cx="485775" cy="485775"/>
    <xdr:pic>
      <xdr:nvPicPr>
        <xdr:cNvPr id="56" name="image394.png">
          <a:extLst>
            <a:ext uri="{FF2B5EF4-FFF2-40B4-BE49-F238E27FC236}">
              <a16:creationId xmlns:a16="http://schemas.microsoft.com/office/drawing/2014/main" id="{00000000-0008-0000-0200-000038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11</xdr:col>
      <xdr:colOff>0</xdr:colOff>
      <xdr:row>9</xdr:row>
      <xdr:rowOff>0</xdr:rowOff>
    </xdr:from>
    <xdr:ext cx="485775" cy="485775"/>
    <xdr:pic>
      <xdr:nvPicPr>
        <xdr:cNvPr id="57" name="image394.png">
          <a:extLst>
            <a:ext uri="{FF2B5EF4-FFF2-40B4-BE49-F238E27FC236}">
              <a16:creationId xmlns:a16="http://schemas.microsoft.com/office/drawing/2014/main" id="{00000000-0008-0000-0200-000039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xdr:col>
      <xdr:colOff>0</xdr:colOff>
      <xdr:row>10</xdr:row>
      <xdr:rowOff>0</xdr:rowOff>
    </xdr:from>
    <xdr:ext cx="552450" cy="485775"/>
    <xdr:pic>
      <xdr:nvPicPr>
        <xdr:cNvPr id="58" name="image396.png">
          <a:extLst>
            <a:ext uri="{FF2B5EF4-FFF2-40B4-BE49-F238E27FC236}">
              <a16:creationId xmlns:a16="http://schemas.microsoft.com/office/drawing/2014/main" id="{00000000-0008-0000-0200-00003A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4</xdr:col>
      <xdr:colOff>0</xdr:colOff>
      <xdr:row>10</xdr:row>
      <xdr:rowOff>0</xdr:rowOff>
    </xdr:from>
    <xdr:ext cx="914400" cy="123825"/>
    <xdr:pic>
      <xdr:nvPicPr>
        <xdr:cNvPr id="59" name="image373.png">
          <a:extLst>
            <a:ext uri="{FF2B5EF4-FFF2-40B4-BE49-F238E27FC236}">
              <a16:creationId xmlns:a16="http://schemas.microsoft.com/office/drawing/2014/main" id="{00000000-0008-0000-0200-00003B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0</xdr:colOff>
      <xdr:row>10</xdr:row>
      <xdr:rowOff>0</xdr:rowOff>
    </xdr:from>
    <xdr:ext cx="485775" cy="485775"/>
    <xdr:pic>
      <xdr:nvPicPr>
        <xdr:cNvPr id="60" name="image395.png">
          <a:extLst>
            <a:ext uri="{FF2B5EF4-FFF2-40B4-BE49-F238E27FC236}">
              <a16:creationId xmlns:a16="http://schemas.microsoft.com/office/drawing/2014/main" id="{00000000-0008-0000-0200-00003C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7</xdr:col>
      <xdr:colOff>0</xdr:colOff>
      <xdr:row>10</xdr:row>
      <xdr:rowOff>0</xdr:rowOff>
    </xdr:from>
    <xdr:ext cx="485775" cy="485775"/>
    <xdr:pic>
      <xdr:nvPicPr>
        <xdr:cNvPr id="61" name="image395.png">
          <a:extLst>
            <a:ext uri="{FF2B5EF4-FFF2-40B4-BE49-F238E27FC236}">
              <a16:creationId xmlns:a16="http://schemas.microsoft.com/office/drawing/2014/main" id="{00000000-0008-0000-0200-00003D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8</xdr:col>
      <xdr:colOff>0</xdr:colOff>
      <xdr:row>10</xdr:row>
      <xdr:rowOff>0</xdr:rowOff>
    </xdr:from>
    <xdr:ext cx="485775" cy="485775"/>
    <xdr:pic>
      <xdr:nvPicPr>
        <xdr:cNvPr id="62" name="image399.png">
          <a:extLst>
            <a:ext uri="{FF2B5EF4-FFF2-40B4-BE49-F238E27FC236}">
              <a16:creationId xmlns:a16="http://schemas.microsoft.com/office/drawing/2014/main" id="{00000000-0008-0000-0200-00003E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9</xdr:col>
      <xdr:colOff>0</xdr:colOff>
      <xdr:row>10</xdr:row>
      <xdr:rowOff>0</xdr:rowOff>
    </xdr:from>
    <xdr:ext cx="485775" cy="485775"/>
    <xdr:pic>
      <xdr:nvPicPr>
        <xdr:cNvPr id="63" name="image399.png">
          <a:extLst>
            <a:ext uri="{FF2B5EF4-FFF2-40B4-BE49-F238E27FC236}">
              <a16:creationId xmlns:a16="http://schemas.microsoft.com/office/drawing/2014/main" id="{00000000-0008-0000-0200-00003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10</xdr:col>
      <xdr:colOff>0</xdr:colOff>
      <xdr:row>10</xdr:row>
      <xdr:rowOff>0</xdr:rowOff>
    </xdr:from>
    <xdr:ext cx="485775" cy="485775"/>
    <xdr:pic>
      <xdr:nvPicPr>
        <xdr:cNvPr id="64" name="image399.png">
          <a:extLst>
            <a:ext uri="{FF2B5EF4-FFF2-40B4-BE49-F238E27FC236}">
              <a16:creationId xmlns:a16="http://schemas.microsoft.com/office/drawing/2014/main" id="{00000000-0008-0000-0200-000040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11</xdr:col>
      <xdr:colOff>0</xdr:colOff>
      <xdr:row>10</xdr:row>
      <xdr:rowOff>0</xdr:rowOff>
    </xdr:from>
    <xdr:ext cx="485775" cy="485775"/>
    <xdr:pic>
      <xdr:nvPicPr>
        <xdr:cNvPr id="65" name="image399.png">
          <a:extLst>
            <a:ext uri="{FF2B5EF4-FFF2-40B4-BE49-F238E27FC236}">
              <a16:creationId xmlns:a16="http://schemas.microsoft.com/office/drawing/2014/main" id="{00000000-0008-0000-0200-000041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3</xdr:col>
      <xdr:colOff>0</xdr:colOff>
      <xdr:row>11</xdr:row>
      <xdr:rowOff>0</xdr:rowOff>
    </xdr:from>
    <xdr:ext cx="542925" cy="485775"/>
    <xdr:pic>
      <xdr:nvPicPr>
        <xdr:cNvPr id="66" name="image397.png">
          <a:extLst>
            <a:ext uri="{FF2B5EF4-FFF2-40B4-BE49-F238E27FC236}">
              <a16:creationId xmlns:a16="http://schemas.microsoft.com/office/drawing/2014/main" id="{00000000-0008-0000-0200-000042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4</xdr:col>
      <xdr:colOff>0</xdr:colOff>
      <xdr:row>11</xdr:row>
      <xdr:rowOff>0</xdr:rowOff>
    </xdr:from>
    <xdr:ext cx="914400" cy="123825"/>
    <xdr:pic>
      <xdr:nvPicPr>
        <xdr:cNvPr id="67" name="image373.png">
          <a:extLst>
            <a:ext uri="{FF2B5EF4-FFF2-40B4-BE49-F238E27FC236}">
              <a16:creationId xmlns:a16="http://schemas.microsoft.com/office/drawing/2014/main" id="{00000000-0008-0000-0200-000043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0</xdr:colOff>
      <xdr:row>11</xdr:row>
      <xdr:rowOff>0</xdr:rowOff>
    </xdr:from>
    <xdr:ext cx="485775" cy="485775"/>
    <xdr:pic>
      <xdr:nvPicPr>
        <xdr:cNvPr id="68" name="image389.png">
          <a:extLst>
            <a:ext uri="{FF2B5EF4-FFF2-40B4-BE49-F238E27FC236}">
              <a16:creationId xmlns:a16="http://schemas.microsoft.com/office/drawing/2014/main" id="{00000000-0008-0000-0200-000044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7</xdr:col>
      <xdr:colOff>0</xdr:colOff>
      <xdr:row>11</xdr:row>
      <xdr:rowOff>0</xdr:rowOff>
    </xdr:from>
    <xdr:ext cx="485775" cy="485775"/>
    <xdr:pic>
      <xdr:nvPicPr>
        <xdr:cNvPr id="69" name="image389.png">
          <a:extLst>
            <a:ext uri="{FF2B5EF4-FFF2-40B4-BE49-F238E27FC236}">
              <a16:creationId xmlns:a16="http://schemas.microsoft.com/office/drawing/2014/main" id="{00000000-0008-0000-0200-000045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0</xdr:colOff>
      <xdr:row>11</xdr:row>
      <xdr:rowOff>0</xdr:rowOff>
    </xdr:from>
    <xdr:ext cx="485775" cy="485775"/>
    <xdr:pic>
      <xdr:nvPicPr>
        <xdr:cNvPr id="70" name="image398.png">
          <a:extLst>
            <a:ext uri="{FF2B5EF4-FFF2-40B4-BE49-F238E27FC236}">
              <a16:creationId xmlns:a16="http://schemas.microsoft.com/office/drawing/2014/main" id="{00000000-0008-0000-0200-000046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9</xdr:col>
      <xdr:colOff>0</xdr:colOff>
      <xdr:row>11</xdr:row>
      <xdr:rowOff>0</xdr:rowOff>
    </xdr:from>
    <xdr:ext cx="485775" cy="485775"/>
    <xdr:pic>
      <xdr:nvPicPr>
        <xdr:cNvPr id="71" name="image398.png">
          <a:extLst>
            <a:ext uri="{FF2B5EF4-FFF2-40B4-BE49-F238E27FC236}">
              <a16:creationId xmlns:a16="http://schemas.microsoft.com/office/drawing/2014/main" id="{00000000-0008-0000-0200-000047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10</xdr:col>
      <xdr:colOff>0</xdr:colOff>
      <xdr:row>11</xdr:row>
      <xdr:rowOff>0</xdr:rowOff>
    </xdr:from>
    <xdr:ext cx="485775" cy="485775"/>
    <xdr:pic>
      <xdr:nvPicPr>
        <xdr:cNvPr id="72" name="image379.png">
          <a:extLst>
            <a:ext uri="{FF2B5EF4-FFF2-40B4-BE49-F238E27FC236}">
              <a16:creationId xmlns:a16="http://schemas.microsoft.com/office/drawing/2014/main" id="{00000000-0008-0000-0200-000048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11</xdr:col>
      <xdr:colOff>0</xdr:colOff>
      <xdr:row>11</xdr:row>
      <xdr:rowOff>0</xdr:rowOff>
    </xdr:from>
    <xdr:ext cx="485775" cy="485775"/>
    <xdr:pic>
      <xdr:nvPicPr>
        <xdr:cNvPr id="73" name="image379.png">
          <a:extLst>
            <a:ext uri="{FF2B5EF4-FFF2-40B4-BE49-F238E27FC236}">
              <a16:creationId xmlns:a16="http://schemas.microsoft.com/office/drawing/2014/main" id="{00000000-0008-0000-0200-000049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0</xdr:colOff>
      <xdr:row>12</xdr:row>
      <xdr:rowOff>0</xdr:rowOff>
    </xdr:from>
    <xdr:ext cx="485775" cy="485775"/>
    <xdr:pic>
      <xdr:nvPicPr>
        <xdr:cNvPr id="74" name="image427.png">
          <a:extLst>
            <a:ext uri="{FF2B5EF4-FFF2-40B4-BE49-F238E27FC236}">
              <a16:creationId xmlns:a16="http://schemas.microsoft.com/office/drawing/2014/main" id="{00000000-0008-0000-0200-00004A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4</xdr:col>
      <xdr:colOff>0</xdr:colOff>
      <xdr:row>12</xdr:row>
      <xdr:rowOff>0</xdr:rowOff>
    </xdr:from>
    <xdr:ext cx="914400" cy="123825"/>
    <xdr:pic>
      <xdr:nvPicPr>
        <xdr:cNvPr id="75" name="image363.png">
          <a:extLst>
            <a:ext uri="{FF2B5EF4-FFF2-40B4-BE49-F238E27FC236}">
              <a16:creationId xmlns:a16="http://schemas.microsoft.com/office/drawing/2014/main" id="{00000000-0008-0000-0200-00004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0</xdr:colOff>
      <xdr:row>12</xdr:row>
      <xdr:rowOff>0</xdr:rowOff>
    </xdr:from>
    <xdr:ext cx="485775" cy="485775"/>
    <xdr:pic>
      <xdr:nvPicPr>
        <xdr:cNvPr id="76" name="image386.png">
          <a:extLst>
            <a:ext uri="{FF2B5EF4-FFF2-40B4-BE49-F238E27FC236}">
              <a16:creationId xmlns:a16="http://schemas.microsoft.com/office/drawing/2014/main" id="{00000000-0008-0000-0200-00004C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7</xdr:col>
      <xdr:colOff>0</xdr:colOff>
      <xdr:row>12</xdr:row>
      <xdr:rowOff>0</xdr:rowOff>
    </xdr:from>
    <xdr:ext cx="485775" cy="485775"/>
    <xdr:pic>
      <xdr:nvPicPr>
        <xdr:cNvPr id="77" name="image386.png">
          <a:extLst>
            <a:ext uri="{FF2B5EF4-FFF2-40B4-BE49-F238E27FC236}">
              <a16:creationId xmlns:a16="http://schemas.microsoft.com/office/drawing/2014/main" id="{00000000-0008-0000-0200-00004D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xdr:col>
      <xdr:colOff>0</xdr:colOff>
      <xdr:row>12</xdr:row>
      <xdr:rowOff>0</xdr:rowOff>
    </xdr:from>
    <xdr:ext cx="485775" cy="485775"/>
    <xdr:pic>
      <xdr:nvPicPr>
        <xdr:cNvPr id="78" name="image386.png">
          <a:extLst>
            <a:ext uri="{FF2B5EF4-FFF2-40B4-BE49-F238E27FC236}">
              <a16:creationId xmlns:a16="http://schemas.microsoft.com/office/drawing/2014/main" id="{00000000-0008-0000-0200-00004E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9</xdr:col>
      <xdr:colOff>0</xdr:colOff>
      <xdr:row>12</xdr:row>
      <xdr:rowOff>0</xdr:rowOff>
    </xdr:from>
    <xdr:ext cx="485775" cy="485775"/>
    <xdr:pic>
      <xdr:nvPicPr>
        <xdr:cNvPr id="79" name="image386.png">
          <a:extLst>
            <a:ext uri="{FF2B5EF4-FFF2-40B4-BE49-F238E27FC236}">
              <a16:creationId xmlns:a16="http://schemas.microsoft.com/office/drawing/2014/main" id="{00000000-0008-0000-0200-00004F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10</xdr:col>
      <xdr:colOff>0</xdr:colOff>
      <xdr:row>12</xdr:row>
      <xdr:rowOff>0</xdr:rowOff>
    </xdr:from>
    <xdr:ext cx="485775" cy="485775"/>
    <xdr:pic>
      <xdr:nvPicPr>
        <xdr:cNvPr id="80" name="image384.png">
          <a:extLst>
            <a:ext uri="{FF2B5EF4-FFF2-40B4-BE49-F238E27FC236}">
              <a16:creationId xmlns:a16="http://schemas.microsoft.com/office/drawing/2014/main" id="{00000000-0008-0000-0200-000050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11</xdr:col>
      <xdr:colOff>0</xdr:colOff>
      <xdr:row>12</xdr:row>
      <xdr:rowOff>0</xdr:rowOff>
    </xdr:from>
    <xdr:ext cx="485775" cy="485775"/>
    <xdr:pic>
      <xdr:nvPicPr>
        <xdr:cNvPr id="81" name="image384.png">
          <a:extLst>
            <a:ext uri="{FF2B5EF4-FFF2-40B4-BE49-F238E27FC236}">
              <a16:creationId xmlns:a16="http://schemas.microsoft.com/office/drawing/2014/main" id="{00000000-0008-0000-0200-00005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0</xdr:colOff>
      <xdr:row>13</xdr:row>
      <xdr:rowOff>0</xdr:rowOff>
    </xdr:from>
    <xdr:ext cx="485775" cy="485775"/>
    <xdr:pic>
      <xdr:nvPicPr>
        <xdr:cNvPr id="82" name="image400.png">
          <a:extLst>
            <a:ext uri="{FF2B5EF4-FFF2-40B4-BE49-F238E27FC236}">
              <a16:creationId xmlns:a16="http://schemas.microsoft.com/office/drawing/2014/main" id="{00000000-0008-0000-0200-000052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4</xdr:col>
      <xdr:colOff>0</xdr:colOff>
      <xdr:row>13</xdr:row>
      <xdr:rowOff>0</xdr:rowOff>
    </xdr:from>
    <xdr:ext cx="914400" cy="123825"/>
    <xdr:pic>
      <xdr:nvPicPr>
        <xdr:cNvPr id="83" name="image402.png">
          <a:extLst>
            <a:ext uri="{FF2B5EF4-FFF2-40B4-BE49-F238E27FC236}">
              <a16:creationId xmlns:a16="http://schemas.microsoft.com/office/drawing/2014/main" id="{00000000-0008-0000-0200-000053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6</xdr:col>
      <xdr:colOff>0</xdr:colOff>
      <xdr:row>13</xdr:row>
      <xdr:rowOff>0</xdr:rowOff>
    </xdr:from>
    <xdr:ext cx="485775" cy="485775"/>
    <xdr:pic>
      <xdr:nvPicPr>
        <xdr:cNvPr id="84" name="image390.png">
          <a:extLst>
            <a:ext uri="{FF2B5EF4-FFF2-40B4-BE49-F238E27FC236}">
              <a16:creationId xmlns:a16="http://schemas.microsoft.com/office/drawing/2014/main" id="{00000000-0008-0000-0200-000054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7</xdr:col>
      <xdr:colOff>0</xdr:colOff>
      <xdr:row>13</xdr:row>
      <xdr:rowOff>0</xdr:rowOff>
    </xdr:from>
    <xdr:ext cx="485775" cy="485775"/>
    <xdr:pic>
      <xdr:nvPicPr>
        <xdr:cNvPr id="85" name="image390.png">
          <a:extLst>
            <a:ext uri="{FF2B5EF4-FFF2-40B4-BE49-F238E27FC236}">
              <a16:creationId xmlns:a16="http://schemas.microsoft.com/office/drawing/2014/main" id="{00000000-0008-0000-0200-000055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xdr:col>
      <xdr:colOff>0</xdr:colOff>
      <xdr:row>13</xdr:row>
      <xdr:rowOff>0</xdr:rowOff>
    </xdr:from>
    <xdr:ext cx="485775" cy="485775"/>
    <xdr:pic>
      <xdr:nvPicPr>
        <xdr:cNvPr id="86" name="image390.png">
          <a:extLst>
            <a:ext uri="{FF2B5EF4-FFF2-40B4-BE49-F238E27FC236}">
              <a16:creationId xmlns:a16="http://schemas.microsoft.com/office/drawing/2014/main" id="{00000000-0008-0000-0200-000056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9</xdr:col>
      <xdr:colOff>0</xdr:colOff>
      <xdr:row>13</xdr:row>
      <xdr:rowOff>0</xdr:rowOff>
    </xdr:from>
    <xdr:ext cx="485775" cy="485775"/>
    <xdr:pic>
      <xdr:nvPicPr>
        <xdr:cNvPr id="87" name="image390.png">
          <a:extLst>
            <a:ext uri="{FF2B5EF4-FFF2-40B4-BE49-F238E27FC236}">
              <a16:creationId xmlns:a16="http://schemas.microsoft.com/office/drawing/2014/main" id="{00000000-0008-0000-0200-000057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10</xdr:col>
      <xdr:colOff>0</xdr:colOff>
      <xdr:row>13</xdr:row>
      <xdr:rowOff>0</xdr:rowOff>
    </xdr:from>
    <xdr:ext cx="485775" cy="485775"/>
    <xdr:pic>
      <xdr:nvPicPr>
        <xdr:cNvPr id="88" name="image390.png">
          <a:extLst>
            <a:ext uri="{FF2B5EF4-FFF2-40B4-BE49-F238E27FC236}">
              <a16:creationId xmlns:a16="http://schemas.microsoft.com/office/drawing/2014/main" id="{00000000-0008-0000-0200-000058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11</xdr:col>
      <xdr:colOff>0</xdr:colOff>
      <xdr:row>13</xdr:row>
      <xdr:rowOff>0</xdr:rowOff>
    </xdr:from>
    <xdr:ext cx="485775" cy="485775"/>
    <xdr:pic>
      <xdr:nvPicPr>
        <xdr:cNvPr id="89" name="image390.png">
          <a:extLst>
            <a:ext uri="{FF2B5EF4-FFF2-40B4-BE49-F238E27FC236}">
              <a16:creationId xmlns:a16="http://schemas.microsoft.com/office/drawing/2014/main" id="{00000000-0008-0000-0200-000059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14</xdr:row>
      <xdr:rowOff>0</xdr:rowOff>
    </xdr:from>
    <xdr:ext cx="485775" cy="485775"/>
    <xdr:pic>
      <xdr:nvPicPr>
        <xdr:cNvPr id="90" name="image401.png">
          <a:extLst>
            <a:ext uri="{FF2B5EF4-FFF2-40B4-BE49-F238E27FC236}">
              <a16:creationId xmlns:a16="http://schemas.microsoft.com/office/drawing/2014/main" id="{00000000-0008-0000-0200-00005A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4</xdr:col>
      <xdr:colOff>0</xdr:colOff>
      <xdr:row>14</xdr:row>
      <xdr:rowOff>0</xdr:rowOff>
    </xdr:from>
    <xdr:ext cx="914400" cy="123825"/>
    <xdr:pic>
      <xdr:nvPicPr>
        <xdr:cNvPr id="91" name="image363.png">
          <a:extLst>
            <a:ext uri="{FF2B5EF4-FFF2-40B4-BE49-F238E27FC236}">
              <a16:creationId xmlns:a16="http://schemas.microsoft.com/office/drawing/2014/main" id="{00000000-0008-0000-0200-00005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0</xdr:colOff>
      <xdr:row>14</xdr:row>
      <xdr:rowOff>0</xdr:rowOff>
    </xdr:from>
    <xdr:ext cx="485775" cy="485775"/>
    <xdr:pic>
      <xdr:nvPicPr>
        <xdr:cNvPr id="92" name="image415.png">
          <a:extLst>
            <a:ext uri="{FF2B5EF4-FFF2-40B4-BE49-F238E27FC236}">
              <a16:creationId xmlns:a16="http://schemas.microsoft.com/office/drawing/2014/main" id="{00000000-0008-0000-0200-00005C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7</xdr:col>
      <xdr:colOff>0</xdr:colOff>
      <xdr:row>14</xdr:row>
      <xdr:rowOff>0</xdr:rowOff>
    </xdr:from>
    <xdr:ext cx="485775" cy="485775"/>
    <xdr:pic>
      <xdr:nvPicPr>
        <xdr:cNvPr id="93" name="image415.png">
          <a:extLst>
            <a:ext uri="{FF2B5EF4-FFF2-40B4-BE49-F238E27FC236}">
              <a16:creationId xmlns:a16="http://schemas.microsoft.com/office/drawing/2014/main" id="{00000000-0008-0000-0200-00005D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8</xdr:col>
      <xdr:colOff>0</xdr:colOff>
      <xdr:row>14</xdr:row>
      <xdr:rowOff>0</xdr:rowOff>
    </xdr:from>
    <xdr:ext cx="485775" cy="485775"/>
    <xdr:pic>
      <xdr:nvPicPr>
        <xdr:cNvPr id="94" name="image376.png">
          <a:extLst>
            <a:ext uri="{FF2B5EF4-FFF2-40B4-BE49-F238E27FC236}">
              <a16:creationId xmlns:a16="http://schemas.microsoft.com/office/drawing/2014/main" id="{00000000-0008-0000-0200-00005E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9</xdr:col>
      <xdr:colOff>0</xdr:colOff>
      <xdr:row>14</xdr:row>
      <xdr:rowOff>0</xdr:rowOff>
    </xdr:from>
    <xdr:ext cx="485775" cy="485775"/>
    <xdr:pic>
      <xdr:nvPicPr>
        <xdr:cNvPr id="95" name="image376.png">
          <a:extLst>
            <a:ext uri="{FF2B5EF4-FFF2-40B4-BE49-F238E27FC236}">
              <a16:creationId xmlns:a16="http://schemas.microsoft.com/office/drawing/2014/main" id="{00000000-0008-0000-0200-00005F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10</xdr:col>
      <xdr:colOff>0</xdr:colOff>
      <xdr:row>14</xdr:row>
      <xdr:rowOff>0</xdr:rowOff>
    </xdr:from>
    <xdr:ext cx="485775" cy="485775"/>
    <xdr:pic>
      <xdr:nvPicPr>
        <xdr:cNvPr id="96" name="image415.png">
          <a:extLst>
            <a:ext uri="{FF2B5EF4-FFF2-40B4-BE49-F238E27FC236}">
              <a16:creationId xmlns:a16="http://schemas.microsoft.com/office/drawing/2014/main" id="{00000000-0008-0000-0200-000060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11</xdr:col>
      <xdr:colOff>0</xdr:colOff>
      <xdr:row>14</xdr:row>
      <xdr:rowOff>0</xdr:rowOff>
    </xdr:from>
    <xdr:ext cx="485775" cy="485775"/>
    <xdr:pic>
      <xdr:nvPicPr>
        <xdr:cNvPr id="97" name="image376.png">
          <a:extLst>
            <a:ext uri="{FF2B5EF4-FFF2-40B4-BE49-F238E27FC236}">
              <a16:creationId xmlns:a16="http://schemas.microsoft.com/office/drawing/2014/main" id="{00000000-0008-0000-0200-000061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0</xdr:colOff>
      <xdr:row>15</xdr:row>
      <xdr:rowOff>0</xdr:rowOff>
    </xdr:from>
    <xdr:ext cx="914400" cy="123825"/>
    <xdr:pic>
      <xdr:nvPicPr>
        <xdr:cNvPr id="98" name="image405.png">
          <a:extLst>
            <a:ext uri="{FF2B5EF4-FFF2-40B4-BE49-F238E27FC236}">
              <a16:creationId xmlns:a16="http://schemas.microsoft.com/office/drawing/2014/main" id="{00000000-0008-0000-0200-000062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3</xdr:col>
      <xdr:colOff>0</xdr:colOff>
      <xdr:row>16</xdr:row>
      <xdr:rowOff>0</xdr:rowOff>
    </xdr:from>
    <xdr:ext cx="485775" cy="485775"/>
    <xdr:pic>
      <xdr:nvPicPr>
        <xdr:cNvPr id="99" name="image403.png" title="Hình ảnh">
          <a:extLst>
            <a:ext uri="{FF2B5EF4-FFF2-40B4-BE49-F238E27FC236}">
              <a16:creationId xmlns:a16="http://schemas.microsoft.com/office/drawing/2014/main" id="{00000000-0008-0000-0200-000063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6</xdr:col>
      <xdr:colOff>0</xdr:colOff>
      <xdr:row>16</xdr:row>
      <xdr:rowOff>0</xdr:rowOff>
    </xdr:from>
    <xdr:ext cx="485775" cy="485775"/>
    <xdr:pic>
      <xdr:nvPicPr>
        <xdr:cNvPr id="100" name="image408.png">
          <a:extLst>
            <a:ext uri="{FF2B5EF4-FFF2-40B4-BE49-F238E27FC236}">
              <a16:creationId xmlns:a16="http://schemas.microsoft.com/office/drawing/2014/main" id="{00000000-0008-0000-0200-000064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7</xdr:col>
      <xdr:colOff>0</xdr:colOff>
      <xdr:row>16</xdr:row>
      <xdr:rowOff>0</xdr:rowOff>
    </xdr:from>
    <xdr:ext cx="485775" cy="485775"/>
    <xdr:pic>
      <xdr:nvPicPr>
        <xdr:cNvPr id="101" name="image408.png">
          <a:extLst>
            <a:ext uri="{FF2B5EF4-FFF2-40B4-BE49-F238E27FC236}">
              <a16:creationId xmlns:a16="http://schemas.microsoft.com/office/drawing/2014/main" id="{00000000-0008-0000-0200-000065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8</xdr:col>
      <xdr:colOff>0</xdr:colOff>
      <xdr:row>16</xdr:row>
      <xdr:rowOff>0</xdr:rowOff>
    </xdr:from>
    <xdr:ext cx="485775" cy="485775"/>
    <xdr:pic>
      <xdr:nvPicPr>
        <xdr:cNvPr id="102" name="image398.png">
          <a:extLst>
            <a:ext uri="{FF2B5EF4-FFF2-40B4-BE49-F238E27FC236}">
              <a16:creationId xmlns:a16="http://schemas.microsoft.com/office/drawing/2014/main" id="{00000000-0008-0000-0200-000066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9</xdr:col>
      <xdr:colOff>0</xdr:colOff>
      <xdr:row>16</xdr:row>
      <xdr:rowOff>0</xdr:rowOff>
    </xdr:from>
    <xdr:ext cx="485775" cy="485775"/>
    <xdr:pic>
      <xdr:nvPicPr>
        <xdr:cNvPr id="103" name="image398.png">
          <a:extLst>
            <a:ext uri="{FF2B5EF4-FFF2-40B4-BE49-F238E27FC236}">
              <a16:creationId xmlns:a16="http://schemas.microsoft.com/office/drawing/2014/main" id="{00000000-0008-0000-0200-000067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10</xdr:col>
      <xdr:colOff>0</xdr:colOff>
      <xdr:row>16</xdr:row>
      <xdr:rowOff>0</xdr:rowOff>
    </xdr:from>
    <xdr:ext cx="485775" cy="485775"/>
    <xdr:pic>
      <xdr:nvPicPr>
        <xdr:cNvPr id="104" name="image390.png">
          <a:extLst>
            <a:ext uri="{FF2B5EF4-FFF2-40B4-BE49-F238E27FC236}">
              <a16:creationId xmlns:a16="http://schemas.microsoft.com/office/drawing/2014/main" id="{00000000-0008-0000-0200-000068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11</xdr:col>
      <xdr:colOff>0</xdr:colOff>
      <xdr:row>16</xdr:row>
      <xdr:rowOff>0</xdr:rowOff>
    </xdr:from>
    <xdr:ext cx="485775" cy="485775"/>
    <xdr:pic>
      <xdr:nvPicPr>
        <xdr:cNvPr id="105" name="image390.png">
          <a:extLst>
            <a:ext uri="{FF2B5EF4-FFF2-40B4-BE49-F238E27FC236}">
              <a16:creationId xmlns:a16="http://schemas.microsoft.com/office/drawing/2014/main" id="{00000000-0008-0000-0200-000069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18</xdr:row>
      <xdr:rowOff>0</xdr:rowOff>
    </xdr:from>
    <xdr:ext cx="571500" cy="571500"/>
    <xdr:pic>
      <xdr:nvPicPr>
        <xdr:cNvPr id="106" name="image406.png">
          <a:extLst>
            <a:ext uri="{FF2B5EF4-FFF2-40B4-BE49-F238E27FC236}">
              <a16:creationId xmlns:a16="http://schemas.microsoft.com/office/drawing/2014/main" id="{00000000-0008-0000-0200-00006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4</xdr:col>
      <xdr:colOff>0</xdr:colOff>
      <xdr:row>18</xdr:row>
      <xdr:rowOff>0</xdr:rowOff>
    </xdr:from>
    <xdr:ext cx="914400" cy="219075"/>
    <xdr:pic>
      <xdr:nvPicPr>
        <xdr:cNvPr id="107" name="image413.png">
          <a:extLst>
            <a:ext uri="{FF2B5EF4-FFF2-40B4-BE49-F238E27FC236}">
              <a16:creationId xmlns:a16="http://schemas.microsoft.com/office/drawing/2014/main" id="{00000000-0008-0000-0200-00006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6</xdr:col>
      <xdr:colOff>0</xdr:colOff>
      <xdr:row>18</xdr:row>
      <xdr:rowOff>0</xdr:rowOff>
    </xdr:from>
    <xdr:ext cx="485775" cy="485775"/>
    <xdr:pic>
      <xdr:nvPicPr>
        <xdr:cNvPr id="108" name="image404.png">
          <a:extLst>
            <a:ext uri="{FF2B5EF4-FFF2-40B4-BE49-F238E27FC236}">
              <a16:creationId xmlns:a16="http://schemas.microsoft.com/office/drawing/2014/main" id="{00000000-0008-0000-0200-00006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7</xdr:col>
      <xdr:colOff>0</xdr:colOff>
      <xdr:row>18</xdr:row>
      <xdr:rowOff>0</xdr:rowOff>
    </xdr:from>
    <xdr:ext cx="485775" cy="485775"/>
    <xdr:pic>
      <xdr:nvPicPr>
        <xdr:cNvPr id="109" name="image404.png">
          <a:extLst>
            <a:ext uri="{FF2B5EF4-FFF2-40B4-BE49-F238E27FC236}">
              <a16:creationId xmlns:a16="http://schemas.microsoft.com/office/drawing/2014/main" id="{00000000-0008-0000-0200-00006D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8</xdr:col>
      <xdr:colOff>0</xdr:colOff>
      <xdr:row>18</xdr:row>
      <xdr:rowOff>0</xdr:rowOff>
    </xdr:from>
    <xdr:ext cx="485775" cy="485775"/>
    <xdr:pic>
      <xdr:nvPicPr>
        <xdr:cNvPr id="110" name="image407.png">
          <a:extLst>
            <a:ext uri="{FF2B5EF4-FFF2-40B4-BE49-F238E27FC236}">
              <a16:creationId xmlns:a16="http://schemas.microsoft.com/office/drawing/2014/main" id="{00000000-0008-0000-0200-00006E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9</xdr:col>
      <xdr:colOff>0</xdr:colOff>
      <xdr:row>18</xdr:row>
      <xdr:rowOff>0</xdr:rowOff>
    </xdr:from>
    <xdr:ext cx="485775" cy="485775"/>
    <xdr:pic>
      <xdr:nvPicPr>
        <xdr:cNvPr id="111" name="image407.png">
          <a:extLst>
            <a:ext uri="{FF2B5EF4-FFF2-40B4-BE49-F238E27FC236}">
              <a16:creationId xmlns:a16="http://schemas.microsoft.com/office/drawing/2014/main" id="{00000000-0008-0000-0200-00006F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10</xdr:col>
      <xdr:colOff>0</xdr:colOff>
      <xdr:row>18</xdr:row>
      <xdr:rowOff>0</xdr:rowOff>
    </xdr:from>
    <xdr:ext cx="485775" cy="485775"/>
    <xdr:pic>
      <xdr:nvPicPr>
        <xdr:cNvPr id="112" name="image407.png">
          <a:extLst>
            <a:ext uri="{FF2B5EF4-FFF2-40B4-BE49-F238E27FC236}">
              <a16:creationId xmlns:a16="http://schemas.microsoft.com/office/drawing/2014/main" id="{00000000-0008-0000-0200-000070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11</xdr:col>
      <xdr:colOff>0</xdr:colOff>
      <xdr:row>18</xdr:row>
      <xdr:rowOff>0</xdr:rowOff>
    </xdr:from>
    <xdr:ext cx="485775" cy="485775"/>
    <xdr:pic>
      <xdr:nvPicPr>
        <xdr:cNvPr id="113" name="image407.png">
          <a:extLst>
            <a:ext uri="{FF2B5EF4-FFF2-40B4-BE49-F238E27FC236}">
              <a16:creationId xmlns:a16="http://schemas.microsoft.com/office/drawing/2014/main" id="{00000000-0008-0000-0200-000071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3</xdr:col>
      <xdr:colOff>0</xdr:colOff>
      <xdr:row>19</xdr:row>
      <xdr:rowOff>0</xdr:rowOff>
    </xdr:from>
    <xdr:ext cx="571500" cy="571500"/>
    <xdr:pic>
      <xdr:nvPicPr>
        <xdr:cNvPr id="114" name="image411.png">
          <a:extLst>
            <a:ext uri="{FF2B5EF4-FFF2-40B4-BE49-F238E27FC236}">
              <a16:creationId xmlns:a16="http://schemas.microsoft.com/office/drawing/2014/main" id="{00000000-0008-0000-0200-000072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4</xdr:col>
      <xdr:colOff>0</xdr:colOff>
      <xdr:row>19</xdr:row>
      <xdr:rowOff>0</xdr:rowOff>
    </xdr:from>
    <xdr:ext cx="914400" cy="209550"/>
    <xdr:pic>
      <xdr:nvPicPr>
        <xdr:cNvPr id="115" name="image412.png">
          <a:extLst>
            <a:ext uri="{FF2B5EF4-FFF2-40B4-BE49-F238E27FC236}">
              <a16:creationId xmlns:a16="http://schemas.microsoft.com/office/drawing/2014/main" id="{00000000-0008-0000-0200-000073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6</xdr:col>
      <xdr:colOff>0</xdr:colOff>
      <xdr:row>19</xdr:row>
      <xdr:rowOff>0</xdr:rowOff>
    </xdr:from>
    <xdr:ext cx="485775" cy="485775"/>
    <xdr:pic>
      <xdr:nvPicPr>
        <xdr:cNvPr id="116" name="image414.png">
          <a:extLst>
            <a:ext uri="{FF2B5EF4-FFF2-40B4-BE49-F238E27FC236}">
              <a16:creationId xmlns:a16="http://schemas.microsoft.com/office/drawing/2014/main" id="{00000000-0008-0000-0200-000074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7</xdr:col>
      <xdr:colOff>0</xdr:colOff>
      <xdr:row>19</xdr:row>
      <xdr:rowOff>0</xdr:rowOff>
    </xdr:from>
    <xdr:ext cx="485775" cy="485775"/>
    <xdr:pic>
      <xdr:nvPicPr>
        <xdr:cNvPr id="117" name="image414.png">
          <a:extLst>
            <a:ext uri="{FF2B5EF4-FFF2-40B4-BE49-F238E27FC236}">
              <a16:creationId xmlns:a16="http://schemas.microsoft.com/office/drawing/2014/main" id="{00000000-0008-0000-0200-000075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8</xdr:col>
      <xdr:colOff>0</xdr:colOff>
      <xdr:row>19</xdr:row>
      <xdr:rowOff>0</xdr:rowOff>
    </xdr:from>
    <xdr:ext cx="485775" cy="485775"/>
    <xdr:pic>
      <xdr:nvPicPr>
        <xdr:cNvPr id="118" name="image410.png">
          <a:extLst>
            <a:ext uri="{FF2B5EF4-FFF2-40B4-BE49-F238E27FC236}">
              <a16:creationId xmlns:a16="http://schemas.microsoft.com/office/drawing/2014/main" id="{00000000-0008-0000-0200-000076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19</xdr:row>
      <xdr:rowOff>0</xdr:rowOff>
    </xdr:from>
    <xdr:ext cx="485775" cy="485775"/>
    <xdr:pic>
      <xdr:nvPicPr>
        <xdr:cNvPr id="119" name="image410.png">
          <a:extLst>
            <a:ext uri="{FF2B5EF4-FFF2-40B4-BE49-F238E27FC236}">
              <a16:creationId xmlns:a16="http://schemas.microsoft.com/office/drawing/2014/main" id="{00000000-0008-0000-0200-000077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10</xdr:col>
      <xdr:colOff>0</xdr:colOff>
      <xdr:row>19</xdr:row>
      <xdr:rowOff>0</xdr:rowOff>
    </xdr:from>
    <xdr:ext cx="485775" cy="485775"/>
    <xdr:pic>
      <xdr:nvPicPr>
        <xdr:cNvPr id="120" name="image409.png">
          <a:extLst>
            <a:ext uri="{FF2B5EF4-FFF2-40B4-BE49-F238E27FC236}">
              <a16:creationId xmlns:a16="http://schemas.microsoft.com/office/drawing/2014/main" id="{00000000-0008-0000-0200-000078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11</xdr:col>
      <xdr:colOff>0</xdr:colOff>
      <xdr:row>19</xdr:row>
      <xdr:rowOff>0</xdr:rowOff>
    </xdr:from>
    <xdr:ext cx="485775" cy="485775"/>
    <xdr:pic>
      <xdr:nvPicPr>
        <xdr:cNvPr id="121" name="image409.png">
          <a:extLst>
            <a:ext uri="{FF2B5EF4-FFF2-40B4-BE49-F238E27FC236}">
              <a16:creationId xmlns:a16="http://schemas.microsoft.com/office/drawing/2014/main" id="{00000000-0008-0000-0200-000079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3</xdr:col>
      <xdr:colOff>0</xdr:colOff>
      <xdr:row>20</xdr:row>
      <xdr:rowOff>0</xdr:rowOff>
    </xdr:from>
    <xdr:ext cx="571500" cy="571500"/>
    <xdr:pic>
      <xdr:nvPicPr>
        <xdr:cNvPr id="122" name="image416.png">
          <a:extLst>
            <a:ext uri="{FF2B5EF4-FFF2-40B4-BE49-F238E27FC236}">
              <a16:creationId xmlns:a16="http://schemas.microsoft.com/office/drawing/2014/main" id="{00000000-0008-0000-0200-00007A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4</xdr:col>
      <xdr:colOff>0</xdr:colOff>
      <xdr:row>20</xdr:row>
      <xdr:rowOff>0</xdr:rowOff>
    </xdr:from>
    <xdr:ext cx="914400" cy="123825"/>
    <xdr:pic>
      <xdr:nvPicPr>
        <xdr:cNvPr id="123" name="image422.png">
          <a:extLst>
            <a:ext uri="{FF2B5EF4-FFF2-40B4-BE49-F238E27FC236}">
              <a16:creationId xmlns:a16="http://schemas.microsoft.com/office/drawing/2014/main" id="{00000000-0008-0000-0200-00007B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6</xdr:col>
      <xdr:colOff>0</xdr:colOff>
      <xdr:row>20</xdr:row>
      <xdr:rowOff>0</xdr:rowOff>
    </xdr:from>
    <xdr:ext cx="485775" cy="485775"/>
    <xdr:pic>
      <xdr:nvPicPr>
        <xdr:cNvPr id="124" name="image417.png">
          <a:extLst>
            <a:ext uri="{FF2B5EF4-FFF2-40B4-BE49-F238E27FC236}">
              <a16:creationId xmlns:a16="http://schemas.microsoft.com/office/drawing/2014/main" id="{00000000-0008-0000-0200-00007C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7</xdr:col>
      <xdr:colOff>0</xdr:colOff>
      <xdr:row>20</xdr:row>
      <xdr:rowOff>0</xdr:rowOff>
    </xdr:from>
    <xdr:ext cx="485775" cy="485775"/>
    <xdr:pic>
      <xdr:nvPicPr>
        <xdr:cNvPr id="125" name="image417.png">
          <a:extLst>
            <a:ext uri="{FF2B5EF4-FFF2-40B4-BE49-F238E27FC236}">
              <a16:creationId xmlns:a16="http://schemas.microsoft.com/office/drawing/2014/main" id="{00000000-0008-0000-0200-00007D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8</xdr:col>
      <xdr:colOff>0</xdr:colOff>
      <xdr:row>20</xdr:row>
      <xdr:rowOff>0</xdr:rowOff>
    </xdr:from>
    <xdr:ext cx="485775" cy="485775"/>
    <xdr:pic>
      <xdr:nvPicPr>
        <xdr:cNvPr id="126" name="image419.png">
          <a:extLst>
            <a:ext uri="{FF2B5EF4-FFF2-40B4-BE49-F238E27FC236}">
              <a16:creationId xmlns:a16="http://schemas.microsoft.com/office/drawing/2014/main" id="{00000000-0008-0000-0200-00007E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9</xdr:col>
      <xdr:colOff>0</xdr:colOff>
      <xdr:row>20</xdr:row>
      <xdr:rowOff>0</xdr:rowOff>
    </xdr:from>
    <xdr:ext cx="485775" cy="485775"/>
    <xdr:pic>
      <xdr:nvPicPr>
        <xdr:cNvPr id="127" name="image419.png">
          <a:extLst>
            <a:ext uri="{FF2B5EF4-FFF2-40B4-BE49-F238E27FC236}">
              <a16:creationId xmlns:a16="http://schemas.microsoft.com/office/drawing/2014/main" id="{00000000-0008-0000-0200-00007F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10</xdr:col>
      <xdr:colOff>0</xdr:colOff>
      <xdr:row>20</xdr:row>
      <xdr:rowOff>0</xdr:rowOff>
    </xdr:from>
    <xdr:ext cx="485775" cy="485775"/>
    <xdr:pic>
      <xdr:nvPicPr>
        <xdr:cNvPr id="128" name="image419.png">
          <a:extLst>
            <a:ext uri="{FF2B5EF4-FFF2-40B4-BE49-F238E27FC236}">
              <a16:creationId xmlns:a16="http://schemas.microsoft.com/office/drawing/2014/main" id="{00000000-0008-0000-0200-000080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11</xdr:col>
      <xdr:colOff>0</xdr:colOff>
      <xdr:row>20</xdr:row>
      <xdr:rowOff>0</xdr:rowOff>
    </xdr:from>
    <xdr:ext cx="485775" cy="485775"/>
    <xdr:pic>
      <xdr:nvPicPr>
        <xdr:cNvPr id="129" name="image419.png">
          <a:extLst>
            <a:ext uri="{FF2B5EF4-FFF2-40B4-BE49-F238E27FC236}">
              <a16:creationId xmlns:a16="http://schemas.microsoft.com/office/drawing/2014/main" id="{00000000-0008-0000-0200-000081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3</xdr:col>
      <xdr:colOff>0</xdr:colOff>
      <xdr:row>21</xdr:row>
      <xdr:rowOff>0</xdr:rowOff>
    </xdr:from>
    <xdr:ext cx="571500" cy="571500"/>
    <xdr:pic>
      <xdr:nvPicPr>
        <xdr:cNvPr id="130" name="image454.png">
          <a:extLst>
            <a:ext uri="{FF2B5EF4-FFF2-40B4-BE49-F238E27FC236}">
              <a16:creationId xmlns:a16="http://schemas.microsoft.com/office/drawing/2014/main" id="{00000000-0008-0000-0200-000082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4</xdr:col>
      <xdr:colOff>0</xdr:colOff>
      <xdr:row>21</xdr:row>
      <xdr:rowOff>0</xdr:rowOff>
    </xdr:from>
    <xdr:ext cx="914400" cy="304800"/>
    <xdr:pic>
      <xdr:nvPicPr>
        <xdr:cNvPr id="131" name="image433.png">
          <a:extLst>
            <a:ext uri="{FF2B5EF4-FFF2-40B4-BE49-F238E27FC236}">
              <a16:creationId xmlns:a16="http://schemas.microsoft.com/office/drawing/2014/main" id="{00000000-0008-0000-0200-000083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6</xdr:col>
      <xdr:colOff>0</xdr:colOff>
      <xdr:row>21</xdr:row>
      <xdr:rowOff>0</xdr:rowOff>
    </xdr:from>
    <xdr:ext cx="485775" cy="485775"/>
    <xdr:pic>
      <xdr:nvPicPr>
        <xdr:cNvPr id="132" name="image418.png">
          <a:extLst>
            <a:ext uri="{FF2B5EF4-FFF2-40B4-BE49-F238E27FC236}">
              <a16:creationId xmlns:a16="http://schemas.microsoft.com/office/drawing/2014/main" id="{00000000-0008-0000-0200-000084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7</xdr:col>
      <xdr:colOff>0</xdr:colOff>
      <xdr:row>21</xdr:row>
      <xdr:rowOff>0</xdr:rowOff>
    </xdr:from>
    <xdr:ext cx="485775" cy="485775"/>
    <xdr:pic>
      <xdr:nvPicPr>
        <xdr:cNvPr id="133" name="image418.png">
          <a:extLst>
            <a:ext uri="{FF2B5EF4-FFF2-40B4-BE49-F238E27FC236}">
              <a16:creationId xmlns:a16="http://schemas.microsoft.com/office/drawing/2014/main" id="{00000000-0008-0000-0200-000085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8</xdr:col>
      <xdr:colOff>0</xdr:colOff>
      <xdr:row>21</xdr:row>
      <xdr:rowOff>0</xdr:rowOff>
    </xdr:from>
    <xdr:ext cx="485775" cy="485775"/>
    <xdr:pic>
      <xdr:nvPicPr>
        <xdr:cNvPr id="134" name="image424.png">
          <a:extLst>
            <a:ext uri="{FF2B5EF4-FFF2-40B4-BE49-F238E27FC236}">
              <a16:creationId xmlns:a16="http://schemas.microsoft.com/office/drawing/2014/main" id="{00000000-0008-0000-0200-000086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9</xdr:col>
      <xdr:colOff>0</xdr:colOff>
      <xdr:row>21</xdr:row>
      <xdr:rowOff>0</xdr:rowOff>
    </xdr:from>
    <xdr:ext cx="485775" cy="485775"/>
    <xdr:pic>
      <xdr:nvPicPr>
        <xdr:cNvPr id="135" name="image424.png">
          <a:extLst>
            <a:ext uri="{FF2B5EF4-FFF2-40B4-BE49-F238E27FC236}">
              <a16:creationId xmlns:a16="http://schemas.microsoft.com/office/drawing/2014/main" id="{00000000-0008-0000-0200-000087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485775" cy="485775"/>
    <xdr:pic>
      <xdr:nvPicPr>
        <xdr:cNvPr id="136" name="image420.png">
          <a:extLst>
            <a:ext uri="{FF2B5EF4-FFF2-40B4-BE49-F238E27FC236}">
              <a16:creationId xmlns:a16="http://schemas.microsoft.com/office/drawing/2014/main" id="{00000000-0008-0000-0200-000088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11</xdr:col>
      <xdr:colOff>0</xdr:colOff>
      <xdr:row>21</xdr:row>
      <xdr:rowOff>0</xdr:rowOff>
    </xdr:from>
    <xdr:ext cx="485775" cy="485775"/>
    <xdr:pic>
      <xdr:nvPicPr>
        <xdr:cNvPr id="137" name="image420.png">
          <a:extLst>
            <a:ext uri="{FF2B5EF4-FFF2-40B4-BE49-F238E27FC236}">
              <a16:creationId xmlns:a16="http://schemas.microsoft.com/office/drawing/2014/main" id="{00000000-0008-0000-0200-000089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3</xdr:col>
      <xdr:colOff>0</xdr:colOff>
      <xdr:row>22</xdr:row>
      <xdr:rowOff>0</xdr:rowOff>
    </xdr:from>
    <xdr:ext cx="571500" cy="571500"/>
    <xdr:pic>
      <xdr:nvPicPr>
        <xdr:cNvPr id="138" name="image423.png">
          <a:extLst>
            <a:ext uri="{FF2B5EF4-FFF2-40B4-BE49-F238E27FC236}">
              <a16:creationId xmlns:a16="http://schemas.microsoft.com/office/drawing/2014/main" id="{00000000-0008-0000-0200-00008A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4</xdr:col>
      <xdr:colOff>0</xdr:colOff>
      <xdr:row>22</xdr:row>
      <xdr:rowOff>0</xdr:rowOff>
    </xdr:from>
    <xdr:ext cx="914400" cy="123825"/>
    <xdr:pic>
      <xdr:nvPicPr>
        <xdr:cNvPr id="139" name="image387.png">
          <a:extLst>
            <a:ext uri="{FF2B5EF4-FFF2-40B4-BE49-F238E27FC236}">
              <a16:creationId xmlns:a16="http://schemas.microsoft.com/office/drawing/2014/main" id="{00000000-0008-0000-0200-00008B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6</xdr:col>
      <xdr:colOff>0</xdr:colOff>
      <xdr:row>22</xdr:row>
      <xdr:rowOff>0</xdr:rowOff>
    </xdr:from>
    <xdr:ext cx="485775" cy="485775"/>
    <xdr:pic>
      <xdr:nvPicPr>
        <xdr:cNvPr id="140" name="image421.png">
          <a:extLst>
            <a:ext uri="{FF2B5EF4-FFF2-40B4-BE49-F238E27FC236}">
              <a16:creationId xmlns:a16="http://schemas.microsoft.com/office/drawing/2014/main" id="{00000000-0008-0000-0200-00008C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7</xdr:col>
      <xdr:colOff>0</xdr:colOff>
      <xdr:row>22</xdr:row>
      <xdr:rowOff>0</xdr:rowOff>
    </xdr:from>
    <xdr:ext cx="485775" cy="485775"/>
    <xdr:pic>
      <xdr:nvPicPr>
        <xdr:cNvPr id="141" name="image421.png">
          <a:extLst>
            <a:ext uri="{FF2B5EF4-FFF2-40B4-BE49-F238E27FC236}">
              <a16:creationId xmlns:a16="http://schemas.microsoft.com/office/drawing/2014/main" id="{00000000-0008-0000-0200-00008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8</xdr:col>
      <xdr:colOff>0</xdr:colOff>
      <xdr:row>22</xdr:row>
      <xdr:rowOff>0</xdr:rowOff>
    </xdr:from>
    <xdr:ext cx="485775" cy="485775"/>
    <xdr:pic>
      <xdr:nvPicPr>
        <xdr:cNvPr id="142" name="image451.png">
          <a:extLst>
            <a:ext uri="{FF2B5EF4-FFF2-40B4-BE49-F238E27FC236}">
              <a16:creationId xmlns:a16="http://schemas.microsoft.com/office/drawing/2014/main" id="{00000000-0008-0000-0200-00008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9</xdr:col>
      <xdr:colOff>0</xdr:colOff>
      <xdr:row>22</xdr:row>
      <xdr:rowOff>0</xdr:rowOff>
    </xdr:from>
    <xdr:ext cx="485775" cy="485775"/>
    <xdr:pic>
      <xdr:nvPicPr>
        <xdr:cNvPr id="143" name="image451.png">
          <a:extLst>
            <a:ext uri="{FF2B5EF4-FFF2-40B4-BE49-F238E27FC236}">
              <a16:creationId xmlns:a16="http://schemas.microsoft.com/office/drawing/2014/main" id="{00000000-0008-0000-0200-00008F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10</xdr:col>
      <xdr:colOff>0</xdr:colOff>
      <xdr:row>22</xdr:row>
      <xdr:rowOff>0</xdr:rowOff>
    </xdr:from>
    <xdr:ext cx="485775" cy="485775"/>
    <xdr:pic>
      <xdr:nvPicPr>
        <xdr:cNvPr id="144" name="image425.png">
          <a:extLst>
            <a:ext uri="{FF2B5EF4-FFF2-40B4-BE49-F238E27FC236}">
              <a16:creationId xmlns:a16="http://schemas.microsoft.com/office/drawing/2014/main" id="{00000000-0008-0000-0200-000090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11</xdr:col>
      <xdr:colOff>0</xdr:colOff>
      <xdr:row>22</xdr:row>
      <xdr:rowOff>0</xdr:rowOff>
    </xdr:from>
    <xdr:ext cx="485775" cy="485775"/>
    <xdr:pic>
      <xdr:nvPicPr>
        <xdr:cNvPr id="145" name="image425.png">
          <a:extLst>
            <a:ext uri="{FF2B5EF4-FFF2-40B4-BE49-F238E27FC236}">
              <a16:creationId xmlns:a16="http://schemas.microsoft.com/office/drawing/2014/main" id="{00000000-0008-0000-0200-000091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3</xdr:col>
      <xdr:colOff>0</xdr:colOff>
      <xdr:row>23</xdr:row>
      <xdr:rowOff>0</xdr:rowOff>
    </xdr:from>
    <xdr:ext cx="571500" cy="571500"/>
    <xdr:pic>
      <xdr:nvPicPr>
        <xdr:cNvPr id="146" name="image436.png">
          <a:extLst>
            <a:ext uri="{FF2B5EF4-FFF2-40B4-BE49-F238E27FC236}">
              <a16:creationId xmlns:a16="http://schemas.microsoft.com/office/drawing/2014/main" id="{00000000-0008-0000-0200-000092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4</xdr:col>
      <xdr:colOff>0</xdr:colOff>
      <xdr:row>23</xdr:row>
      <xdr:rowOff>0</xdr:rowOff>
    </xdr:from>
    <xdr:ext cx="914400" cy="123825"/>
    <xdr:pic>
      <xdr:nvPicPr>
        <xdr:cNvPr id="147" name="image422.png">
          <a:extLst>
            <a:ext uri="{FF2B5EF4-FFF2-40B4-BE49-F238E27FC236}">
              <a16:creationId xmlns:a16="http://schemas.microsoft.com/office/drawing/2014/main" id="{00000000-0008-0000-0200-000093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6</xdr:col>
      <xdr:colOff>0</xdr:colOff>
      <xdr:row>23</xdr:row>
      <xdr:rowOff>0</xdr:rowOff>
    </xdr:from>
    <xdr:ext cx="485775" cy="485775"/>
    <xdr:pic>
      <xdr:nvPicPr>
        <xdr:cNvPr id="148" name="image431.png">
          <a:extLst>
            <a:ext uri="{FF2B5EF4-FFF2-40B4-BE49-F238E27FC236}">
              <a16:creationId xmlns:a16="http://schemas.microsoft.com/office/drawing/2014/main" id="{00000000-0008-0000-0200-000094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7</xdr:col>
      <xdr:colOff>0</xdr:colOff>
      <xdr:row>23</xdr:row>
      <xdr:rowOff>0</xdr:rowOff>
    </xdr:from>
    <xdr:ext cx="485775" cy="485775"/>
    <xdr:pic>
      <xdr:nvPicPr>
        <xdr:cNvPr id="149" name="image431.png">
          <a:extLst>
            <a:ext uri="{FF2B5EF4-FFF2-40B4-BE49-F238E27FC236}">
              <a16:creationId xmlns:a16="http://schemas.microsoft.com/office/drawing/2014/main" id="{00000000-0008-0000-0200-000095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8</xdr:col>
      <xdr:colOff>0</xdr:colOff>
      <xdr:row>23</xdr:row>
      <xdr:rowOff>0</xdr:rowOff>
    </xdr:from>
    <xdr:ext cx="485775" cy="485775"/>
    <xdr:pic>
      <xdr:nvPicPr>
        <xdr:cNvPr id="150" name="image428.png">
          <a:extLst>
            <a:ext uri="{FF2B5EF4-FFF2-40B4-BE49-F238E27FC236}">
              <a16:creationId xmlns:a16="http://schemas.microsoft.com/office/drawing/2014/main" id="{00000000-0008-0000-0200-000096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9</xdr:col>
      <xdr:colOff>0</xdr:colOff>
      <xdr:row>23</xdr:row>
      <xdr:rowOff>0</xdr:rowOff>
    </xdr:from>
    <xdr:ext cx="485775" cy="485775"/>
    <xdr:pic>
      <xdr:nvPicPr>
        <xdr:cNvPr id="151" name="image428.png">
          <a:extLst>
            <a:ext uri="{FF2B5EF4-FFF2-40B4-BE49-F238E27FC236}">
              <a16:creationId xmlns:a16="http://schemas.microsoft.com/office/drawing/2014/main" id="{00000000-0008-0000-0200-000097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10</xdr:col>
      <xdr:colOff>0</xdr:colOff>
      <xdr:row>23</xdr:row>
      <xdr:rowOff>0</xdr:rowOff>
    </xdr:from>
    <xdr:ext cx="485775" cy="485775"/>
    <xdr:pic>
      <xdr:nvPicPr>
        <xdr:cNvPr id="152" name="image426.png">
          <a:extLst>
            <a:ext uri="{FF2B5EF4-FFF2-40B4-BE49-F238E27FC236}">
              <a16:creationId xmlns:a16="http://schemas.microsoft.com/office/drawing/2014/main" id="{00000000-0008-0000-0200-000098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11</xdr:col>
      <xdr:colOff>0</xdr:colOff>
      <xdr:row>23</xdr:row>
      <xdr:rowOff>0</xdr:rowOff>
    </xdr:from>
    <xdr:ext cx="485775" cy="485775"/>
    <xdr:pic>
      <xdr:nvPicPr>
        <xdr:cNvPr id="153" name="image426.png">
          <a:extLst>
            <a:ext uri="{FF2B5EF4-FFF2-40B4-BE49-F238E27FC236}">
              <a16:creationId xmlns:a16="http://schemas.microsoft.com/office/drawing/2014/main" id="{00000000-0008-0000-0200-000099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3</xdr:col>
      <xdr:colOff>0</xdr:colOff>
      <xdr:row>24</xdr:row>
      <xdr:rowOff>0</xdr:rowOff>
    </xdr:from>
    <xdr:ext cx="571500" cy="571500"/>
    <xdr:pic>
      <xdr:nvPicPr>
        <xdr:cNvPr id="154" name="image435.png">
          <a:extLst>
            <a:ext uri="{FF2B5EF4-FFF2-40B4-BE49-F238E27FC236}">
              <a16:creationId xmlns:a16="http://schemas.microsoft.com/office/drawing/2014/main" id="{00000000-0008-0000-0200-00009A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4</xdr:col>
      <xdr:colOff>0</xdr:colOff>
      <xdr:row>24</xdr:row>
      <xdr:rowOff>0</xdr:rowOff>
    </xdr:from>
    <xdr:ext cx="914400" cy="209550"/>
    <xdr:pic>
      <xdr:nvPicPr>
        <xdr:cNvPr id="155" name="image412.png">
          <a:extLst>
            <a:ext uri="{FF2B5EF4-FFF2-40B4-BE49-F238E27FC236}">
              <a16:creationId xmlns:a16="http://schemas.microsoft.com/office/drawing/2014/main" id="{00000000-0008-0000-0200-00009B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6</xdr:col>
      <xdr:colOff>0</xdr:colOff>
      <xdr:row>24</xdr:row>
      <xdr:rowOff>0</xdr:rowOff>
    </xdr:from>
    <xdr:ext cx="485775" cy="485775"/>
    <xdr:pic>
      <xdr:nvPicPr>
        <xdr:cNvPr id="156" name="image434.png">
          <a:extLst>
            <a:ext uri="{FF2B5EF4-FFF2-40B4-BE49-F238E27FC236}">
              <a16:creationId xmlns:a16="http://schemas.microsoft.com/office/drawing/2014/main" id="{00000000-0008-0000-0200-00009C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7</xdr:col>
      <xdr:colOff>0</xdr:colOff>
      <xdr:row>24</xdr:row>
      <xdr:rowOff>0</xdr:rowOff>
    </xdr:from>
    <xdr:ext cx="485775" cy="485775"/>
    <xdr:pic>
      <xdr:nvPicPr>
        <xdr:cNvPr id="157" name="image429.png">
          <a:extLst>
            <a:ext uri="{FF2B5EF4-FFF2-40B4-BE49-F238E27FC236}">
              <a16:creationId xmlns:a16="http://schemas.microsoft.com/office/drawing/2014/main" id="{00000000-0008-0000-0200-00009D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8</xdr:col>
      <xdr:colOff>0</xdr:colOff>
      <xdr:row>24</xdr:row>
      <xdr:rowOff>0</xdr:rowOff>
    </xdr:from>
    <xdr:ext cx="485775" cy="485775"/>
    <xdr:pic>
      <xdr:nvPicPr>
        <xdr:cNvPr id="158" name="image431.png">
          <a:extLst>
            <a:ext uri="{FF2B5EF4-FFF2-40B4-BE49-F238E27FC236}">
              <a16:creationId xmlns:a16="http://schemas.microsoft.com/office/drawing/2014/main" id="{00000000-0008-0000-0200-00009E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9</xdr:col>
      <xdr:colOff>0</xdr:colOff>
      <xdr:row>24</xdr:row>
      <xdr:rowOff>0</xdr:rowOff>
    </xdr:from>
    <xdr:ext cx="485775" cy="485775"/>
    <xdr:pic>
      <xdr:nvPicPr>
        <xdr:cNvPr id="159" name="image430.png">
          <a:extLst>
            <a:ext uri="{FF2B5EF4-FFF2-40B4-BE49-F238E27FC236}">
              <a16:creationId xmlns:a16="http://schemas.microsoft.com/office/drawing/2014/main" id="{00000000-0008-0000-0200-00009F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10</xdr:col>
      <xdr:colOff>0</xdr:colOff>
      <xdr:row>24</xdr:row>
      <xdr:rowOff>0</xdr:rowOff>
    </xdr:from>
    <xdr:ext cx="485775" cy="485775"/>
    <xdr:pic>
      <xdr:nvPicPr>
        <xdr:cNvPr id="160" name="image437.png">
          <a:extLst>
            <a:ext uri="{FF2B5EF4-FFF2-40B4-BE49-F238E27FC236}">
              <a16:creationId xmlns:a16="http://schemas.microsoft.com/office/drawing/2014/main" id="{00000000-0008-0000-0200-0000A0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11</xdr:col>
      <xdr:colOff>0</xdr:colOff>
      <xdr:row>24</xdr:row>
      <xdr:rowOff>0</xdr:rowOff>
    </xdr:from>
    <xdr:ext cx="485775" cy="485775"/>
    <xdr:pic>
      <xdr:nvPicPr>
        <xdr:cNvPr id="161" name="image432.png">
          <a:extLst>
            <a:ext uri="{FF2B5EF4-FFF2-40B4-BE49-F238E27FC236}">
              <a16:creationId xmlns:a16="http://schemas.microsoft.com/office/drawing/2014/main" id="{00000000-0008-0000-0200-0000A1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3</xdr:col>
      <xdr:colOff>0</xdr:colOff>
      <xdr:row>25</xdr:row>
      <xdr:rowOff>0</xdr:rowOff>
    </xdr:from>
    <xdr:ext cx="571500" cy="571500"/>
    <xdr:pic>
      <xdr:nvPicPr>
        <xdr:cNvPr id="162" name="image447.png">
          <a:extLst>
            <a:ext uri="{FF2B5EF4-FFF2-40B4-BE49-F238E27FC236}">
              <a16:creationId xmlns:a16="http://schemas.microsoft.com/office/drawing/2014/main" id="{00000000-0008-0000-0200-0000A2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4</xdr:col>
      <xdr:colOff>0</xdr:colOff>
      <xdr:row>25</xdr:row>
      <xdr:rowOff>0</xdr:rowOff>
    </xdr:from>
    <xdr:ext cx="914400" cy="219075"/>
    <xdr:pic>
      <xdr:nvPicPr>
        <xdr:cNvPr id="163" name="image455.png">
          <a:extLst>
            <a:ext uri="{FF2B5EF4-FFF2-40B4-BE49-F238E27FC236}">
              <a16:creationId xmlns:a16="http://schemas.microsoft.com/office/drawing/2014/main" id="{00000000-0008-0000-0200-0000A3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6</xdr:col>
      <xdr:colOff>0</xdr:colOff>
      <xdr:row>25</xdr:row>
      <xdr:rowOff>0</xdr:rowOff>
    </xdr:from>
    <xdr:ext cx="485775" cy="485775"/>
    <xdr:pic>
      <xdr:nvPicPr>
        <xdr:cNvPr id="164" name="image438.png">
          <a:extLst>
            <a:ext uri="{FF2B5EF4-FFF2-40B4-BE49-F238E27FC236}">
              <a16:creationId xmlns:a16="http://schemas.microsoft.com/office/drawing/2014/main" id="{00000000-0008-0000-0200-0000A4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7</xdr:col>
      <xdr:colOff>0</xdr:colOff>
      <xdr:row>25</xdr:row>
      <xdr:rowOff>0</xdr:rowOff>
    </xdr:from>
    <xdr:ext cx="485775" cy="485775"/>
    <xdr:pic>
      <xdr:nvPicPr>
        <xdr:cNvPr id="165" name="image437.png">
          <a:extLst>
            <a:ext uri="{FF2B5EF4-FFF2-40B4-BE49-F238E27FC236}">
              <a16:creationId xmlns:a16="http://schemas.microsoft.com/office/drawing/2014/main" id="{00000000-0008-0000-0200-0000A5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8</xdr:col>
      <xdr:colOff>0</xdr:colOff>
      <xdr:row>25</xdr:row>
      <xdr:rowOff>0</xdr:rowOff>
    </xdr:from>
    <xdr:ext cx="485775" cy="485775"/>
    <xdr:pic>
      <xdr:nvPicPr>
        <xdr:cNvPr id="166" name="image452.png">
          <a:extLst>
            <a:ext uri="{FF2B5EF4-FFF2-40B4-BE49-F238E27FC236}">
              <a16:creationId xmlns:a16="http://schemas.microsoft.com/office/drawing/2014/main" id="{00000000-0008-0000-0200-0000A6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9</xdr:col>
      <xdr:colOff>0</xdr:colOff>
      <xdr:row>25</xdr:row>
      <xdr:rowOff>0</xdr:rowOff>
    </xdr:from>
    <xdr:ext cx="485775" cy="485775"/>
    <xdr:pic>
      <xdr:nvPicPr>
        <xdr:cNvPr id="167" name="image452.png">
          <a:extLst>
            <a:ext uri="{FF2B5EF4-FFF2-40B4-BE49-F238E27FC236}">
              <a16:creationId xmlns:a16="http://schemas.microsoft.com/office/drawing/2014/main" id="{00000000-0008-0000-0200-0000A7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10</xdr:col>
      <xdr:colOff>0</xdr:colOff>
      <xdr:row>25</xdr:row>
      <xdr:rowOff>0</xdr:rowOff>
    </xdr:from>
    <xdr:ext cx="485775" cy="485775"/>
    <xdr:pic>
      <xdr:nvPicPr>
        <xdr:cNvPr id="168" name="image437.png">
          <a:extLst>
            <a:ext uri="{FF2B5EF4-FFF2-40B4-BE49-F238E27FC236}">
              <a16:creationId xmlns:a16="http://schemas.microsoft.com/office/drawing/2014/main" id="{00000000-0008-0000-0200-0000A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11</xdr:col>
      <xdr:colOff>0</xdr:colOff>
      <xdr:row>25</xdr:row>
      <xdr:rowOff>0</xdr:rowOff>
    </xdr:from>
    <xdr:ext cx="485775" cy="485775"/>
    <xdr:pic>
      <xdr:nvPicPr>
        <xdr:cNvPr id="169" name="image437.png">
          <a:extLst>
            <a:ext uri="{FF2B5EF4-FFF2-40B4-BE49-F238E27FC236}">
              <a16:creationId xmlns:a16="http://schemas.microsoft.com/office/drawing/2014/main" id="{00000000-0008-0000-0200-0000A9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3</xdr:col>
      <xdr:colOff>0</xdr:colOff>
      <xdr:row>26</xdr:row>
      <xdr:rowOff>0</xdr:rowOff>
    </xdr:from>
    <xdr:ext cx="571500" cy="571500"/>
    <xdr:pic>
      <xdr:nvPicPr>
        <xdr:cNvPr id="170" name="image446.png">
          <a:extLst>
            <a:ext uri="{FF2B5EF4-FFF2-40B4-BE49-F238E27FC236}">
              <a16:creationId xmlns:a16="http://schemas.microsoft.com/office/drawing/2014/main" id="{00000000-0008-0000-0200-0000AA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4</xdr:col>
      <xdr:colOff>0</xdr:colOff>
      <xdr:row>26</xdr:row>
      <xdr:rowOff>0</xdr:rowOff>
    </xdr:from>
    <xdr:ext cx="914400" cy="219075"/>
    <xdr:pic>
      <xdr:nvPicPr>
        <xdr:cNvPr id="171" name="image444.png">
          <a:extLst>
            <a:ext uri="{FF2B5EF4-FFF2-40B4-BE49-F238E27FC236}">
              <a16:creationId xmlns:a16="http://schemas.microsoft.com/office/drawing/2014/main" id="{00000000-0008-0000-0200-0000AB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6</xdr:col>
      <xdr:colOff>0</xdr:colOff>
      <xdr:row>26</xdr:row>
      <xdr:rowOff>0</xdr:rowOff>
    </xdr:from>
    <xdr:ext cx="485775" cy="485775"/>
    <xdr:pic>
      <xdr:nvPicPr>
        <xdr:cNvPr id="172" name="image434.png">
          <a:extLst>
            <a:ext uri="{FF2B5EF4-FFF2-40B4-BE49-F238E27FC236}">
              <a16:creationId xmlns:a16="http://schemas.microsoft.com/office/drawing/2014/main" id="{00000000-0008-0000-0200-0000AC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7</xdr:col>
      <xdr:colOff>0</xdr:colOff>
      <xdr:row>26</xdr:row>
      <xdr:rowOff>0</xdr:rowOff>
    </xdr:from>
    <xdr:ext cx="485775" cy="485775"/>
    <xdr:pic>
      <xdr:nvPicPr>
        <xdr:cNvPr id="173" name="image434.png">
          <a:extLst>
            <a:ext uri="{FF2B5EF4-FFF2-40B4-BE49-F238E27FC236}">
              <a16:creationId xmlns:a16="http://schemas.microsoft.com/office/drawing/2014/main" id="{00000000-0008-0000-0200-0000AD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8</xdr:col>
      <xdr:colOff>0</xdr:colOff>
      <xdr:row>26</xdr:row>
      <xdr:rowOff>0</xdr:rowOff>
    </xdr:from>
    <xdr:ext cx="485775" cy="485775"/>
    <xdr:pic>
      <xdr:nvPicPr>
        <xdr:cNvPr id="174" name="image434.png">
          <a:extLst>
            <a:ext uri="{FF2B5EF4-FFF2-40B4-BE49-F238E27FC236}">
              <a16:creationId xmlns:a16="http://schemas.microsoft.com/office/drawing/2014/main" id="{00000000-0008-0000-0200-0000AE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9</xdr:col>
      <xdr:colOff>0</xdr:colOff>
      <xdr:row>26</xdr:row>
      <xdr:rowOff>0</xdr:rowOff>
    </xdr:from>
    <xdr:ext cx="485775" cy="485775"/>
    <xdr:pic>
      <xdr:nvPicPr>
        <xdr:cNvPr id="175" name="image434.png">
          <a:extLst>
            <a:ext uri="{FF2B5EF4-FFF2-40B4-BE49-F238E27FC236}">
              <a16:creationId xmlns:a16="http://schemas.microsoft.com/office/drawing/2014/main" id="{00000000-0008-0000-0200-0000AF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10</xdr:col>
      <xdr:colOff>0</xdr:colOff>
      <xdr:row>26</xdr:row>
      <xdr:rowOff>0</xdr:rowOff>
    </xdr:from>
    <xdr:ext cx="485775" cy="485775"/>
    <xdr:pic>
      <xdr:nvPicPr>
        <xdr:cNvPr id="176" name="image434.png">
          <a:extLst>
            <a:ext uri="{FF2B5EF4-FFF2-40B4-BE49-F238E27FC236}">
              <a16:creationId xmlns:a16="http://schemas.microsoft.com/office/drawing/2014/main" id="{00000000-0008-0000-0200-0000B0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11</xdr:col>
      <xdr:colOff>0</xdr:colOff>
      <xdr:row>26</xdr:row>
      <xdr:rowOff>0</xdr:rowOff>
    </xdr:from>
    <xdr:ext cx="485775" cy="485775"/>
    <xdr:pic>
      <xdr:nvPicPr>
        <xdr:cNvPr id="177" name="image434.png">
          <a:extLst>
            <a:ext uri="{FF2B5EF4-FFF2-40B4-BE49-F238E27FC236}">
              <a16:creationId xmlns:a16="http://schemas.microsoft.com/office/drawing/2014/main" id="{00000000-0008-0000-0200-0000B1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3</xdr:col>
      <xdr:colOff>0</xdr:colOff>
      <xdr:row>27</xdr:row>
      <xdr:rowOff>0</xdr:rowOff>
    </xdr:from>
    <xdr:ext cx="571500" cy="571500"/>
    <xdr:pic>
      <xdr:nvPicPr>
        <xdr:cNvPr id="178" name="image441.png">
          <a:extLst>
            <a:ext uri="{FF2B5EF4-FFF2-40B4-BE49-F238E27FC236}">
              <a16:creationId xmlns:a16="http://schemas.microsoft.com/office/drawing/2014/main" id="{00000000-0008-0000-0200-0000B2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4</xdr:col>
      <xdr:colOff>0</xdr:colOff>
      <xdr:row>27</xdr:row>
      <xdr:rowOff>0</xdr:rowOff>
    </xdr:from>
    <xdr:ext cx="914400" cy="219075"/>
    <xdr:pic>
      <xdr:nvPicPr>
        <xdr:cNvPr id="179" name="image445.png">
          <a:extLst>
            <a:ext uri="{FF2B5EF4-FFF2-40B4-BE49-F238E27FC236}">
              <a16:creationId xmlns:a16="http://schemas.microsoft.com/office/drawing/2014/main" id="{00000000-0008-0000-0200-0000B3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6</xdr:col>
      <xdr:colOff>0</xdr:colOff>
      <xdr:row>27</xdr:row>
      <xdr:rowOff>0</xdr:rowOff>
    </xdr:from>
    <xdr:ext cx="485775" cy="485775"/>
    <xdr:pic>
      <xdr:nvPicPr>
        <xdr:cNvPr id="180" name="image432.png">
          <a:extLst>
            <a:ext uri="{FF2B5EF4-FFF2-40B4-BE49-F238E27FC236}">
              <a16:creationId xmlns:a16="http://schemas.microsoft.com/office/drawing/2014/main" id="{00000000-0008-0000-0200-0000B4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7</xdr:col>
      <xdr:colOff>0</xdr:colOff>
      <xdr:row>27</xdr:row>
      <xdr:rowOff>0</xdr:rowOff>
    </xdr:from>
    <xdr:ext cx="485775" cy="485775"/>
    <xdr:pic>
      <xdr:nvPicPr>
        <xdr:cNvPr id="181" name="image432.png">
          <a:extLst>
            <a:ext uri="{FF2B5EF4-FFF2-40B4-BE49-F238E27FC236}">
              <a16:creationId xmlns:a16="http://schemas.microsoft.com/office/drawing/2014/main" id="{00000000-0008-0000-0200-0000B5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8</xdr:col>
      <xdr:colOff>0</xdr:colOff>
      <xdr:row>27</xdr:row>
      <xdr:rowOff>0</xdr:rowOff>
    </xdr:from>
    <xdr:ext cx="485775" cy="485775"/>
    <xdr:pic>
      <xdr:nvPicPr>
        <xdr:cNvPr id="182" name="image437.png">
          <a:extLst>
            <a:ext uri="{FF2B5EF4-FFF2-40B4-BE49-F238E27FC236}">
              <a16:creationId xmlns:a16="http://schemas.microsoft.com/office/drawing/2014/main" id="{00000000-0008-0000-0200-0000B6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9</xdr:col>
      <xdr:colOff>0</xdr:colOff>
      <xdr:row>27</xdr:row>
      <xdr:rowOff>0</xdr:rowOff>
    </xdr:from>
    <xdr:ext cx="485775" cy="485775"/>
    <xdr:pic>
      <xdr:nvPicPr>
        <xdr:cNvPr id="183" name="image437.png">
          <a:extLst>
            <a:ext uri="{FF2B5EF4-FFF2-40B4-BE49-F238E27FC236}">
              <a16:creationId xmlns:a16="http://schemas.microsoft.com/office/drawing/2014/main" id="{00000000-0008-0000-0200-0000B7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10</xdr:col>
      <xdr:colOff>0</xdr:colOff>
      <xdr:row>27</xdr:row>
      <xdr:rowOff>0</xdr:rowOff>
    </xdr:from>
    <xdr:ext cx="485775" cy="485775"/>
    <xdr:pic>
      <xdr:nvPicPr>
        <xdr:cNvPr id="184" name="image442.png">
          <a:extLst>
            <a:ext uri="{FF2B5EF4-FFF2-40B4-BE49-F238E27FC236}">
              <a16:creationId xmlns:a16="http://schemas.microsoft.com/office/drawing/2014/main" id="{00000000-0008-0000-0200-0000B8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11</xdr:col>
      <xdr:colOff>0</xdr:colOff>
      <xdr:row>27</xdr:row>
      <xdr:rowOff>0</xdr:rowOff>
    </xdr:from>
    <xdr:ext cx="485775" cy="485775"/>
    <xdr:pic>
      <xdr:nvPicPr>
        <xdr:cNvPr id="185" name="image440.png">
          <a:extLst>
            <a:ext uri="{FF2B5EF4-FFF2-40B4-BE49-F238E27FC236}">
              <a16:creationId xmlns:a16="http://schemas.microsoft.com/office/drawing/2014/main" id="{00000000-0008-0000-0200-0000B9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3</xdr:col>
      <xdr:colOff>0</xdr:colOff>
      <xdr:row>28</xdr:row>
      <xdr:rowOff>0</xdr:rowOff>
    </xdr:from>
    <xdr:ext cx="571500" cy="571500"/>
    <xdr:pic>
      <xdr:nvPicPr>
        <xdr:cNvPr id="186" name="image443.png">
          <a:extLst>
            <a:ext uri="{FF2B5EF4-FFF2-40B4-BE49-F238E27FC236}">
              <a16:creationId xmlns:a16="http://schemas.microsoft.com/office/drawing/2014/main" id="{00000000-0008-0000-0200-0000BA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4</xdr:col>
      <xdr:colOff>0</xdr:colOff>
      <xdr:row>28</xdr:row>
      <xdr:rowOff>0</xdr:rowOff>
    </xdr:from>
    <xdr:ext cx="914400" cy="209550"/>
    <xdr:pic>
      <xdr:nvPicPr>
        <xdr:cNvPr id="187" name="image412.png">
          <a:extLst>
            <a:ext uri="{FF2B5EF4-FFF2-40B4-BE49-F238E27FC236}">
              <a16:creationId xmlns:a16="http://schemas.microsoft.com/office/drawing/2014/main" id="{00000000-0008-0000-0200-0000BB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6</xdr:col>
      <xdr:colOff>0</xdr:colOff>
      <xdr:row>28</xdr:row>
      <xdr:rowOff>0</xdr:rowOff>
    </xdr:from>
    <xdr:ext cx="485775" cy="495300"/>
    <xdr:pic>
      <xdr:nvPicPr>
        <xdr:cNvPr id="188" name="image439.png">
          <a:extLst>
            <a:ext uri="{FF2B5EF4-FFF2-40B4-BE49-F238E27FC236}">
              <a16:creationId xmlns:a16="http://schemas.microsoft.com/office/drawing/2014/main" id="{00000000-0008-0000-0200-0000BC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7</xdr:col>
      <xdr:colOff>0</xdr:colOff>
      <xdr:row>28</xdr:row>
      <xdr:rowOff>0</xdr:rowOff>
    </xdr:from>
    <xdr:ext cx="485775" cy="495300"/>
    <xdr:pic>
      <xdr:nvPicPr>
        <xdr:cNvPr id="189" name="image439.png">
          <a:extLst>
            <a:ext uri="{FF2B5EF4-FFF2-40B4-BE49-F238E27FC236}">
              <a16:creationId xmlns:a16="http://schemas.microsoft.com/office/drawing/2014/main" id="{00000000-0008-0000-0200-0000BD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8</xdr:col>
      <xdr:colOff>0</xdr:colOff>
      <xdr:row>28</xdr:row>
      <xdr:rowOff>0</xdr:rowOff>
    </xdr:from>
    <xdr:ext cx="485775" cy="495300"/>
    <xdr:pic>
      <xdr:nvPicPr>
        <xdr:cNvPr id="190" name="image439.png">
          <a:extLst>
            <a:ext uri="{FF2B5EF4-FFF2-40B4-BE49-F238E27FC236}">
              <a16:creationId xmlns:a16="http://schemas.microsoft.com/office/drawing/2014/main" id="{00000000-0008-0000-0200-0000BE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9</xdr:col>
      <xdr:colOff>0</xdr:colOff>
      <xdr:row>28</xdr:row>
      <xdr:rowOff>0</xdr:rowOff>
    </xdr:from>
    <xdr:ext cx="485775" cy="495300"/>
    <xdr:pic>
      <xdr:nvPicPr>
        <xdr:cNvPr id="191" name="image439.png">
          <a:extLst>
            <a:ext uri="{FF2B5EF4-FFF2-40B4-BE49-F238E27FC236}">
              <a16:creationId xmlns:a16="http://schemas.microsoft.com/office/drawing/2014/main" id="{00000000-0008-0000-0200-0000BF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10</xdr:col>
      <xdr:colOff>0</xdr:colOff>
      <xdr:row>28</xdr:row>
      <xdr:rowOff>0</xdr:rowOff>
    </xdr:from>
    <xdr:ext cx="485775" cy="495300"/>
    <xdr:pic>
      <xdr:nvPicPr>
        <xdr:cNvPr id="192" name="image439.png">
          <a:extLst>
            <a:ext uri="{FF2B5EF4-FFF2-40B4-BE49-F238E27FC236}">
              <a16:creationId xmlns:a16="http://schemas.microsoft.com/office/drawing/2014/main" id="{00000000-0008-0000-0200-0000C0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11</xdr:col>
      <xdr:colOff>0</xdr:colOff>
      <xdr:row>28</xdr:row>
      <xdr:rowOff>0</xdr:rowOff>
    </xdr:from>
    <xdr:ext cx="485775" cy="495300"/>
    <xdr:pic>
      <xdr:nvPicPr>
        <xdr:cNvPr id="193" name="image439.png">
          <a:extLst>
            <a:ext uri="{FF2B5EF4-FFF2-40B4-BE49-F238E27FC236}">
              <a16:creationId xmlns:a16="http://schemas.microsoft.com/office/drawing/2014/main" id="{00000000-0008-0000-0200-0000C1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3</xdr:col>
      <xdr:colOff>0</xdr:colOff>
      <xdr:row>29</xdr:row>
      <xdr:rowOff>0</xdr:rowOff>
    </xdr:from>
    <xdr:ext cx="571500" cy="571500"/>
    <xdr:pic>
      <xdr:nvPicPr>
        <xdr:cNvPr id="194" name="image448.png">
          <a:extLst>
            <a:ext uri="{FF2B5EF4-FFF2-40B4-BE49-F238E27FC236}">
              <a16:creationId xmlns:a16="http://schemas.microsoft.com/office/drawing/2014/main" id="{00000000-0008-0000-0200-0000C2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4</xdr:col>
      <xdr:colOff>0</xdr:colOff>
      <xdr:row>29</xdr:row>
      <xdr:rowOff>0</xdr:rowOff>
    </xdr:from>
    <xdr:ext cx="914400" cy="209550"/>
    <xdr:pic>
      <xdr:nvPicPr>
        <xdr:cNvPr id="195" name="image412.png">
          <a:extLst>
            <a:ext uri="{FF2B5EF4-FFF2-40B4-BE49-F238E27FC236}">
              <a16:creationId xmlns:a16="http://schemas.microsoft.com/office/drawing/2014/main" id="{00000000-0008-0000-0200-0000C3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6</xdr:col>
      <xdr:colOff>0</xdr:colOff>
      <xdr:row>29</xdr:row>
      <xdr:rowOff>0</xdr:rowOff>
    </xdr:from>
    <xdr:ext cx="485775" cy="485775"/>
    <xdr:pic>
      <xdr:nvPicPr>
        <xdr:cNvPr id="196" name="image457.png">
          <a:extLst>
            <a:ext uri="{FF2B5EF4-FFF2-40B4-BE49-F238E27FC236}">
              <a16:creationId xmlns:a16="http://schemas.microsoft.com/office/drawing/2014/main" id="{00000000-0008-0000-0200-0000C4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7</xdr:col>
      <xdr:colOff>0</xdr:colOff>
      <xdr:row>29</xdr:row>
      <xdr:rowOff>0</xdr:rowOff>
    </xdr:from>
    <xdr:ext cx="485775" cy="485775"/>
    <xdr:pic>
      <xdr:nvPicPr>
        <xdr:cNvPr id="197" name="image457.png">
          <a:extLst>
            <a:ext uri="{FF2B5EF4-FFF2-40B4-BE49-F238E27FC236}">
              <a16:creationId xmlns:a16="http://schemas.microsoft.com/office/drawing/2014/main" id="{00000000-0008-0000-0200-0000C5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8</xdr:col>
      <xdr:colOff>0</xdr:colOff>
      <xdr:row>29</xdr:row>
      <xdr:rowOff>0</xdr:rowOff>
    </xdr:from>
    <xdr:ext cx="485775" cy="495300"/>
    <xdr:pic>
      <xdr:nvPicPr>
        <xdr:cNvPr id="198" name="image439.png">
          <a:extLst>
            <a:ext uri="{FF2B5EF4-FFF2-40B4-BE49-F238E27FC236}">
              <a16:creationId xmlns:a16="http://schemas.microsoft.com/office/drawing/2014/main" id="{00000000-0008-0000-0200-0000C6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9</xdr:col>
      <xdr:colOff>0</xdr:colOff>
      <xdr:row>29</xdr:row>
      <xdr:rowOff>0</xdr:rowOff>
    </xdr:from>
    <xdr:ext cx="485775" cy="495300"/>
    <xdr:pic>
      <xdr:nvPicPr>
        <xdr:cNvPr id="199" name="image439.png">
          <a:extLst>
            <a:ext uri="{FF2B5EF4-FFF2-40B4-BE49-F238E27FC236}">
              <a16:creationId xmlns:a16="http://schemas.microsoft.com/office/drawing/2014/main" id="{00000000-0008-0000-0200-0000C7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10</xdr:col>
      <xdr:colOff>0</xdr:colOff>
      <xdr:row>29</xdr:row>
      <xdr:rowOff>0</xdr:rowOff>
    </xdr:from>
    <xdr:ext cx="485775" cy="495300"/>
    <xdr:pic>
      <xdr:nvPicPr>
        <xdr:cNvPr id="200" name="image439.png">
          <a:extLst>
            <a:ext uri="{FF2B5EF4-FFF2-40B4-BE49-F238E27FC236}">
              <a16:creationId xmlns:a16="http://schemas.microsoft.com/office/drawing/2014/main" id="{00000000-0008-0000-0200-0000C8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11</xdr:col>
      <xdr:colOff>0</xdr:colOff>
      <xdr:row>29</xdr:row>
      <xdr:rowOff>0</xdr:rowOff>
    </xdr:from>
    <xdr:ext cx="485775" cy="495300"/>
    <xdr:pic>
      <xdr:nvPicPr>
        <xdr:cNvPr id="201" name="image439.png">
          <a:extLst>
            <a:ext uri="{FF2B5EF4-FFF2-40B4-BE49-F238E27FC236}">
              <a16:creationId xmlns:a16="http://schemas.microsoft.com/office/drawing/2014/main" id="{00000000-0008-0000-0200-0000C9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3</xdr:col>
      <xdr:colOff>0</xdr:colOff>
      <xdr:row>30</xdr:row>
      <xdr:rowOff>0</xdr:rowOff>
    </xdr:from>
    <xdr:ext cx="571500" cy="571500"/>
    <xdr:pic>
      <xdr:nvPicPr>
        <xdr:cNvPr id="202" name="image449.png">
          <a:extLst>
            <a:ext uri="{FF2B5EF4-FFF2-40B4-BE49-F238E27FC236}">
              <a16:creationId xmlns:a16="http://schemas.microsoft.com/office/drawing/2014/main" id="{00000000-0008-0000-0200-0000CA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4</xdr:col>
      <xdr:colOff>0</xdr:colOff>
      <xdr:row>30</xdr:row>
      <xdr:rowOff>0</xdr:rowOff>
    </xdr:from>
    <xdr:ext cx="914400" cy="219075"/>
    <xdr:pic>
      <xdr:nvPicPr>
        <xdr:cNvPr id="203" name="image455.png">
          <a:extLst>
            <a:ext uri="{FF2B5EF4-FFF2-40B4-BE49-F238E27FC236}">
              <a16:creationId xmlns:a16="http://schemas.microsoft.com/office/drawing/2014/main" id="{00000000-0008-0000-0200-0000C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6</xdr:col>
      <xdr:colOff>0</xdr:colOff>
      <xdr:row>30</xdr:row>
      <xdr:rowOff>0</xdr:rowOff>
    </xdr:from>
    <xdr:ext cx="485775" cy="485775"/>
    <xdr:pic>
      <xdr:nvPicPr>
        <xdr:cNvPr id="204" name="image450.png">
          <a:extLst>
            <a:ext uri="{FF2B5EF4-FFF2-40B4-BE49-F238E27FC236}">
              <a16:creationId xmlns:a16="http://schemas.microsoft.com/office/drawing/2014/main" id="{00000000-0008-0000-0200-0000CC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7</xdr:col>
      <xdr:colOff>0</xdr:colOff>
      <xdr:row>30</xdr:row>
      <xdr:rowOff>0</xdr:rowOff>
    </xdr:from>
    <xdr:ext cx="485775" cy="485775"/>
    <xdr:pic>
      <xdr:nvPicPr>
        <xdr:cNvPr id="205" name="image450.png">
          <a:extLst>
            <a:ext uri="{FF2B5EF4-FFF2-40B4-BE49-F238E27FC236}">
              <a16:creationId xmlns:a16="http://schemas.microsoft.com/office/drawing/2014/main" id="{00000000-0008-0000-0200-0000CD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8</xdr:col>
      <xdr:colOff>0</xdr:colOff>
      <xdr:row>30</xdr:row>
      <xdr:rowOff>0</xdr:rowOff>
    </xdr:from>
    <xdr:ext cx="485775" cy="485775"/>
    <xdr:pic>
      <xdr:nvPicPr>
        <xdr:cNvPr id="206" name="image442.png">
          <a:extLst>
            <a:ext uri="{FF2B5EF4-FFF2-40B4-BE49-F238E27FC236}">
              <a16:creationId xmlns:a16="http://schemas.microsoft.com/office/drawing/2014/main" id="{00000000-0008-0000-0200-0000CE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9</xdr:col>
      <xdr:colOff>0</xdr:colOff>
      <xdr:row>30</xdr:row>
      <xdr:rowOff>0</xdr:rowOff>
    </xdr:from>
    <xdr:ext cx="485775" cy="485775"/>
    <xdr:pic>
      <xdr:nvPicPr>
        <xdr:cNvPr id="207" name="image442.png">
          <a:extLst>
            <a:ext uri="{FF2B5EF4-FFF2-40B4-BE49-F238E27FC236}">
              <a16:creationId xmlns:a16="http://schemas.microsoft.com/office/drawing/2014/main" id="{00000000-0008-0000-0200-0000CF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10</xdr:col>
      <xdr:colOff>0</xdr:colOff>
      <xdr:row>30</xdr:row>
      <xdr:rowOff>0</xdr:rowOff>
    </xdr:from>
    <xdr:ext cx="485775" cy="485775"/>
    <xdr:pic>
      <xdr:nvPicPr>
        <xdr:cNvPr id="208" name="image456.png">
          <a:extLst>
            <a:ext uri="{FF2B5EF4-FFF2-40B4-BE49-F238E27FC236}">
              <a16:creationId xmlns:a16="http://schemas.microsoft.com/office/drawing/2014/main" id="{00000000-0008-0000-0200-0000D0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11</xdr:col>
      <xdr:colOff>0</xdr:colOff>
      <xdr:row>30</xdr:row>
      <xdr:rowOff>0</xdr:rowOff>
    </xdr:from>
    <xdr:ext cx="485775" cy="485775"/>
    <xdr:pic>
      <xdr:nvPicPr>
        <xdr:cNvPr id="209" name="image456.png">
          <a:extLst>
            <a:ext uri="{FF2B5EF4-FFF2-40B4-BE49-F238E27FC236}">
              <a16:creationId xmlns:a16="http://schemas.microsoft.com/office/drawing/2014/main" id="{00000000-0008-0000-0200-0000D1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3</xdr:col>
      <xdr:colOff>0</xdr:colOff>
      <xdr:row>31</xdr:row>
      <xdr:rowOff>0</xdr:rowOff>
    </xdr:from>
    <xdr:ext cx="561975" cy="561975"/>
    <xdr:pic>
      <xdr:nvPicPr>
        <xdr:cNvPr id="210" name="image462.png">
          <a:extLst>
            <a:ext uri="{FF2B5EF4-FFF2-40B4-BE49-F238E27FC236}">
              <a16:creationId xmlns:a16="http://schemas.microsoft.com/office/drawing/2014/main" id="{00000000-0008-0000-0200-0000D2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4</xdr:col>
      <xdr:colOff>0</xdr:colOff>
      <xdr:row>31</xdr:row>
      <xdr:rowOff>0</xdr:rowOff>
    </xdr:from>
    <xdr:ext cx="914400" cy="219075"/>
    <xdr:pic>
      <xdr:nvPicPr>
        <xdr:cNvPr id="211" name="image455.png">
          <a:extLst>
            <a:ext uri="{FF2B5EF4-FFF2-40B4-BE49-F238E27FC236}">
              <a16:creationId xmlns:a16="http://schemas.microsoft.com/office/drawing/2014/main" id="{00000000-0008-0000-0200-0000D3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6</xdr:col>
      <xdr:colOff>0</xdr:colOff>
      <xdr:row>31</xdr:row>
      <xdr:rowOff>0</xdr:rowOff>
    </xdr:from>
    <xdr:ext cx="485775" cy="485775"/>
    <xdr:pic>
      <xdr:nvPicPr>
        <xdr:cNvPr id="212" name="image450.png">
          <a:extLst>
            <a:ext uri="{FF2B5EF4-FFF2-40B4-BE49-F238E27FC236}">
              <a16:creationId xmlns:a16="http://schemas.microsoft.com/office/drawing/2014/main" id="{00000000-0008-0000-0200-0000D4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7</xdr:col>
      <xdr:colOff>0</xdr:colOff>
      <xdr:row>31</xdr:row>
      <xdr:rowOff>0</xdr:rowOff>
    </xdr:from>
    <xdr:ext cx="485775" cy="485775"/>
    <xdr:pic>
      <xdr:nvPicPr>
        <xdr:cNvPr id="213" name="image450.png">
          <a:extLst>
            <a:ext uri="{FF2B5EF4-FFF2-40B4-BE49-F238E27FC236}">
              <a16:creationId xmlns:a16="http://schemas.microsoft.com/office/drawing/2014/main" id="{00000000-0008-0000-0200-0000D5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8</xdr:col>
      <xdr:colOff>0</xdr:colOff>
      <xdr:row>31</xdr:row>
      <xdr:rowOff>0</xdr:rowOff>
    </xdr:from>
    <xdr:ext cx="485775" cy="485775"/>
    <xdr:pic>
      <xdr:nvPicPr>
        <xdr:cNvPr id="214" name="image442.png">
          <a:extLst>
            <a:ext uri="{FF2B5EF4-FFF2-40B4-BE49-F238E27FC236}">
              <a16:creationId xmlns:a16="http://schemas.microsoft.com/office/drawing/2014/main" id="{00000000-0008-0000-0200-0000D6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9</xdr:col>
      <xdr:colOff>0</xdr:colOff>
      <xdr:row>31</xdr:row>
      <xdr:rowOff>0</xdr:rowOff>
    </xdr:from>
    <xdr:ext cx="485775" cy="485775"/>
    <xdr:pic>
      <xdr:nvPicPr>
        <xdr:cNvPr id="215" name="image442.png">
          <a:extLst>
            <a:ext uri="{FF2B5EF4-FFF2-40B4-BE49-F238E27FC236}">
              <a16:creationId xmlns:a16="http://schemas.microsoft.com/office/drawing/2014/main" id="{00000000-0008-0000-0200-0000D7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10</xdr:col>
      <xdr:colOff>0</xdr:colOff>
      <xdr:row>31</xdr:row>
      <xdr:rowOff>0</xdr:rowOff>
    </xdr:from>
    <xdr:ext cx="485775" cy="485775"/>
    <xdr:pic>
      <xdr:nvPicPr>
        <xdr:cNvPr id="216" name="image456.png">
          <a:extLst>
            <a:ext uri="{FF2B5EF4-FFF2-40B4-BE49-F238E27FC236}">
              <a16:creationId xmlns:a16="http://schemas.microsoft.com/office/drawing/2014/main" id="{00000000-0008-0000-0200-0000D8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11</xdr:col>
      <xdr:colOff>0</xdr:colOff>
      <xdr:row>31</xdr:row>
      <xdr:rowOff>0</xdr:rowOff>
    </xdr:from>
    <xdr:ext cx="485775" cy="485775"/>
    <xdr:pic>
      <xdr:nvPicPr>
        <xdr:cNvPr id="217" name="image456.png">
          <a:extLst>
            <a:ext uri="{FF2B5EF4-FFF2-40B4-BE49-F238E27FC236}">
              <a16:creationId xmlns:a16="http://schemas.microsoft.com/office/drawing/2014/main" id="{00000000-0008-0000-0200-0000D9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3</xdr:col>
      <xdr:colOff>0</xdr:colOff>
      <xdr:row>32</xdr:row>
      <xdr:rowOff>0</xdr:rowOff>
    </xdr:from>
    <xdr:ext cx="666750" cy="666750"/>
    <xdr:pic>
      <xdr:nvPicPr>
        <xdr:cNvPr id="218" name="image458.png">
          <a:extLst>
            <a:ext uri="{FF2B5EF4-FFF2-40B4-BE49-F238E27FC236}">
              <a16:creationId xmlns:a16="http://schemas.microsoft.com/office/drawing/2014/main" id="{00000000-0008-0000-0200-0000DA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4</xdr:col>
      <xdr:colOff>0</xdr:colOff>
      <xdr:row>32</xdr:row>
      <xdr:rowOff>0</xdr:rowOff>
    </xdr:from>
    <xdr:ext cx="914400" cy="209550"/>
    <xdr:pic>
      <xdr:nvPicPr>
        <xdr:cNvPr id="219" name="image453.png">
          <a:extLst>
            <a:ext uri="{FF2B5EF4-FFF2-40B4-BE49-F238E27FC236}">
              <a16:creationId xmlns:a16="http://schemas.microsoft.com/office/drawing/2014/main" id="{00000000-0008-0000-0200-0000DB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6</xdr:col>
      <xdr:colOff>0</xdr:colOff>
      <xdr:row>32</xdr:row>
      <xdr:rowOff>0</xdr:rowOff>
    </xdr:from>
    <xdr:ext cx="485775" cy="485775"/>
    <xdr:pic>
      <xdr:nvPicPr>
        <xdr:cNvPr id="220" name="image459.png">
          <a:extLst>
            <a:ext uri="{FF2B5EF4-FFF2-40B4-BE49-F238E27FC236}">
              <a16:creationId xmlns:a16="http://schemas.microsoft.com/office/drawing/2014/main" id="{00000000-0008-0000-0200-0000DC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7</xdr:col>
      <xdr:colOff>0</xdr:colOff>
      <xdr:row>32</xdr:row>
      <xdr:rowOff>0</xdr:rowOff>
    </xdr:from>
    <xdr:ext cx="485775" cy="485775"/>
    <xdr:pic>
      <xdr:nvPicPr>
        <xdr:cNvPr id="221" name="image459.png">
          <a:extLst>
            <a:ext uri="{FF2B5EF4-FFF2-40B4-BE49-F238E27FC236}">
              <a16:creationId xmlns:a16="http://schemas.microsoft.com/office/drawing/2014/main" id="{00000000-0008-0000-0200-0000DD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8</xdr:col>
      <xdr:colOff>0</xdr:colOff>
      <xdr:row>32</xdr:row>
      <xdr:rowOff>0</xdr:rowOff>
    </xdr:from>
    <xdr:ext cx="485775" cy="485775"/>
    <xdr:pic>
      <xdr:nvPicPr>
        <xdr:cNvPr id="222" name="image460.png">
          <a:extLst>
            <a:ext uri="{FF2B5EF4-FFF2-40B4-BE49-F238E27FC236}">
              <a16:creationId xmlns:a16="http://schemas.microsoft.com/office/drawing/2014/main" id="{00000000-0008-0000-0200-0000DE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9</xdr:col>
      <xdr:colOff>0</xdr:colOff>
      <xdr:row>32</xdr:row>
      <xdr:rowOff>0</xdr:rowOff>
    </xdr:from>
    <xdr:ext cx="485775" cy="485775"/>
    <xdr:pic>
      <xdr:nvPicPr>
        <xdr:cNvPr id="223" name="image460.png">
          <a:extLst>
            <a:ext uri="{FF2B5EF4-FFF2-40B4-BE49-F238E27FC236}">
              <a16:creationId xmlns:a16="http://schemas.microsoft.com/office/drawing/2014/main" id="{00000000-0008-0000-0200-0000DF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10</xdr:col>
      <xdr:colOff>0</xdr:colOff>
      <xdr:row>32</xdr:row>
      <xdr:rowOff>0</xdr:rowOff>
    </xdr:from>
    <xdr:ext cx="485775" cy="485775"/>
    <xdr:pic>
      <xdr:nvPicPr>
        <xdr:cNvPr id="224" name="image459.png">
          <a:extLst>
            <a:ext uri="{FF2B5EF4-FFF2-40B4-BE49-F238E27FC236}">
              <a16:creationId xmlns:a16="http://schemas.microsoft.com/office/drawing/2014/main" id="{00000000-0008-0000-0200-0000E0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11</xdr:col>
      <xdr:colOff>0</xdr:colOff>
      <xdr:row>32</xdr:row>
      <xdr:rowOff>0</xdr:rowOff>
    </xdr:from>
    <xdr:ext cx="485775" cy="485775"/>
    <xdr:pic>
      <xdr:nvPicPr>
        <xdr:cNvPr id="225" name="image469.png">
          <a:extLst>
            <a:ext uri="{FF2B5EF4-FFF2-40B4-BE49-F238E27FC236}">
              <a16:creationId xmlns:a16="http://schemas.microsoft.com/office/drawing/2014/main" id="{00000000-0008-0000-0200-0000E1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3</xdr:col>
      <xdr:colOff>0</xdr:colOff>
      <xdr:row>33</xdr:row>
      <xdr:rowOff>0</xdr:rowOff>
    </xdr:from>
    <xdr:ext cx="666750" cy="666750"/>
    <xdr:pic>
      <xdr:nvPicPr>
        <xdr:cNvPr id="226" name="image463.png">
          <a:extLst>
            <a:ext uri="{FF2B5EF4-FFF2-40B4-BE49-F238E27FC236}">
              <a16:creationId xmlns:a16="http://schemas.microsoft.com/office/drawing/2014/main" id="{00000000-0008-0000-0200-0000E2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4</xdr:col>
      <xdr:colOff>0</xdr:colOff>
      <xdr:row>33</xdr:row>
      <xdr:rowOff>0</xdr:rowOff>
    </xdr:from>
    <xdr:ext cx="914400" cy="209550"/>
    <xdr:pic>
      <xdr:nvPicPr>
        <xdr:cNvPr id="227" name="image476.png">
          <a:extLst>
            <a:ext uri="{FF2B5EF4-FFF2-40B4-BE49-F238E27FC236}">
              <a16:creationId xmlns:a16="http://schemas.microsoft.com/office/drawing/2014/main" id="{00000000-0008-0000-0200-0000E3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6</xdr:col>
      <xdr:colOff>0</xdr:colOff>
      <xdr:row>33</xdr:row>
      <xdr:rowOff>0</xdr:rowOff>
    </xdr:from>
    <xdr:ext cx="485775" cy="485775"/>
    <xdr:pic>
      <xdr:nvPicPr>
        <xdr:cNvPr id="228" name="image461.png">
          <a:extLst>
            <a:ext uri="{FF2B5EF4-FFF2-40B4-BE49-F238E27FC236}">
              <a16:creationId xmlns:a16="http://schemas.microsoft.com/office/drawing/2014/main" id="{00000000-0008-0000-0200-0000E4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7</xdr:col>
      <xdr:colOff>0</xdr:colOff>
      <xdr:row>33</xdr:row>
      <xdr:rowOff>0</xdr:rowOff>
    </xdr:from>
    <xdr:ext cx="485775" cy="485775"/>
    <xdr:pic>
      <xdr:nvPicPr>
        <xdr:cNvPr id="229" name="image461.png">
          <a:extLst>
            <a:ext uri="{FF2B5EF4-FFF2-40B4-BE49-F238E27FC236}">
              <a16:creationId xmlns:a16="http://schemas.microsoft.com/office/drawing/2014/main" id="{00000000-0008-0000-0200-0000E5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8</xdr:col>
      <xdr:colOff>0</xdr:colOff>
      <xdr:row>33</xdr:row>
      <xdr:rowOff>0</xdr:rowOff>
    </xdr:from>
    <xdr:ext cx="485775" cy="485775"/>
    <xdr:pic>
      <xdr:nvPicPr>
        <xdr:cNvPr id="230" name="image461.png">
          <a:extLst>
            <a:ext uri="{FF2B5EF4-FFF2-40B4-BE49-F238E27FC236}">
              <a16:creationId xmlns:a16="http://schemas.microsoft.com/office/drawing/2014/main" id="{00000000-0008-0000-0200-0000E6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9</xdr:col>
      <xdr:colOff>0</xdr:colOff>
      <xdr:row>33</xdr:row>
      <xdr:rowOff>0</xdr:rowOff>
    </xdr:from>
    <xdr:ext cx="485775" cy="485775"/>
    <xdr:pic>
      <xdr:nvPicPr>
        <xdr:cNvPr id="231" name="image461.png">
          <a:extLst>
            <a:ext uri="{FF2B5EF4-FFF2-40B4-BE49-F238E27FC236}">
              <a16:creationId xmlns:a16="http://schemas.microsoft.com/office/drawing/2014/main" id="{00000000-0008-0000-0200-0000E7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10</xdr:col>
      <xdr:colOff>0</xdr:colOff>
      <xdr:row>33</xdr:row>
      <xdr:rowOff>0</xdr:rowOff>
    </xdr:from>
    <xdr:ext cx="485775" cy="485775"/>
    <xdr:pic>
      <xdr:nvPicPr>
        <xdr:cNvPr id="232" name="image473.png">
          <a:extLst>
            <a:ext uri="{FF2B5EF4-FFF2-40B4-BE49-F238E27FC236}">
              <a16:creationId xmlns:a16="http://schemas.microsoft.com/office/drawing/2014/main" id="{00000000-0008-0000-0200-0000E8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11</xdr:col>
      <xdr:colOff>0</xdr:colOff>
      <xdr:row>33</xdr:row>
      <xdr:rowOff>0</xdr:rowOff>
    </xdr:from>
    <xdr:ext cx="485775" cy="485775"/>
    <xdr:pic>
      <xdr:nvPicPr>
        <xdr:cNvPr id="233" name="image473.png">
          <a:extLst>
            <a:ext uri="{FF2B5EF4-FFF2-40B4-BE49-F238E27FC236}">
              <a16:creationId xmlns:a16="http://schemas.microsoft.com/office/drawing/2014/main" id="{00000000-0008-0000-0200-0000E9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3</xdr:col>
      <xdr:colOff>0</xdr:colOff>
      <xdr:row>34</xdr:row>
      <xdr:rowOff>0</xdr:rowOff>
    </xdr:from>
    <xdr:ext cx="666750" cy="666750"/>
    <xdr:pic>
      <xdr:nvPicPr>
        <xdr:cNvPr id="234" name="image465.png">
          <a:extLst>
            <a:ext uri="{FF2B5EF4-FFF2-40B4-BE49-F238E27FC236}">
              <a16:creationId xmlns:a16="http://schemas.microsoft.com/office/drawing/2014/main" id="{00000000-0008-0000-0200-0000EA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4</xdr:col>
      <xdr:colOff>0</xdr:colOff>
      <xdr:row>34</xdr:row>
      <xdr:rowOff>0</xdr:rowOff>
    </xdr:from>
    <xdr:ext cx="914400" cy="219075"/>
    <xdr:pic>
      <xdr:nvPicPr>
        <xdr:cNvPr id="235" name="image478.png">
          <a:extLst>
            <a:ext uri="{FF2B5EF4-FFF2-40B4-BE49-F238E27FC236}">
              <a16:creationId xmlns:a16="http://schemas.microsoft.com/office/drawing/2014/main" id="{00000000-0008-0000-0200-0000EB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6</xdr:col>
      <xdr:colOff>0</xdr:colOff>
      <xdr:row>34</xdr:row>
      <xdr:rowOff>0</xdr:rowOff>
    </xdr:from>
    <xdr:ext cx="485775" cy="485775"/>
    <xdr:pic>
      <xdr:nvPicPr>
        <xdr:cNvPr id="236" name="image472.png">
          <a:extLst>
            <a:ext uri="{FF2B5EF4-FFF2-40B4-BE49-F238E27FC236}">
              <a16:creationId xmlns:a16="http://schemas.microsoft.com/office/drawing/2014/main" id="{00000000-0008-0000-0200-0000EC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7</xdr:col>
      <xdr:colOff>0</xdr:colOff>
      <xdr:row>34</xdr:row>
      <xdr:rowOff>0</xdr:rowOff>
    </xdr:from>
    <xdr:ext cx="485775" cy="485775"/>
    <xdr:pic>
      <xdr:nvPicPr>
        <xdr:cNvPr id="237" name="image472.png">
          <a:extLst>
            <a:ext uri="{FF2B5EF4-FFF2-40B4-BE49-F238E27FC236}">
              <a16:creationId xmlns:a16="http://schemas.microsoft.com/office/drawing/2014/main" id="{00000000-0008-0000-0200-0000ED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8</xdr:col>
      <xdr:colOff>0</xdr:colOff>
      <xdr:row>34</xdr:row>
      <xdr:rowOff>0</xdr:rowOff>
    </xdr:from>
    <xdr:ext cx="485775" cy="485775"/>
    <xdr:pic>
      <xdr:nvPicPr>
        <xdr:cNvPr id="238" name="image466.png">
          <a:extLst>
            <a:ext uri="{FF2B5EF4-FFF2-40B4-BE49-F238E27FC236}">
              <a16:creationId xmlns:a16="http://schemas.microsoft.com/office/drawing/2014/main" id="{00000000-0008-0000-0200-0000EE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9</xdr:col>
      <xdr:colOff>0</xdr:colOff>
      <xdr:row>34</xdr:row>
      <xdr:rowOff>0</xdr:rowOff>
    </xdr:from>
    <xdr:ext cx="485775" cy="485775"/>
    <xdr:pic>
      <xdr:nvPicPr>
        <xdr:cNvPr id="239" name="image466.png">
          <a:extLst>
            <a:ext uri="{FF2B5EF4-FFF2-40B4-BE49-F238E27FC236}">
              <a16:creationId xmlns:a16="http://schemas.microsoft.com/office/drawing/2014/main" id="{00000000-0008-0000-0200-0000EF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10</xdr:col>
      <xdr:colOff>0</xdr:colOff>
      <xdr:row>34</xdr:row>
      <xdr:rowOff>0</xdr:rowOff>
    </xdr:from>
    <xdr:ext cx="485775" cy="485775"/>
    <xdr:pic>
      <xdr:nvPicPr>
        <xdr:cNvPr id="240" name="image472.png">
          <a:extLst>
            <a:ext uri="{FF2B5EF4-FFF2-40B4-BE49-F238E27FC236}">
              <a16:creationId xmlns:a16="http://schemas.microsoft.com/office/drawing/2014/main" id="{00000000-0008-0000-0200-0000F0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11</xdr:col>
      <xdr:colOff>0</xdr:colOff>
      <xdr:row>34</xdr:row>
      <xdr:rowOff>0</xdr:rowOff>
    </xdr:from>
    <xdr:ext cx="485775" cy="485775"/>
    <xdr:pic>
      <xdr:nvPicPr>
        <xdr:cNvPr id="241" name="image472.png">
          <a:extLst>
            <a:ext uri="{FF2B5EF4-FFF2-40B4-BE49-F238E27FC236}">
              <a16:creationId xmlns:a16="http://schemas.microsoft.com/office/drawing/2014/main" id="{00000000-0008-0000-0200-0000F1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3</xdr:col>
      <xdr:colOff>0</xdr:colOff>
      <xdr:row>35</xdr:row>
      <xdr:rowOff>0</xdr:rowOff>
    </xdr:from>
    <xdr:ext cx="666750" cy="666750"/>
    <xdr:pic>
      <xdr:nvPicPr>
        <xdr:cNvPr id="242" name="image464.png">
          <a:extLst>
            <a:ext uri="{FF2B5EF4-FFF2-40B4-BE49-F238E27FC236}">
              <a16:creationId xmlns:a16="http://schemas.microsoft.com/office/drawing/2014/main" id="{00000000-0008-0000-0200-0000F2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4</xdr:col>
      <xdr:colOff>0</xdr:colOff>
      <xdr:row>35</xdr:row>
      <xdr:rowOff>0</xdr:rowOff>
    </xdr:from>
    <xdr:ext cx="914400" cy="219075"/>
    <xdr:pic>
      <xdr:nvPicPr>
        <xdr:cNvPr id="243" name="image467.png">
          <a:extLst>
            <a:ext uri="{FF2B5EF4-FFF2-40B4-BE49-F238E27FC236}">
              <a16:creationId xmlns:a16="http://schemas.microsoft.com/office/drawing/2014/main" id="{00000000-0008-0000-0200-0000F3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6</xdr:col>
      <xdr:colOff>0</xdr:colOff>
      <xdr:row>35</xdr:row>
      <xdr:rowOff>0</xdr:rowOff>
    </xdr:from>
    <xdr:ext cx="485775" cy="485775"/>
    <xdr:pic>
      <xdr:nvPicPr>
        <xdr:cNvPr id="244" name="image468.png">
          <a:extLst>
            <a:ext uri="{FF2B5EF4-FFF2-40B4-BE49-F238E27FC236}">
              <a16:creationId xmlns:a16="http://schemas.microsoft.com/office/drawing/2014/main" id="{00000000-0008-0000-0200-0000F4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7</xdr:col>
      <xdr:colOff>0</xdr:colOff>
      <xdr:row>35</xdr:row>
      <xdr:rowOff>0</xdr:rowOff>
    </xdr:from>
    <xdr:ext cx="485775" cy="485775"/>
    <xdr:pic>
      <xdr:nvPicPr>
        <xdr:cNvPr id="245" name="image468.png">
          <a:extLst>
            <a:ext uri="{FF2B5EF4-FFF2-40B4-BE49-F238E27FC236}">
              <a16:creationId xmlns:a16="http://schemas.microsoft.com/office/drawing/2014/main" id="{00000000-0008-0000-0200-0000F5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8</xdr:col>
      <xdr:colOff>0</xdr:colOff>
      <xdr:row>35</xdr:row>
      <xdr:rowOff>0</xdr:rowOff>
    </xdr:from>
    <xdr:ext cx="485775" cy="485775"/>
    <xdr:pic>
      <xdr:nvPicPr>
        <xdr:cNvPr id="246" name="image477.png">
          <a:extLst>
            <a:ext uri="{FF2B5EF4-FFF2-40B4-BE49-F238E27FC236}">
              <a16:creationId xmlns:a16="http://schemas.microsoft.com/office/drawing/2014/main" id="{00000000-0008-0000-0200-0000F6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9</xdr:col>
      <xdr:colOff>0</xdr:colOff>
      <xdr:row>35</xdr:row>
      <xdr:rowOff>0</xdr:rowOff>
    </xdr:from>
    <xdr:ext cx="485775" cy="485775"/>
    <xdr:pic>
      <xdr:nvPicPr>
        <xdr:cNvPr id="247" name="image477.png">
          <a:extLst>
            <a:ext uri="{FF2B5EF4-FFF2-40B4-BE49-F238E27FC236}">
              <a16:creationId xmlns:a16="http://schemas.microsoft.com/office/drawing/2014/main" id="{00000000-0008-0000-0200-0000F7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10</xdr:col>
      <xdr:colOff>0</xdr:colOff>
      <xdr:row>35</xdr:row>
      <xdr:rowOff>0</xdr:rowOff>
    </xdr:from>
    <xdr:ext cx="485775" cy="485775"/>
    <xdr:pic>
      <xdr:nvPicPr>
        <xdr:cNvPr id="248" name="image468.png">
          <a:extLst>
            <a:ext uri="{FF2B5EF4-FFF2-40B4-BE49-F238E27FC236}">
              <a16:creationId xmlns:a16="http://schemas.microsoft.com/office/drawing/2014/main" id="{00000000-0008-0000-0200-0000F8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11</xdr:col>
      <xdr:colOff>0</xdr:colOff>
      <xdr:row>35</xdr:row>
      <xdr:rowOff>0</xdr:rowOff>
    </xdr:from>
    <xdr:ext cx="485775" cy="485775"/>
    <xdr:pic>
      <xdr:nvPicPr>
        <xdr:cNvPr id="249" name="image468.png">
          <a:extLst>
            <a:ext uri="{FF2B5EF4-FFF2-40B4-BE49-F238E27FC236}">
              <a16:creationId xmlns:a16="http://schemas.microsoft.com/office/drawing/2014/main" id="{00000000-0008-0000-0200-0000F9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4</xdr:col>
      <xdr:colOff>0</xdr:colOff>
      <xdr:row>36</xdr:row>
      <xdr:rowOff>0</xdr:rowOff>
    </xdr:from>
    <xdr:ext cx="914400" cy="219075"/>
    <xdr:pic>
      <xdr:nvPicPr>
        <xdr:cNvPr id="250" name="image445.png">
          <a:extLst>
            <a:ext uri="{FF2B5EF4-FFF2-40B4-BE49-F238E27FC236}">
              <a16:creationId xmlns:a16="http://schemas.microsoft.com/office/drawing/2014/main" id="{00000000-0008-0000-0200-0000FA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6</xdr:col>
      <xdr:colOff>0</xdr:colOff>
      <xdr:row>36</xdr:row>
      <xdr:rowOff>0</xdr:rowOff>
    </xdr:from>
    <xdr:ext cx="238125" cy="238125"/>
    <xdr:pic>
      <xdr:nvPicPr>
        <xdr:cNvPr id="251" name="image470.png">
          <a:extLst>
            <a:ext uri="{FF2B5EF4-FFF2-40B4-BE49-F238E27FC236}">
              <a16:creationId xmlns:a16="http://schemas.microsoft.com/office/drawing/2014/main" id="{00000000-0008-0000-0200-0000FB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7</xdr:col>
      <xdr:colOff>0</xdr:colOff>
      <xdr:row>36</xdr:row>
      <xdr:rowOff>0</xdr:rowOff>
    </xdr:from>
    <xdr:ext cx="238125" cy="238125"/>
    <xdr:pic>
      <xdr:nvPicPr>
        <xdr:cNvPr id="252" name="image470.png">
          <a:extLst>
            <a:ext uri="{FF2B5EF4-FFF2-40B4-BE49-F238E27FC236}">
              <a16:creationId xmlns:a16="http://schemas.microsoft.com/office/drawing/2014/main" id="{00000000-0008-0000-0200-0000FC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8</xdr:col>
      <xdr:colOff>0</xdr:colOff>
      <xdr:row>36</xdr:row>
      <xdr:rowOff>0</xdr:rowOff>
    </xdr:from>
    <xdr:ext cx="238125" cy="238125"/>
    <xdr:pic>
      <xdr:nvPicPr>
        <xdr:cNvPr id="253" name="image474.png">
          <a:extLst>
            <a:ext uri="{FF2B5EF4-FFF2-40B4-BE49-F238E27FC236}">
              <a16:creationId xmlns:a16="http://schemas.microsoft.com/office/drawing/2014/main" id="{00000000-0008-0000-0200-0000FD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9</xdr:col>
      <xdr:colOff>0</xdr:colOff>
      <xdr:row>36</xdr:row>
      <xdr:rowOff>0</xdr:rowOff>
    </xdr:from>
    <xdr:ext cx="238125" cy="238125"/>
    <xdr:pic>
      <xdr:nvPicPr>
        <xdr:cNvPr id="254" name="image474.png">
          <a:extLst>
            <a:ext uri="{FF2B5EF4-FFF2-40B4-BE49-F238E27FC236}">
              <a16:creationId xmlns:a16="http://schemas.microsoft.com/office/drawing/2014/main" id="{00000000-0008-0000-0200-0000FE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10</xdr:col>
      <xdr:colOff>0</xdr:colOff>
      <xdr:row>36</xdr:row>
      <xdr:rowOff>0</xdr:rowOff>
    </xdr:from>
    <xdr:ext cx="238125" cy="238125"/>
    <xdr:pic>
      <xdr:nvPicPr>
        <xdr:cNvPr id="255" name="image471.png">
          <a:extLst>
            <a:ext uri="{FF2B5EF4-FFF2-40B4-BE49-F238E27FC236}">
              <a16:creationId xmlns:a16="http://schemas.microsoft.com/office/drawing/2014/main" id="{00000000-0008-0000-0200-0000FF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11</xdr:col>
      <xdr:colOff>0</xdr:colOff>
      <xdr:row>36</xdr:row>
      <xdr:rowOff>0</xdr:rowOff>
    </xdr:from>
    <xdr:ext cx="238125" cy="238125"/>
    <xdr:pic>
      <xdr:nvPicPr>
        <xdr:cNvPr id="256" name="image471.png">
          <a:extLst>
            <a:ext uri="{FF2B5EF4-FFF2-40B4-BE49-F238E27FC236}">
              <a16:creationId xmlns:a16="http://schemas.microsoft.com/office/drawing/2014/main" id="{00000000-0008-0000-0200-00000001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3</xdr:col>
      <xdr:colOff>0</xdr:colOff>
      <xdr:row>37</xdr:row>
      <xdr:rowOff>0</xdr:rowOff>
    </xdr:from>
    <xdr:ext cx="666750" cy="666750"/>
    <xdr:pic>
      <xdr:nvPicPr>
        <xdr:cNvPr id="257" name="image489.png">
          <a:extLst>
            <a:ext uri="{FF2B5EF4-FFF2-40B4-BE49-F238E27FC236}">
              <a16:creationId xmlns:a16="http://schemas.microsoft.com/office/drawing/2014/main" id="{00000000-0008-0000-0200-00000101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3</xdr:col>
      <xdr:colOff>0</xdr:colOff>
      <xdr:row>39</xdr:row>
      <xdr:rowOff>0</xdr:rowOff>
    </xdr:from>
    <xdr:ext cx="666750" cy="666750"/>
    <xdr:pic>
      <xdr:nvPicPr>
        <xdr:cNvPr id="258" name="image482.png">
          <a:extLst>
            <a:ext uri="{FF2B5EF4-FFF2-40B4-BE49-F238E27FC236}">
              <a16:creationId xmlns:a16="http://schemas.microsoft.com/office/drawing/2014/main" id="{00000000-0008-0000-0200-00000201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4</xdr:col>
      <xdr:colOff>0</xdr:colOff>
      <xdr:row>39</xdr:row>
      <xdr:rowOff>0</xdr:rowOff>
    </xdr:from>
    <xdr:ext cx="914400" cy="209550"/>
    <xdr:pic>
      <xdr:nvPicPr>
        <xdr:cNvPr id="259" name="image475.png">
          <a:extLst>
            <a:ext uri="{FF2B5EF4-FFF2-40B4-BE49-F238E27FC236}">
              <a16:creationId xmlns:a16="http://schemas.microsoft.com/office/drawing/2014/main" id="{00000000-0008-0000-0200-00000301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6</xdr:col>
      <xdr:colOff>0</xdr:colOff>
      <xdr:row>39</xdr:row>
      <xdr:rowOff>0</xdr:rowOff>
    </xdr:from>
    <xdr:ext cx="485775" cy="485775"/>
    <xdr:pic>
      <xdr:nvPicPr>
        <xdr:cNvPr id="260" name="image479.png">
          <a:extLst>
            <a:ext uri="{FF2B5EF4-FFF2-40B4-BE49-F238E27FC236}">
              <a16:creationId xmlns:a16="http://schemas.microsoft.com/office/drawing/2014/main" id="{00000000-0008-0000-0200-00000401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7</xdr:col>
      <xdr:colOff>0</xdr:colOff>
      <xdr:row>39</xdr:row>
      <xdr:rowOff>0</xdr:rowOff>
    </xdr:from>
    <xdr:ext cx="485775" cy="485775"/>
    <xdr:pic>
      <xdr:nvPicPr>
        <xdr:cNvPr id="261" name="image479.png">
          <a:extLst>
            <a:ext uri="{FF2B5EF4-FFF2-40B4-BE49-F238E27FC236}">
              <a16:creationId xmlns:a16="http://schemas.microsoft.com/office/drawing/2014/main" id="{00000000-0008-0000-0200-00000501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8</xdr:col>
      <xdr:colOff>0</xdr:colOff>
      <xdr:row>39</xdr:row>
      <xdr:rowOff>0</xdr:rowOff>
    </xdr:from>
    <xdr:ext cx="485775" cy="485775"/>
    <xdr:pic>
      <xdr:nvPicPr>
        <xdr:cNvPr id="262" name="image491.png">
          <a:extLst>
            <a:ext uri="{FF2B5EF4-FFF2-40B4-BE49-F238E27FC236}">
              <a16:creationId xmlns:a16="http://schemas.microsoft.com/office/drawing/2014/main" id="{00000000-0008-0000-0200-00000601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9</xdr:col>
      <xdr:colOff>0</xdr:colOff>
      <xdr:row>39</xdr:row>
      <xdr:rowOff>0</xdr:rowOff>
    </xdr:from>
    <xdr:ext cx="485775" cy="485775"/>
    <xdr:pic>
      <xdr:nvPicPr>
        <xdr:cNvPr id="263" name="image491.png">
          <a:extLst>
            <a:ext uri="{FF2B5EF4-FFF2-40B4-BE49-F238E27FC236}">
              <a16:creationId xmlns:a16="http://schemas.microsoft.com/office/drawing/2014/main" id="{00000000-0008-0000-0200-00000701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10</xdr:col>
      <xdr:colOff>0</xdr:colOff>
      <xdr:row>39</xdr:row>
      <xdr:rowOff>0</xdr:rowOff>
    </xdr:from>
    <xdr:ext cx="485775" cy="485775"/>
    <xdr:pic>
      <xdr:nvPicPr>
        <xdr:cNvPr id="264" name="image490.png">
          <a:extLst>
            <a:ext uri="{FF2B5EF4-FFF2-40B4-BE49-F238E27FC236}">
              <a16:creationId xmlns:a16="http://schemas.microsoft.com/office/drawing/2014/main" id="{00000000-0008-0000-0200-00000801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11</xdr:col>
      <xdr:colOff>0</xdr:colOff>
      <xdr:row>39</xdr:row>
      <xdr:rowOff>0</xdr:rowOff>
    </xdr:from>
    <xdr:ext cx="485775" cy="485775"/>
    <xdr:pic>
      <xdr:nvPicPr>
        <xdr:cNvPr id="265" name="image490.png">
          <a:extLst>
            <a:ext uri="{FF2B5EF4-FFF2-40B4-BE49-F238E27FC236}">
              <a16:creationId xmlns:a16="http://schemas.microsoft.com/office/drawing/2014/main" id="{00000000-0008-0000-0200-00000901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3</xdr:col>
      <xdr:colOff>0</xdr:colOff>
      <xdr:row>40</xdr:row>
      <xdr:rowOff>0</xdr:rowOff>
    </xdr:from>
    <xdr:ext cx="666750" cy="666750"/>
    <xdr:pic>
      <xdr:nvPicPr>
        <xdr:cNvPr id="266" name="image480.png">
          <a:extLst>
            <a:ext uri="{FF2B5EF4-FFF2-40B4-BE49-F238E27FC236}">
              <a16:creationId xmlns:a16="http://schemas.microsoft.com/office/drawing/2014/main" id="{00000000-0008-0000-0200-00000A01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4</xdr:col>
      <xdr:colOff>0</xdr:colOff>
      <xdr:row>40</xdr:row>
      <xdr:rowOff>0</xdr:rowOff>
    </xdr:from>
    <xdr:ext cx="914400" cy="219075"/>
    <xdr:pic>
      <xdr:nvPicPr>
        <xdr:cNvPr id="267" name="image444.png">
          <a:extLst>
            <a:ext uri="{FF2B5EF4-FFF2-40B4-BE49-F238E27FC236}">
              <a16:creationId xmlns:a16="http://schemas.microsoft.com/office/drawing/2014/main" id="{00000000-0008-0000-0200-00000B01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6</xdr:col>
      <xdr:colOff>0</xdr:colOff>
      <xdr:row>40</xdr:row>
      <xdr:rowOff>0</xdr:rowOff>
    </xdr:from>
    <xdr:ext cx="485775" cy="485775"/>
    <xdr:pic>
      <xdr:nvPicPr>
        <xdr:cNvPr id="268" name="image483.png">
          <a:extLst>
            <a:ext uri="{FF2B5EF4-FFF2-40B4-BE49-F238E27FC236}">
              <a16:creationId xmlns:a16="http://schemas.microsoft.com/office/drawing/2014/main" id="{00000000-0008-0000-0200-00000C01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7</xdr:col>
      <xdr:colOff>0</xdr:colOff>
      <xdr:row>40</xdr:row>
      <xdr:rowOff>0</xdr:rowOff>
    </xdr:from>
    <xdr:ext cx="485775" cy="485775"/>
    <xdr:pic>
      <xdr:nvPicPr>
        <xdr:cNvPr id="269" name="image483.png">
          <a:extLst>
            <a:ext uri="{FF2B5EF4-FFF2-40B4-BE49-F238E27FC236}">
              <a16:creationId xmlns:a16="http://schemas.microsoft.com/office/drawing/2014/main" id="{00000000-0008-0000-0200-00000D01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8</xdr:col>
      <xdr:colOff>0</xdr:colOff>
      <xdr:row>40</xdr:row>
      <xdr:rowOff>0</xdr:rowOff>
    </xdr:from>
    <xdr:ext cx="485775" cy="485775"/>
    <xdr:pic>
      <xdr:nvPicPr>
        <xdr:cNvPr id="270" name="image483.png">
          <a:extLst>
            <a:ext uri="{FF2B5EF4-FFF2-40B4-BE49-F238E27FC236}">
              <a16:creationId xmlns:a16="http://schemas.microsoft.com/office/drawing/2014/main" id="{00000000-0008-0000-0200-00000E01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9</xdr:col>
      <xdr:colOff>0</xdr:colOff>
      <xdr:row>40</xdr:row>
      <xdr:rowOff>0</xdr:rowOff>
    </xdr:from>
    <xdr:ext cx="485775" cy="485775"/>
    <xdr:pic>
      <xdr:nvPicPr>
        <xdr:cNvPr id="271" name="image483.png">
          <a:extLst>
            <a:ext uri="{FF2B5EF4-FFF2-40B4-BE49-F238E27FC236}">
              <a16:creationId xmlns:a16="http://schemas.microsoft.com/office/drawing/2014/main" id="{00000000-0008-0000-0200-00000F01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10</xdr:col>
      <xdr:colOff>0</xdr:colOff>
      <xdr:row>40</xdr:row>
      <xdr:rowOff>0</xdr:rowOff>
    </xdr:from>
    <xdr:ext cx="485775" cy="485775"/>
    <xdr:pic>
      <xdr:nvPicPr>
        <xdr:cNvPr id="272" name="image470.png">
          <a:extLst>
            <a:ext uri="{FF2B5EF4-FFF2-40B4-BE49-F238E27FC236}">
              <a16:creationId xmlns:a16="http://schemas.microsoft.com/office/drawing/2014/main" id="{00000000-0008-0000-0200-00001001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11</xdr:col>
      <xdr:colOff>0</xdr:colOff>
      <xdr:row>40</xdr:row>
      <xdr:rowOff>0</xdr:rowOff>
    </xdr:from>
    <xdr:ext cx="485775" cy="485775"/>
    <xdr:pic>
      <xdr:nvPicPr>
        <xdr:cNvPr id="273" name="image470.png">
          <a:extLst>
            <a:ext uri="{FF2B5EF4-FFF2-40B4-BE49-F238E27FC236}">
              <a16:creationId xmlns:a16="http://schemas.microsoft.com/office/drawing/2014/main" id="{00000000-0008-0000-0200-00001101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3</xdr:col>
      <xdr:colOff>0</xdr:colOff>
      <xdr:row>41</xdr:row>
      <xdr:rowOff>0</xdr:rowOff>
    </xdr:from>
    <xdr:ext cx="666750" cy="666750"/>
    <xdr:pic>
      <xdr:nvPicPr>
        <xdr:cNvPr id="274" name="image493.png">
          <a:extLst>
            <a:ext uri="{FF2B5EF4-FFF2-40B4-BE49-F238E27FC236}">
              <a16:creationId xmlns:a16="http://schemas.microsoft.com/office/drawing/2014/main" id="{00000000-0008-0000-0200-00001201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4</xdr:col>
      <xdr:colOff>0</xdr:colOff>
      <xdr:row>41</xdr:row>
      <xdr:rowOff>0</xdr:rowOff>
    </xdr:from>
    <xdr:ext cx="914400" cy="219075"/>
    <xdr:pic>
      <xdr:nvPicPr>
        <xdr:cNvPr id="275" name="image455.png">
          <a:extLst>
            <a:ext uri="{FF2B5EF4-FFF2-40B4-BE49-F238E27FC236}">
              <a16:creationId xmlns:a16="http://schemas.microsoft.com/office/drawing/2014/main" id="{00000000-0008-0000-0200-00001301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6</xdr:col>
      <xdr:colOff>0</xdr:colOff>
      <xdr:row>41</xdr:row>
      <xdr:rowOff>0</xdr:rowOff>
    </xdr:from>
    <xdr:ext cx="485775" cy="485775"/>
    <xdr:pic>
      <xdr:nvPicPr>
        <xdr:cNvPr id="276" name="image487.png">
          <a:extLst>
            <a:ext uri="{FF2B5EF4-FFF2-40B4-BE49-F238E27FC236}">
              <a16:creationId xmlns:a16="http://schemas.microsoft.com/office/drawing/2014/main" id="{00000000-0008-0000-0200-00001401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7</xdr:col>
      <xdr:colOff>0</xdr:colOff>
      <xdr:row>41</xdr:row>
      <xdr:rowOff>0</xdr:rowOff>
    </xdr:from>
    <xdr:ext cx="485775" cy="485775"/>
    <xdr:pic>
      <xdr:nvPicPr>
        <xdr:cNvPr id="277" name="image487.png">
          <a:extLst>
            <a:ext uri="{FF2B5EF4-FFF2-40B4-BE49-F238E27FC236}">
              <a16:creationId xmlns:a16="http://schemas.microsoft.com/office/drawing/2014/main" id="{00000000-0008-0000-0200-00001501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8</xdr:col>
      <xdr:colOff>0</xdr:colOff>
      <xdr:row>41</xdr:row>
      <xdr:rowOff>0</xdr:rowOff>
    </xdr:from>
    <xdr:ext cx="485775" cy="485775"/>
    <xdr:pic>
      <xdr:nvPicPr>
        <xdr:cNvPr id="278" name="image481.png">
          <a:extLst>
            <a:ext uri="{FF2B5EF4-FFF2-40B4-BE49-F238E27FC236}">
              <a16:creationId xmlns:a16="http://schemas.microsoft.com/office/drawing/2014/main" id="{00000000-0008-0000-0200-00001601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9</xdr:col>
      <xdr:colOff>0</xdr:colOff>
      <xdr:row>41</xdr:row>
      <xdr:rowOff>0</xdr:rowOff>
    </xdr:from>
    <xdr:ext cx="485775" cy="485775"/>
    <xdr:pic>
      <xdr:nvPicPr>
        <xdr:cNvPr id="279" name="image481.png">
          <a:extLst>
            <a:ext uri="{FF2B5EF4-FFF2-40B4-BE49-F238E27FC236}">
              <a16:creationId xmlns:a16="http://schemas.microsoft.com/office/drawing/2014/main" id="{00000000-0008-0000-0200-00001701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10</xdr:col>
      <xdr:colOff>0</xdr:colOff>
      <xdr:row>41</xdr:row>
      <xdr:rowOff>0</xdr:rowOff>
    </xdr:from>
    <xdr:ext cx="485775" cy="485775"/>
    <xdr:pic>
      <xdr:nvPicPr>
        <xdr:cNvPr id="280" name="image492.png">
          <a:extLst>
            <a:ext uri="{FF2B5EF4-FFF2-40B4-BE49-F238E27FC236}">
              <a16:creationId xmlns:a16="http://schemas.microsoft.com/office/drawing/2014/main" id="{00000000-0008-0000-0200-00001801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11</xdr:col>
      <xdr:colOff>0</xdr:colOff>
      <xdr:row>41</xdr:row>
      <xdr:rowOff>0</xdr:rowOff>
    </xdr:from>
    <xdr:ext cx="485775" cy="485775"/>
    <xdr:pic>
      <xdr:nvPicPr>
        <xdr:cNvPr id="281" name="image492.png">
          <a:extLst>
            <a:ext uri="{FF2B5EF4-FFF2-40B4-BE49-F238E27FC236}">
              <a16:creationId xmlns:a16="http://schemas.microsoft.com/office/drawing/2014/main" id="{00000000-0008-0000-0200-00001901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3</xdr:col>
      <xdr:colOff>0</xdr:colOff>
      <xdr:row>42</xdr:row>
      <xdr:rowOff>0</xdr:rowOff>
    </xdr:from>
    <xdr:ext cx="666750" cy="666750"/>
    <xdr:pic>
      <xdr:nvPicPr>
        <xdr:cNvPr id="282" name="image488.png">
          <a:extLst>
            <a:ext uri="{FF2B5EF4-FFF2-40B4-BE49-F238E27FC236}">
              <a16:creationId xmlns:a16="http://schemas.microsoft.com/office/drawing/2014/main" id="{00000000-0008-0000-0200-00001A01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4</xdr:col>
      <xdr:colOff>0</xdr:colOff>
      <xdr:row>42</xdr:row>
      <xdr:rowOff>0</xdr:rowOff>
    </xdr:from>
    <xdr:ext cx="914400" cy="123825"/>
    <xdr:pic>
      <xdr:nvPicPr>
        <xdr:cNvPr id="283" name="image485.png">
          <a:extLst>
            <a:ext uri="{FF2B5EF4-FFF2-40B4-BE49-F238E27FC236}">
              <a16:creationId xmlns:a16="http://schemas.microsoft.com/office/drawing/2014/main" id="{00000000-0008-0000-0200-00001B01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6</xdr:col>
      <xdr:colOff>0</xdr:colOff>
      <xdr:row>42</xdr:row>
      <xdr:rowOff>0</xdr:rowOff>
    </xdr:from>
    <xdr:ext cx="485775" cy="485775"/>
    <xdr:pic>
      <xdr:nvPicPr>
        <xdr:cNvPr id="284" name="image484.png">
          <a:extLst>
            <a:ext uri="{FF2B5EF4-FFF2-40B4-BE49-F238E27FC236}">
              <a16:creationId xmlns:a16="http://schemas.microsoft.com/office/drawing/2014/main" id="{00000000-0008-0000-0200-00001C01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7</xdr:col>
      <xdr:colOff>0</xdr:colOff>
      <xdr:row>42</xdr:row>
      <xdr:rowOff>0</xdr:rowOff>
    </xdr:from>
    <xdr:ext cx="485775" cy="485775"/>
    <xdr:pic>
      <xdr:nvPicPr>
        <xdr:cNvPr id="285" name="image484.png">
          <a:extLst>
            <a:ext uri="{FF2B5EF4-FFF2-40B4-BE49-F238E27FC236}">
              <a16:creationId xmlns:a16="http://schemas.microsoft.com/office/drawing/2014/main" id="{00000000-0008-0000-0200-00001D01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8</xdr:col>
      <xdr:colOff>0</xdr:colOff>
      <xdr:row>42</xdr:row>
      <xdr:rowOff>0</xdr:rowOff>
    </xdr:from>
    <xdr:ext cx="485775" cy="485775"/>
    <xdr:pic>
      <xdr:nvPicPr>
        <xdr:cNvPr id="286" name="image484.png">
          <a:extLst>
            <a:ext uri="{FF2B5EF4-FFF2-40B4-BE49-F238E27FC236}">
              <a16:creationId xmlns:a16="http://schemas.microsoft.com/office/drawing/2014/main" id="{00000000-0008-0000-0200-00001E01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9</xdr:col>
      <xdr:colOff>0</xdr:colOff>
      <xdr:row>42</xdr:row>
      <xdr:rowOff>0</xdr:rowOff>
    </xdr:from>
    <xdr:ext cx="485775" cy="485775"/>
    <xdr:pic>
      <xdr:nvPicPr>
        <xdr:cNvPr id="287" name="image484.png">
          <a:extLst>
            <a:ext uri="{FF2B5EF4-FFF2-40B4-BE49-F238E27FC236}">
              <a16:creationId xmlns:a16="http://schemas.microsoft.com/office/drawing/2014/main" id="{00000000-0008-0000-0200-00001F01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10</xdr:col>
      <xdr:colOff>0</xdr:colOff>
      <xdr:row>42</xdr:row>
      <xdr:rowOff>0</xdr:rowOff>
    </xdr:from>
    <xdr:ext cx="485775" cy="485775"/>
    <xdr:pic>
      <xdr:nvPicPr>
        <xdr:cNvPr id="288" name="image486.png">
          <a:extLst>
            <a:ext uri="{FF2B5EF4-FFF2-40B4-BE49-F238E27FC236}">
              <a16:creationId xmlns:a16="http://schemas.microsoft.com/office/drawing/2014/main" id="{00000000-0008-0000-0200-00002001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11</xdr:col>
      <xdr:colOff>0</xdr:colOff>
      <xdr:row>42</xdr:row>
      <xdr:rowOff>0</xdr:rowOff>
    </xdr:from>
    <xdr:ext cx="485775" cy="485775"/>
    <xdr:pic>
      <xdr:nvPicPr>
        <xdr:cNvPr id="289" name="image486.png">
          <a:extLst>
            <a:ext uri="{FF2B5EF4-FFF2-40B4-BE49-F238E27FC236}">
              <a16:creationId xmlns:a16="http://schemas.microsoft.com/office/drawing/2014/main" id="{00000000-0008-0000-0200-00002101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3</xdr:col>
      <xdr:colOff>0</xdr:colOff>
      <xdr:row>43</xdr:row>
      <xdr:rowOff>0</xdr:rowOff>
    </xdr:from>
    <xdr:ext cx="666750" cy="666750"/>
    <xdr:pic>
      <xdr:nvPicPr>
        <xdr:cNvPr id="290" name="image496.png" title="Hình ảnh">
          <a:extLst>
            <a:ext uri="{FF2B5EF4-FFF2-40B4-BE49-F238E27FC236}">
              <a16:creationId xmlns:a16="http://schemas.microsoft.com/office/drawing/2014/main" id="{00000000-0008-0000-0200-00002201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4</xdr:col>
      <xdr:colOff>0</xdr:colOff>
      <xdr:row>43</xdr:row>
      <xdr:rowOff>0</xdr:rowOff>
    </xdr:from>
    <xdr:ext cx="914400" cy="123825"/>
    <xdr:pic>
      <xdr:nvPicPr>
        <xdr:cNvPr id="291" name="image504.png">
          <a:extLst>
            <a:ext uri="{FF2B5EF4-FFF2-40B4-BE49-F238E27FC236}">
              <a16:creationId xmlns:a16="http://schemas.microsoft.com/office/drawing/2014/main" id="{00000000-0008-0000-0200-00002301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6</xdr:col>
      <xdr:colOff>0</xdr:colOff>
      <xdr:row>43</xdr:row>
      <xdr:rowOff>0</xdr:rowOff>
    </xdr:from>
    <xdr:ext cx="485775" cy="485775"/>
    <xdr:pic>
      <xdr:nvPicPr>
        <xdr:cNvPr id="292" name="image487.png">
          <a:extLst>
            <a:ext uri="{FF2B5EF4-FFF2-40B4-BE49-F238E27FC236}">
              <a16:creationId xmlns:a16="http://schemas.microsoft.com/office/drawing/2014/main" id="{00000000-0008-0000-0200-00002401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7</xdr:col>
      <xdr:colOff>0</xdr:colOff>
      <xdr:row>43</xdr:row>
      <xdr:rowOff>0</xdr:rowOff>
    </xdr:from>
    <xdr:ext cx="485775" cy="485775"/>
    <xdr:pic>
      <xdr:nvPicPr>
        <xdr:cNvPr id="293" name="image508.png">
          <a:extLst>
            <a:ext uri="{FF2B5EF4-FFF2-40B4-BE49-F238E27FC236}">
              <a16:creationId xmlns:a16="http://schemas.microsoft.com/office/drawing/2014/main" id="{00000000-0008-0000-0200-00002501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8</xdr:col>
      <xdr:colOff>0</xdr:colOff>
      <xdr:row>43</xdr:row>
      <xdr:rowOff>0</xdr:rowOff>
    </xdr:from>
    <xdr:ext cx="485775" cy="485775"/>
    <xdr:pic>
      <xdr:nvPicPr>
        <xdr:cNvPr id="294" name="image474.png">
          <a:extLst>
            <a:ext uri="{FF2B5EF4-FFF2-40B4-BE49-F238E27FC236}">
              <a16:creationId xmlns:a16="http://schemas.microsoft.com/office/drawing/2014/main" id="{00000000-0008-0000-0200-00002601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9</xdr:col>
      <xdr:colOff>0</xdr:colOff>
      <xdr:row>43</xdr:row>
      <xdr:rowOff>0</xdr:rowOff>
    </xdr:from>
    <xdr:ext cx="485775" cy="485775"/>
    <xdr:pic>
      <xdr:nvPicPr>
        <xdr:cNvPr id="295" name="image474.png">
          <a:extLst>
            <a:ext uri="{FF2B5EF4-FFF2-40B4-BE49-F238E27FC236}">
              <a16:creationId xmlns:a16="http://schemas.microsoft.com/office/drawing/2014/main" id="{00000000-0008-0000-0200-00002701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10</xdr:col>
      <xdr:colOff>0</xdr:colOff>
      <xdr:row>43</xdr:row>
      <xdr:rowOff>0</xdr:rowOff>
    </xdr:from>
    <xdr:ext cx="485775" cy="485775"/>
    <xdr:pic>
      <xdr:nvPicPr>
        <xdr:cNvPr id="296" name="image471.png">
          <a:extLst>
            <a:ext uri="{FF2B5EF4-FFF2-40B4-BE49-F238E27FC236}">
              <a16:creationId xmlns:a16="http://schemas.microsoft.com/office/drawing/2014/main" id="{00000000-0008-0000-0200-00002801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11</xdr:col>
      <xdr:colOff>0</xdr:colOff>
      <xdr:row>43</xdr:row>
      <xdr:rowOff>0</xdr:rowOff>
    </xdr:from>
    <xdr:ext cx="485775" cy="485775"/>
    <xdr:pic>
      <xdr:nvPicPr>
        <xdr:cNvPr id="297" name="image471.png">
          <a:extLst>
            <a:ext uri="{FF2B5EF4-FFF2-40B4-BE49-F238E27FC236}">
              <a16:creationId xmlns:a16="http://schemas.microsoft.com/office/drawing/2014/main" id="{00000000-0008-0000-0200-00002901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3</xdr:col>
      <xdr:colOff>0</xdr:colOff>
      <xdr:row>44</xdr:row>
      <xdr:rowOff>0</xdr:rowOff>
    </xdr:from>
    <xdr:ext cx="666750" cy="666750"/>
    <xdr:pic>
      <xdr:nvPicPr>
        <xdr:cNvPr id="298" name="image495.png">
          <a:extLst>
            <a:ext uri="{FF2B5EF4-FFF2-40B4-BE49-F238E27FC236}">
              <a16:creationId xmlns:a16="http://schemas.microsoft.com/office/drawing/2014/main" id="{00000000-0008-0000-0200-00002A01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4</xdr:col>
      <xdr:colOff>0</xdr:colOff>
      <xdr:row>44</xdr:row>
      <xdr:rowOff>0</xdr:rowOff>
    </xdr:from>
    <xdr:ext cx="914400" cy="304800"/>
    <xdr:pic>
      <xdr:nvPicPr>
        <xdr:cNvPr id="299" name="image498.png">
          <a:extLst>
            <a:ext uri="{FF2B5EF4-FFF2-40B4-BE49-F238E27FC236}">
              <a16:creationId xmlns:a16="http://schemas.microsoft.com/office/drawing/2014/main" id="{00000000-0008-0000-0200-00002B01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6</xdr:col>
      <xdr:colOff>0</xdr:colOff>
      <xdr:row>44</xdr:row>
      <xdr:rowOff>0</xdr:rowOff>
    </xdr:from>
    <xdr:ext cx="485775" cy="485775"/>
    <xdr:pic>
      <xdr:nvPicPr>
        <xdr:cNvPr id="300" name="image497.png">
          <a:extLst>
            <a:ext uri="{FF2B5EF4-FFF2-40B4-BE49-F238E27FC236}">
              <a16:creationId xmlns:a16="http://schemas.microsoft.com/office/drawing/2014/main" id="{00000000-0008-0000-0200-00002C01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7</xdr:col>
      <xdr:colOff>0</xdr:colOff>
      <xdr:row>44</xdr:row>
      <xdr:rowOff>0</xdr:rowOff>
    </xdr:from>
    <xdr:ext cx="485775" cy="485775"/>
    <xdr:pic>
      <xdr:nvPicPr>
        <xdr:cNvPr id="301" name="image497.png">
          <a:extLst>
            <a:ext uri="{FF2B5EF4-FFF2-40B4-BE49-F238E27FC236}">
              <a16:creationId xmlns:a16="http://schemas.microsoft.com/office/drawing/2014/main" id="{00000000-0008-0000-0200-00002D01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8</xdr:col>
      <xdr:colOff>0</xdr:colOff>
      <xdr:row>44</xdr:row>
      <xdr:rowOff>0</xdr:rowOff>
    </xdr:from>
    <xdr:ext cx="485775" cy="485775"/>
    <xdr:pic>
      <xdr:nvPicPr>
        <xdr:cNvPr id="302" name="image490.png">
          <a:extLst>
            <a:ext uri="{FF2B5EF4-FFF2-40B4-BE49-F238E27FC236}">
              <a16:creationId xmlns:a16="http://schemas.microsoft.com/office/drawing/2014/main" id="{00000000-0008-0000-0200-00002E01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9</xdr:col>
      <xdr:colOff>0</xdr:colOff>
      <xdr:row>44</xdr:row>
      <xdr:rowOff>0</xdr:rowOff>
    </xdr:from>
    <xdr:ext cx="485775" cy="485775"/>
    <xdr:pic>
      <xdr:nvPicPr>
        <xdr:cNvPr id="303" name="image490.png">
          <a:extLst>
            <a:ext uri="{FF2B5EF4-FFF2-40B4-BE49-F238E27FC236}">
              <a16:creationId xmlns:a16="http://schemas.microsoft.com/office/drawing/2014/main" id="{00000000-0008-0000-0200-00002F01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10</xdr:col>
      <xdr:colOff>0</xdr:colOff>
      <xdr:row>44</xdr:row>
      <xdr:rowOff>0</xdr:rowOff>
    </xdr:from>
    <xdr:ext cx="485775" cy="485775"/>
    <xdr:pic>
      <xdr:nvPicPr>
        <xdr:cNvPr id="304" name="image497.png">
          <a:extLst>
            <a:ext uri="{FF2B5EF4-FFF2-40B4-BE49-F238E27FC236}">
              <a16:creationId xmlns:a16="http://schemas.microsoft.com/office/drawing/2014/main" id="{00000000-0008-0000-0200-00003001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11</xdr:col>
      <xdr:colOff>0</xdr:colOff>
      <xdr:row>44</xdr:row>
      <xdr:rowOff>0</xdr:rowOff>
    </xdr:from>
    <xdr:ext cx="485775" cy="485775"/>
    <xdr:pic>
      <xdr:nvPicPr>
        <xdr:cNvPr id="305" name="image502.png">
          <a:extLst>
            <a:ext uri="{FF2B5EF4-FFF2-40B4-BE49-F238E27FC236}">
              <a16:creationId xmlns:a16="http://schemas.microsoft.com/office/drawing/2014/main" id="{00000000-0008-0000-0200-00003101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3</xdr:col>
      <xdr:colOff>0</xdr:colOff>
      <xdr:row>45</xdr:row>
      <xdr:rowOff>0</xdr:rowOff>
    </xdr:from>
    <xdr:ext cx="666750" cy="666750"/>
    <xdr:pic>
      <xdr:nvPicPr>
        <xdr:cNvPr id="306" name="image506.png">
          <a:extLst>
            <a:ext uri="{FF2B5EF4-FFF2-40B4-BE49-F238E27FC236}">
              <a16:creationId xmlns:a16="http://schemas.microsoft.com/office/drawing/2014/main" id="{00000000-0008-0000-0200-00003201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4</xdr:col>
      <xdr:colOff>0</xdr:colOff>
      <xdr:row>45</xdr:row>
      <xdr:rowOff>0</xdr:rowOff>
    </xdr:from>
    <xdr:ext cx="914400" cy="304800"/>
    <xdr:pic>
      <xdr:nvPicPr>
        <xdr:cNvPr id="307" name="image512.png">
          <a:extLst>
            <a:ext uri="{FF2B5EF4-FFF2-40B4-BE49-F238E27FC236}">
              <a16:creationId xmlns:a16="http://schemas.microsoft.com/office/drawing/2014/main" id="{00000000-0008-0000-0200-00003301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6</xdr:col>
      <xdr:colOff>0</xdr:colOff>
      <xdr:row>45</xdr:row>
      <xdr:rowOff>0</xdr:rowOff>
    </xdr:from>
    <xdr:ext cx="485775" cy="485775"/>
    <xdr:pic>
      <xdr:nvPicPr>
        <xdr:cNvPr id="308" name="image499.png">
          <a:extLst>
            <a:ext uri="{FF2B5EF4-FFF2-40B4-BE49-F238E27FC236}">
              <a16:creationId xmlns:a16="http://schemas.microsoft.com/office/drawing/2014/main" id="{00000000-0008-0000-0200-00003401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7</xdr:col>
      <xdr:colOff>0</xdr:colOff>
      <xdr:row>45</xdr:row>
      <xdr:rowOff>0</xdr:rowOff>
    </xdr:from>
    <xdr:ext cx="485775" cy="485775"/>
    <xdr:pic>
      <xdr:nvPicPr>
        <xdr:cNvPr id="309" name="image499.png">
          <a:extLst>
            <a:ext uri="{FF2B5EF4-FFF2-40B4-BE49-F238E27FC236}">
              <a16:creationId xmlns:a16="http://schemas.microsoft.com/office/drawing/2014/main" id="{00000000-0008-0000-0200-00003501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8</xdr:col>
      <xdr:colOff>0</xdr:colOff>
      <xdr:row>45</xdr:row>
      <xdr:rowOff>0</xdr:rowOff>
    </xdr:from>
    <xdr:ext cx="485775" cy="485775"/>
    <xdr:pic>
      <xdr:nvPicPr>
        <xdr:cNvPr id="310" name="image474.png">
          <a:extLst>
            <a:ext uri="{FF2B5EF4-FFF2-40B4-BE49-F238E27FC236}">
              <a16:creationId xmlns:a16="http://schemas.microsoft.com/office/drawing/2014/main" id="{00000000-0008-0000-0200-00003601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9</xdr:col>
      <xdr:colOff>0</xdr:colOff>
      <xdr:row>45</xdr:row>
      <xdr:rowOff>0</xdr:rowOff>
    </xdr:from>
    <xdr:ext cx="485775" cy="485775"/>
    <xdr:pic>
      <xdr:nvPicPr>
        <xdr:cNvPr id="311" name="image474.png">
          <a:extLst>
            <a:ext uri="{FF2B5EF4-FFF2-40B4-BE49-F238E27FC236}">
              <a16:creationId xmlns:a16="http://schemas.microsoft.com/office/drawing/2014/main" id="{00000000-0008-0000-0200-00003701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10</xdr:col>
      <xdr:colOff>0</xdr:colOff>
      <xdr:row>45</xdr:row>
      <xdr:rowOff>0</xdr:rowOff>
    </xdr:from>
    <xdr:ext cx="485775" cy="485775"/>
    <xdr:pic>
      <xdr:nvPicPr>
        <xdr:cNvPr id="312" name="image494.png">
          <a:extLst>
            <a:ext uri="{FF2B5EF4-FFF2-40B4-BE49-F238E27FC236}">
              <a16:creationId xmlns:a16="http://schemas.microsoft.com/office/drawing/2014/main" id="{00000000-0008-0000-0200-00003801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11</xdr:col>
      <xdr:colOff>0</xdr:colOff>
      <xdr:row>45</xdr:row>
      <xdr:rowOff>0</xdr:rowOff>
    </xdr:from>
    <xdr:ext cx="485775" cy="485775"/>
    <xdr:pic>
      <xdr:nvPicPr>
        <xdr:cNvPr id="313" name="image494.png">
          <a:extLst>
            <a:ext uri="{FF2B5EF4-FFF2-40B4-BE49-F238E27FC236}">
              <a16:creationId xmlns:a16="http://schemas.microsoft.com/office/drawing/2014/main" id="{00000000-0008-0000-0200-00003901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3</xdr:col>
      <xdr:colOff>0</xdr:colOff>
      <xdr:row>46</xdr:row>
      <xdr:rowOff>0</xdr:rowOff>
    </xdr:from>
    <xdr:ext cx="666750" cy="666750"/>
    <xdr:pic>
      <xdr:nvPicPr>
        <xdr:cNvPr id="314" name="image509.png">
          <a:extLst>
            <a:ext uri="{FF2B5EF4-FFF2-40B4-BE49-F238E27FC236}">
              <a16:creationId xmlns:a16="http://schemas.microsoft.com/office/drawing/2014/main" id="{00000000-0008-0000-0200-00003A01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4</xdr:col>
      <xdr:colOff>0</xdr:colOff>
      <xdr:row>46</xdr:row>
      <xdr:rowOff>0</xdr:rowOff>
    </xdr:from>
    <xdr:ext cx="914400" cy="304800"/>
    <xdr:pic>
      <xdr:nvPicPr>
        <xdr:cNvPr id="315" name="image433.png">
          <a:extLst>
            <a:ext uri="{FF2B5EF4-FFF2-40B4-BE49-F238E27FC236}">
              <a16:creationId xmlns:a16="http://schemas.microsoft.com/office/drawing/2014/main" id="{00000000-0008-0000-0200-00003B01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6</xdr:col>
      <xdr:colOff>0</xdr:colOff>
      <xdr:row>46</xdr:row>
      <xdr:rowOff>0</xdr:rowOff>
    </xdr:from>
    <xdr:ext cx="485775" cy="485775"/>
    <xdr:pic>
      <xdr:nvPicPr>
        <xdr:cNvPr id="316" name="image501.png">
          <a:extLst>
            <a:ext uri="{FF2B5EF4-FFF2-40B4-BE49-F238E27FC236}">
              <a16:creationId xmlns:a16="http://schemas.microsoft.com/office/drawing/2014/main" id="{00000000-0008-0000-0200-00003C01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7</xdr:col>
      <xdr:colOff>0</xdr:colOff>
      <xdr:row>46</xdr:row>
      <xdr:rowOff>0</xdr:rowOff>
    </xdr:from>
    <xdr:ext cx="485775" cy="485775"/>
    <xdr:pic>
      <xdr:nvPicPr>
        <xdr:cNvPr id="317" name="image501.png">
          <a:extLst>
            <a:ext uri="{FF2B5EF4-FFF2-40B4-BE49-F238E27FC236}">
              <a16:creationId xmlns:a16="http://schemas.microsoft.com/office/drawing/2014/main" id="{00000000-0008-0000-0200-00003D01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8</xdr:col>
      <xdr:colOff>0</xdr:colOff>
      <xdr:row>46</xdr:row>
      <xdr:rowOff>0</xdr:rowOff>
    </xdr:from>
    <xdr:ext cx="485775" cy="485775"/>
    <xdr:pic>
      <xdr:nvPicPr>
        <xdr:cNvPr id="318" name="image501.png">
          <a:extLst>
            <a:ext uri="{FF2B5EF4-FFF2-40B4-BE49-F238E27FC236}">
              <a16:creationId xmlns:a16="http://schemas.microsoft.com/office/drawing/2014/main" id="{00000000-0008-0000-0200-00003E01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9</xdr:col>
      <xdr:colOff>0</xdr:colOff>
      <xdr:row>46</xdr:row>
      <xdr:rowOff>0</xdr:rowOff>
    </xdr:from>
    <xdr:ext cx="485775" cy="485775"/>
    <xdr:pic>
      <xdr:nvPicPr>
        <xdr:cNvPr id="319" name="image501.png">
          <a:extLst>
            <a:ext uri="{FF2B5EF4-FFF2-40B4-BE49-F238E27FC236}">
              <a16:creationId xmlns:a16="http://schemas.microsoft.com/office/drawing/2014/main" id="{00000000-0008-0000-0200-00003F01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10</xdr:col>
      <xdr:colOff>0</xdr:colOff>
      <xdr:row>46</xdr:row>
      <xdr:rowOff>0</xdr:rowOff>
    </xdr:from>
    <xdr:ext cx="485775" cy="485775"/>
    <xdr:pic>
      <xdr:nvPicPr>
        <xdr:cNvPr id="320" name="image500.png">
          <a:extLst>
            <a:ext uri="{FF2B5EF4-FFF2-40B4-BE49-F238E27FC236}">
              <a16:creationId xmlns:a16="http://schemas.microsoft.com/office/drawing/2014/main" id="{00000000-0008-0000-0200-00004001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11</xdr:col>
      <xdr:colOff>0</xdr:colOff>
      <xdr:row>46</xdr:row>
      <xdr:rowOff>0</xdr:rowOff>
    </xdr:from>
    <xdr:ext cx="485775" cy="485775"/>
    <xdr:pic>
      <xdr:nvPicPr>
        <xdr:cNvPr id="321" name="image500.png">
          <a:extLst>
            <a:ext uri="{FF2B5EF4-FFF2-40B4-BE49-F238E27FC236}">
              <a16:creationId xmlns:a16="http://schemas.microsoft.com/office/drawing/2014/main" id="{00000000-0008-0000-0200-00004101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3</xdr:col>
      <xdr:colOff>0</xdr:colOff>
      <xdr:row>47</xdr:row>
      <xdr:rowOff>0</xdr:rowOff>
    </xdr:from>
    <xdr:ext cx="666750" cy="666750"/>
    <xdr:pic>
      <xdr:nvPicPr>
        <xdr:cNvPr id="322" name="image517.png">
          <a:extLst>
            <a:ext uri="{FF2B5EF4-FFF2-40B4-BE49-F238E27FC236}">
              <a16:creationId xmlns:a16="http://schemas.microsoft.com/office/drawing/2014/main" id="{00000000-0008-0000-0200-00004201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4</xdr:col>
      <xdr:colOff>0</xdr:colOff>
      <xdr:row>47</xdr:row>
      <xdr:rowOff>0</xdr:rowOff>
    </xdr:from>
    <xdr:ext cx="914400" cy="304800"/>
    <xdr:pic>
      <xdr:nvPicPr>
        <xdr:cNvPr id="323" name="image503.png">
          <a:extLst>
            <a:ext uri="{FF2B5EF4-FFF2-40B4-BE49-F238E27FC236}">
              <a16:creationId xmlns:a16="http://schemas.microsoft.com/office/drawing/2014/main" id="{00000000-0008-0000-0200-00004301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6</xdr:col>
      <xdr:colOff>0</xdr:colOff>
      <xdr:row>47</xdr:row>
      <xdr:rowOff>0</xdr:rowOff>
    </xdr:from>
    <xdr:ext cx="485775" cy="485775"/>
    <xdr:pic>
      <xdr:nvPicPr>
        <xdr:cNvPr id="324" name="image520.png">
          <a:extLst>
            <a:ext uri="{FF2B5EF4-FFF2-40B4-BE49-F238E27FC236}">
              <a16:creationId xmlns:a16="http://schemas.microsoft.com/office/drawing/2014/main" id="{00000000-0008-0000-0200-00004401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7</xdr:col>
      <xdr:colOff>0</xdr:colOff>
      <xdr:row>47</xdr:row>
      <xdr:rowOff>0</xdr:rowOff>
    </xdr:from>
    <xdr:ext cx="485775" cy="485775"/>
    <xdr:pic>
      <xdr:nvPicPr>
        <xdr:cNvPr id="325" name="image520.png">
          <a:extLst>
            <a:ext uri="{FF2B5EF4-FFF2-40B4-BE49-F238E27FC236}">
              <a16:creationId xmlns:a16="http://schemas.microsoft.com/office/drawing/2014/main" id="{00000000-0008-0000-0200-00004501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8</xdr:col>
      <xdr:colOff>0</xdr:colOff>
      <xdr:row>47</xdr:row>
      <xdr:rowOff>0</xdr:rowOff>
    </xdr:from>
    <xdr:ext cx="485775" cy="485775"/>
    <xdr:pic>
      <xdr:nvPicPr>
        <xdr:cNvPr id="326" name="image505.png">
          <a:extLst>
            <a:ext uri="{FF2B5EF4-FFF2-40B4-BE49-F238E27FC236}">
              <a16:creationId xmlns:a16="http://schemas.microsoft.com/office/drawing/2014/main" id="{00000000-0008-0000-0200-00004601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9</xdr:col>
      <xdr:colOff>0</xdr:colOff>
      <xdr:row>47</xdr:row>
      <xdr:rowOff>0</xdr:rowOff>
    </xdr:from>
    <xdr:ext cx="485775" cy="485775"/>
    <xdr:pic>
      <xdr:nvPicPr>
        <xdr:cNvPr id="327" name="image505.png">
          <a:extLst>
            <a:ext uri="{FF2B5EF4-FFF2-40B4-BE49-F238E27FC236}">
              <a16:creationId xmlns:a16="http://schemas.microsoft.com/office/drawing/2014/main" id="{00000000-0008-0000-0200-00004701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10</xdr:col>
      <xdr:colOff>0</xdr:colOff>
      <xdr:row>47</xdr:row>
      <xdr:rowOff>0</xdr:rowOff>
    </xdr:from>
    <xdr:ext cx="485775" cy="485775"/>
    <xdr:pic>
      <xdr:nvPicPr>
        <xdr:cNvPr id="328" name="image513.png">
          <a:extLst>
            <a:ext uri="{FF2B5EF4-FFF2-40B4-BE49-F238E27FC236}">
              <a16:creationId xmlns:a16="http://schemas.microsoft.com/office/drawing/2014/main" id="{00000000-0008-0000-0200-00004801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11</xdr:col>
      <xdr:colOff>0</xdr:colOff>
      <xdr:row>47</xdr:row>
      <xdr:rowOff>0</xdr:rowOff>
    </xdr:from>
    <xdr:ext cx="485775" cy="485775"/>
    <xdr:pic>
      <xdr:nvPicPr>
        <xdr:cNvPr id="329" name="image513.png">
          <a:extLst>
            <a:ext uri="{FF2B5EF4-FFF2-40B4-BE49-F238E27FC236}">
              <a16:creationId xmlns:a16="http://schemas.microsoft.com/office/drawing/2014/main" id="{00000000-0008-0000-0200-00004901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3</xdr:col>
      <xdr:colOff>0</xdr:colOff>
      <xdr:row>48</xdr:row>
      <xdr:rowOff>0</xdr:rowOff>
    </xdr:from>
    <xdr:ext cx="666750" cy="666750"/>
    <xdr:pic>
      <xdr:nvPicPr>
        <xdr:cNvPr id="330" name="image507.png">
          <a:extLst>
            <a:ext uri="{FF2B5EF4-FFF2-40B4-BE49-F238E27FC236}">
              <a16:creationId xmlns:a16="http://schemas.microsoft.com/office/drawing/2014/main" id="{00000000-0008-0000-0200-00004A01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4</xdr:col>
      <xdr:colOff>0</xdr:colOff>
      <xdr:row>48</xdr:row>
      <xdr:rowOff>0</xdr:rowOff>
    </xdr:from>
    <xdr:ext cx="914400" cy="400050"/>
    <xdr:pic>
      <xdr:nvPicPr>
        <xdr:cNvPr id="331" name="image510.png">
          <a:extLst>
            <a:ext uri="{FF2B5EF4-FFF2-40B4-BE49-F238E27FC236}">
              <a16:creationId xmlns:a16="http://schemas.microsoft.com/office/drawing/2014/main" id="{00000000-0008-0000-0200-00004B01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6</xdr:col>
      <xdr:colOff>0</xdr:colOff>
      <xdr:row>48</xdr:row>
      <xdr:rowOff>0</xdr:rowOff>
    </xdr:from>
    <xdr:ext cx="485775" cy="485775"/>
    <xdr:pic>
      <xdr:nvPicPr>
        <xdr:cNvPr id="332" name="image522.png">
          <a:extLst>
            <a:ext uri="{FF2B5EF4-FFF2-40B4-BE49-F238E27FC236}">
              <a16:creationId xmlns:a16="http://schemas.microsoft.com/office/drawing/2014/main" id="{00000000-0008-0000-0200-00004C01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7</xdr:col>
      <xdr:colOff>0</xdr:colOff>
      <xdr:row>48</xdr:row>
      <xdr:rowOff>0</xdr:rowOff>
    </xdr:from>
    <xdr:ext cx="485775" cy="485775"/>
    <xdr:pic>
      <xdr:nvPicPr>
        <xdr:cNvPr id="333" name="image522.png">
          <a:extLst>
            <a:ext uri="{FF2B5EF4-FFF2-40B4-BE49-F238E27FC236}">
              <a16:creationId xmlns:a16="http://schemas.microsoft.com/office/drawing/2014/main" id="{00000000-0008-0000-0200-00004D01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8</xdr:col>
      <xdr:colOff>0</xdr:colOff>
      <xdr:row>48</xdr:row>
      <xdr:rowOff>0</xdr:rowOff>
    </xdr:from>
    <xdr:ext cx="485775" cy="485775"/>
    <xdr:pic>
      <xdr:nvPicPr>
        <xdr:cNvPr id="334" name="image511.png">
          <a:extLst>
            <a:ext uri="{FF2B5EF4-FFF2-40B4-BE49-F238E27FC236}">
              <a16:creationId xmlns:a16="http://schemas.microsoft.com/office/drawing/2014/main" id="{00000000-0008-0000-0200-00004E01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9</xdr:col>
      <xdr:colOff>0</xdr:colOff>
      <xdr:row>48</xdr:row>
      <xdr:rowOff>0</xdr:rowOff>
    </xdr:from>
    <xdr:ext cx="485775" cy="485775"/>
    <xdr:pic>
      <xdr:nvPicPr>
        <xdr:cNvPr id="335" name="image511.png">
          <a:extLst>
            <a:ext uri="{FF2B5EF4-FFF2-40B4-BE49-F238E27FC236}">
              <a16:creationId xmlns:a16="http://schemas.microsoft.com/office/drawing/2014/main" id="{00000000-0008-0000-0200-00004F01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10</xdr:col>
      <xdr:colOff>0</xdr:colOff>
      <xdr:row>48</xdr:row>
      <xdr:rowOff>0</xdr:rowOff>
    </xdr:from>
    <xdr:ext cx="485775" cy="485775"/>
    <xdr:pic>
      <xdr:nvPicPr>
        <xdr:cNvPr id="336" name="image522.png">
          <a:extLst>
            <a:ext uri="{FF2B5EF4-FFF2-40B4-BE49-F238E27FC236}">
              <a16:creationId xmlns:a16="http://schemas.microsoft.com/office/drawing/2014/main" id="{00000000-0008-0000-0200-00005001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11</xdr:col>
      <xdr:colOff>0</xdr:colOff>
      <xdr:row>48</xdr:row>
      <xdr:rowOff>0</xdr:rowOff>
    </xdr:from>
    <xdr:ext cx="485775" cy="485775"/>
    <xdr:pic>
      <xdr:nvPicPr>
        <xdr:cNvPr id="337" name="image519.png">
          <a:extLst>
            <a:ext uri="{FF2B5EF4-FFF2-40B4-BE49-F238E27FC236}">
              <a16:creationId xmlns:a16="http://schemas.microsoft.com/office/drawing/2014/main" id="{00000000-0008-0000-0200-00005101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3</xdr:col>
      <xdr:colOff>0</xdr:colOff>
      <xdr:row>49</xdr:row>
      <xdr:rowOff>0</xdr:rowOff>
    </xdr:from>
    <xdr:ext cx="666750" cy="666750"/>
    <xdr:pic>
      <xdr:nvPicPr>
        <xdr:cNvPr id="338" name="image525.png">
          <a:extLst>
            <a:ext uri="{FF2B5EF4-FFF2-40B4-BE49-F238E27FC236}">
              <a16:creationId xmlns:a16="http://schemas.microsoft.com/office/drawing/2014/main" id="{00000000-0008-0000-0200-00005201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4</xdr:col>
      <xdr:colOff>0</xdr:colOff>
      <xdr:row>49</xdr:row>
      <xdr:rowOff>0</xdr:rowOff>
    </xdr:from>
    <xdr:ext cx="914400" cy="304800"/>
    <xdr:pic>
      <xdr:nvPicPr>
        <xdr:cNvPr id="339" name="image433.png">
          <a:extLst>
            <a:ext uri="{FF2B5EF4-FFF2-40B4-BE49-F238E27FC236}">
              <a16:creationId xmlns:a16="http://schemas.microsoft.com/office/drawing/2014/main" id="{00000000-0008-0000-0200-00005301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6</xdr:col>
      <xdr:colOff>0</xdr:colOff>
      <xdr:row>49</xdr:row>
      <xdr:rowOff>0</xdr:rowOff>
    </xdr:from>
    <xdr:ext cx="485775" cy="485775"/>
    <xdr:pic>
      <xdr:nvPicPr>
        <xdr:cNvPr id="340" name="image518.png">
          <a:extLst>
            <a:ext uri="{FF2B5EF4-FFF2-40B4-BE49-F238E27FC236}">
              <a16:creationId xmlns:a16="http://schemas.microsoft.com/office/drawing/2014/main" id="{00000000-0008-0000-0200-00005401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7</xdr:col>
      <xdr:colOff>0</xdr:colOff>
      <xdr:row>49</xdr:row>
      <xdr:rowOff>0</xdr:rowOff>
    </xdr:from>
    <xdr:ext cx="485775" cy="485775"/>
    <xdr:pic>
      <xdr:nvPicPr>
        <xdr:cNvPr id="341" name="image518.png">
          <a:extLst>
            <a:ext uri="{FF2B5EF4-FFF2-40B4-BE49-F238E27FC236}">
              <a16:creationId xmlns:a16="http://schemas.microsoft.com/office/drawing/2014/main" id="{00000000-0008-0000-0200-00005501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8</xdr:col>
      <xdr:colOff>0</xdr:colOff>
      <xdr:row>49</xdr:row>
      <xdr:rowOff>0</xdr:rowOff>
    </xdr:from>
    <xdr:ext cx="485775" cy="485775"/>
    <xdr:pic>
      <xdr:nvPicPr>
        <xdr:cNvPr id="342" name="image515.png">
          <a:extLst>
            <a:ext uri="{FF2B5EF4-FFF2-40B4-BE49-F238E27FC236}">
              <a16:creationId xmlns:a16="http://schemas.microsoft.com/office/drawing/2014/main" id="{00000000-0008-0000-0200-00005601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9</xdr:col>
      <xdr:colOff>0</xdr:colOff>
      <xdr:row>49</xdr:row>
      <xdr:rowOff>0</xdr:rowOff>
    </xdr:from>
    <xdr:ext cx="485775" cy="485775"/>
    <xdr:pic>
      <xdr:nvPicPr>
        <xdr:cNvPr id="343" name="image515.png">
          <a:extLst>
            <a:ext uri="{FF2B5EF4-FFF2-40B4-BE49-F238E27FC236}">
              <a16:creationId xmlns:a16="http://schemas.microsoft.com/office/drawing/2014/main" id="{00000000-0008-0000-0200-00005701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10</xdr:col>
      <xdr:colOff>0</xdr:colOff>
      <xdr:row>49</xdr:row>
      <xdr:rowOff>0</xdr:rowOff>
    </xdr:from>
    <xdr:ext cx="485775" cy="485775"/>
    <xdr:pic>
      <xdr:nvPicPr>
        <xdr:cNvPr id="344" name="image535.png">
          <a:extLst>
            <a:ext uri="{FF2B5EF4-FFF2-40B4-BE49-F238E27FC236}">
              <a16:creationId xmlns:a16="http://schemas.microsoft.com/office/drawing/2014/main" id="{00000000-0008-0000-0200-00005801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11</xdr:col>
      <xdr:colOff>0</xdr:colOff>
      <xdr:row>49</xdr:row>
      <xdr:rowOff>0</xdr:rowOff>
    </xdr:from>
    <xdr:ext cx="485775" cy="485775"/>
    <xdr:pic>
      <xdr:nvPicPr>
        <xdr:cNvPr id="345" name="image535.png">
          <a:extLst>
            <a:ext uri="{FF2B5EF4-FFF2-40B4-BE49-F238E27FC236}">
              <a16:creationId xmlns:a16="http://schemas.microsoft.com/office/drawing/2014/main" id="{00000000-0008-0000-0200-00005901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3</xdr:col>
      <xdr:colOff>0</xdr:colOff>
      <xdr:row>50</xdr:row>
      <xdr:rowOff>0</xdr:rowOff>
    </xdr:from>
    <xdr:ext cx="666750" cy="666750"/>
    <xdr:pic>
      <xdr:nvPicPr>
        <xdr:cNvPr id="346" name="image524.png">
          <a:extLst>
            <a:ext uri="{FF2B5EF4-FFF2-40B4-BE49-F238E27FC236}">
              <a16:creationId xmlns:a16="http://schemas.microsoft.com/office/drawing/2014/main" id="{00000000-0008-0000-0200-00005A01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4</xdr:col>
      <xdr:colOff>0</xdr:colOff>
      <xdr:row>50</xdr:row>
      <xdr:rowOff>0</xdr:rowOff>
    </xdr:from>
    <xdr:ext cx="914400" cy="304800"/>
    <xdr:pic>
      <xdr:nvPicPr>
        <xdr:cNvPr id="347" name="image514.png">
          <a:extLst>
            <a:ext uri="{FF2B5EF4-FFF2-40B4-BE49-F238E27FC236}">
              <a16:creationId xmlns:a16="http://schemas.microsoft.com/office/drawing/2014/main" id="{00000000-0008-0000-0200-00005B01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6</xdr:col>
      <xdr:colOff>0</xdr:colOff>
      <xdr:row>50</xdr:row>
      <xdr:rowOff>0</xdr:rowOff>
    </xdr:from>
    <xdr:ext cx="485775" cy="485775"/>
    <xdr:pic>
      <xdr:nvPicPr>
        <xdr:cNvPr id="348" name="image516.png">
          <a:extLst>
            <a:ext uri="{FF2B5EF4-FFF2-40B4-BE49-F238E27FC236}">
              <a16:creationId xmlns:a16="http://schemas.microsoft.com/office/drawing/2014/main" id="{00000000-0008-0000-0200-00005C01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7</xdr:col>
      <xdr:colOff>0</xdr:colOff>
      <xdr:row>50</xdr:row>
      <xdr:rowOff>0</xdr:rowOff>
    </xdr:from>
    <xdr:ext cx="485775" cy="485775"/>
    <xdr:pic>
      <xdr:nvPicPr>
        <xdr:cNvPr id="349" name="image516.png">
          <a:extLst>
            <a:ext uri="{FF2B5EF4-FFF2-40B4-BE49-F238E27FC236}">
              <a16:creationId xmlns:a16="http://schemas.microsoft.com/office/drawing/2014/main" id="{00000000-0008-0000-0200-00005D01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8</xdr:col>
      <xdr:colOff>0</xdr:colOff>
      <xdr:row>50</xdr:row>
      <xdr:rowOff>0</xdr:rowOff>
    </xdr:from>
    <xdr:ext cx="485775" cy="485775"/>
    <xdr:pic>
      <xdr:nvPicPr>
        <xdr:cNvPr id="350" name="image513.png">
          <a:extLst>
            <a:ext uri="{FF2B5EF4-FFF2-40B4-BE49-F238E27FC236}">
              <a16:creationId xmlns:a16="http://schemas.microsoft.com/office/drawing/2014/main" id="{00000000-0008-0000-0200-00005E01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9</xdr:col>
      <xdr:colOff>0</xdr:colOff>
      <xdr:row>50</xdr:row>
      <xdr:rowOff>0</xdr:rowOff>
    </xdr:from>
    <xdr:ext cx="485775" cy="485775"/>
    <xdr:pic>
      <xdr:nvPicPr>
        <xdr:cNvPr id="351" name="image513.png">
          <a:extLst>
            <a:ext uri="{FF2B5EF4-FFF2-40B4-BE49-F238E27FC236}">
              <a16:creationId xmlns:a16="http://schemas.microsoft.com/office/drawing/2014/main" id="{00000000-0008-0000-0200-00005F01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10</xdr:col>
      <xdr:colOff>0</xdr:colOff>
      <xdr:row>50</xdr:row>
      <xdr:rowOff>0</xdr:rowOff>
    </xdr:from>
    <xdr:ext cx="485775" cy="485775"/>
    <xdr:pic>
      <xdr:nvPicPr>
        <xdr:cNvPr id="352" name="image516.png">
          <a:extLst>
            <a:ext uri="{FF2B5EF4-FFF2-40B4-BE49-F238E27FC236}">
              <a16:creationId xmlns:a16="http://schemas.microsoft.com/office/drawing/2014/main" id="{00000000-0008-0000-0200-00006001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11</xdr:col>
      <xdr:colOff>0</xdr:colOff>
      <xdr:row>50</xdr:row>
      <xdr:rowOff>0</xdr:rowOff>
    </xdr:from>
    <xdr:ext cx="485775" cy="485775"/>
    <xdr:pic>
      <xdr:nvPicPr>
        <xdr:cNvPr id="353" name="image521.png">
          <a:extLst>
            <a:ext uri="{FF2B5EF4-FFF2-40B4-BE49-F238E27FC236}">
              <a16:creationId xmlns:a16="http://schemas.microsoft.com/office/drawing/2014/main" id="{00000000-0008-0000-0200-00006101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3</xdr:col>
      <xdr:colOff>0</xdr:colOff>
      <xdr:row>51</xdr:row>
      <xdr:rowOff>0</xdr:rowOff>
    </xdr:from>
    <xdr:ext cx="666750" cy="666750"/>
    <xdr:pic>
      <xdr:nvPicPr>
        <xdr:cNvPr id="354" name="image523.png">
          <a:extLst>
            <a:ext uri="{FF2B5EF4-FFF2-40B4-BE49-F238E27FC236}">
              <a16:creationId xmlns:a16="http://schemas.microsoft.com/office/drawing/2014/main" id="{00000000-0008-0000-0200-00006201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4</xdr:col>
      <xdr:colOff>0</xdr:colOff>
      <xdr:row>51</xdr:row>
      <xdr:rowOff>0</xdr:rowOff>
    </xdr:from>
    <xdr:ext cx="914400" cy="304800"/>
    <xdr:pic>
      <xdr:nvPicPr>
        <xdr:cNvPr id="355" name="image531.png">
          <a:extLst>
            <a:ext uri="{FF2B5EF4-FFF2-40B4-BE49-F238E27FC236}">
              <a16:creationId xmlns:a16="http://schemas.microsoft.com/office/drawing/2014/main" id="{00000000-0008-0000-0200-00006301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6</xdr:col>
      <xdr:colOff>0</xdr:colOff>
      <xdr:row>51</xdr:row>
      <xdr:rowOff>0</xdr:rowOff>
    </xdr:from>
    <xdr:ext cx="485775" cy="485775"/>
    <xdr:pic>
      <xdr:nvPicPr>
        <xdr:cNvPr id="356" name="image527.png">
          <a:extLst>
            <a:ext uri="{FF2B5EF4-FFF2-40B4-BE49-F238E27FC236}">
              <a16:creationId xmlns:a16="http://schemas.microsoft.com/office/drawing/2014/main" id="{00000000-0008-0000-0200-00006401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7</xdr:col>
      <xdr:colOff>0</xdr:colOff>
      <xdr:row>51</xdr:row>
      <xdr:rowOff>0</xdr:rowOff>
    </xdr:from>
    <xdr:ext cx="485775" cy="485775"/>
    <xdr:pic>
      <xdr:nvPicPr>
        <xdr:cNvPr id="357" name="image527.png">
          <a:extLst>
            <a:ext uri="{FF2B5EF4-FFF2-40B4-BE49-F238E27FC236}">
              <a16:creationId xmlns:a16="http://schemas.microsoft.com/office/drawing/2014/main" id="{00000000-0008-0000-0200-00006501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8</xdr:col>
      <xdr:colOff>0</xdr:colOff>
      <xdr:row>51</xdr:row>
      <xdr:rowOff>0</xdr:rowOff>
    </xdr:from>
    <xdr:ext cx="485775" cy="485775"/>
    <xdr:pic>
      <xdr:nvPicPr>
        <xdr:cNvPr id="358" name="image526.png">
          <a:extLst>
            <a:ext uri="{FF2B5EF4-FFF2-40B4-BE49-F238E27FC236}">
              <a16:creationId xmlns:a16="http://schemas.microsoft.com/office/drawing/2014/main" id="{00000000-0008-0000-0200-00006601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9</xdr:col>
      <xdr:colOff>0</xdr:colOff>
      <xdr:row>51</xdr:row>
      <xdr:rowOff>0</xdr:rowOff>
    </xdr:from>
    <xdr:ext cx="485775" cy="485775"/>
    <xdr:pic>
      <xdr:nvPicPr>
        <xdr:cNvPr id="359" name="image526.png">
          <a:extLst>
            <a:ext uri="{FF2B5EF4-FFF2-40B4-BE49-F238E27FC236}">
              <a16:creationId xmlns:a16="http://schemas.microsoft.com/office/drawing/2014/main" id="{00000000-0008-0000-0200-00006701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10</xdr:col>
      <xdr:colOff>0</xdr:colOff>
      <xdr:row>51</xdr:row>
      <xdr:rowOff>0</xdr:rowOff>
    </xdr:from>
    <xdr:ext cx="485775" cy="485775"/>
    <xdr:pic>
      <xdr:nvPicPr>
        <xdr:cNvPr id="360" name="image490.png">
          <a:extLst>
            <a:ext uri="{FF2B5EF4-FFF2-40B4-BE49-F238E27FC236}">
              <a16:creationId xmlns:a16="http://schemas.microsoft.com/office/drawing/2014/main" id="{00000000-0008-0000-0200-00006801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11</xdr:col>
      <xdr:colOff>0</xdr:colOff>
      <xdr:row>51</xdr:row>
      <xdr:rowOff>0</xdr:rowOff>
    </xdr:from>
    <xdr:ext cx="485775" cy="485775"/>
    <xdr:pic>
      <xdr:nvPicPr>
        <xdr:cNvPr id="361" name="image490.png">
          <a:extLst>
            <a:ext uri="{FF2B5EF4-FFF2-40B4-BE49-F238E27FC236}">
              <a16:creationId xmlns:a16="http://schemas.microsoft.com/office/drawing/2014/main" id="{00000000-0008-0000-0200-00006901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3</xdr:col>
      <xdr:colOff>0</xdr:colOff>
      <xdr:row>52</xdr:row>
      <xdr:rowOff>0</xdr:rowOff>
    </xdr:from>
    <xdr:ext cx="666750" cy="666750"/>
    <xdr:pic>
      <xdr:nvPicPr>
        <xdr:cNvPr id="362" name="image536.png">
          <a:extLst>
            <a:ext uri="{FF2B5EF4-FFF2-40B4-BE49-F238E27FC236}">
              <a16:creationId xmlns:a16="http://schemas.microsoft.com/office/drawing/2014/main" id="{00000000-0008-0000-0200-00006A01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4</xdr:col>
      <xdr:colOff>0</xdr:colOff>
      <xdr:row>52</xdr:row>
      <xdr:rowOff>0</xdr:rowOff>
    </xdr:from>
    <xdr:ext cx="914400" cy="209550"/>
    <xdr:pic>
      <xdr:nvPicPr>
        <xdr:cNvPr id="363" name="image537.png">
          <a:extLst>
            <a:ext uri="{FF2B5EF4-FFF2-40B4-BE49-F238E27FC236}">
              <a16:creationId xmlns:a16="http://schemas.microsoft.com/office/drawing/2014/main" id="{00000000-0008-0000-0200-00006B01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6</xdr:col>
      <xdr:colOff>0</xdr:colOff>
      <xdr:row>52</xdr:row>
      <xdr:rowOff>0</xdr:rowOff>
    </xdr:from>
    <xdr:ext cx="485775" cy="485775"/>
    <xdr:pic>
      <xdr:nvPicPr>
        <xdr:cNvPr id="364" name="image529.png">
          <a:extLst>
            <a:ext uri="{FF2B5EF4-FFF2-40B4-BE49-F238E27FC236}">
              <a16:creationId xmlns:a16="http://schemas.microsoft.com/office/drawing/2014/main" id="{00000000-0008-0000-0200-00006C01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7</xdr:col>
      <xdr:colOff>0</xdr:colOff>
      <xdr:row>52</xdr:row>
      <xdr:rowOff>0</xdr:rowOff>
    </xdr:from>
    <xdr:ext cx="485775" cy="485775"/>
    <xdr:pic>
      <xdr:nvPicPr>
        <xdr:cNvPr id="365" name="image529.png">
          <a:extLst>
            <a:ext uri="{FF2B5EF4-FFF2-40B4-BE49-F238E27FC236}">
              <a16:creationId xmlns:a16="http://schemas.microsoft.com/office/drawing/2014/main" id="{00000000-0008-0000-0200-00006D01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8</xdr:col>
      <xdr:colOff>0</xdr:colOff>
      <xdr:row>52</xdr:row>
      <xdr:rowOff>0</xdr:rowOff>
    </xdr:from>
    <xdr:ext cx="485775" cy="485775"/>
    <xdr:pic>
      <xdr:nvPicPr>
        <xdr:cNvPr id="366" name="image529.png">
          <a:extLst>
            <a:ext uri="{FF2B5EF4-FFF2-40B4-BE49-F238E27FC236}">
              <a16:creationId xmlns:a16="http://schemas.microsoft.com/office/drawing/2014/main" id="{00000000-0008-0000-0200-00006E01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9</xdr:col>
      <xdr:colOff>0</xdr:colOff>
      <xdr:row>52</xdr:row>
      <xdr:rowOff>0</xdr:rowOff>
    </xdr:from>
    <xdr:ext cx="485775" cy="485775"/>
    <xdr:pic>
      <xdr:nvPicPr>
        <xdr:cNvPr id="367" name="image529.png">
          <a:extLst>
            <a:ext uri="{FF2B5EF4-FFF2-40B4-BE49-F238E27FC236}">
              <a16:creationId xmlns:a16="http://schemas.microsoft.com/office/drawing/2014/main" id="{00000000-0008-0000-0200-00006F01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10</xdr:col>
      <xdr:colOff>0</xdr:colOff>
      <xdr:row>52</xdr:row>
      <xdr:rowOff>0</xdr:rowOff>
    </xdr:from>
    <xdr:ext cx="485775" cy="485775"/>
    <xdr:pic>
      <xdr:nvPicPr>
        <xdr:cNvPr id="368" name="image535.png">
          <a:extLst>
            <a:ext uri="{FF2B5EF4-FFF2-40B4-BE49-F238E27FC236}">
              <a16:creationId xmlns:a16="http://schemas.microsoft.com/office/drawing/2014/main" id="{00000000-0008-0000-0200-00007001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11</xdr:col>
      <xdr:colOff>0</xdr:colOff>
      <xdr:row>52</xdr:row>
      <xdr:rowOff>0</xdr:rowOff>
    </xdr:from>
    <xdr:ext cx="485775" cy="485775"/>
    <xdr:pic>
      <xdr:nvPicPr>
        <xdr:cNvPr id="369" name="image535.png">
          <a:extLst>
            <a:ext uri="{FF2B5EF4-FFF2-40B4-BE49-F238E27FC236}">
              <a16:creationId xmlns:a16="http://schemas.microsoft.com/office/drawing/2014/main" id="{00000000-0008-0000-0200-00007101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3</xdr:col>
      <xdr:colOff>0</xdr:colOff>
      <xdr:row>53</xdr:row>
      <xdr:rowOff>0</xdr:rowOff>
    </xdr:from>
    <xdr:ext cx="666750" cy="666750"/>
    <xdr:pic>
      <xdr:nvPicPr>
        <xdr:cNvPr id="370" name="image544.png">
          <a:extLst>
            <a:ext uri="{FF2B5EF4-FFF2-40B4-BE49-F238E27FC236}">
              <a16:creationId xmlns:a16="http://schemas.microsoft.com/office/drawing/2014/main" id="{00000000-0008-0000-0200-00007201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4</xdr:col>
      <xdr:colOff>0</xdr:colOff>
      <xdr:row>53</xdr:row>
      <xdr:rowOff>0</xdr:rowOff>
    </xdr:from>
    <xdr:ext cx="914400" cy="209550"/>
    <xdr:pic>
      <xdr:nvPicPr>
        <xdr:cNvPr id="371" name="image532.png">
          <a:extLst>
            <a:ext uri="{FF2B5EF4-FFF2-40B4-BE49-F238E27FC236}">
              <a16:creationId xmlns:a16="http://schemas.microsoft.com/office/drawing/2014/main" id="{00000000-0008-0000-0200-00007301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6</xdr:col>
      <xdr:colOff>0</xdr:colOff>
      <xdr:row>53</xdr:row>
      <xdr:rowOff>0</xdr:rowOff>
    </xdr:from>
    <xdr:ext cx="485775" cy="485775"/>
    <xdr:pic>
      <xdr:nvPicPr>
        <xdr:cNvPr id="372" name="image528.png">
          <a:extLst>
            <a:ext uri="{FF2B5EF4-FFF2-40B4-BE49-F238E27FC236}">
              <a16:creationId xmlns:a16="http://schemas.microsoft.com/office/drawing/2014/main" id="{00000000-0008-0000-0200-00007401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7</xdr:col>
      <xdr:colOff>0</xdr:colOff>
      <xdr:row>53</xdr:row>
      <xdr:rowOff>0</xdr:rowOff>
    </xdr:from>
    <xdr:ext cx="485775" cy="485775"/>
    <xdr:pic>
      <xdr:nvPicPr>
        <xdr:cNvPr id="373" name="image528.png">
          <a:extLst>
            <a:ext uri="{FF2B5EF4-FFF2-40B4-BE49-F238E27FC236}">
              <a16:creationId xmlns:a16="http://schemas.microsoft.com/office/drawing/2014/main" id="{00000000-0008-0000-0200-00007501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8</xdr:col>
      <xdr:colOff>0</xdr:colOff>
      <xdr:row>53</xdr:row>
      <xdr:rowOff>0</xdr:rowOff>
    </xdr:from>
    <xdr:ext cx="485775" cy="485775"/>
    <xdr:pic>
      <xdr:nvPicPr>
        <xdr:cNvPr id="374" name="image528.png">
          <a:extLst>
            <a:ext uri="{FF2B5EF4-FFF2-40B4-BE49-F238E27FC236}">
              <a16:creationId xmlns:a16="http://schemas.microsoft.com/office/drawing/2014/main" id="{00000000-0008-0000-0200-00007601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9</xdr:col>
      <xdr:colOff>0</xdr:colOff>
      <xdr:row>53</xdr:row>
      <xdr:rowOff>0</xdr:rowOff>
    </xdr:from>
    <xdr:ext cx="485775" cy="485775"/>
    <xdr:pic>
      <xdr:nvPicPr>
        <xdr:cNvPr id="375" name="image528.png">
          <a:extLst>
            <a:ext uri="{FF2B5EF4-FFF2-40B4-BE49-F238E27FC236}">
              <a16:creationId xmlns:a16="http://schemas.microsoft.com/office/drawing/2014/main" id="{00000000-0008-0000-0200-00007701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10</xdr:col>
      <xdr:colOff>0</xdr:colOff>
      <xdr:row>53</xdr:row>
      <xdr:rowOff>0</xdr:rowOff>
    </xdr:from>
    <xdr:ext cx="485775" cy="485775"/>
    <xdr:pic>
      <xdr:nvPicPr>
        <xdr:cNvPr id="376" name="image502.png">
          <a:extLst>
            <a:ext uri="{FF2B5EF4-FFF2-40B4-BE49-F238E27FC236}">
              <a16:creationId xmlns:a16="http://schemas.microsoft.com/office/drawing/2014/main" id="{00000000-0008-0000-0200-00007801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11</xdr:col>
      <xdr:colOff>0</xdr:colOff>
      <xdr:row>53</xdr:row>
      <xdr:rowOff>0</xdr:rowOff>
    </xdr:from>
    <xdr:ext cx="485775" cy="485775"/>
    <xdr:pic>
      <xdr:nvPicPr>
        <xdr:cNvPr id="377" name="image502.png">
          <a:extLst>
            <a:ext uri="{FF2B5EF4-FFF2-40B4-BE49-F238E27FC236}">
              <a16:creationId xmlns:a16="http://schemas.microsoft.com/office/drawing/2014/main" id="{00000000-0008-0000-0200-00007901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3</xdr:col>
      <xdr:colOff>0</xdr:colOff>
      <xdr:row>54</xdr:row>
      <xdr:rowOff>0</xdr:rowOff>
    </xdr:from>
    <xdr:ext cx="666750" cy="666750"/>
    <xdr:pic>
      <xdr:nvPicPr>
        <xdr:cNvPr id="378" name="image545.png">
          <a:extLst>
            <a:ext uri="{FF2B5EF4-FFF2-40B4-BE49-F238E27FC236}">
              <a16:creationId xmlns:a16="http://schemas.microsoft.com/office/drawing/2014/main" id="{00000000-0008-0000-0200-00007A01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4</xdr:col>
      <xdr:colOff>0</xdr:colOff>
      <xdr:row>54</xdr:row>
      <xdr:rowOff>0</xdr:rowOff>
    </xdr:from>
    <xdr:ext cx="914400" cy="209550"/>
    <xdr:pic>
      <xdr:nvPicPr>
        <xdr:cNvPr id="379" name="image534.png">
          <a:extLst>
            <a:ext uri="{FF2B5EF4-FFF2-40B4-BE49-F238E27FC236}">
              <a16:creationId xmlns:a16="http://schemas.microsoft.com/office/drawing/2014/main" id="{00000000-0008-0000-0200-00007B01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6</xdr:col>
      <xdr:colOff>0</xdr:colOff>
      <xdr:row>54</xdr:row>
      <xdr:rowOff>0</xdr:rowOff>
    </xdr:from>
    <xdr:ext cx="485775" cy="485775"/>
    <xdr:pic>
      <xdr:nvPicPr>
        <xdr:cNvPr id="380" name="image460.png">
          <a:extLst>
            <a:ext uri="{FF2B5EF4-FFF2-40B4-BE49-F238E27FC236}">
              <a16:creationId xmlns:a16="http://schemas.microsoft.com/office/drawing/2014/main" id="{00000000-0008-0000-0200-00007C01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7</xdr:col>
      <xdr:colOff>0</xdr:colOff>
      <xdr:row>54</xdr:row>
      <xdr:rowOff>0</xdr:rowOff>
    </xdr:from>
    <xdr:ext cx="485775" cy="485775"/>
    <xdr:pic>
      <xdr:nvPicPr>
        <xdr:cNvPr id="381" name="image460.png">
          <a:extLst>
            <a:ext uri="{FF2B5EF4-FFF2-40B4-BE49-F238E27FC236}">
              <a16:creationId xmlns:a16="http://schemas.microsoft.com/office/drawing/2014/main" id="{00000000-0008-0000-0200-00007D01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8</xdr:col>
      <xdr:colOff>0</xdr:colOff>
      <xdr:row>54</xdr:row>
      <xdr:rowOff>0</xdr:rowOff>
    </xdr:from>
    <xdr:ext cx="485775" cy="485775"/>
    <xdr:pic>
      <xdr:nvPicPr>
        <xdr:cNvPr id="382" name="image460.png">
          <a:extLst>
            <a:ext uri="{FF2B5EF4-FFF2-40B4-BE49-F238E27FC236}">
              <a16:creationId xmlns:a16="http://schemas.microsoft.com/office/drawing/2014/main" id="{00000000-0008-0000-0200-00007E01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9</xdr:col>
      <xdr:colOff>0</xdr:colOff>
      <xdr:row>54</xdr:row>
      <xdr:rowOff>0</xdr:rowOff>
    </xdr:from>
    <xdr:ext cx="485775" cy="485775"/>
    <xdr:pic>
      <xdr:nvPicPr>
        <xdr:cNvPr id="383" name="image460.png">
          <a:extLst>
            <a:ext uri="{FF2B5EF4-FFF2-40B4-BE49-F238E27FC236}">
              <a16:creationId xmlns:a16="http://schemas.microsoft.com/office/drawing/2014/main" id="{00000000-0008-0000-0200-00007F01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10</xdr:col>
      <xdr:colOff>0</xdr:colOff>
      <xdr:row>54</xdr:row>
      <xdr:rowOff>0</xdr:rowOff>
    </xdr:from>
    <xdr:ext cx="485775" cy="485775"/>
    <xdr:pic>
      <xdr:nvPicPr>
        <xdr:cNvPr id="384" name="image469.png">
          <a:extLst>
            <a:ext uri="{FF2B5EF4-FFF2-40B4-BE49-F238E27FC236}">
              <a16:creationId xmlns:a16="http://schemas.microsoft.com/office/drawing/2014/main" id="{00000000-0008-0000-0200-00008001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11</xdr:col>
      <xdr:colOff>0</xdr:colOff>
      <xdr:row>54</xdr:row>
      <xdr:rowOff>0</xdr:rowOff>
    </xdr:from>
    <xdr:ext cx="485775" cy="485775"/>
    <xdr:pic>
      <xdr:nvPicPr>
        <xdr:cNvPr id="385" name="image469.png">
          <a:extLst>
            <a:ext uri="{FF2B5EF4-FFF2-40B4-BE49-F238E27FC236}">
              <a16:creationId xmlns:a16="http://schemas.microsoft.com/office/drawing/2014/main" id="{00000000-0008-0000-0200-00008101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3</xdr:col>
      <xdr:colOff>0</xdr:colOff>
      <xdr:row>55</xdr:row>
      <xdr:rowOff>0</xdr:rowOff>
    </xdr:from>
    <xdr:ext cx="876300" cy="876300"/>
    <xdr:pic>
      <xdr:nvPicPr>
        <xdr:cNvPr id="386" name="image533.png">
          <a:extLst>
            <a:ext uri="{FF2B5EF4-FFF2-40B4-BE49-F238E27FC236}">
              <a16:creationId xmlns:a16="http://schemas.microsoft.com/office/drawing/2014/main" id="{00000000-0008-0000-0200-00008201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4</xdr:col>
      <xdr:colOff>0</xdr:colOff>
      <xdr:row>55</xdr:row>
      <xdr:rowOff>0</xdr:rowOff>
    </xdr:from>
    <xdr:ext cx="914400" cy="209550"/>
    <xdr:pic>
      <xdr:nvPicPr>
        <xdr:cNvPr id="387" name="image541.png">
          <a:extLst>
            <a:ext uri="{FF2B5EF4-FFF2-40B4-BE49-F238E27FC236}">
              <a16:creationId xmlns:a16="http://schemas.microsoft.com/office/drawing/2014/main" id="{00000000-0008-0000-0200-00008301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6</xdr:col>
      <xdr:colOff>0</xdr:colOff>
      <xdr:row>55</xdr:row>
      <xdr:rowOff>0</xdr:rowOff>
    </xdr:from>
    <xdr:ext cx="485775" cy="485775"/>
    <xdr:pic>
      <xdr:nvPicPr>
        <xdr:cNvPr id="388" name="image530.png">
          <a:extLst>
            <a:ext uri="{FF2B5EF4-FFF2-40B4-BE49-F238E27FC236}">
              <a16:creationId xmlns:a16="http://schemas.microsoft.com/office/drawing/2014/main" id="{00000000-0008-0000-0200-00008401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7</xdr:col>
      <xdr:colOff>0</xdr:colOff>
      <xdr:row>55</xdr:row>
      <xdr:rowOff>0</xdr:rowOff>
    </xdr:from>
    <xdr:ext cx="485775" cy="476250"/>
    <xdr:pic>
      <xdr:nvPicPr>
        <xdr:cNvPr id="389" name="image542.png">
          <a:extLst>
            <a:ext uri="{FF2B5EF4-FFF2-40B4-BE49-F238E27FC236}">
              <a16:creationId xmlns:a16="http://schemas.microsoft.com/office/drawing/2014/main" id="{00000000-0008-0000-0200-00008501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8</xdr:col>
      <xdr:colOff>0</xdr:colOff>
      <xdr:row>55</xdr:row>
      <xdr:rowOff>0</xdr:rowOff>
    </xdr:from>
    <xdr:ext cx="485775" cy="485775"/>
    <xdr:pic>
      <xdr:nvPicPr>
        <xdr:cNvPr id="390" name="image540.png">
          <a:extLst>
            <a:ext uri="{FF2B5EF4-FFF2-40B4-BE49-F238E27FC236}">
              <a16:creationId xmlns:a16="http://schemas.microsoft.com/office/drawing/2014/main" id="{00000000-0008-0000-0200-00008601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9</xdr:col>
      <xdr:colOff>0</xdr:colOff>
      <xdr:row>55</xdr:row>
      <xdr:rowOff>0</xdr:rowOff>
    </xdr:from>
    <xdr:ext cx="485775" cy="485775"/>
    <xdr:pic>
      <xdr:nvPicPr>
        <xdr:cNvPr id="391" name="image540.png">
          <a:extLst>
            <a:ext uri="{FF2B5EF4-FFF2-40B4-BE49-F238E27FC236}">
              <a16:creationId xmlns:a16="http://schemas.microsoft.com/office/drawing/2014/main" id="{00000000-0008-0000-0200-00008701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10</xdr:col>
      <xdr:colOff>0</xdr:colOff>
      <xdr:row>55</xdr:row>
      <xdr:rowOff>0</xdr:rowOff>
    </xdr:from>
    <xdr:ext cx="485775" cy="476250"/>
    <xdr:pic>
      <xdr:nvPicPr>
        <xdr:cNvPr id="392" name="image555.png">
          <a:extLst>
            <a:ext uri="{FF2B5EF4-FFF2-40B4-BE49-F238E27FC236}">
              <a16:creationId xmlns:a16="http://schemas.microsoft.com/office/drawing/2014/main" id="{00000000-0008-0000-0200-00008801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11</xdr:col>
      <xdr:colOff>0</xdr:colOff>
      <xdr:row>55</xdr:row>
      <xdr:rowOff>0</xdr:rowOff>
    </xdr:from>
    <xdr:ext cx="485775" cy="476250"/>
    <xdr:pic>
      <xdr:nvPicPr>
        <xdr:cNvPr id="393" name="image555.png">
          <a:extLst>
            <a:ext uri="{FF2B5EF4-FFF2-40B4-BE49-F238E27FC236}">
              <a16:creationId xmlns:a16="http://schemas.microsoft.com/office/drawing/2014/main" id="{00000000-0008-0000-0200-00008901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3</xdr:col>
      <xdr:colOff>0</xdr:colOff>
      <xdr:row>56</xdr:row>
      <xdr:rowOff>0</xdr:rowOff>
    </xdr:from>
    <xdr:ext cx="876300" cy="876300"/>
    <xdr:pic>
      <xdr:nvPicPr>
        <xdr:cNvPr id="394" name="image553.png">
          <a:extLst>
            <a:ext uri="{FF2B5EF4-FFF2-40B4-BE49-F238E27FC236}">
              <a16:creationId xmlns:a16="http://schemas.microsoft.com/office/drawing/2014/main" id="{00000000-0008-0000-0200-00008A01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4</xdr:col>
      <xdr:colOff>0</xdr:colOff>
      <xdr:row>56</xdr:row>
      <xdr:rowOff>0</xdr:rowOff>
    </xdr:from>
    <xdr:ext cx="914400" cy="304800"/>
    <xdr:pic>
      <xdr:nvPicPr>
        <xdr:cNvPr id="395" name="image539.png">
          <a:extLst>
            <a:ext uri="{FF2B5EF4-FFF2-40B4-BE49-F238E27FC236}">
              <a16:creationId xmlns:a16="http://schemas.microsoft.com/office/drawing/2014/main" id="{00000000-0008-0000-0200-00008B01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6</xdr:col>
      <xdr:colOff>0</xdr:colOff>
      <xdr:row>56</xdr:row>
      <xdr:rowOff>0</xdr:rowOff>
    </xdr:from>
    <xdr:ext cx="485775" cy="485775"/>
    <xdr:pic>
      <xdr:nvPicPr>
        <xdr:cNvPr id="396" name="image552.png">
          <a:extLst>
            <a:ext uri="{FF2B5EF4-FFF2-40B4-BE49-F238E27FC236}">
              <a16:creationId xmlns:a16="http://schemas.microsoft.com/office/drawing/2014/main" id="{00000000-0008-0000-0200-00008C01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7</xdr:col>
      <xdr:colOff>0</xdr:colOff>
      <xdr:row>56</xdr:row>
      <xdr:rowOff>0</xdr:rowOff>
    </xdr:from>
    <xdr:ext cx="485775" cy="485775"/>
    <xdr:pic>
      <xdr:nvPicPr>
        <xdr:cNvPr id="397" name="image552.png">
          <a:extLst>
            <a:ext uri="{FF2B5EF4-FFF2-40B4-BE49-F238E27FC236}">
              <a16:creationId xmlns:a16="http://schemas.microsoft.com/office/drawing/2014/main" id="{00000000-0008-0000-0200-00008D01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8</xdr:col>
      <xdr:colOff>0</xdr:colOff>
      <xdr:row>56</xdr:row>
      <xdr:rowOff>0</xdr:rowOff>
    </xdr:from>
    <xdr:ext cx="485775" cy="485775"/>
    <xdr:pic>
      <xdr:nvPicPr>
        <xdr:cNvPr id="398" name="image538.png">
          <a:extLst>
            <a:ext uri="{FF2B5EF4-FFF2-40B4-BE49-F238E27FC236}">
              <a16:creationId xmlns:a16="http://schemas.microsoft.com/office/drawing/2014/main" id="{00000000-0008-0000-0200-00008E01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9</xdr:col>
      <xdr:colOff>0</xdr:colOff>
      <xdr:row>56</xdr:row>
      <xdr:rowOff>0</xdr:rowOff>
    </xdr:from>
    <xdr:ext cx="485775" cy="485775"/>
    <xdr:pic>
      <xdr:nvPicPr>
        <xdr:cNvPr id="399" name="image538.png">
          <a:extLst>
            <a:ext uri="{FF2B5EF4-FFF2-40B4-BE49-F238E27FC236}">
              <a16:creationId xmlns:a16="http://schemas.microsoft.com/office/drawing/2014/main" id="{00000000-0008-0000-0200-00008F01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10</xdr:col>
      <xdr:colOff>0</xdr:colOff>
      <xdr:row>56</xdr:row>
      <xdr:rowOff>0</xdr:rowOff>
    </xdr:from>
    <xdr:ext cx="485775" cy="485775"/>
    <xdr:pic>
      <xdr:nvPicPr>
        <xdr:cNvPr id="400" name="image551.png">
          <a:extLst>
            <a:ext uri="{FF2B5EF4-FFF2-40B4-BE49-F238E27FC236}">
              <a16:creationId xmlns:a16="http://schemas.microsoft.com/office/drawing/2014/main" id="{00000000-0008-0000-0200-00009001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11</xdr:col>
      <xdr:colOff>0</xdr:colOff>
      <xdr:row>56</xdr:row>
      <xdr:rowOff>0</xdr:rowOff>
    </xdr:from>
    <xdr:ext cx="485775" cy="485775"/>
    <xdr:pic>
      <xdr:nvPicPr>
        <xdr:cNvPr id="401" name="image551.png">
          <a:extLst>
            <a:ext uri="{FF2B5EF4-FFF2-40B4-BE49-F238E27FC236}">
              <a16:creationId xmlns:a16="http://schemas.microsoft.com/office/drawing/2014/main" id="{00000000-0008-0000-0200-00009101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3</xdr:col>
      <xdr:colOff>0</xdr:colOff>
      <xdr:row>57</xdr:row>
      <xdr:rowOff>0</xdr:rowOff>
    </xdr:from>
    <xdr:ext cx="876300" cy="876300"/>
    <xdr:pic>
      <xdr:nvPicPr>
        <xdr:cNvPr id="402" name="image543.png">
          <a:extLst>
            <a:ext uri="{FF2B5EF4-FFF2-40B4-BE49-F238E27FC236}">
              <a16:creationId xmlns:a16="http://schemas.microsoft.com/office/drawing/2014/main" id="{00000000-0008-0000-0200-00009201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4</xdr:col>
      <xdr:colOff>0</xdr:colOff>
      <xdr:row>57</xdr:row>
      <xdr:rowOff>0</xdr:rowOff>
    </xdr:from>
    <xdr:ext cx="914400" cy="209550"/>
    <xdr:pic>
      <xdr:nvPicPr>
        <xdr:cNvPr id="403" name="image549.png">
          <a:extLst>
            <a:ext uri="{FF2B5EF4-FFF2-40B4-BE49-F238E27FC236}">
              <a16:creationId xmlns:a16="http://schemas.microsoft.com/office/drawing/2014/main" id="{00000000-0008-0000-0200-00009301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6</xdr:col>
      <xdr:colOff>0</xdr:colOff>
      <xdr:row>57</xdr:row>
      <xdr:rowOff>0</xdr:rowOff>
    </xdr:from>
    <xdr:ext cx="485775" cy="485775"/>
    <xdr:pic>
      <xdr:nvPicPr>
        <xdr:cNvPr id="404" name="image550.png">
          <a:extLst>
            <a:ext uri="{FF2B5EF4-FFF2-40B4-BE49-F238E27FC236}">
              <a16:creationId xmlns:a16="http://schemas.microsoft.com/office/drawing/2014/main" id="{00000000-0008-0000-0200-00009401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7</xdr:col>
      <xdr:colOff>0</xdr:colOff>
      <xdr:row>57</xdr:row>
      <xdr:rowOff>0</xdr:rowOff>
    </xdr:from>
    <xdr:ext cx="485775" cy="485775"/>
    <xdr:pic>
      <xdr:nvPicPr>
        <xdr:cNvPr id="405" name="image550.png">
          <a:extLst>
            <a:ext uri="{FF2B5EF4-FFF2-40B4-BE49-F238E27FC236}">
              <a16:creationId xmlns:a16="http://schemas.microsoft.com/office/drawing/2014/main" id="{00000000-0008-0000-0200-00009501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8</xdr:col>
      <xdr:colOff>0</xdr:colOff>
      <xdr:row>57</xdr:row>
      <xdr:rowOff>0</xdr:rowOff>
    </xdr:from>
    <xdr:ext cx="485775" cy="485775"/>
    <xdr:pic>
      <xdr:nvPicPr>
        <xdr:cNvPr id="406" name="image556.png">
          <a:extLst>
            <a:ext uri="{FF2B5EF4-FFF2-40B4-BE49-F238E27FC236}">
              <a16:creationId xmlns:a16="http://schemas.microsoft.com/office/drawing/2014/main" id="{00000000-0008-0000-0200-00009601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9</xdr:col>
      <xdr:colOff>0</xdr:colOff>
      <xdr:row>57</xdr:row>
      <xdr:rowOff>0</xdr:rowOff>
    </xdr:from>
    <xdr:ext cx="485775" cy="485775"/>
    <xdr:pic>
      <xdr:nvPicPr>
        <xdr:cNvPr id="407" name="image556.png">
          <a:extLst>
            <a:ext uri="{FF2B5EF4-FFF2-40B4-BE49-F238E27FC236}">
              <a16:creationId xmlns:a16="http://schemas.microsoft.com/office/drawing/2014/main" id="{00000000-0008-0000-0200-00009701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10</xdr:col>
      <xdr:colOff>0</xdr:colOff>
      <xdr:row>57</xdr:row>
      <xdr:rowOff>0</xdr:rowOff>
    </xdr:from>
    <xdr:ext cx="485775" cy="485775"/>
    <xdr:pic>
      <xdr:nvPicPr>
        <xdr:cNvPr id="408" name="image546.png">
          <a:extLst>
            <a:ext uri="{FF2B5EF4-FFF2-40B4-BE49-F238E27FC236}">
              <a16:creationId xmlns:a16="http://schemas.microsoft.com/office/drawing/2014/main" id="{00000000-0008-0000-0200-00009801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11</xdr:col>
      <xdr:colOff>0</xdr:colOff>
      <xdr:row>57</xdr:row>
      <xdr:rowOff>0</xdr:rowOff>
    </xdr:from>
    <xdr:ext cx="485775" cy="485775"/>
    <xdr:pic>
      <xdr:nvPicPr>
        <xdr:cNvPr id="409" name="image546.png">
          <a:extLst>
            <a:ext uri="{FF2B5EF4-FFF2-40B4-BE49-F238E27FC236}">
              <a16:creationId xmlns:a16="http://schemas.microsoft.com/office/drawing/2014/main" id="{00000000-0008-0000-0200-00009901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3</xdr:col>
      <xdr:colOff>0</xdr:colOff>
      <xdr:row>58</xdr:row>
      <xdr:rowOff>0</xdr:rowOff>
    </xdr:from>
    <xdr:ext cx="876300" cy="876300"/>
    <xdr:pic>
      <xdr:nvPicPr>
        <xdr:cNvPr id="410" name="image554.png">
          <a:extLst>
            <a:ext uri="{FF2B5EF4-FFF2-40B4-BE49-F238E27FC236}">
              <a16:creationId xmlns:a16="http://schemas.microsoft.com/office/drawing/2014/main" id="{00000000-0008-0000-0200-00009A01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4</xdr:col>
      <xdr:colOff>0</xdr:colOff>
      <xdr:row>58</xdr:row>
      <xdr:rowOff>0</xdr:rowOff>
    </xdr:from>
    <xdr:ext cx="914400" cy="209550"/>
    <xdr:pic>
      <xdr:nvPicPr>
        <xdr:cNvPr id="411" name="image547.png">
          <a:extLst>
            <a:ext uri="{FF2B5EF4-FFF2-40B4-BE49-F238E27FC236}">
              <a16:creationId xmlns:a16="http://schemas.microsoft.com/office/drawing/2014/main" id="{00000000-0008-0000-0200-00009B01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6</xdr:col>
      <xdr:colOff>0</xdr:colOff>
      <xdr:row>58</xdr:row>
      <xdr:rowOff>0</xdr:rowOff>
    </xdr:from>
    <xdr:ext cx="485775" cy="485775"/>
    <xdr:pic>
      <xdr:nvPicPr>
        <xdr:cNvPr id="412" name="image548.png">
          <a:extLst>
            <a:ext uri="{FF2B5EF4-FFF2-40B4-BE49-F238E27FC236}">
              <a16:creationId xmlns:a16="http://schemas.microsoft.com/office/drawing/2014/main" id="{00000000-0008-0000-0200-00009C01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7</xdr:col>
      <xdr:colOff>0</xdr:colOff>
      <xdr:row>58</xdr:row>
      <xdr:rowOff>0</xdr:rowOff>
    </xdr:from>
    <xdr:ext cx="485775" cy="485775"/>
    <xdr:pic>
      <xdr:nvPicPr>
        <xdr:cNvPr id="413" name="image548.png">
          <a:extLst>
            <a:ext uri="{FF2B5EF4-FFF2-40B4-BE49-F238E27FC236}">
              <a16:creationId xmlns:a16="http://schemas.microsoft.com/office/drawing/2014/main" id="{00000000-0008-0000-0200-00009D01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8</xdr:col>
      <xdr:colOff>0</xdr:colOff>
      <xdr:row>58</xdr:row>
      <xdr:rowOff>0</xdr:rowOff>
    </xdr:from>
    <xdr:ext cx="485775" cy="485775"/>
    <xdr:pic>
      <xdr:nvPicPr>
        <xdr:cNvPr id="414" name="image551.png">
          <a:extLst>
            <a:ext uri="{FF2B5EF4-FFF2-40B4-BE49-F238E27FC236}">
              <a16:creationId xmlns:a16="http://schemas.microsoft.com/office/drawing/2014/main" id="{00000000-0008-0000-0200-00009E01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9</xdr:col>
      <xdr:colOff>0</xdr:colOff>
      <xdr:row>58</xdr:row>
      <xdr:rowOff>0</xdr:rowOff>
    </xdr:from>
    <xdr:ext cx="485775" cy="485775"/>
    <xdr:pic>
      <xdr:nvPicPr>
        <xdr:cNvPr id="415" name="image551.png">
          <a:extLst>
            <a:ext uri="{FF2B5EF4-FFF2-40B4-BE49-F238E27FC236}">
              <a16:creationId xmlns:a16="http://schemas.microsoft.com/office/drawing/2014/main" id="{00000000-0008-0000-0200-00009F01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10</xdr:col>
      <xdr:colOff>0</xdr:colOff>
      <xdr:row>58</xdr:row>
      <xdr:rowOff>0</xdr:rowOff>
    </xdr:from>
    <xdr:ext cx="485775" cy="485775"/>
    <xdr:pic>
      <xdr:nvPicPr>
        <xdr:cNvPr id="416" name="image561.png">
          <a:extLst>
            <a:ext uri="{FF2B5EF4-FFF2-40B4-BE49-F238E27FC236}">
              <a16:creationId xmlns:a16="http://schemas.microsoft.com/office/drawing/2014/main" id="{00000000-0008-0000-0200-0000A001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11</xdr:col>
      <xdr:colOff>0</xdr:colOff>
      <xdr:row>58</xdr:row>
      <xdr:rowOff>0</xdr:rowOff>
    </xdr:from>
    <xdr:ext cx="485775" cy="485775"/>
    <xdr:pic>
      <xdr:nvPicPr>
        <xdr:cNvPr id="417" name="image561.png">
          <a:extLst>
            <a:ext uri="{FF2B5EF4-FFF2-40B4-BE49-F238E27FC236}">
              <a16:creationId xmlns:a16="http://schemas.microsoft.com/office/drawing/2014/main" id="{00000000-0008-0000-0200-0000A101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3</xdr:col>
      <xdr:colOff>0</xdr:colOff>
      <xdr:row>59</xdr:row>
      <xdr:rowOff>0</xdr:rowOff>
    </xdr:from>
    <xdr:ext cx="876300" cy="876300"/>
    <xdr:pic>
      <xdr:nvPicPr>
        <xdr:cNvPr id="418" name="image560.png">
          <a:extLst>
            <a:ext uri="{FF2B5EF4-FFF2-40B4-BE49-F238E27FC236}">
              <a16:creationId xmlns:a16="http://schemas.microsoft.com/office/drawing/2014/main" id="{00000000-0008-0000-0200-0000A201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4</xdr:col>
      <xdr:colOff>0</xdr:colOff>
      <xdr:row>59</xdr:row>
      <xdr:rowOff>0</xdr:rowOff>
    </xdr:from>
    <xdr:ext cx="914400" cy="304800"/>
    <xdr:pic>
      <xdr:nvPicPr>
        <xdr:cNvPr id="419" name="image557.png">
          <a:extLst>
            <a:ext uri="{FF2B5EF4-FFF2-40B4-BE49-F238E27FC236}">
              <a16:creationId xmlns:a16="http://schemas.microsoft.com/office/drawing/2014/main" id="{00000000-0008-0000-0200-0000A301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6</xdr:col>
      <xdr:colOff>0</xdr:colOff>
      <xdr:row>59</xdr:row>
      <xdr:rowOff>0</xdr:rowOff>
    </xdr:from>
    <xdr:ext cx="485775" cy="485775"/>
    <xdr:pic>
      <xdr:nvPicPr>
        <xdr:cNvPr id="420" name="image530.png">
          <a:extLst>
            <a:ext uri="{FF2B5EF4-FFF2-40B4-BE49-F238E27FC236}">
              <a16:creationId xmlns:a16="http://schemas.microsoft.com/office/drawing/2014/main" id="{00000000-0008-0000-0200-0000A401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7</xdr:col>
      <xdr:colOff>0</xdr:colOff>
      <xdr:row>59</xdr:row>
      <xdr:rowOff>0</xdr:rowOff>
    </xdr:from>
    <xdr:ext cx="485775" cy="485775"/>
    <xdr:pic>
      <xdr:nvPicPr>
        <xdr:cNvPr id="421" name="image530.png">
          <a:extLst>
            <a:ext uri="{FF2B5EF4-FFF2-40B4-BE49-F238E27FC236}">
              <a16:creationId xmlns:a16="http://schemas.microsoft.com/office/drawing/2014/main" id="{00000000-0008-0000-0200-0000A501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8</xdr:col>
      <xdr:colOff>0</xdr:colOff>
      <xdr:row>59</xdr:row>
      <xdr:rowOff>0</xdr:rowOff>
    </xdr:from>
    <xdr:ext cx="485775" cy="485775"/>
    <xdr:pic>
      <xdr:nvPicPr>
        <xdr:cNvPr id="422" name="image556.png">
          <a:extLst>
            <a:ext uri="{FF2B5EF4-FFF2-40B4-BE49-F238E27FC236}">
              <a16:creationId xmlns:a16="http://schemas.microsoft.com/office/drawing/2014/main" id="{00000000-0008-0000-0200-0000A601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9</xdr:col>
      <xdr:colOff>0</xdr:colOff>
      <xdr:row>59</xdr:row>
      <xdr:rowOff>0</xdr:rowOff>
    </xdr:from>
    <xdr:ext cx="485775" cy="485775"/>
    <xdr:pic>
      <xdr:nvPicPr>
        <xdr:cNvPr id="423" name="image556.png">
          <a:extLst>
            <a:ext uri="{FF2B5EF4-FFF2-40B4-BE49-F238E27FC236}">
              <a16:creationId xmlns:a16="http://schemas.microsoft.com/office/drawing/2014/main" id="{00000000-0008-0000-0200-0000A701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10</xdr:col>
      <xdr:colOff>0</xdr:colOff>
      <xdr:row>59</xdr:row>
      <xdr:rowOff>0</xdr:rowOff>
    </xdr:from>
    <xdr:ext cx="485775" cy="485775"/>
    <xdr:pic>
      <xdr:nvPicPr>
        <xdr:cNvPr id="424" name="image530.png">
          <a:extLst>
            <a:ext uri="{FF2B5EF4-FFF2-40B4-BE49-F238E27FC236}">
              <a16:creationId xmlns:a16="http://schemas.microsoft.com/office/drawing/2014/main" id="{00000000-0008-0000-0200-0000A801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11</xdr:col>
      <xdr:colOff>0</xdr:colOff>
      <xdr:row>59</xdr:row>
      <xdr:rowOff>0</xdr:rowOff>
    </xdr:from>
    <xdr:ext cx="485775" cy="485775"/>
    <xdr:pic>
      <xdr:nvPicPr>
        <xdr:cNvPr id="425" name="image561.png">
          <a:extLst>
            <a:ext uri="{FF2B5EF4-FFF2-40B4-BE49-F238E27FC236}">
              <a16:creationId xmlns:a16="http://schemas.microsoft.com/office/drawing/2014/main" id="{00000000-0008-0000-0200-0000A901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3</xdr:col>
      <xdr:colOff>0</xdr:colOff>
      <xdr:row>60</xdr:row>
      <xdr:rowOff>0</xdr:rowOff>
    </xdr:from>
    <xdr:ext cx="876300" cy="876300"/>
    <xdr:pic>
      <xdr:nvPicPr>
        <xdr:cNvPr id="426" name="image559.png">
          <a:extLst>
            <a:ext uri="{FF2B5EF4-FFF2-40B4-BE49-F238E27FC236}">
              <a16:creationId xmlns:a16="http://schemas.microsoft.com/office/drawing/2014/main" id="{00000000-0008-0000-0200-0000AA01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4</xdr:col>
      <xdr:colOff>0</xdr:colOff>
      <xdr:row>60</xdr:row>
      <xdr:rowOff>0</xdr:rowOff>
    </xdr:from>
    <xdr:ext cx="914400" cy="209550"/>
    <xdr:pic>
      <xdr:nvPicPr>
        <xdr:cNvPr id="427" name="image558.png">
          <a:extLst>
            <a:ext uri="{FF2B5EF4-FFF2-40B4-BE49-F238E27FC236}">
              <a16:creationId xmlns:a16="http://schemas.microsoft.com/office/drawing/2014/main" id="{00000000-0008-0000-0200-0000AB01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6</xdr:col>
      <xdr:colOff>0</xdr:colOff>
      <xdr:row>60</xdr:row>
      <xdr:rowOff>0</xdr:rowOff>
    </xdr:from>
    <xdr:ext cx="485775" cy="485775"/>
    <xdr:pic>
      <xdr:nvPicPr>
        <xdr:cNvPr id="428" name="image565.png">
          <a:extLst>
            <a:ext uri="{FF2B5EF4-FFF2-40B4-BE49-F238E27FC236}">
              <a16:creationId xmlns:a16="http://schemas.microsoft.com/office/drawing/2014/main" id="{00000000-0008-0000-0200-0000AC01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7</xdr:col>
      <xdr:colOff>0</xdr:colOff>
      <xdr:row>60</xdr:row>
      <xdr:rowOff>0</xdr:rowOff>
    </xdr:from>
    <xdr:ext cx="485775" cy="485775"/>
    <xdr:pic>
      <xdr:nvPicPr>
        <xdr:cNvPr id="429" name="image565.png">
          <a:extLst>
            <a:ext uri="{FF2B5EF4-FFF2-40B4-BE49-F238E27FC236}">
              <a16:creationId xmlns:a16="http://schemas.microsoft.com/office/drawing/2014/main" id="{00000000-0008-0000-0200-0000AD01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8</xdr:col>
      <xdr:colOff>0</xdr:colOff>
      <xdr:row>60</xdr:row>
      <xdr:rowOff>0</xdr:rowOff>
    </xdr:from>
    <xdr:ext cx="485775" cy="485775"/>
    <xdr:pic>
      <xdr:nvPicPr>
        <xdr:cNvPr id="430" name="image579.png">
          <a:extLst>
            <a:ext uri="{FF2B5EF4-FFF2-40B4-BE49-F238E27FC236}">
              <a16:creationId xmlns:a16="http://schemas.microsoft.com/office/drawing/2014/main" id="{00000000-0008-0000-0200-0000AE01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9</xdr:col>
      <xdr:colOff>0</xdr:colOff>
      <xdr:row>60</xdr:row>
      <xdr:rowOff>0</xdr:rowOff>
    </xdr:from>
    <xdr:ext cx="485775" cy="485775"/>
    <xdr:pic>
      <xdr:nvPicPr>
        <xdr:cNvPr id="431" name="image579.png">
          <a:extLst>
            <a:ext uri="{FF2B5EF4-FFF2-40B4-BE49-F238E27FC236}">
              <a16:creationId xmlns:a16="http://schemas.microsoft.com/office/drawing/2014/main" id="{00000000-0008-0000-0200-0000AF01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10</xdr:col>
      <xdr:colOff>0</xdr:colOff>
      <xdr:row>60</xdr:row>
      <xdr:rowOff>0</xdr:rowOff>
    </xdr:from>
    <xdr:ext cx="485775" cy="485775"/>
    <xdr:pic>
      <xdr:nvPicPr>
        <xdr:cNvPr id="432" name="image565.png">
          <a:extLst>
            <a:ext uri="{FF2B5EF4-FFF2-40B4-BE49-F238E27FC236}">
              <a16:creationId xmlns:a16="http://schemas.microsoft.com/office/drawing/2014/main" id="{00000000-0008-0000-0200-0000B001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11</xdr:col>
      <xdr:colOff>0</xdr:colOff>
      <xdr:row>60</xdr:row>
      <xdr:rowOff>0</xdr:rowOff>
    </xdr:from>
    <xdr:ext cx="485775" cy="485775"/>
    <xdr:pic>
      <xdr:nvPicPr>
        <xdr:cNvPr id="433" name="image566.png">
          <a:extLst>
            <a:ext uri="{FF2B5EF4-FFF2-40B4-BE49-F238E27FC236}">
              <a16:creationId xmlns:a16="http://schemas.microsoft.com/office/drawing/2014/main" id="{00000000-0008-0000-0200-0000B101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3</xdr:col>
      <xdr:colOff>0</xdr:colOff>
      <xdr:row>61</xdr:row>
      <xdr:rowOff>0</xdr:rowOff>
    </xdr:from>
    <xdr:ext cx="876300" cy="876300"/>
    <xdr:pic>
      <xdr:nvPicPr>
        <xdr:cNvPr id="434" name="image571.png">
          <a:extLst>
            <a:ext uri="{FF2B5EF4-FFF2-40B4-BE49-F238E27FC236}">
              <a16:creationId xmlns:a16="http://schemas.microsoft.com/office/drawing/2014/main" id="{00000000-0008-0000-0200-0000B201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4</xdr:col>
      <xdr:colOff>0</xdr:colOff>
      <xdr:row>61</xdr:row>
      <xdr:rowOff>0</xdr:rowOff>
    </xdr:from>
    <xdr:ext cx="914400" cy="304800"/>
    <xdr:pic>
      <xdr:nvPicPr>
        <xdr:cNvPr id="435" name="image562.png">
          <a:extLst>
            <a:ext uri="{FF2B5EF4-FFF2-40B4-BE49-F238E27FC236}">
              <a16:creationId xmlns:a16="http://schemas.microsoft.com/office/drawing/2014/main" id="{00000000-0008-0000-0200-0000B301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6</xdr:col>
      <xdr:colOff>0</xdr:colOff>
      <xdr:row>61</xdr:row>
      <xdr:rowOff>0</xdr:rowOff>
    </xdr:from>
    <xdr:ext cx="485775" cy="485775"/>
    <xdr:pic>
      <xdr:nvPicPr>
        <xdr:cNvPr id="436" name="image572.png">
          <a:extLst>
            <a:ext uri="{FF2B5EF4-FFF2-40B4-BE49-F238E27FC236}">
              <a16:creationId xmlns:a16="http://schemas.microsoft.com/office/drawing/2014/main" id="{00000000-0008-0000-0200-0000B401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7</xdr:col>
      <xdr:colOff>0</xdr:colOff>
      <xdr:row>61</xdr:row>
      <xdr:rowOff>0</xdr:rowOff>
    </xdr:from>
    <xdr:ext cx="485775" cy="485775"/>
    <xdr:pic>
      <xdr:nvPicPr>
        <xdr:cNvPr id="437" name="image572.png">
          <a:extLst>
            <a:ext uri="{FF2B5EF4-FFF2-40B4-BE49-F238E27FC236}">
              <a16:creationId xmlns:a16="http://schemas.microsoft.com/office/drawing/2014/main" id="{00000000-0008-0000-0200-0000B501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8</xdr:col>
      <xdr:colOff>0</xdr:colOff>
      <xdr:row>61</xdr:row>
      <xdr:rowOff>0</xdr:rowOff>
    </xdr:from>
    <xdr:ext cx="485775" cy="485775"/>
    <xdr:pic>
      <xdr:nvPicPr>
        <xdr:cNvPr id="438" name="image575.png">
          <a:extLst>
            <a:ext uri="{FF2B5EF4-FFF2-40B4-BE49-F238E27FC236}">
              <a16:creationId xmlns:a16="http://schemas.microsoft.com/office/drawing/2014/main" id="{00000000-0008-0000-0200-0000B601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9</xdr:col>
      <xdr:colOff>0</xdr:colOff>
      <xdr:row>61</xdr:row>
      <xdr:rowOff>0</xdr:rowOff>
    </xdr:from>
    <xdr:ext cx="485775" cy="485775"/>
    <xdr:pic>
      <xdr:nvPicPr>
        <xdr:cNvPr id="439" name="image575.png">
          <a:extLst>
            <a:ext uri="{FF2B5EF4-FFF2-40B4-BE49-F238E27FC236}">
              <a16:creationId xmlns:a16="http://schemas.microsoft.com/office/drawing/2014/main" id="{00000000-0008-0000-0200-0000B701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10</xdr:col>
      <xdr:colOff>0</xdr:colOff>
      <xdr:row>61</xdr:row>
      <xdr:rowOff>0</xdr:rowOff>
    </xdr:from>
    <xdr:ext cx="485775" cy="485775"/>
    <xdr:pic>
      <xdr:nvPicPr>
        <xdr:cNvPr id="440" name="image570.png">
          <a:extLst>
            <a:ext uri="{FF2B5EF4-FFF2-40B4-BE49-F238E27FC236}">
              <a16:creationId xmlns:a16="http://schemas.microsoft.com/office/drawing/2014/main" id="{00000000-0008-0000-0200-0000B801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11</xdr:col>
      <xdr:colOff>0</xdr:colOff>
      <xdr:row>61</xdr:row>
      <xdr:rowOff>0</xdr:rowOff>
    </xdr:from>
    <xdr:ext cx="485775" cy="485775"/>
    <xdr:pic>
      <xdr:nvPicPr>
        <xdr:cNvPr id="441" name="image569.png">
          <a:extLst>
            <a:ext uri="{FF2B5EF4-FFF2-40B4-BE49-F238E27FC236}">
              <a16:creationId xmlns:a16="http://schemas.microsoft.com/office/drawing/2014/main" id="{00000000-0008-0000-0200-0000B901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3</xdr:col>
      <xdr:colOff>0</xdr:colOff>
      <xdr:row>62</xdr:row>
      <xdr:rowOff>0</xdr:rowOff>
    </xdr:from>
    <xdr:ext cx="876300" cy="876300"/>
    <xdr:pic>
      <xdr:nvPicPr>
        <xdr:cNvPr id="442" name="image563.png">
          <a:extLst>
            <a:ext uri="{FF2B5EF4-FFF2-40B4-BE49-F238E27FC236}">
              <a16:creationId xmlns:a16="http://schemas.microsoft.com/office/drawing/2014/main" id="{00000000-0008-0000-0200-0000BA01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4</xdr:col>
      <xdr:colOff>0</xdr:colOff>
      <xdr:row>62</xdr:row>
      <xdr:rowOff>0</xdr:rowOff>
    </xdr:from>
    <xdr:ext cx="914400" cy="390525"/>
    <xdr:pic>
      <xdr:nvPicPr>
        <xdr:cNvPr id="443" name="image576.png">
          <a:extLst>
            <a:ext uri="{FF2B5EF4-FFF2-40B4-BE49-F238E27FC236}">
              <a16:creationId xmlns:a16="http://schemas.microsoft.com/office/drawing/2014/main" id="{00000000-0008-0000-0200-0000BB01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6</xdr:col>
      <xdr:colOff>0</xdr:colOff>
      <xdr:row>62</xdr:row>
      <xdr:rowOff>0</xdr:rowOff>
    </xdr:from>
    <xdr:ext cx="485775" cy="485775"/>
    <xdr:pic>
      <xdr:nvPicPr>
        <xdr:cNvPr id="444" name="image577.png">
          <a:extLst>
            <a:ext uri="{FF2B5EF4-FFF2-40B4-BE49-F238E27FC236}">
              <a16:creationId xmlns:a16="http://schemas.microsoft.com/office/drawing/2014/main" id="{00000000-0008-0000-0200-0000BC01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7</xdr:col>
      <xdr:colOff>0</xdr:colOff>
      <xdr:row>62</xdr:row>
      <xdr:rowOff>0</xdr:rowOff>
    </xdr:from>
    <xdr:ext cx="485775" cy="485775"/>
    <xdr:pic>
      <xdr:nvPicPr>
        <xdr:cNvPr id="445" name="image577.png">
          <a:extLst>
            <a:ext uri="{FF2B5EF4-FFF2-40B4-BE49-F238E27FC236}">
              <a16:creationId xmlns:a16="http://schemas.microsoft.com/office/drawing/2014/main" id="{00000000-0008-0000-0200-0000BD01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8</xdr:col>
      <xdr:colOff>0</xdr:colOff>
      <xdr:row>62</xdr:row>
      <xdr:rowOff>0</xdr:rowOff>
    </xdr:from>
    <xdr:ext cx="485775" cy="485775"/>
    <xdr:pic>
      <xdr:nvPicPr>
        <xdr:cNvPr id="446" name="image564.png">
          <a:extLst>
            <a:ext uri="{FF2B5EF4-FFF2-40B4-BE49-F238E27FC236}">
              <a16:creationId xmlns:a16="http://schemas.microsoft.com/office/drawing/2014/main" id="{00000000-0008-0000-0200-0000BE01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9</xdr:col>
      <xdr:colOff>0</xdr:colOff>
      <xdr:row>62</xdr:row>
      <xdr:rowOff>0</xdr:rowOff>
    </xdr:from>
    <xdr:ext cx="485775" cy="485775"/>
    <xdr:pic>
      <xdr:nvPicPr>
        <xdr:cNvPr id="447" name="image564.png">
          <a:extLst>
            <a:ext uri="{FF2B5EF4-FFF2-40B4-BE49-F238E27FC236}">
              <a16:creationId xmlns:a16="http://schemas.microsoft.com/office/drawing/2014/main" id="{00000000-0008-0000-0200-0000BF01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10</xdr:col>
      <xdr:colOff>0</xdr:colOff>
      <xdr:row>62</xdr:row>
      <xdr:rowOff>0</xdr:rowOff>
    </xdr:from>
    <xdr:ext cx="485775" cy="485775"/>
    <xdr:pic>
      <xdr:nvPicPr>
        <xdr:cNvPr id="448" name="image567.png">
          <a:extLst>
            <a:ext uri="{FF2B5EF4-FFF2-40B4-BE49-F238E27FC236}">
              <a16:creationId xmlns:a16="http://schemas.microsoft.com/office/drawing/2014/main" id="{00000000-0008-0000-0200-0000C001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11</xdr:col>
      <xdr:colOff>0</xdr:colOff>
      <xdr:row>62</xdr:row>
      <xdr:rowOff>0</xdr:rowOff>
    </xdr:from>
    <xdr:ext cx="485775" cy="485775"/>
    <xdr:pic>
      <xdr:nvPicPr>
        <xdr:cNvPr id="449" name="image567.png">
          <a:extLst>
            <a:ext uri="{FF2B5EF4-FFF2-40B4-BE49-F238E27FC236}">
              <a16:creationId xmlns:a16="http://schemas.microsoft.com/office/drawing/2014/main" id="{00000000-0008-0000-0200-0000C101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3</xdr:col>
      <xdr:colOff>0</xdr:colOff>
      <xdr:row>63</xdr:row>
      <xdr:rowOff>0</xdr:rowOff>
    </xdr:from>
    <xdr:ext cx="876300" cy="876300"/>
    <xdr:pic>
      <xdr:nvPicPr>
        <xdr:cNvPr id="450" name="image568.png">
          <a:extLst>
            <a:ext uri="{FF2B5EF4-FFF2-40B4-BE49-F238E27FC236}">
              <a16:creationId xmlns:a16="http://schemas.microsoft.com/office/drawing/2014/main" id="{00000000-0008-0000-0200-0000C201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4</xdr:col>
      <xdr:colOff>0</xdr:colOff>
      <xdr:row>63</xdr:row>
      <xdr:rowOff>0</xdr:rowOff>
    </xdr:from>
    <xdr:ext cx="914400" cy="390525"/>
    <xdr:pic>
      <xdr:nvPicPr>
        <xdr:cNvPr id="451" name="image576.png">
          <a:extLst>
            <a:ext uri="{FF2B5EF4-FFF2-40B4-BE49-F238E27FC236}">
              <a16:creationId xmlns:a16="http://schemas.microsoft.com/office/drawing/2014/main" id="{00000000-0008-0000-0200-0000C301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6</xdr:col>
      <xdr:colOff>0</xdr:colOff>
      <xdr:row>63</xdr:row>
      <xdr:rowOff>0</xdr:rowOff>
    </xdr:from>
    <xdr:ext cx="485775" cy="485775"/>
    <xdr:pic>
      <xdr:nvPicPr>
        <xdr:cNvPr id="452" name="image574.png">
          <a:extLst>
            <a:ext uri="{FF2B5EF4-FFF2-40B4-BE49-F238E27FC236}">
              <a16:creationId xmlns:a16="http://schemas.microsoft.com/office/drawing/2014/main" id="{00000000-0008-0000-0200-0000C401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7</xdr:col>
      <xdr:colOff>0</xdr:colOff>
      <xdr:row>63</xdr:row>
      <xdr:rowOff>0</xdr:rowOff>
    </xdr:from>
    <xdr:ext cx="485775" cy="485775"/>
    <xdr:pic>
      <xdr:nvPicPr>
        <xdr:cNvPr id="453" name="image574.png">
          <a:extLst>
            <a:ext uri="{FF2B5EF4-FFF2-40B4-BE49-F238E27FC236}">
              <a16:creationId xmlns:a16="http://schemas.microsoft.com/office/drawing/2014/main" id="{00000000-0008-0000-0200-0000C501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8</xdr:col>
      <xdr:colOff>0</xdr:colOff>
      <xdr:row>63</xdr:row>
      <xdr:rowOff>0</xdr:rowOff>
    </xdr:from>
    <xdr:ext cx="485775" cy="485775"/>
    <xdr:pic>
      <xdr:nvPicPr>
        <xdr:cNvPr id="454" name="image573.png">
          <a:extLst>
            <a:ext uri="{FF2B5EF4-FFF2-40B4-BE49-F238E27FC236}">
              <a16:creationId xmlns:a16="http://schemas.microsoft.com/office/drawing/2014/main" id="{00000000-0008-0000-0200-0000C601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9</xdr:col>
      <xdr:colOff>0</xdr:colOff>
      <xdr:row>63</xdr:row>
      <xdr:rowOff>0</xdr:rowOff>
    </xdr:from>
    <xdr:ext cx="485775" cy="485775"/>
    <xdr:pic>
      <xdr:nvPicPr>
        <xdr:cNvPr id="455" name="image573.png">
          <a:extLst>
            <a:ext uri="{FF2B5EF4-FFF2-40B4-BE49-F238E27FC236}">
              <a16:creationId xmlns:a16="http://schemas.microsoft.com/office/drawing/2014/main" id="{00000000-0008-0000-0200-0000C701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10</xdr:col>
      <xdr:colOff>0</xdr:colOff>
      <xdr:row>63</xdr:row>
      <xdr:rowOff>0</xdr:rowOff>
    </xdr:from>
    <xdr:ext cx="485775" cy="485775"/>
    <xdr:pic>
      <xdr:nvPicPr>
        <xdr:cNvPr id="456" name="image578.png">
          <a:extLst>
            <a:ext uri="{FF2B5EF4-FFF2-40B4-BE49-F238E27FC236}">
              <a16:creationId xmlns:a16="http://schemas.microsoft.com/office/drawing/2014/main" id="{00000000-0008-0000-0200-0000C801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11</xdr:col>
      <xdr:colOff>0</xdr:colOff>
      <xdr:row>63</xdr:row>
      <xdr:rowOff>0</xdr:rowOff>
    </xdr:from>
    <xdr:ext cx="485775" cy="485775"/>
    <xdr:pic>
      <xdr:nvPicPr>
        <xdr:cNvPr id="457" name="image578.png">
          <a:extLst>
            <a:ext uri="{FF2B5EF4-FFF2-40B4-BE49-F238E27FC236}">
              <a16:creationId xmlns:a16="http://schemas.microsoft.com/office/drawing/2014/main" id="{00000000-0008-0000-0200-0000C901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3</xdr:col>
      <xdr:colOff>0</xdr:colOff>
      <xdr:row>64</xdr:row>
      <xdr:rowOff>0</xdr:rowOff>
    </xdr:from>
    <xdr:ext cx="876300" cy="876300"/>
    <xdr:pic>
      <xdr:nvPicPr>
        <xdr:cNvPr id="458" name="image588.png">
          <a:extLst>
            <a:ext uri="{FF2B5EF4-FFF2-40B4-BE49-F238E27FC236}">
              <a16:creationId xmlns:a16="http://schemas.microsoft.com/office/drawing/2014/main" id="{00000000-0008-0000-0200-0000CA01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4</xdr:col>
      <xdr:colOff>0</xdr:colOff>
      <xdr:row>64</xdr:row>
      <xdr:rowOff>0</xdr:rowOff>
    </xdr:from>
    <xdr:ext cx="914400" cy="304800"/>
    <xdr:pic>
      <xdr:nvPicPr>
        <xdr:cNvPr id="459" name="image585.png">
          <a:extLst>
            <a:ext uri="{FF2B5EF4-FFF2-40B4-BE49-F238E27FC236}">
              <a16:creationId xmlns:a16="http://schemas.microsoft.com/office/drawing/2014/main" id="{00000000-0008-0000-0200-0000CB01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6</xdr:col>
      <xdr:colOff>0</xdr:colOff>
      <xdr:row>64</xdr:row>
      <xdr:rowOff>0</xdr:rowOff>
    </xdr:from>
    <xdr:ext cx="485775" cy="485775"/>
    <xdr:pic>
      <xdr:nvPicPr>
        <xdr:cNvPr id="460" name="image580.png">
          <a:extLst>
            <a:ext uri="{FF2B5EF4-FFF2-40B4-BE49-F238E27FC236}">
              <a16:creationId xmlns:a16="http://schemas.microsoft.com/office/drawing/2014/main" id="{00000000-0008-0000-0200-0000CC01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7</xdr:col>
      <xdr:colOff>0</xdr:colOff>
      <xdr:row>64</xdr:row>
      <xdr:rowOff>0</xdr:rowOff>
    </xdr:from>
    <xdr:ext cx="485775" cy="485775"/>
    <xdr:pic>
      <xdr:nvPicPr>
        <xdr:cNvPr id="461" name="image580.png">
          <a:extLst>
            <a:ext uri="{FF2B5EF4-FFF2-40B4-BE49-F238E27FC236}">
              <a16:creationId xmlns:a16="http://schemas.microsoft.com/office/drawing/2014/main" id="{00000000-0008-0000-0200-0000CD01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8</xdr:col>
      <xdr:colOff>0</xdr:colOff>
      <xdr:row>64</xdr:row>
      <xdr:rowOff>0</xdr:rowOff>
    </xdr:from>
    <xdr:ext cx="485775" cy="485775"/>
    <xdr:pic>
      <xdr:nvPicPr>
        <xdr:cNvPr id="462" name="image581.png">
          <a:extLst>
            <a:ext uri="{FF2B5EF4-FFF2-40B4-BE49-F238E27FC236}">
              <a16:creationId xmlns:a16="http://schemas.microsoft.com/office/drawing/2014/main" id="{00000000-0008-0000-0200-0000CE01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9</xdr:col>
      <xdr:colOff>0</xdr:colOff>
      <xdr:row>64</xdr:row>
      <xdr:rowOff>0</xdr:rowOff>
    </xdr:from>
    <xdr:ext cx="485775" cy="485775"/>
    <xdr:pic>
      <xdr:nvPicPr>
        <xdr:cNvPr id="463" name="image581.png">
          <a:extLst>
            <a:ext uri="{FF2B5EF4-FFF2-40B4-BE49-F238E27FC236}">
              <a16:creationId xmlns:a16="http://schemas.microsoft.com/office/drawing/2014/main" id="{00000000-0008-0000-0200-0000CF01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10</xdr:col>
      <xdr:colOff>0</xdr:colOff>
      <xdr:row>64</xdr:row>
      <xdr:rowOff>0</xdr:rowOff>
    </xdr:from>
    <xdr:ext cx="485775" cy="485775"/>
    <xdr:pic>
      <xdr:nvPicPr>
        <xdr:cNvPr id="464" name="image583.png">
          <a:extLst>
            <a:ext uri="{FF2B5EF4-FFF2-40B4-BE49-F238E27FC236}">
              <a16:creationId xmlns:a16="http://schemas.microsoft.com/office/drawing/2014/main" id="{00000000-0008-0000-0200-0000D001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11</xdr:col>
      <xdr:colOff>0</xdr:colOff>
      <xdr:row>64</xdr:row>
      <xdr:rowOff>0</xdr:rowOff>
    </xdr:from>
    <xdr:ext cx="485775" cy="485775"/>
    <xdr:pic>
      <xdr:nvPicPr>
        <xdr:cNvPr id="465" name="image583.png">
          <a:extLst>
            <a:ext uri="{FF2B5EF4-FFF2-40B4-BE49-F238E27FC236}">
              <a16:creationId xmlns:a16="http://schemas.microsoft.com/office/drawing/2014/main" id="{00000000-0008-0000-0200-0000D101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3</xdr:col>
      <xdr:colOff>0</xdr:colOff>
      <xdr:row>65</xdr:row>
      <xdr:rowOff>0</xdr:rowOff>
    </xdr:from>
    <xdr:ext cx="876300" cy="876300"/>
    <xdr:pic>
      <xdr:nvPicPr>
        <xdr:cNvPr id="466" name="image582.png">
          <a:extLst>
            <a:ext uri="{FF2B5EF4-FFF2-40B4-BE49-F238E27FC236}">
              <a16:creationId xmlns:a16="http://schemas.microsoft.com/office/drawing/2014/main" id="{00000000-0008-0000-0200-0000D201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4</xdr:col>
      <xdr:colOff>0</xdr:colOff>
      <xdr:row>65</xdr:row>
      <xdr:rowOff>0</xdr:rowOff>
    </xdr:from>
    <xdr:ext cx="914400" cy="390525"/>
    <xdr:pic>
      <xdr:nvPicPr>
        <xdr:cNvPr id="467" name="image576.png">
          <a:extLst>
            <a:ext uri="{FF2B5EF4-FFF2-40B4-BE49-F238E27FC236}">
              <a16:creationId xmlns:a16="http://schemas.microsoft.com/office/drawing/2014/main" id="{00000000-0008-0000-0200-0000D301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6</xdr:col>
      <xdr:colOff>0</xdr:colOff>
      <xdr:row>65</xdr:row>
      <xdr:rowOff>0</xdr:rowOff>
    </xdr:from>
    <xdr:ext cx="485775" cy="485775"/>
    <xdr:pic>
      <xdr:nvPicPr>
        <xdr:cNvPr id="468" name="image587.png">
          <a:extLst>
            <a:ext uri="{FF2B5EF4-FFF2-40B4-BE49-F238E27FC236}">
              <a16:creationId xmlns:a16="http://schemas.microsoft.com/office/drawing/2014/main" id="{00000000-0008-0000-0200-0000D401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7</xdr:col>
      <xdr:colOff>0</xdr:colOff>
      <xdr:row>65</xdr:row>
      <xdr:rowOff>0</xdr:rowOff>
    </xdr:from>
    <xdr:ext cx="485775" cy="485775"/>
    <xdr:pic>
      <xdr:nvPicPr>
        <xdr:cNvPr id="469" name="image586.png">
          <a:extLst>
            <a:ext uri="{FF2B5EF4-FFF2-40B4-BE49-F238E27FC236}">
              <a16:creationId xmlns:a16="http://schemas.microsoft.com/office/drawing/2014/main" id="{00000000-0008-0000-0200-0000D501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8</xdr:col>
      <xdr:colOff>0</xdr:colOff>
      <xdr:row>65</xdr:row>
      <xdr:rowOff>0</xdr:rowOff>
    </xdr:from>
    <xdr:ext cx="485775" cy="485775"/>
    <xdr:pic>
      <xdr:nvPicPr>
        <xdr:cNvPr id="470" name="image584.png">
          <a:extLst>
            <a:ext uri="{FF2B5EF4-FFF2-40B4-BE49-F238E27FC236}">
              <a16:creationId xmlns:a16="http://schemas.microsoft.com/office/drawing/2014/main" id="{00000000-0008-0000-0200-0000D601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9</xdr:col>
      <xdr:colOff>0</xdr:colOff>
      <xdr:row>65</xdr:row>
      <xdr:rowOff>0</xdr:rowOff>
    </xdr:from>
    <xdr:ext cx="485775" cy="485775"/>
    <xdr:pic>
      <xdr:nvPicPr>
        <xdr:cNvPr id="471" name="image584.png">
          <a:extLst>
            <a:ext uri="{FF2B5EF4-FFF2-40B4-BE49-F238E27FC236}">
              <a16:creationId xmlns:a16="http://schemas.microsoft.com/office/drawing/2014/main" id="{00000000-0008-0000-0200-0000D701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10</xdr:col>
      <xdr:colOff>0</xdr:colOff>
      <xdr:row>65</xdr:row>
      <xdr:rowOff>0</xdr:rowOff>
    </xdr:from>
    <xdr:ext cx="485775" cy="485775"/>
    <xdr:pic>
      <xdr:nvPicPr>
        <xdr:cNvPr id="472" name="image589.png">
          <a:extLst>
            <a:ext uri="{FF2B5EF4-FFF2-40B4-BE49-F238E27FC236}">
              <a16:creationId xmlns:a16="http://schemas.microsoft.com/office/drawing/2014/main" id="{00000000-0008-0000-0200-0000D801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11</xdr:col>
      <xdr:colOff>0</xdr:colOff>
      <xdr:row>65</xdr:row>
      <xdr:rowOff>0</xdr:rowOff>
    </xdr:from>
    <xdr:ext cx="485775" cy="485775"/>
    <xdr:pic>
      <xdr:nvPicPr>
        <xdr:cNvPr id="473" name="image592.png">
          <a:extLst>
            <a:ext uri="{FF2B5EF4-FFF2-40B4-BE49-F238E27FC236}">
              <a16:creationId xmlns:a16="http://schemas.microsoft.com/office/drawing/2014/main" id="{00000000-0008-0000-0200-0000D901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3</xdr:col>
      <xdr:colOff>0</xdr:colOff>
      <xdr:row>66</xdr:row>
      <xdr:rowOff>0</xdr:rowOff>
    </xdr:from>
    <xdr:ext cx="609600" cy="571500"/>
    <xdr:pic>
      <xdr:nvPicPr>
        <xdr:cNvPr id="474" name="image593.png">
          <a:extLst>
            <a:ext uri="{FF2B5EF4-FFF2-40B4-BE49-F238E27FC236}">
              <a16:creationId xmlns:a16="http://schemas.microsoft.com/office/drawing/2014/main" id="{00000000-0008-0000-0200-0000DA01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4</xdr:col>
      <xdr:colOff>0</xdr:colOff>
      <xdr:row>66</xdr:row>
      <xdr:rowOff>0</xdr:rowOff>
    </xdr:from>
    <xdr:ext cx="914400" cy="123825"/>
    <xdr:pic>
      <xdr:nvPicPr>
        <xdr:cNvPr id="475" name="image422.png">
          <a:extLst>
            <a:ext uri="{FF2B5EF4-FFF2-40B4-BE49-F238E27FC236}">
              <a16:creationId xmlns:a16="http://schemas.microsoft.com/office/drawing/2014/main" id="{00000000-0008-0000-0200-0000DB01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6</xdr:col>
      <xdr:colOff>0</xdr:colOff>
      <xdr:row>66</xdr:row>
      <xdr:rowOff>0</xdr:rowOff>
    </xdr:from>
    <xdr:ext cx="485775" cy="485775"/>
    <xdr:pic>
      <xdr:nvPicPr>
        <xdr:cNvPr id="476" name="image595.png">
          <a:extLst>
            <a:ext uri="{FF2B5EF4-FFF2-40B4-BE49-F238E27FC236}">
              <a16:creationId xmlns:a16="http://schemas.microsoft.com/office/drawing/2014/main" id="{00000000-0008-0000-0200-0000DC01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7</xdr:col>
      <xdr:colOff>0</xdr:colOff>
      <xdr:row>66</xdr:row>
      <xdr:rowOff>0</xdr:rowOff>
    </xdr:from>
    <xdr:ext cx="485775" cy="485775"/>
    <xdr:pic>
      <xdr:nvPicPr>
        <xdr:cNvPr id="477" name="image590.png">
          <a:extLst>
            <a:ext uri="{FF2B5EF4-FFF2-40B4-BE49-F238E27FC236}">
              <a16:creationId xmlns:a16="http://schemas.microsoft.com/office/drawing/2014/main" id="{00000000-0008-0000-0200-0000DD01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8</xdr:col>
      <xdr:colOff>0</xdr:colOff>
      <xdr:row>66</xdr:row>
      <xdr:rowOff>0</xdr:rowOff>
    </xdr:from>
    <xdr:ext cx="485775" cy="485775"/>
    <xdr:pic>
      <xdr:nvPicPr>
        <xdr:cNvPr id="478" name="image599.png">
          <a:extLst>
            <a:ext uri="{FF2B5EF4-FFF2-40B4-BE49-F238E27FC236}">
              <a16:creationId xmlns:a16="http://schemas.microsoft.com/office/drawing/2014/main" id="{00000000-0008-0000-0200-0000DE01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9</xdr:col>
      <xdr:colOff>0</xdr:colOff>
      <xdr:row>66</xdr:row>
      <xdr:rowOff>0</xdr:rowOff>
    </xdr:from>
    <xdr:ext cx="485775" cy="485775"/>
    <xdr:pic>
      <xdr:nvPicPr>
        <xdr:cNvPr id="479" name="image590.png">
          <a:extLst>
            <a:ext uri="{FF2B5EF4-FFF2-40B4-BE49-F238E27FC236}">
              <a16:creationId xmlns:a16="http://schemas.microsoft.com/office/drawing/2014/main" id="{00000000-0008-0000-0200-0000DF01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10</xdr:col>
      <xdr:colOff>0</xdr:colOff>
      <xdr:row>66</xdr:row>
      <xdr:rowOff>0</xdr:rowOff>
    </xdr:from>
    <xdr:ext cx="485775" cy="485775"/>
    <xdr:pic>
      <xdr:nvPicPr>
        <xdr:cNvPr id="480" name="image590.png">
          <a:extLst>
            <a:ext uri="{FF2B5EF4-FFF2-40B4-BE49-F238E27FC236}">
              <a16:creationId xmlns:a16="http://schemas.microsoft.com/office/drawing/2014/main" id="{00000000-0008-0000-0200-0000E001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11</xdr:col>
      <xdr:colOff>0</xdr:colOff>
      <xdr:row>66</xdr:row>
      <xdr:rowOff>0</xdr:rowOff>
    </xdr:from>
    <xdr:ext cx="485775" cy="485775"/>
    <xdr:pic>
      <xdr:nvPicPr>
        <xdr:cNvPr id="481" name="image604.png">
          <a:extLst>
            <a:ext uri="{FF2B5EF4-FFF2-40B4-BE49-F238E27FC236}">
              <a16:creationId xmlns:a16="http://schemas.microsoft.com/office/drawing/2014/main" id="{00000000-0008-0000-0200-0000E101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2</xdr:row>
      <xdr:rowOff>0</xdr:rowOff>
    </xdr:from>
    <xdr:ext cx="200025" cy="200025"/>
    <xdr:pic>
      <xdr:nvPicPr>
        <xdr:cNvPr id="2" name="image613.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xdr:row>
      <xdr:rowOff>0</xdr:rowOff>
    </xdr:from>
    <xdr:ext cx="428625" cy="428625"/>
    <xdr:pic>
      <xdr:nvPicPr>
        <xdr:cNvPr id="3" name="image591.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4</xdr:row>
      <xdr:rowOff>0</xdr:rowOff>
    </xdr:from>
    <xdr:ext cx="428625" cy="428625"/>
    <xdr:pic>
      <xdr:nvPicPr>
        <xdr:cNvPr id="4" name="image600.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5</xdr:row>
      <xdr:rowOff>0</xdr:rowOff>
    </xdr:from>
    <xdr:ext cx="428625" cy="428625"/>
    <xdr:pic>
      <xdr:nvPicPr>
        <xdr:cNvPr id="5" name="image598.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6</xdr:row>
      <xdr:rowOff>0</xdr:rowOff>
    </xdr:from>
    <xdr:ext cx="428625" cy="428625"/>
    <xdr:pic>
      <xdr:nvPicPr>
        <xdr:cNvPr id="6" name="image610.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7</xdr:row>
      <xdr:rowOff>0</xdr:rowOff>
    </xdr:from>
    <xdr:ext cx="428625" cy="428625"/>
    <xdr:pic>
      <xdr:nvPicPr>
        <xdr:cNvPr id="7" name="image603.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8</xdr:row>
      <xdr:rowOff>0</xdr:rowOff>
    </xdr:from>
    <xdr:ext cx="428625" cy="428625"/>
    <xdr:pic>
      <xdr:nvPicPr>
        <xdr:cNvPr id="8" name="image594.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9</xdr:row>
      <xdr:rowOff>0</xdr:rowOff>
    </xdr:from>
    <xdr:ext cx="428625" cy="428625"/>
    <xdr:pic>
      <xdr:nvPicPr>
        <xdr:cNvPr id="9" name="image607.pn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10</xdr:row>
      <xdr:rowOff>0</xdr:rowOff>
    </xdr:from>
    <xdr:ext cx="428625" cy="428625"/>
    <xdr:pic>
      <xdr:nvPicPr>
        <xdr:cNvPr id="10" name="image596.png">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11</xdr:row>
      <xdr:rowOff>0</xdr:rowOff>
    </xdr:from>
    <xdr:ext cx="428625" cy="428625"/>
    <xdr:pic>
      <xdr:nvPicPr>
        <xdr:cNvPr id="11" name="image611.png">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12</xdr:row>
      <xdr:rowOff>0</xdr:rowOff>
    </xdr:from>
    <xdr:ext cx="428625" cy="428625"/>
    <xdr:pic>
      <xdr:nvPicPr>
        <xdr:cNvPr id="12" name="image602.png">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13</xdr:row>
      <xdr:rowOff>0</xdr:rowOff>
    </xdr:from>
    <xdr:ext cx="428625" cy="428625"/>
    <xdr:pic>
      <xdr:nvPicPr>
        <xdr:cNvPr id="13" name="image597.png">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14</xdr:row>
      <xdr:rowOff>0</xdr:rowOff>
    </xdr:from>
    <xdr:ext cx="428625" cy="428625"/>
    <xdr:pic>
      <xdr:nvPicPr>
        <xdr:cNvPr id="14" name="image601.png">
          <a:extLst>
            <a:ext uri="{FF2B5EF4-FFF2-40B4-BE49-F238E27FC236}">
              <a16:creationId xmlns:a16="http://schemas.microsoft.com/office/drawing/2014/main" id="{00000000-0008-0000-03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15</xdr:row>
      <xdr:rowOff>0</xdr:rowOff>
    </xdr:from>
    <xdr:ext cx="428625" cy="428625"/>
    <xdr:pic>
      <xdr:nvPicPr>
        <xdr:cNvPr id="15" name="image619.png">
          <a:extLst>
            <a:ext uri="{FF2B5EF4-FFF2-40B4-BE49-F238E27FC236}">
              <a16:creationId xmlns:a16="http://schemas.microsoft.com/office/drawing/2014/main" id="{00000000-0008-0000-03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16</xdr:row>
      <xdr:rowOff>0</xdr:rowOff>
    </xdr:from>
    <xdr:ext cx="428625" cy="428625"/>
    <xdr:pic>
      <xdr:nvPicPr>
        <xdr:cNvPr id="16" name="image612.pn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28625" cy="428625"/>
    <xdr:pic>
      <xdr:nvPicPr>
        <xdr:cNvPr id="17" name="image614.png">
          <a:extLst>
            <a:ext uri="{FF2B5EF4-FFF2-40B4-BE49-F238E27FC236}">
              <a16:creationId xmlns:a16="http://schemas.microsoft.com/office/drawing/2014/main" id="{00000000-0008-0000-03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18</xdr:row>
      <xdr:rowOff>0</xdr:rowOff>
    </xdr:from>
    <xdr:ext cx="428625" cy="428625"/>
    <xdr:pic>
      <xdr:nvPicPr>
        <xdr:cNvPr id="18" name="image605.png">
          <a:extLst>
            <a:ext uri="{FF2B5EF4-FFF2-40B4-BE49-F238E27FC236}">
              <a16:creationId xmlns:a16="http://schemas.microsoft.com/office/drawing/2014/main" id="{00000000-0008-0000-03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19</xdr:row>
      <xdr:rowOff>0</xdr:rowOff>
    </xdr:from>
    <xdr:ext cx="428625" cy="428625"/>
    <xdr:pic>
      <xdr:nvPicPr>
        <xdr:cNvPr id="19" name="image634.png">
          <a:extLst>
            <a:ext uri="{FF2B5EF4-FFF2-40B4-BE49-F238E27FC236}">
              <a16:creationId xmlns:a16="http://schemas.microsoft.com/office/drawing/2014/main" id="{00000000-0008-0000-03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20</xdr:row>
      <xdr:rowOff>0</xdr:rowOff>
    </xdr:from>
    <xdr:ext cx="428625" cy="428625"/>
    <xdr:pic>
      <xdr:nvPicPr>
        <xdr:cNvPr id="20" name="image609.png">
          <a:extLst>
            <a:ext uri="{FF2B5EF4-FFF2-40B4-BE49-F238E27FC236}">
              <a16:creationId xmlns:a16="http://schemas.microsoft.com/office/drawing/2014/main" id="{00000000-0008-0000-03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21</xdr:row>
      <xdr:rowOff>0</xdr:rowOff>
    </xdr:from>
    <xdr:ext cx="428625" cy="428625"/>
    <xdr:pic>
      <xdr:nvPicPr>
        <xdr:cNvPr id="21" name="image617.png">
          <a:extLst>
            <a:ext uri="{FF2B5EF4-FFF2-40B4-BE49-F238E27FC236}">
              <a16:creationId xmlns:a16="http://schemas.microsoft.com/office/drawing/2014/main" id="{00000000-0008-0000-03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0</xdr:colOff>
      <xdr:row>22</xdr:row>
      <xdr:rowOff>0</xdr:rowOff>
    </xdr:from>
    <xdr:ext cx="428625" cy="428625"/>
    <xdr:pic>
      <xdr:nvPicPr>
        <xdr:cNvPr id="22" name="image621.png">
          <a:extLst>
            <a:ext uri="{FF2B5EF4-FFF2-40B4-BE49-F238E27FC236}">
              <a16:creationId xmlns:a16="http://schemas.microsoft.com/office/drawing/2014/main" id="{00000000-0008-0000-03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23</xdr:row>
      <xdr:rowOff>0</xdr:rowOff>
    </xdr:from>
    <xdr:ext cx="428625" cy="428625"/>
    <xdr:pic>
      <xdr:nvPicPr>
        <xdr:cNvPr id="23" name="image615.png">
          <a:extLst>
            <a:ext uri="{FF2B5EF4-FFF2-40B4-BE49-F238E27FC236}">
              <a16:creationId xmlns:a16="http://schemas.microsoft.com/office/drawing/2014/main" id="{00000000-0008-0000-03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428625" cy="428625"/>
    <xdr:pic>
      <xdr:nvPicPr>
        <xdr:cNvPr id="24" name="image606.png">
          <a:extLst>
            <a:ext uri="{FF2B5EF4-FFF2-40B4-BE49-F238E27FC236}">
              <a16:creationId xmlns:a16="http://schemas.microsoft.com/office/drawing/2014/main" id="{00000000-0008-0000-03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0</xdr:colOff>
      <xdr:row>25</xdr:row>
      <xdr:rowOff>0</xdr:rowOff>
    </xdr:from>
    <xdr:ext cx="428625" cy="428625"/>
    <xdr:pic>
      <xdr:nvPicPr>
        <xdr:cNvPr id="25" name="image620.png">
          <a:extLst>
            <a:ext uri="{FF2B5EF4-FFF2-40B4-BE49-F238E27FC236}">
              <a16:creationId xmlns:a16="http://schemas.microsoft.com/office/drawing/2014/main" id="{00000000-0008-0000-03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0</xdr:colOff>
      <xdr:row>26</xdr:row>
      <xdr:rowOff>0</xdr:rowOff>
    </xdr:from>
    <xdr:ext cx="428625" cy="428625"/>
    <xdr:pic>
      <xdr:nvPicPr>
        <xdr:cNvPr id="26" name="image608.png">
          <a:extLst>
            <a:ext uri="{FF2B5EF4-FFF2-40B4-BE49-F238E27FC236}">
              <a16:creationId xmlns:a16="http://schemas.microsoft.com/office/drawing/2014/main" id="{00000000-0008-0000-03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0</xdr:colOff>
      <xdr:row>27</xdr:row>
      <xdr:rowOff>0</xdr:rowOff>
    </xdr:from>
    <xdr:ext cx="428625" cy="428625"/>
    <xdr:pic>
      <xdr:nvPicPr>
        <xdr:cNvPr id="27" name="image654.png">
          <a:extLst>
            <a:ext uri="{FF2B5EF4-FFF2-40B4-BE49-F238E27FC236}">
              <a16:creationId xmlns:a16="http://schemas.microsoft.com/office/drawing/2014/main" id="{00000000-0008-0000-03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xdr:col>
      <xdr:colOff>0</xdr:colOff>
      <xdr:row>28</xdr:row>
      <xdr:rowOff>0</xdr:rowOff>
    </xdr:from>
    <xdr:ext cx="428625" cy="428625"/>
    <xdr:pic>
      <xdr:nvPicPr>
        <xdr:cNvPr id="28" name="image622.png">
          <a:extLst>
            <a:ext uri="{FF2B5EF4-FFF2-40B4-BE49-F238E27FC236}">
              <a16:creationId xmlns:a16="http://schemas.microsoft.com/office/drawing/2014/main" id="{00000000-0008-0000-03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xdr:col>
      <xdr:colOff>0</xdr:colOff>
      <xdr:row>29</xdr:row>
      <xdr:rowOff>0</xdr:rowOff>
    </xdr:from>
    <xdr:ext cx="419100" cy="419100"/>
    <xdr:pic>
      <xdr:nvPicPr>
        <xdr:cNvPr id="29" name="image618.png">
          <a:extLst>
            <a:ext uri="{FF2B5EF4-FFF2-40B4-BE49-F238E27FC236}">
              <a16:creationId xmlns:a16="http://schemas.microsoft.com/office/drawing/2014/main" id="{00000000-0008-0000-03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xdr:col>
      <xdr:colOff>0</xdr:colOff>
      <xdr:row>30</xdr:row>
      <xdr:rowOff>0</xdr:rowOff>
    </xdr:from>
    <xdr:ext cx="419100" cy="419100"/>
    <xdr:pic>
      <xdr:nvPicPr>
        <xdr:cNvPr id="30" name="image624.png">
          <a:extLst>
            <a:ext uri="{FF2B5EF4-FFF2-40B4-BE49-F238E27FC236}">
              <a16:creationId xmlns:a16="http://schemas.microsoft.com/office/drawing/2014/main" id="{00000000-0008-0000-03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xdr:col>
      <xdr:colOff>0</xdr:colOff>
      <xdr:row>31</xdr:row>
      <xdr:rowOff>0</xdr:rowOff>
    </xdr:from>
    <xdr:ext cx="428625" cy="428625"/>
    <xdr:pic>
      <xdr:nvPicPr>
        <xdr:cNvPr id="31" name="image628.png">
          <a:extLst>
            <a:ext uri="{FF2B5EF4-FFF2-40B4-BE49-F238E27FC236}">
              <a16:creationId xmlns:a16="http://schemas.microsoft.com/office/drawing/2014/main" id="{00000000-0008-0000-03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xdr:col>
      <xdr:colOff>0</xdr:colOff>
      <xdr:row>32</xdr:row>
      <xdr:rowOff>0</xdr:rowOff>
    </xdr:from>
    <xdr:ext cx="419100" cy="419100"/>
    <xdr:pic>
      <xdr:nvPicPr>
        <xdr:cNvPr id="32" name="image640.png">
          <a:extLst>
            <a:ext uri="{FF2B5EF4-FFF2-40B4-BE49-F238E27FC236}">
              <a16:creationId xmlns:a16="http://schemas.microsoft.com/office/drawing/2014/main" id="{00000000-0008-0000-03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xdr:col>
      <xdr:colOff>0</xdr:colOff>
      <xdr:row>33</xdr:row>
      <xdr:rowOff>0</xdr:rowOff>
    </xdr:from>
    <xdr:ext cx="428625" cy="428625"/>
    <xdr:pic>
      <xdr:nvPicPr>
        <xdr:cNvPr id="33" name="image639.png">
          <a:extLst>
            <a:ext uri="{FF2B5EF4-FFF2-40B4-BE49-F238E27FC236}">
              <a16:creationId xmlns:a16="http://schemas.microsoft.com/office/drawing/2014/main" id="{00000000-0008-0000-03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xdr:col>
      <xdr:colOff>0</xdr:colOff>
      <xdr:row>34</xdr:row>
      <xdr:rowOff>0</xdr:rowOff>
    </xdr:from>
    <xdr:ext cx="428625" cy="428625"/>
    <xdr:pic>
      <xdr:nvPicPr>
        <xdr:cNvPr id="34" name="image645.png">
          <a:extLst>
            <a:ext uri="{FF2B5EF4-FFF2-40B4-BE49-F238E27FC236}">
              <a16:creationId xmlns:a16="http://schemas.microsoft.com/office/drawing/2014/main" id="{00000000-0008-0000-03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xdr:col>
      <xdr:colOff>0</xdr:colOff>
      <xdr:row>35</xdr:row>
      <xdr:rowOff>0</xdr:rowOff>
    </xdr:from>
    <xdr:ext cx="428625" cy="428625"/>
    <xdr:pic>
      <xdr:nvPicPr>
        <xdr:cNvPr id="35" name="image623.png">
          <a:extLst>
            <a:ext uri="{FF2B5EF4-FFF2-40B4-BE49-F238E27FC236}">
              <a16:creationId xmlns:a16="http://schemas.microsoft.com/office/drawing/2014/main" id="{00000000-0008-0000-03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xdr:col>
      <xdr:colOff>0</xdr:colOff>
      <xdr:row>36</xdr:row>
      <xdr:rowOff>0</xdr:rowOff>
    </xdr:from>
    <xdr:ext cx="428625" cy="428625"/>
    <xdr:pic>
      <xdr:nvPicPr>
        <xdr:cNvPr id="36" name="image630.png">
          <a:extLst>
            <a:ext uri="{FF2B5EF4-FFF2-40B4-BE49-F238E27FC236}">
              <a16:creationId xmlns:a16="http://schemas.microsoft.com/office/drawing/2014/main" id="{00000000-0008-0000-03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xdr:col>
      <xdr:colOff>0</xdr:colOff>
      <xdr:row>37</xdr:row>
      <xdr:rowOff>0</xdr:rowOff>
    </xdr:from>
    <xdr:ext cx="428625" cy="428625"/>
    <xdr:pic>
      <xdr:nvPicPr>
        <xdr:cNvPr id="37" name="image626.png">
          <a:extLst>
            <a:ext uri="{FF2B5EF4-FFF2-40B4-BE49-F238E27FC236}">
              <a16:creationId xmlns:a16="http://schemas.microsoft.com/office/drawing/2014/main" id="{00000000-0008-0000-03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xdr:col>
      <xdr:colOff>0</xdr:colOff>
      <xdr:row>38</xdr:row>
      <xdr:rowOff>0</xdr:rowOff>
    </xdr:from>
    <xdr:ext cx="428625" cy="428625"/>
    <xdr:pic>
      <xdr:nvPicPr>
        <xdr:cNvPr id="38" name="image629.png">
          <a:extLst>
            <a:ext uri="{FF2B5EF4-FFF2-40B4-BE49-F238E27FC236}">
              <a16:creationId xmlns:a16="http://schemas.microsoft.com/office/drawing/2014/main" id="{00000000-0008-0000-03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xdr:col>
      <xdr:colOff>0</xdr:colOff>
      <xdr:row>39</xdr:row>
      <xdr:rowOff>0</xdr:rowOff>
    </xdr:from>
    <xdr:ext cx="419100" cy="419100"/>
    <xdr:pic>
      <xdr:nvPicPr>
        <xdr:cNvPr id="39" name="image616.png">
          <a:extLst>
            <a:ext uri="{FF2B5EF4-FFF2-40B4-BE49-F238E27FC236}">
              <a16:creationId xmlns:a16="http://schemas.microsoft.com/office/drawing/2014/main" id="{00000000-0008-0000-03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xdr:col>
      <xdr:colOff>0</xdr:colOff>
      <xdr:row>40</xdr:row>
      <xdr:rowOff>0</xdr:rowOff>
    </xdr:from>
    <xdr:ext cx="428625" cy="428625"/>
    <xdr:pic>
      <xdr:nvPicPr>
        <xdr:cNvPr id="40" name="image633.png">
          <a:extLst>
            <a:ext uri="{FF2B5EF4-FFF2-40B4-BE49-F238E27FC236}">
              <a16:creationId xmlns:a16="http://schemas.microsoft.com/office/drawing/2014/main" id="{00000000-0008-0000-03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xdr:col>
      <xdr:colOff>0</xdr:colOff>
      <xdr:row>41</xdr:row>
      <xdr:rowOff>0</xdr:rowOff>
    </xdr:from>
    <xdr:ext cx="428625" cy="428625"/>
    <xdr:pic>
      <xdr:nvPicPr>
        <xdr:cNvPr id="41" name="image625.png">
          <a:extLst>
            <a:ext uri="{FF2B5EF4-FFF2-40B4-BE49-F238E27FC236}">
              <a16:creationId xmlns:a16="http://schemas.microsoft.com/office/drawing/2014/main" id="{00000000-0008-0000-03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xdr:col>
      <xdr:colOff>0</xdr:colOff>
      <xdr:row>42</xdr:row>
      <xdr:rowOff>0</xdr:rowOff>
    </xdr:from>
    <xdr:ext cx="428625" cy="428625"/>
    <xdr:pic>
      <xdr:nvPicPr>
        <xdr:cNvPr id="42" name="image627.png">
          <a:extLst>
            <a:ext uri="{FF2B5EF4-FFF2-40B4-BE49-F238E27FC236}">
              <a16:creationId xmlns:a16="http://schemas.microsoft.com/office/drawing/2014/main" id="{00000000-0008-0000-03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xdr:col>
      <xdr:colOff>0</xdr:colOff>
      <xdr:row>43</xdr:row>
      <xdr:rowOff>0</xdr:rowOff>
    </xdr:from>
    <xdr:ext cx="428625" cy="428625"/>
    <xdr:pic>
      <xdr:nvPicPr>
        <xdr:cNvPr id="43" name="image636.png">
          <a:extLst>
            <a:ext uri="{FF2B5EF4-FFF2-40B4-BE49-F238E27FC236}">
              <a16:creationId xmlns:a16="http://schemas.microsoft.com/office/drawing/2014/main" id="{00000000-0008-0000-03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xdr:col>
      <xdr:colOff>0</xdr:colOff>
      <xdr:row>44</xdr:row>
      <xdr:rowOff>0</xdr:rowOff>
    </xdr:from>
    <xdr:ext cx="428625" cy="428625"/>
    <xdr:pic>
      <xdr:nvPicPr>
        <xdr:cNvPr id="44" name="image632.png">
          <a:extLst>
            <a:ext uri="{FF2B5EF4-FFF2-40B4-BE49-F238E27FC236}">
              <a16:creationId xmlns:a16="http://schemas.microsoft.com/office/drawing/2014/main" id="{00000000-0008-0000-03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xdr:col>
      <xdr:colOff>0</xdr:colOff>
      <xdr:row>45</xdr:row>
      <xdr:rowOff>0</xdr:rowOff>
    </xdr:from>
    <xdr:ext cx="428625" cy="428625"/>
    <xdr:pic>
      <xdr:nvPicPr>
        <xdr:cNvPr id="45" name="image674.png">
          <a:extLst>
            <a:ext uri="{FF2B5EF4-FFF2-40B4-BE49-F238E27FC236}">
              <a16:creationId xmlns:a16="http://schemas.microsoft.com/office/drawing/2014/main" id="{00000000-0008-0000-03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xdr:col>
      <xdr:colOff>0</xdr:colOff>
      <xdr:row>46</xdr:row>
      <xdr:rowOff>0</xdr:rowOff>
    </xdr:from>
    <xdr:ext cx="428625" cy="428625"/>
    <xdr:pic>
      <xdr:nvPicPr>
        <xdr:cNvPr id="46" name="image638.png">
          <a:extLst>
            <a:ext uri="{FF2B5EF4-FFF2-40B4-BE49-F238E27FC236}">
              <a16:creationId xmlns:a16="http://schemas.microsoft.com/office/drawing/2014/main" id="{00000000-0008-0000-03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xdr:col>
      <xdr:colOff>0</xdr:colOff>
      <xdr:row>47</xdr:row>
      <xdr:rowOff>0</xdr:rowOff>
    </xdr:from>
    <xdr:ext cx="428625" cy="428625"/>
    <xdr:pic>
      <xdr:nvPicPr>
        <xdr:cNvPr id="47" name="image637.png">
          <a:extLst>
            <a:ext uri="{FF2B5EF4-FFF2-40B4-BE49-F238E27FC236}">
              <a16:creationId xmlns:a16="http://schemas.microsoft.com/office/drawing/2014/main" id="{00000000-0008-0000-03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xdr:col>
      <xdr:colOff>0</xdr:colOff>
      <xdr:row>48</xdr:row>
      <xdr:rowOff>0</xdr:rowOff>
    </xdr:from>
    <xdr:ext cx="428625" cy="428625"/>
    <xdr:pic>
      <xdr:nvPicPr>
        <xdr:cNvPr id="48" name="image651.png">
          <a:extLst>
            <a:ext uri="{FF2B5EF4-FFF2-40B4-BE49-F238E27FC236}">
              <a16:creationId xmlns:a16="http://schemas.microsoft.com/office/drawing/2014/main" id="{00000000-0008-0000-03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1</xdr:col>
      <xdr:colOff>0</xdr:colOff>
      <xdr:row>49</xdr:row>
      <xdr:rowOff>0</xdr:rowOff>
    </xdr:from>
    <xdr:ext cx="428625" cy="428625"/>
    <xdr:pic>
      <xdr:nvPicPr>
        <xdr:cNvPr id="49" name="image641.png">
          <a:extLst>
            <a:ext uri="{FF2B5EF4-FFF2-40B4-BE49-F238E27FC236}">
              <a16:creationId xmlns:a16="http://schemas.microsoft.com/office/drawing/2014/main" id="{00000000-0008-0000-03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xdr:col>
      <xdr:colOff>0</xdr:colOff>
      <xdr:row>50</xdr:row>
      <xdr:rowOff>0</xdr:rowOff>
    </xdr:from>
    <xdr:ext cx="428625" cy="428625"/>
    <xdr:pic>
      <xdr:nvPicPr>
        <xdr:cNvPr id="50" name="image635.png">
          <a:extLst>
            <a:ext uri="{FF2B5EF4-FFF2-40B4-BE49-F238E27FC236}">
              <a16:creationId xmlns:a16="http://schemas.microsoft.com/office/drawing/2014/main" id="{00000000-0008-0000-03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xdr:col>
      <xdr:colOff>0</xdr:colOff>
      <xdr:row>51</xdr:row>
      <xdr:rowOff>0</xdr:rowOff>
    </xdr:from>
    <xdr:ext cx="428625" cy="428625"/>
    <xdr:pic>
      <xdr:nvPicPr>
        <xdr:cNvPr id="51" name="image631.png">
          <a:extLst>
            <a:ext uri="{FF2B5EF4-FFF2-40B4-BE49-F238E27FC236}">
              <a16:creationId xmlns:a16="http://schemas.microsoft.com/office/drawing/2014/main" id="{00000000-0008-0000-03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1</xdr:col>
      <xdr:colOff>0</xdr:colOff>
      <xdr:row>52</xdr:row>
      <xdr:rowOff>0</xdr:rowOff>
    </xdr:from>
    <xdr:ext cx="428625" cy="428625"/>
    <xdr:pic>
      <xdr:nvPicPr>
        <xdr:cNvPr id="52" name="image646.png">
          <a:extLst>
            <a:ext uri="{FF2B5EF4-FFF2-40B4-BE49-F238E27FC236}">
              <a16:creationId xmlns:a16="http://schemas.microsoft.com/office/drawing/2014/main" id="{00000000-0008-0000-03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1</xdr:col>
      <xdr:colOff>0</xdr:colOff>
      <xdr:row>53</xdr:row>
      <xdr:rowOff>0</xdr:rowOff>
    </xdr:from>
    <xdr:ext cx="428625" cy="428625"/>
    <xdr:pic>
      <xdr:nvPicPr>
        <xdr:cNvPr id="53" name="image642.png">
          <a:extLst>
            <a:ext uri="{FF2B5EF4-FFF2-40B4-BE49-F238E27FC236}">
              <a16:creationId xmlns:a16="http://schemas.microsoft.com/office/drawing/2014/main" id="{00000000-0008-0000-03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1</xdr:col>
      <xdr:colOff>0</xdr:colOff>
      <xdr:row>54</xdr:row>
      <xdr:rowOff>0</xdr:rowOff>
    </xdr:from>
    <xdr:ext cx="428625" cy="428625"/>
    <xdr:pic>
      <xdr:nvPicPr>
        <xdr:cNvPr id="54" name="image643.png">
          <a:extLst>
            <a:ext uri="{FF2B5EF4-FFF2-40B4-BE49-F238E27FC236}">
              <a16:creationId xmlns:a16="http://schemas.microsoft.com/office/drawing/2014/main" id="{00000000-0008-0000-03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xdr:col>
      <xdr:colOff>0</xdr:colOff>
      <xdr:row>55</xdr:row>
      <xdr:rowOff>0</xdr:rowOff>
    </xdr:from>
    <xdr:ext cx="428625" cy="428625"/>
    <xdr:pic>
      <xdr:nvPicPr>
        <xdr:cNvPr id="55" name="image652.png">
          <a:extLst>
            <a:ext uri="{FF2B5EF4-FFF2-40B4-BE49-F238E27FC236}">
              <a16:creationId xmlns:a16="http://schemas.microsoft.com/office/drawing/2014/main" id="{00000000-0008-0000-03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1</xdr:col>
      <xdr:colOff>0</xdr:colOff>
      <xdr:row>56</xdr:row>
      <xdr:rowOff>0</xdr:rowOff>
    </xdr:from>
    <xdr:ext cx="428625" cy="428625"/>
    <xdr:pic>
      <xdr:nvPicPr>
        <xdr:cNvPr id="56" name="image680.png">
          <a:extLst>
            <a:ext uri="{FF2B5EF4-FFF2-40B4-BE49-F238E27FC236}">
              <a16:creationId xmlns:a16="http://schemas.microsoft.com/office/drawing/2014/main" id="{00000000-0008-0000-03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xdr:col>
      <xdr:colOff>0</xdr:colOff>
      <xdr:row>57</xdr:row>
      <xdr:rowOff>0</xdr:rowOff>
    </xdr:from>
    <xdr:ext cx="428625" cy="428625"/>
    <xdr:pic>
      <xdr:nvPicPr>
        <xdr:cNvPr id="57" name="image649.png">
          <a:extLst>
            <a:ext uri="{FF2B5EF4-FFF2-40B4-BE49-F238E27FC236}">
              <a16:creationId xmlns:a16="http://schemas.microsoft.com/office/drawing/2014/main" id="{00000000-0008-0000-03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1</xdr:col>
      <xdr:colOff>0</xdr:colOff>
      <xdr:row>58</xdr:row>
      <xdr:rowOff>0</xdr:rowOff>
    </xdr:from>
    <xdr:ext cx="428625" cy="428625"/>
    <xdr:pic>
      <xdr:nvPicPr>
        <xdr:cNvPr id="58" name="image657.png">
          <a:extLst>
            <a:ext uri="{FF2B5EF4-FFF2-40B4-BE49-F238E27FC236}">
              <a16:creationId xmlns:a16="http://schemas.microsoft.com/office/drawing/2014/main" id="{00000000-0008-0000-03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xdr:col>
      <xdr:colOff>0</xdr:colOff>
      <xdr:row>59</xdr:row>
      <xdr:rowOff>0</xdr:rowOff>
    </xdr:from>
    <xdr:ext cx="428625" cy="428625"/>
    <xdr:pic>
      <xdr:nvPicPr>
        <xdr:cNvPr id="59" name="image658.png">
          <a:extLst>
            <a:ext uri="{FF2B5EF4-FFF2-40B4-BE49-F238E27FC236}">
              <a16:creationId xmlns:a16="http://schemas.microsoft.com/office/drawing/2014/main" id="{00000000-0008-0000-03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1</xdr:col>
      <xdr:colOff>0</xdr:colOff>
      <xdr:row>60</xdr:row>
      <xdr:rowOff>0</xdr:rowOff>
    </xdr:from>
    <xdr:ext cx="428625" cy="428625"/>
    <xdr:pic>
      <xdr:nvPicPr>
        <xdr:cNvPr id="60" name="image666.png">
          <a:extLst>
            <a:ext uri="{FF2B5EF4-FFF2-40B4-BE49-F238E27FC236}">
              <a16:creationId xmlns:a16="http://schemas.microsoft.com/office/drawing/2014/main" id="{00000000-0008-0000-03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1</xdr:col>
      <xdr:colOff>0</xdr:colOff>
      <xdr:row>61</xdr:row>
      <xdr:rowOff>0</xdr:rowOff>
    </xdr:from>
    <xdr:ext cx="428625" cy="428625"/>
    <xdr:pic>
      <xdr:nvPicPr>
        <xdr:cNvPr id="61" name="image650.png">
          <a:extLst>
            <a:ext uri="{FF2B5EF4-FFF2-40B4-BE49-F238E27FC236}">
              <a16:creationId xmlns:a16="http://schemas.microsoft.com/office/drawing/2014/main" id="{00000000-0008-0000-03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1</xdr:col>
      <xdr:colOff>0</xdr:colOff>
      <xdr:row>62</xdr:row>
      <xdr:rowOff>0</xdr:rowOff>
    </xdr:from>
    <xdr:ext cx="428625" cy="428625"/>
    <xdr:pic>
      <xdr:nvPicPr>
        <xdr:cNvPr id="62" name="image648.png">
          <a:extLst>
            <a:ext uri="{FF2B5EF4-FFF2-40B4-BE49-F238E27FC236}">
              <a16:creationId xmlns:a16="http://schemas.microsoft.com/office/drawing/2014/main" id="{00000000-0008-0000-03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xdr:col>
      <xdr:colOff>0</xdr:colOff>
      <xdr:row>63</xdr:row>
      <xdr:rowOff>0</xdr:rowOff>
    </xdr:from>
    <xdr:ext cx="428625" cy="428625"/>
    <xdr:pic>
      <xdr:nvPicPr>
        <xdr:cNvPr id="63" name="image644.png">
          <a:extLst>
            <a:ext uri="{FF2B5EF4-FFF2-40B4-BE49-F238E27FC236}">
              <a16:creationId xmlns:a16="http://schemas.microsoft.com/office/drawing/2014/main" id="{00000000-0008-0000-03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xdr:col>
      <xdr:colOff>0</xdr:colOff>
      <xdr:row>64</xdr:row>
      <xdr:rowOff>0</xdr:rowOff>
    </xdr:from>
    <xdr:ext cx="428625" cy="428625"/>
    <xdr:pic>
      <xdr:nvPicPr>
        <xdr:cNvPr id="64" name="image682.png">
          <a:extLst>
            <a:ext uri="{FF2B5EF4-FFF2-40B4-BE49-F238E27FC236}">
              <a16:creationId xmlns:a16="http://schemas.microsoft.com/office/drawing/2014/main" id="{00000000-0008-0000-03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1</xdr:col>
      <xdr:colOff>0</xdr:colOff>
      <xdr:row>65</xdr:row>
      <xdr:rowOff>0</xdr:rowOff>
    </xdr:from>
    <xdr:ext cx="428625" cy="428625"/>
    <xdr:pic>
      <xdr:nvPicPr>
        <xdr:cNvPr id="65" name="image653.png">
          <a:extLst>
            <a:ext uri="{FF2B5EF4-FFF2-40B4-BE49-F238E27FC236}">
              <a16:creationId xmlns:a16="http://schemas.microsoft.com/office/drawing/2014/main" id="{00000000-0008-0000-03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xdr:col>
      <xdr:colOff>0</xdr:colOff>
      <xdr:row>66</xdr:row>
      <xdr:rowOff>0</xdr:rowOff>
    </xdr:from>
    <xdr:ext cx="428625" cy="428625"/>
    <xdr:pic>
      <xdr:nvPicPr>
        <xdr:cNvPr id="66" name="image659.png">
          <a:extLst>
            <a:ext uri="{FF2B5EF4-FFF2-40B4-BE49-F238E27FC236}">
              <a16:creationId xmlns:a16="http://schemas.microsoft.com/office/drawing/2014/main" id="{00000000-0008-0000-03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1</xdr:col>
      <xdr:colOff>0</xdr:colOff>
      <xdr:row>67</xdr:row>
      <xdr:rowOff>0</xdr:rowOff>
    </xdr:from>
    <xdr:ext cx="428625" cy="419100"/>
    <xdr:pic>
      <xdr:nvPicPr>
        <xdr:cNvPr id="67" name="image647.png">
          <a:extLst>
            <a:ext uri="{FF2B5EF4-FFF2-40B4-BE49-F238E27FC236}">
              <a16:creationId xmlns:a16="http://schemas.microsoft.com/office/drawing/2014/main" id="{00000000-0008-0000-03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1</xdr:col>
      <xdr:colOff>0</xdr:colOff>
      <xdr:row>68</xdr:row>
      <xdr:rowOff>0</xdr:rowOff>
    </xdr:from>
    <xdr:ext cx="428625" cy="428625"/>
    <xdr:pic>
      <xdr:nvPicPr>
        <xdr:cNvPr id="68" name="image678.png">
          <a:extLst>
            <a:ext uri="{FF2B5EF4-FFF2-40B4-BE49-F238E27FC236}">
              <a16:creationId xmlns:a16="http://schemas.microsoft.com/office/drawing/2014/main" id="{00000000-0008-0000-03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1</xdr:col>
      <xdr:colOff>0</xdr:colOff>
      <xdr:row>69</xdr:row>
      <xdr:rowOff>0</xdr:rowOff>
    </xdr:from>
    <xdr:ext cx="428625" cy="428625"/>
    <xdr:pic>
      <xdr:nvPicPr>
        <xdr:cNvPr id="69" name="image664.png">
          <a:extLst>
            <a:ext uri="{FF2B5EF4-FFF2-40B4-BE49-F238E27FC236}">
              <a16:creationId xmlns:a16="http://schemas.microsoft.com/office/drawing/2014/main" id="{00000000-0008-0000-03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1</xdr:col>
      <xdr:colOff>0</xdr:colOff>
      <xdr:row>70</xdr:row>
      <xdr:rowOff>0</xdr:rowOff>
    </xdr:from>
    <xdr:ext cx="428625" cy="428625"/>
    <xdr:pic>
      <xdr:nvPicPr>
        <xdr:cNvPr id="70" name="image663.png">
          <a:extLst>
            <a:ext uri="{FF2B5EF4-FFF2-40B4-BE49-F238E27FC236}">
              <a16:creationId xmlns:a16="http://schemas.microsoft.com/office/drawing/2014/main" id="{00000000-0008-0000-03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1</xdr:col>
      <xdr:colOff>0</xdr:colOff>
      <xdr:row>71</xdr:row>
      <xdr:rowOff>0</xdr:rowOff>
    </xdr:from>
    <xdr:ext cx="428625" cy="428625"/>
    <xdr:pic>
      <xdr:nvPicPr>
        <xdr:cNvPr id="71" name="image655.png">
          <a:extLst>
            <a:ext uri="{FF2B5EF4-FFF2-40B4-BE49-F238E27FC236}">
              <a16:creationId xmlns:a16="http://schemas.microsoft.com/office/drawing/2014/main" id="{00000000-0008-0000-03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1</xdr:col>
      <xdr:colOff>0</xdr:colOff>
      <xdr:row>72</xdr:row>
      <xdr:rowOff>0</xdr:rowOff>
    </xdr:from>
    <xdr:ext cx="428625" cy="428625"/>
    <xdr:pic>
      <xdr:nvPicPr>
        <xdr:cNvPr id="72" name="image656.png">
          <a:extLst>
            <a:ext uri="{FF2B5EF4-FFF2-40B4-BE49-F238E27FC236}">
              <a16:creationId xmlns:a16="http://schemas.microsoft.com/office/drawing/2014/main" id="{00000000-0008-0000-03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1</xdr:col>
      <xdr:colOff>0</xdr:colOff>
      <xdr:row>73</xdr:row>
      <xdr:rowOff>0</xdr:rowOff>
    </xdr:from>
    <xdr:ext cx="428625" cy="428625"/>
    <xdr:pic>
      <xdr:nvPicPr>
        <xdr:cNvPr id="73" name="image660.png">
          <a:extLst>
            <a:ext uri="{FF2B5EF4-FFF2-40B4-BE49-F238E27FC236}">
              <a16:creationId xmlns:a16="http://schemas.microsoft.com/office/drawing/2014/main" id="{00000000-0008-0000-03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xdr:col>
      <xdr:colOff>0</xdr:colOff>
      <xdr:row>74</xdr:row>
      <xdr:rowOff>0</xdr:rowOff>
    </xdr:from>
    <xdr:ext cx="428625" cy="428625"/>
    <xdr:pic>
      <xdr:nvPicPr>
        <xdr:cNvPr id="74" name="image662.png">
          <a:extLst>
            <a:ext uri="{FF2B5EF4-FFF2-40B4-BE49-F238E27FC236}">
              <a16:creationId xmlns:a16="http://schemas.microsoft.com/office/drawing/2014/main" id="{00000000-0008-0000-03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1</xdr:col>
      <xdr:colOff>0</xdr:colOff>
      <xdr:row>75</xdr:row>
      <xdr:rowOff>0</xdr:rowOff>
    </xdr:from>
    <xdr:ext cx="428625" cy="428625"/>
    <xdr:pic>
      <xdr:nvPicPr>
        <xdr:cNvPr id="75" name="image671.png">
          <a:extLst>
            <a:ext uri="{FF2B5EF4-FFF2-40B4-BE49-F238E27FC236}">
              <a16:creationId xmlns:a16="http://schemas.microsoft.com/office/drawing/2014/main" id="{00000000-0008-0000-03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1</xdr:col>
      <xdr:colOff>0</xdr:colOff>
      <xdr:row>76</xdr:row>
      <xdr:rowOff>0</xdr:rowOff>
    </xdr:from>
    <xdr:ext cx="428625" cy="428625"/>
    <xdr:pic>
      <xdr:nvPicPr>
        <xdr:cNvPr id="76" name="image672.png">
          <a:extLst>
            <a:ext uri="{FF2B5EF4-FFF2-40B4-BE49-F238E27FC236}">
              <a16:creationId xmlns:a16="http://schemas.microsoft.com/office/drawing/2014/main" id="{00000000-0008-0000-03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1</xdr:col>
      <xdr:colOff>0</xdr:colOff>
      <xdr:row>77</xdr:row>
      <xdr:rowOff>0</xdr:rowOff>
    </xdr:from>
    <xdr:ext cx="428625" cy="428625"/>
    <xdr:pic>
      <xdr:nvPicPr>
        <xdr:cNvPr id="77" name="image661.png">
          <a:extLst>
            <a:ext uri="{FF2B5EF4-FFF2-40B4-BE49-F238E27FC236}">
              <a16:creationId xmlns:a16="http://schemas.microsoft.com/office/drawing/2014/main" id="{00000000-0008-0000-03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xdr:col>
      <xdr:colOff>0</xdr:colOff>
      <xdr:row>78</xdr:row>
      <xdr:rowOff>0</xdr:rowOff>
    </xdr:from>
    <xdr:ext cx="428625" cy="428625"/>
    <xdr:pic>
      <xdr:nvPicPr>
        <xdr:cNvPr id="78" name="image668.png">
          <a:extLst>
            <a:ext uri="{FF2B5EF4-FFF2-40B4-BE49-F238E27FC236}">
              <a16:creationId xmlns:a16="http://schemas.microsoft.com/office/drawing/2014/main" id="{00000000-0008-0000-03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1</xdr:col>
      <xdr:colOff>0</xdr:colOff>
      <xdr:row>79</xdr:row>
      <xdr:rowOff>0</xdr:rowOff>
    </xdr:from>
    <xdr:ext cx="428625" cy="428625"/>
    <xdr:pic>
      <xdr:nvPicPr>
        <xdr:cNvPr id="79" name="image667.png">
          <a:extLst>
            <a:ext uri="{FF2B5EF4-FFF2-40B4-BE49-F238E27FC236}">
              <a16:creationId xmlns:a16="http://schemas.microsoft.com/office/drawing/2014/main" id="{00000000-0008-0000-03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1</xdr:col>
      <xdr:colOff>0</xdr:colOff>
      <xdr:row>80</xdr:row>
      <xdr:rowOff>0</xdr:rowOff>
    </xdr:from>
    <xdr:ext cx="428625" cy="428625"/>
    <xdr:pic>
      <xdr:nvPicPr>
        <xdr:cNvPr id="80" name="image670.png">
          <a:extLst>
            <a:ext uri="{FF2B5EF4-FFF2-40B4-BE49-F238E27FC236}">
              <a16:creationId xmlns:a16="http://schemas.microsoft.com/office/drawing/2014/main" id="{00000000-0008-0000-03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1</xdr:col>
      <xdr:colOff>0</xdr:colOff>
      <xdr:row>81</xdr:row>
      <xdr:rowOff>0</xdr:rowOff>
    </xdr:from>
    <xdr:ext cx="428625" cy="428625"/>
    <xdr:pic>
      <xdr:nvPicPr>
        <xdr:cNvPr id="81" name="image665.png">
          <a:extLst>
            <a:ext uri="{FF2B5EF4-FFF2-40B4-BE49-F238E27FC236}">
              <a16:creationId xmlns:a16="http://schemas.microsoft.com/office/drawing/2014/main" id="{00000000-0008-0000-0300-000051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1</xdr:col>
      <xdr:colOff>0</xdr:colOff>
      <xdr:row>82</xdr:row>
      <xdr:rowOff>0</xdr:rowOff>
    </xdr:from>
    <xdr:ext cx="428625" cy="428625"/>
    <xdr:pic>
      <xdr:nvPicPr>
        <xdr:cNvPr id="82" name="image685.png">
          <a:extLst>
            <a:ext uri="{FF2B5EF4-FFF2-40B4-BE49-F238E27FC236}">
              <a16:creationId xmlns:a16="http://schemas.microsoft.com/office/drawing/2014/main" id="{00000000-0008-0000-0300-000052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1</xdr:col>
      <xdr:colOff>0</xdr:colOff>
      <xdr:row>83</xdr:row>
      <xdr:rowOff>0</xdr:rowOff>
    </xdr:from>
    <xdr:ext cx="428625" cy="428625"/>
    <xdr:pic>
      <xdr:nvPicPr>
        <xdr:cNvPr id="83" name="image677.png">
          <a:extLst>
            <a:ext uri="{FF2B5EF4-FFF2-40B4-BE49-F238E27FC236}">
              <a16:creationId xmlns:a16="http://schemas.microsoft.com/office/drawing/2014/main" id="{00000000-0008-0000-0300-000053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1</xdr:col>
      <xdr:colOff>0</xdr:colOff>
      <xdr:row>84</xdr:row>
      <xdr:rowOff>0</xdr:rowOff>
    </xdr:from>
    <xdr:ext cx="428625" cy="428625"/>
    <xdr:pic>
      <xdr:nvPicPr>
        <xdr:cNvPr id="84" name="image681.png">
          <a:extLst>
            <a:ext uri="{FF2B5EF4-FFF2-40B4-BE49-F238E27FC236}">
              <a16:creationId xmlns:a16="http://schemas.microsoft.com/office/drawing/2014/main" id="{00000000-0008-0000-0300-000054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1</xdr:col>
      <xdr:colOff>0</xdr:colOff>
      <xdr:row>85</xdr:row>
      <xdr:rowOff>0</xdr:rowOff>
    </xdr:from>
    <xdr:ext cx="428625" cy="428625"/>
    <xdr:pic>
      <xdr:nvPicPr>
        <xdr:cNvPr id="85" name="image676.png">
          <a:extLst>
            <a:ext uri="{FF2B5EF4-FFF2-40B4-BE49-F238E27FC236}">
              <a16:creationId xmlns:a16="http://schemas.microsoft.com/office/drawing/2014/main" id="{00000000-0008-0000-0300-000055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1</xdr:col>
      <xdr:colOff>0</xdr:colOff>
      <xdr:row>86</xdr:row>
      <xdr:rowOff>0</xdr:rowOff>
    </xdr:from>
    <xdr:ext cx="428625" cy="428625"/>
    <xdr:pic>
      <xdr:nvPicPr>
        <xdr:cNvPr id="86" name="image679.png">
          <a:extLst>
            <a:ext uri="{FF2B5EF4-FFF2-40B4-BE49-F238E27FC236}">
              <a16:creationId xmlns:a16="http://schemas.microsoft.com/office/drawing/2014/main" id="{00000000-0008-0000-0300-000056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1</xdr:col>
      <xdr:colOff>0</xdr:colOff>
      <xdr:row>87</xdr:row>
      <xdr:rowOff>0</xdr:rowOff>
    </xdr:from>
    <xdr:ext cx="428625" cy="428625"/>
    <xdr:pic>
      <xdr:nvPicPr>
        <xdr:cNvPr id="87" name="image688.png">
          <a:extLst>
            <a:ext uri="{FF2B5EF4-FFF2-40B4-BE49-F238E27FC236}">
              <a16:creationId xmlns:a16="http://schemas.microsoft.com/office/drawing/2014/main" id="{00000000-0008-0000-0300-000057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1</xdr:col>
      <xdr:colOff>0</xdr:colOff>
      <xdr:row>88</xdr:row>
      <xdr:rowOff>0</xdr:rowOff>
    </xdr:from>
    <xdr:ext cx="428625" cy="428625"/>
    <xdr:pic>
      <xdr:nvPicPr>
        <xdr:cNvPr id="88" name="image696.png">
          <a:extLst>
            <a:ext uri="{FF2B5EF4-FFF2-40B4-BE49-F238E27FC236}">
              <a16:creationId xmlns:a16="http://schemas.microsoft.com/office/drawing/2014/main" id="{00000000-0008-0000-0300-000058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1</xdr:col>
      <xdr:colOff>0</xdr:colOff>
      <xdr:row>89</xdr:row>
      <xdr:rowOff>0</xdr:rowOff>
    </xdr:from>
    <xdr:ext cx="428625" cy="428625"/>
    <xdr:pic>
      <xdr:nvPicPr>
        <xdr:cNvPr id="89" name="image673.png">
          <a:extLst>
            <a:ext uri="{FF2B5EF4-FFF2-40B4-BE49-F238E27FC236}">
              <a16:creationId xmlns:a16="http://schemas.microsoft.com/office/drawing/2014/main" id="{00000000-0008-0000-0300-000059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1</xdr:col>
      <xdr:colOff>0</xdr:colOff>
      <xdr:row>90</xdr:row>
      <xdr:rowOff>0</xdr:rowOff>
    </xdr:from>
    <xdr:ext cx="428625" cy="428625"/>
    <xdr:pic>
      <xdr:nvPicPr>
        <xdr:cNvPr id="90" name="image669.png">
          <a:extLst>
            <a:ext uri="{FF2B5EF4-FFF2-40B4-BE49-F238E27FC236}">
              <a16:creationId xmlns:a16="http://schemas.microsoft.com/office/drawing/2014/main" id="{00000000-0008-0000-0300-00005A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1</xdr:col>
      <xdr:colOff>0</xdr:colOff>
      <xdr:row>91</xdr:row>
      <xdr:rowOff>0</xdr:rowOff>
    </xdr:from>
    <xdr:ext cx="428625" cy="428625"/>
    <xdr:pic>
      <xdr:nvPicPr>
        <xdr:cNvPr id="91" name="image675.png">
          <a:extLst>
            <a:ext uri="{FF2B5EF4-FFF2-40B4-BE49-F238E27FC236}">
              <a16:creationId xmlns:a16="http://schemas.microsoft.com/office/drawing/2014/main" id="{00000000-0008-0000-0300-00005B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1</xdr:col>
      <xdr:colOff>0</xdr:colOff>
      <xdr:row>92</xdr:row>
      <xdr:rowOff>0</xdr:rowOff>
    </xdr:from>
    <xdr:ext cx="428625" cy="428625"/>
    <xdr:pic>
      <xdr:nvPicPr>
        <xdr:cNvPr id="92" name="image695.png">
          <a:extLst>
            <a:ext uri="{FF2B5EF4-FFF2-40B4-BE49-F238E27FC236}">
              <a16:creationId xmlns:a16="http://schemas.microsoft.com/office/drawing/2014/main" id="{00000000-0008-0000-0300-00005C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1</xdr:col>
      <xdr:colOff>0</xdr:colOff>
      <xdr:row>93</xdr:row>
      <xdr:rowOff>0</xdr:rowOff>
    </xdr:from>
    <xdr:ext cx="428625" cy="428625"/>
    <xdr:pic>
      <xdr:nvPicPr>
        <xdr:cNvPr id="93" name="image684.png">
          <a:extLst>
            <a:ext uri="{FF2B5EF4-FFF2-40B4-BE49-F238E27FC236}">
              <a16:creationId xmlns:a16="http://schemas.microsoft.com/office/drawing/2014/main" id="{00000000-0008-0000-0300-00005D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1</xdr:col>
      <xdr:colOff>0</xdr:colOff>
      <xdr:row>94</xdr:row>
      <xdr:rowOff>0</xdr:rowOff>
    </xdr:from>
    <xdr:ext cx="428625" cy="428625"/>
    <xdr:pic>
      <xdr:nvPicPr>
        <xdr:cNvPr id="94" name="image683.png">
          <a:extLst>
            <a:ext uri="{FF2B5EF4-FFF2-40B4-BE49-F238E27FC236}">
              <a16:creationId xmlns:a16="http://schemas.microsoft.com/office/drawing/2014/main" id="{00000000-0008-0000-0300-00005E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1</xdr:col>
      <xdr:colOff>0</xdr:colOff>
      <xdr:row>95</xdr:row>
      <xdr:rowOff>0</xdr:rowOff>
    </xdr:from>
    <xdr:ext cx="428625" cy="428625"/>
    <xdr:pic>
      <xdr:nvPicPr>
        <xdr:cNvPr id="95" name="image705.png">
          <a:extLst>
            <a:ext uri="{FF2B5EF4-FFF2-40B4-BE49-F238E27FC236}">
              <a16:creationId xmlns:a16="http://schemas.microsoft.com/office/drawing/2014/main" id="{00000000-0008-0000-0300-00005F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1</xdr:col>
      <xdr:colOff>0</xdr:colOff>
      <xdr:row>96</xdr:row>
      <xdr:rowOff>0</xdr:rowOff>
    </xdr:from>
    <xdr:ext cx="428625" cy="428625"/>
    <xdr:pic>
      <xdr:nvPicPr>
        <xdr:cNvPr id="96" name="image687.png">
          <a:extLst>
            <a:ext uri="{FF2B5EF4-FFF2-40B4-BE49-F238E27FC236}">
              <a16:creationId xmlns:a16="http://schemas.microsoft.com/office/drawing/2014/main" id="{00000000-0008-0000-0300-000060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1</xdr:col>
      <xdr:colOff>0</xdr:colOff>
      <xdr:row>97</xdr:row>
      <xdr:rowOff>0</xdr:rowOff>
    </xdr:from>
    <xdr:ext cx="428625" cy="428625"/>
    <xdr:pic>
      <xdr:nvPicPr>
        <xdr:cNvPr id="97" name="image689.png">
          <a:extLst>
            <a:ext uri="{FF2B5EF4-FFF2-40B4-BE49-F238E27FC236}">
              <a16:creationId xmlns:a16="http://schemas.microsoft.com/office/drawing/2014/main" id="{00000000-0008-0000-0300-000061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1</xdr:col>
      <xdr:colOff>0</xdr:colOff>
      <xdr:row>98</xdr:row>
      <xdr:rowOff>0</xdr:rowOff>
    </xdr:from>
    <xdr:ext cx="428625" cy="428625"/>
    <xdr:pic>
      <xdr:nvPicPr>
        <xdr:cNvPr id="98" name="image686.png">
          <a:extLst>
            <a:ext uri="{FF2B5EF4-FFF2-40B4-BE49-F238E27FC236}">
              <a16:creationId xmlns:a16="http://schemas.microsoft.com/office/drawing/2014/main" id="{00000000-0008-0000-0300-000062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1</xdr:col>
      <xdr:colOff>0</xdr:colOff>
      <xdr:row>99</xdr:row>
      <xdr:rowOff>0</xdr:rowOff>
    </xdr:from>
    <xdr:ext cx="428625" cy="428625"/>
    <xdr:pic>
      <xdr:nvPicPr>
        <xdr:cNvPr id="99" name="image692.png">
          <a:extLst>
            <a:ext uri="{FF2B5EF4-FFF2-40B4-BE49-F238E27FC236}">
              <a16:creationId xmlns:a16="http://schemas.microsoft.com/office/drawing/2014/main" id="{00000000-0008-0000-0300-000063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1</xdr:col>
      <xdr:colOff>0</xdr:colOff>
      <xdr:row>100</xdr:row>
      <xdr:rowOff>0</xdr:rowOff>
    </xdr:from>
    <xdr:ext cx="428625" cy="428625"/>
    <xdr:pic>
      <xdr:nvPicPr>
        <xdr:cNvPr id="100" name="image703.png">
          <a:extLst>
            <a:ext uri="{FF2B5EF4-FFF2-40B4-BE49-F238E27FC236}">
              <a16:creationId xmlns:a16="http://schemas.microsoft.com/office/drawing/2014/main" id="{00000000-0008-0000-0300-000064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1</xdr:col>
      <xdr:colOff>0</xdr:colOff>
      <xdr:row>101</xdr:row>
      <xdr:rowOff>0</xdr:rowOff>
    </xdr:from>
    <xdr:ext cx="428625" cy="428625"/>
    <xdr:pic>
      <xdr:nvPicPr>
        <xdr:cNvPr id="101" name="image690.png">
          <a:extLst>
            <a:ext uri="{FF2B5EF4-FFF2-40B4-BE49-F238E27FC236}">
              <a16:creationId xmlns:a16="http://schemas.microsoft.com/office/drawing/2014/main" id="{00000000-0008-0000-0300-000065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1</xdr:col>
      <xdr:colOff>0</xdr:colOff>
      <xdr:row>102</xdr:row>
      <xdr:rowOff>0</xdr:rowOff>
    </xdr:from>
    <xdr:ext cx="428625" cy="428625"/>
    <xdr:pic>
      <xdr:nvPicPr>
        <xdr:cNvPr id="102" name="image702.png">
          <a:extLst>
            <a:ext uri="{FF2B5EF4-FFF2-40B4-BE49-F238E27FC236}">
              <a16:creationId xmlns:a16="http://schemas.microsoft.com/office/drawing/2014/main" id="{00000000-0008-0000-0300-000066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1</xdr:col>
      <xdr:colOff>0</xdr:colOff>
      <xdr:row>103</xdr:row>
      <xdr:rowOff>0</xdr:rowOff>
    </xdr:from>
    <xdr:ext cx="428625" cy="428625"/>
    <xdr:pic>
      <xdr:nvPicPr>
        <xdr:cNvPr id="103" name="image708.png">
          <a:extLst>
            <a:ext uri="{FF2B5EF4-FFF2-40B4-BE49-F238E27FC236}">
              <a16:creationId xmlns:a16="http://schemas.microsoft.com/office/drawing/2014/main" id="{00000000-0008-0000-0300-000067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1</xdr:col>
      <xdr:colOff>0</xdr:colOff>
      <xdr:row>104</xdr:row>
      <xdr:rowOff>0</xdr:rowOff>
    </xdr:from>
    <xdr:ext cx="428625" cy="428625"/>
    <xdr:pic>
      <xdr:nvPicPr>
        <xdr:cNvPr id="104" name="image713.png">
          <a:extLst>
            <a:ext uri="{FF2B5EF4-FFF2-40B4-BE49-F238E27FC236}">
              <a16:creationId xmlns:a16="http://schemas.microsoft.com/office/drawing/2014/main" id="{00000000-0008-0000-0300-000068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1</xdr:col>
      <xdr:colOff>0</xdr:colOff>
      <xdr:row>105</xdr:row>
      <xdr:rowOff>0</xdr:rowOff>
    </xdr:from>
    <xdr:ext cx="428625" cy="428625"/>
    <xdr:pic>
      <xdr:nvPicPr>
        <xdr:cNvPr id="105" name="image691.png">
          <a:extLst>
            <a:ext uri="{FF2B5EF4-FFF2-40B4-BE49-F238E27FC236}">
              <a16:creationId xmlns:a16="http://schemas.microsoft.com/office/drawing/2014/main" id="{00000000-0008-0000-0300-000069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1</xdr:col>
      <xdr:colOff>0</xdr:colOff>
      <xdr:row>106</xdr:row>
      <xdr:rowOff>0</xdr:rowOff>
    </xdr:from>
    <xdr:ext cx="428625" cy="428625"/>
    <xdr:pic>
      <xdr:nvPicPr>
        <xdr:cNvPr id="106" name="image694.png">
          <a:extLst>
            <a:ext uri="{FF2B5EF4-FFF2-40B4-BE49-F238E27FC236}">
              <a16:creationId xmlns:a16="http://schemas.microsoft.com/office/drawing/2014/main" id="{00000000-0008-0000-0300-00006A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1</xdr:col>
      <xdr:colOff>0</xdr:colOff>
      <xdr:row>107</xdr:row>
      <xdr:rowOff>0</xdr:rowOff>
    </xdr:from>
    <xdr:ext cx="428625" cy="428625"/>
    <xdr:pic>
      <xdr:nvPicPr>
        <xdr:cNvPr id="107" name="image693.png">
          <a:extLst>
            <a:ext uri="{FF2B5EF4-FFF2-40B4-BE49-F238E27FC236}">
              <a16:creationId xmlns:a16="http://schemas.microsoft.com/office/drawing/2014/main" id="{00000000-0008-0000-0300-00006B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1</xdr:col>
      <xdr:colOff>0</xdr:colOff>
      <xdr:row>108</xdr:row>
      <xdr:rowOff>0</xdr:rowOff>
    </xdr:from>
    <xdr:ext cx="428625" cy="428625"/>
    <xdr:pic>
      <xdr:nvPicPr>
        <xdr:cNvPr id="108" name="image699.png">
          <a:extLst>
            <a:ext uri="{FF2B5EF4-FFF2-40B4-BE49-F238E27FC236}">
              <a16:creationId xmlns:a16="http://schemas.microsoft.com/office/drawing/2014/main" id="{00000000-0008-0000-0300-00006C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1</xdr:col>
      <xdr:colOff>0</xdr:colOff>
      <xdr:row>109</xdr:row>
      <xdr:rowOff>0</xdr:rowOff>
    </xdr:from>
    <xdr:ext cx="428625" cy="428625"/>
    <xdr:pic>
      <xdr:nvPicPr>
        <xdr:cNvPr id="109" name="image700.png">
          <a:extLst>
            <a:ext uri="{FF2B5EF4-FFF2-40B4-BE49-F238E27FC236}">
              <a16:creationId xmlns:a16="http://schemas.microsoft.com/office/drawing/2014/main" id="{00000000-0008-0000-0300-00006D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1</xdr:col>
      <xdr:colOff>0</xdr:colOff>
      <xdr:row>110</xdr:row>
      <xdr:rowOff>0</xdr:rowOff>
    </xdr:from>
    <xdr:ext cx="428625" cy="428625"/>
    <xdr:pic>
      <xdr:nvPicPr>
        <xdr:cNvPr id="110" name="image698.png">
          <a:extLst>
            <a:ext uri="{FF2B5EF4-FFF2-40B4-BE49-F238E27FC236}">
              <a16:creationId xmlns:a16="http://schemas.microsoft.com/office/drawing/2014/main" id="{00000000-0008-0000-0300-00006E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1</xdr:col>
      <xdr:colOff>0</xdr:colOff>
      <xdr:row>111</xdr:row>
      <xdr:rowOff>0</xdr:rowOff>
    </xdr:from>
    <xdr:ext cx="428625" cy="428625"/>
    <xdr:pic>
      <xdr:nvPicPr>
        <xdr:cNvPr id="111" name="image707.png">
          <a:extLst>
            <a:ext uri="{FF2B5EF4-FFF2-40B4-BE49-F238E27FC236}">
              <a16:creationId xmlns:a16="http://schemas.microsoft.com/office/drawing/2014/main" id="{00000000-0008-0000-0300-00006F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1</xdr:col>
      <xdr:colOff>0</xdr:colOff>
      <xdr:row>112</xdr:row>
      <xdr:rowOff>0</xdr:rowOff>
    </xdr:from>
    <xdr:ext cx="428625" cy="428625"/>
    <xdr:pic>
      <xdr:nvPicPr>
        <xdr:cNvPr id="112" name="image714.png">
          <a:extLst>
            <a:ext uri="{FF2B5EF4-FFF2-40B4-BE49-F238E27FC236}">
              <a16:creationId xmlns:a16="http://schemas.microsoft.com/office/drawing/2014/main" id="{00000000-0008-0000-0300-000070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1</xdr:col>
      <xdr:colOff>0</xdr:colOff>
      <xdr:row>113</xdr:row>
      <xdr:rowOff>0</xdr:rowOff>
    </xdr:from>
    <xdr:ext cx="428625" cy="428625"/>
    <xdr:pic>
      <xdr:nvPicPr>
        <xdr:cNvPr id="113" name="image697.png">
          <a:extLst>
            <a:ext uri="{FF2B5EF4-FFF2-40B4-BE49-F238E27FC236}">
              <a16:creationId xmlns:a16="http://schemas.microsoft.com/office/drawing/2014/main" id="{00000000-0008-0000-0300-000071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1</xdr:col>
      <xdr:colOff>0</xdr:colOff>
      <xdr:row>114</xdr:row>
      <xdr:rowOff>0</xdr:rowOff>
    </xdr:from>
    <xdr:ext cx="428625" cy="428625"/>
    <xdr:pic>
      <xdr:nvPicPr>
        <xdr:cNvPr id="114" name="image717.png">
          <a:extLst>
            <a:ext uri="{FF2B5EF4-FFF2-40B4-BE49-F238E27FC236}">
              <a16:creationId xmlns:a16="http://schemas.microsoft.com/office/drawing/2014/main" id="{00000000-0008-0000-0300-000072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1</xdr:col>
      <xdr:colOff>0</xdr:colOff>
      <xdr:row>115</xdr:row>
      <xdr:rowOff>0</xdr:rowOff>
    </xdr:from>
    <xdr:ext cx="428625" cy="428625"/>
    <xdr:pic>
      <xdr:nvPicPr>
        <xdr:cNvPr id="115" name="image728.png">
          <a:extLst>
            <a:ext uri="{FF2B5EF4-FFF2-40B4-BE49-F238E27FC236}">
              <a16:creationId xmlns:a16="http://schemas.microsoft.com/office/drawing/2014/main" id="{00000000-0008-0000-0300-000073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1</xdr:col>
      <xdr:colOff>0</xdr:colOff>
      <xdr:row>116</xdr:row>
      <xdr:rowOff>0</xdr:rowOff>
    </xdr:from>
    <xdr:ext cx="428625" cy="428625"/>
    <xdr:pic>
      <xdr:nvPicPr>
        <xdr:cNvPr id="116" name="image704.png">
          <a:extLst>
            <a:ext uri="{FF2B5EF4-FFF2-40B4-BE49-F238E27FC236}">
              <a16:creationId xmlns:a16="http://schemas.microsoft.com/office/drawing/2014/main" id="{00000000-0008-0000-0300-000074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1</xdr:col>
      <xdr:colOff>0</xdr:colOff>
      <xdr:row>117</xdr:row>
      <xdr:rowOff>0</xdr:rowOff>
    </xdr:from>
    <xdr:ext cx="428625" cy="428625"/>
    <xdr:pic>
      <xdr:nvPicPr>
        <xdr:cNvPr id="117" name="image711.png">
          <a:extLst>
            <a:ext uri="{FF2B5EF4-FFF2-40B4-BE49-F238E27FC236}">
              <a16:creationId xmlns:a16="http://schemas.microsoft.com/office/drawing/2014/main" id="{00000000-0008-0000-0300-000075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1</xdr:col>
      <xdr:colOff>0</xdr:colOff>
      <xdr:row>118</xdr:row>
      <xdr:rowOff>0</xdr:rowOff>
    </xdr:from>
    <xdr:ext cx="428625" cy="428625"/>
    <xdr:pic>
      <xdr:nvPicPr>
        <xdr:cNvPr id="118" name="image710.png">
          <a:extLst>
            <a:ext uri="{FF2B5EF4-FFF2-40B4-BE49-F238E27FC236}">
              <a16:creationId xmlns:a16="http://schemas.microsoft.com/office/drawing/2014/main" id="{00000000-0008-0000-0300-000076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1</xdr:col>
      <xdr:colOff>0</xdr:colOff>
      <xdr:row>119</xdr:row>
      <xdr:rowOff>0</xdr:rowOff>
    </xdr:from>
    <xdr:ext cx="428625" cy="428625"/>
    <xdr:pic>
      <xdr:nvPicPr>
        <xdr:cNvPr id="119" name="image701.png">
          <a:extLst>
            <a:ext uri="{FF2B5EF4-FFF2-40B4-BE49-F238E27FC236}">
              <a16:creationId xmlns:a16="http://schemas.microsoft.com/office/drawing/2014/main" id="{00000000-0008-0000-0300-000077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1</xdr:col>
      <xdr:colOff>0</xdr:colOff>
      <xdr:row>120</xdr:row>
      <xdr:rowOff>0</xdr:rowOff>
    </xdr:from>
    <xdr:ext cx="428625" cy="428625"/>
    <xdr:pic>
      <xdr:nvPicPr>
        <xdr:cNvPr id="120" name="image712.png">
          <a:extLst>
            <a:ext uri="{FF2B5EF4-FFF2-40B4-BE49-F238E27FC236}">
              <a16:creationId xmlns:a16="http://schemas.microsoft.com/office/drawing/2014/main" id="{00000000-0008-0000-0300-000078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1</xdr:col>
      <xdr:colOff>0</xdr:colOff>
      <xdr:row>121</xdr:row>
      <xdr:rowOff>0</xdr:rowOff>
    </xdr:from>
    <xdr:ext cx="428625" cy="428625"/>
    <xdr:pic>
      <xdr:nvPicPr>
        <xdr:cNvPr id="121" name="image706.png">
          <a:extLst>
            <a:ext uri="{FF2B5EF4-FFF2-40B4-BE49-F238E27FC236}">
              <a16:creationId xmlns:a16="http://schemas.microsoft.com/office/drawing/2014/main" id="{00000000-0008-0000-0300-000079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1</xdr:col>
      <xdr:colOff>0</xdr:colOff>
      <xdr:row>122</xdr:row>
      <xdr:rowOff>0</xdr:rowOff>
    </xdr:from>
    <xdr:ext cx="428625" cy="428625"/>
    <xdr:pic>
      <xdr:nvPicPr>
        <xdr:cNvPr id="122" name="image723.png">
          <a:extLst>
            <a:ext uri="{FF2B5EF4-FFF2-40B4-BE49-F238E27FC236}">
              <a16:creationId xmlns:a16="http://schemas.microsoft.com/office/drawing/2014/main" id="{00000000-0008-0000-0300-00007A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1</xdr:col>
      <xdr:colOff>0</xdr:colOff>
      <xdr:row>123</xdr:row>
      <xdr:rowOff>0</xdr:rowOff>
    </xdr:from>
    <xdr:ext cx="428625" cy="428625"/>
    <xdr:pic>
      <xdr:nvPicPr>
        <xdr:cNvPr id="123" name="image724.png">
          <a:extLst>
            <a:ext uri="{FF2B5EF4-FFF2-40B4-BE49-F238E27FC236}">
              <a16:creationId xmlns:a16="http://schemas.microsoft.com/office/drawing/2014/main" id="{00000000-0008-0000-0300-00007B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1</xdr:col>
      <xdr:colOff>0</xdr:colOff>
      <xdr:row>124</xdr:row>
      <xdr:rowOff>0</xdr:rowOff>
    </xdr:from>
    <xdr:ext cx="428625" cy="428625"/>
    <xdr:pic>
      <xdr:nvPicPr>
        <xdr:cNvPr id="124" name="image715.png">
          <a:extLst>
            <a:ext uri="{FF2B5EF4-FFF2-40B4-BE49-F238E27FC236}">
              <a16:creationId xmlns:a16="http://schemas.microsoft.com/office/drawing/2014/main" id="{00000000-0008-0000-0300-00007C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1</xdr:col>
      <xdr:colOff>0</xdr:colOff>
      <xdr:row>125</xdr:row>
      <xdr:rowOff>0</xdr:rowOff>
    </xdr:from>
    <xdr:ext cx="428625" cy="428625"/>
    <xdr:pic>
      <xdr:nvPicPr>
        <xdr:cNvPr id="125" name="image716.png">
          <a:extLst>
            <a:ext uri="{FF2B5EF4-FFF2-40B4-BE49-F238E27FC236}">
              <a16:creationId xmlns:a16="http://schemas.microsoft.com/office/drawing/2014/main" id="{00000000-0008-0000-0300-00007D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1</xdr:col>
      <xdr:colOff>0</xdr:colOff>
      <xdr:row>126</xdr:row>
      <xdr:rowOff>0</xdr:rowOff>
    </xdr:from>
    <xdr:ext cx="428625" cy="428625"/>
    <xdr:pic>
      <xdr:nvPicPr>
        <xdr:cNvPr id="126" name="image721.png">
          <a:extLst>
            <a:ext uri="{FF2B5EF4-FFF2-40B4-BE49-F238E27FC236}">
              <a16:creationId xmlns:a16="http://schemas.microsoft.com/office/drawing/2014/main" id="{00000000-0008-0000-0300-00007E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1</xdr:col>
      <xdr:colOff>0</xdr:colOff>
      <xdr:row>127</xdr:row>
      <xdr:rowOff>0</xdr:rowOff>
    </xdr:from>
    <xdr:ext cx="428625" cy="428625"/>
    <xdr:pic>
      <xdr:nvPicPr>
        <xdr:cNvPr id="127" name="image739.png">
          <a:extLst>
            <a:ext uri="{FF2B5EF4-FFF2-40B4-BE49-F238E27FC236}">
              <a16:creationId xmlns:a16="http://schemas.microsoft.com/office/drawing/2014/main" id="{00000000-0008-0000-0300-00007F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1</xdr:col>
      <xdr:colOff>0</xdr:colOff>
      <xdr:row>128</xdr:row>
      <xdr:rowOff>0</xdr:rowOff>
    </xdr:from>
    <xdr:ext cx="428625" cy="428625"/>
    <xdr:pic>
      <xdr:nvPicPr>
        <xdr:cNvPr id="128" name="image727.png">
          <a:extLst>
            <a:ext uri="{FF2B5EF4-FFF2-40B4-BE49-F238E27FC236}">
              <a16:creationId xmlns:a16="http://schemas.microsoft.com/office/drawing/2014/main" id="{00000000-0008-0000-0300-000080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1</xdr:col>
      <xdr:colOff>0</xdr:colOff>
      <xdr:row>129</xdr:row>
      <xdr:rowOff>0</xdr:rowOff>
    </xdr:from>
    <xdr:ext cx="428625" cy="428625"/>
    <xdr:pic>
      <xdr:nvPicPr>
        <xdr:cNvPr id="129" name="image722.png">
          <a:extLst>
            <a:ext uri="{FF2B5EF4-FFF2-40B4-BE49-F238E27FC236}">
              <a16:creationId xmlns:a16="http://schemas.microsoft.com/office/drawing/2014/main" id="{00000000-0008-0000-0300-000081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1</xdr:col>
      <xdr:colOff>0</xdr:colOff>
      <xdr:row>130</xdr:row>
      <xdr:rowOff>0</xdr:rowOff>
    </xdr:from>
    <xdr:ext cx="428625" cy="428625"/>
    <xdr:pic>
      <xdr:nvPicPr>
        <xdr:cNvPr id="130" name="image709.png">
          <a:extLst>
            <a:ext uri="{FF2B5EF4-FFF2-40B4-BE49-F238E27FC236}">
              <a16:creationId xmlns:a16="http://schemas.microsoft.com/office/drawing/2014/main" id="{00000000-0008-0000-0300-000082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1</xdr:col>
      <xdr:colOff>0</xdr:colOff>
      <xdr:row>131</xdr:row>
      <xdr:rowOff>0</xdr:rowOff>
    </xdr:from>
    <xdr:ext cx="428625" cy="428625"/>
    <xdr:pic>
      <xdr:nvPicPr>
        <xdr:cNvPr id="131" name="image725.png">
          <a:extLst>
            <a:ext uri="{FF2B5EF4-FFF2-40B4-BE49-F238E27FC236}">
              <a16:creationId xmlns:a16="http://schemas.microsoft.com/office/drawing/2014/main" id="{00000000-0008-0000-0300-000083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1</xdr:col>
      <xdr:colOff>0</xdr:colOff>
      <xdr:row>132</xdr:row>
      <xdr:rowOff>0</xdr:rowOff>
    </xdr:from>
    <xdr:ext cx="428625" cy="428625"/>
    <xdr:pic>
      <xdr:nvPicPr>
        <xdr:cNvPr id="132" name="image726.png">
          <a:extLst>
            <a:ext uri="{FF2B5EF4-FFF2-40B4-BE49-F238E27FC236}">
              <a16:creationId xmlns:a16="http://schemas.microsoft.com/office/drawing/2014/main" id="{00000000-0008-0000-0300-000084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1</xdr:col>
      <xdr:colOff>0</xdr:colOff>
      <xdr:row>133</xdr:row>
      <xdr:rowOff>0</xdr:rowOff>
    </xdr:from>
    <xdr:ext cx="428625" cy="428625"/>
    <xdr:pic>
      <xdr:nvPicPr>
        <xdr:cNvPr id="133" name="image719.png">
          <a:extLst>
            <a:ext uri="{FF2B5EF4-FFF2-40B4-BE49-F238E27FC236}">
              <a16:creationId xmlns:a16="http://schemas.microsoft.com/office/drawing/2014/main" id="{00000000-0008-0000-0300-000085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1</xdr:col>
      <xdr:colOff>0</xdr:colOff>
      <xdr:row>134</xdr:row>
      <xdr:rowOff>0</xdr:rowOff>
    </xdr:from>
    <xdr:ext cx="428625" cy="428625"/>
    <xdr:pic>
      <xdr:nvPicPr>
        <xdr:cNvPr id="134" name="image720.png">
          <a:extLst>
            <a:ext uri="{FF2B5EF4-FFF2-40B4-BE49-F238E27FC236}">
              <a16:creationId xmlns:a16="http://schemas.microsoft.com/office/drawing/2014/main" id="{00000000-0008-0000-0300-000086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1</xdr:col>
      <xdr:colOff>0</xdr:colOff>
      <xdr:row>135</xdr:row>
      <xdr:rowOff>0</xdr:rowOff>
    </xdr:from>
    <xdr:ext cx="428625" cy="428625"/>
    <xdr:pic>
      <xdr:nvPicPr>
        <xdr:cNvPr id="135" name="image731.png">
          <a:extLst>
            <a:ext uri="{FF2B5EF4-FFF2-40B4-BE49-F238E27FC236}">
              <a16:creationId xmlns:a16="http://schemas.microsoft.com/office/drawing/2014/main" id="{00000000-0008-0000-0300-000087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1</xdr:col>
      <xdr:colOff>0</xdr:colOff>
      <xdr:row>136</xdr:row>
      <xdr:rowOff>0</xdr:rowOff>
    </xdr:from>
    <xdr:ext cx="428625" cy="428625"/>
    <xdr:pic>
      <xdr:nvPicPr>
        <xdr:cNvPr id="136" name="image744.png">
          <a:extLst>
            <a:ext uri="{FF2B5EF4-FFF2-40B4-BE49-F238E27FC236}">
              <a16:creationId xmlns:a16="http://schemas.microsoft.com/office/drawing/2014/main" id="{00000000-0008-0000-0300-00008800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1</xdr:col>
      <xdr:colOff>0</xdr:colOff>
      <xdr:row>137</xdr:row>
      <xdr:rowOff>0</xdr:rowOff>
    </xdr:from>
    <xdr:ext cx="428625" cy="428625"/>
    <xdr:pic>
      <xdr:nvPicPr>
        <xdr:cNvPr id="137" name="image718.png">
          <a:extLst>
            <a:ext uri="{FF2B5EF4-FFF2-40B4-BE49-F238E27FC236}">
              <a16:creationId xmlns:a16="http://schemas.microsoft.com/office/drawing/2014/main" id="{00000000-0008-0000-0300-000089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1</xdr:col>
      <xdr:colOff>0</xdr:colOff>
      <xdr:row>138</xdr:row>
      <xdr:rowOff>0</xdr:rowOff>
    </xdr:from>
    <xdr:ext cx="428625" cy="428625"/>
    <xdr:pic>
      <xdr:nvPicPr>
        <xdr:cNvPr id="138" name="image736.png">
          <a:extLst>
            <a:ext uri="{FF2B5EF4-FFF2-40B4-BE49-F238E27FC236}">
              <a16:creationId xmlns:a16="http://schemas.microsoft.com/office/drawing/2014/main" id="{00000000-0008-0000-0300-00008A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1</xdr:col>
      <xdr:colOff>0</xdr:colOff>
      <xdr:row>139</xdr:row>
      <xdr:rowOff>0</xdr:rowOff>
    </xdr:from>
    <xdr:ext cx="428625" cy="428625"/>
    <xdr:pic>
      <xdr:nvPicPr>
        <xdr:cNvPr id="139" name="image747.png">
          <a:extLst>
            <a:ext uri="{FF2B5EF4-FFF2-40B4-BE49-F238E27FC236}">
              <a16:creationId xmlns:a16="http://schemas.microsoft.com/office/drawing/2014/main" id="{00000000-0008-0000-0300-00008B00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1</xdr:col>
      <xdr:colOff>0</xdr:colOff>
      <xdr:row>140</xdr:row>
      <xdr:rowOff>0</xdr:rowOff>
    </xdr:from>
    <xdr:ext cx="428625" cy="428625"/>
    <xdr:pic>
      <xdr:nvPicPr>
        <xdr:cNvPr id="140" name="image729.png">
          <a:extLst>
            <a:ext uri="{FF2B5EF4-FFF2-40B4-BE49-F238E27FC236}">
              <a16:creationId xmlns:a16="http://schemas.microsoft.com/office/drawing/2014/main" id="{00000000-0008-0000-0300-00008C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1</xdr:col>
      <xdr:colOff>0</xdr:colOff>
      <xdr:row>141</xdr:row>
      <xdr:rowOff>0</xdr:rowOff>
    </xdr:from>
    <xdr:ext cx="428625" cy="428625"/>
    <xdr:pic>
      <xdr:nvPicPr>
        <xdr:cNvPr id="141" name="image730.png">
          <a:extLst>
            <a:ext uri="{FF2B5EF4-FFF2-40B4-BE49-F238E27FC236}">
              <a16:creationId xmlns:a16="http://schemas.microsoft.com/office/drawing/2014/main" id="{00000000-0008-0000-0300-00008D00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1</xdr:col>
      <xdr:colOff>0</xdr:colOff>
      <xdr:row>142</xdr:row>
      <xdr:rowOff>0</xdr:rowOff>
    </xdr:from>
    <xdr:ext cx="428625" cy="428625"/>
    <xdr:pic>
      <xdr:nvPicPr>
        <xdr:cNvPr id="142" name="image738.png">
          <a:extLst>
            <a:ext uri="{FF2B5EF4-FFF2-40B4-BE49-F238E27FC236}">
              <a16:creationId xmlns:a16="http://schemas.microsoft.com/office/drawing/2014/main" id="{00000000-0008-0000-0300-00008E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1</xdr:col>
      <xdr:colOff>0</xdr:colOff>
      <xdr:row>143</xdr:row>
      <xdr:rowOff>0</xdr:rowOff>
    </xdr:from>
    <xdr:ext cx="428625" cy="428625"/>
    <xdr:pic>
      <xdr:nvPicPr>
        <xdr:cNvPr id="143" name="image732.png">
          <a:extLst>
            <a:ext uri="{FF2B5EF4-FFF2-40B4-BE49-F238E27FC236}">
              <a16:creationId xmlns:a16="http://schemas.microsoft.com/office/drawing/2014/main" id="{00000000-0008-0000-0300-00008F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1</xdr:col>
      <xdr:colOff>0</xdr:colOff>
      <xdr:row>144</xdr:row>
      <xdr:rowOff>0</xdr:rowOff>
    </xdr:from>
    <xdr:ext cx="428625" cy="428625"/>
    <xdr:pic>
      <xdr:nvPicPr>
        <xdr:cNvPr id="144" name="image735.png">
          <a:extLst>
            <a:ext uri="{FF2B5EF4-FFF2-40B4-BE49-F238E27FC236}">
              <a16:creationId xmlns:a16="http://schemas.microsoft.com/office/drawing/2014/main" id="{00000000-0008-0000-0300-000090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1</xdr:col>
      <xdr:colOff>0</xdr:colOff>
      <xdr:row>145</xdr:row>
      <xdr:rowOff>0</xdr:rowOff>
    </xdr:from>
    <xdr:ext cx="428625" cy="428625"/>
    <xdr:pic>
      <xdr:nvPicPr>
        <xdr:cNvPr id="145" name="image734.png">
          <a:extLst>
            <a:ext uri="{FF2B5EF4-FFF2-40B4-BE49-F238E27FC236}">
              <a16:creationId xmlns:a16="http://schemas.microsoft.com/office/drawing/2014/main" id="{00000000-0008-0000-0300-000091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1</xdr:col>
      <xdr:colOff>0</xdr:colOff>
      <xdr:row>146</xdr:row>
      <xdr:rowOff>0</xdr:rowOff>
    </xdr:from>
    <xdr:ext cx="428625" cy="428625"/>
    <xdr:pic>
      <xdr:nvPicPr>
        <xdr:cNvPr id="146" name="image752.png">
          <a:extLst>
            <a:ext uri="{FF2B5EF4-FFF2-40B4-BE49-F238E27FC236}">
              <a16:creationId xmlns:a16="http://schemas.microsoft.com/office/drawing/2014/main" id="{00000000-0008-0000-0300-000092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1</xdr:col>
      <xdr:colOff>0</xdr:colOff>
      <xdr:row>147</xdr:row>
      <xdr:rowOff>0</xdr:rowOff>
    </xdr:from>
    <xdr:ext cx="428625" cy="428625"/>
    <xdr:pic>
      <xdr:nvPicPr>
        <xdr:cNvPr id="147" name="image733.png">
          <a:extLst>
            <a:ext uri="{FF2B5EF4-FFF2-40B4-BE49-F238E27FC236}">
              <a16:creationId xmlns:a16="http://schemas.microsoft.com/office/drawing/2014/main" id="{00000000-0008-0000-0300-000093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1</xdr:col>
      <xdr:colOff>0</xdr:colOff>
      <xdr:row>148</xdr:row>
      <xdr:rowOff>0</xdr:rowOff>
    </xdr:from>
    <xdr:ext cx="200025" cy="200025"/>
    <xdr:pic>
      <xdr:nvPicPr>
        <xdr:cNvPr id="148" name="image746.png">
          <a:extLst>
            <a:ext uri="{FF2B5EF4-FFF2-40B4-BE49-F238E27FC236}">
              <a16:creationId xmlns:a16="http://schemas.microsoft.com/office/drawing/2014/main" id="{00000000-0008-0000-0300-000094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1</xdr:col>
      <xdr:colOff>0</xdr:colOff>
      <xdr:row>149</xdr:row>
      <xdr:rowOff>0</xdr:rowOff>
    </xdr:from>
    <xdr:ext cx="428625" cy="428625"/>
    <xdr:pic>
      <xdr:nvPicPr>
        <xdr:cNvPr id="149" name="image761.png">
          <a:extLst>
            <a:ext uri="{FF2B5EF4-FFF2-40B4-BE49-F238E27FC236}">
              <a16:creationId xmlns:a16="http://schemas.microsoft.com/office/drawing/2014/main" id="{00000000-0008-0000-0300-00009500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1</xdr:col>
      <xdr:colOff>0</xdr:colOff>
      <xdr:row>150</xdr:row>
      <xdr:rowOff>0</xdr:rowOff>
    </xdr:from>
    <xdr:ext cx="428625" cy="428625"/>
    <xdr:pic>
      <xdr:nvPicPr>
        <xdr:cNvPr id="150" name="image756.png">
          <a:extLst>
            <a:ext uri="{FF2B5EF4-FFF2-40B4-BE49-F238E27FC236}">
              <a16:creationId xmlns:a16="http://schemas.microsoft.com/office/drawing/2014/main" id="{00000000-0008-0000-0300-000096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1</xdr:col>
      <xdr:colOff>0</xdr:colOff>
      <xdr:row>151</xdr:row>
      <xdr:rowOff>0</xdr:rowOff>
    </xdr:from>
    <xdr:ext cx="428625" cy="428625"/>
    <xdr:pic>
      <xdr:nvPicPr>
        <xdr:cNvPr id="151" name="image743.png">
          <a:extLst>
            <a:ext uri="{FF2B5EF4-FFF2-40B4-BE49-F238E27FC236}">
              <a16:creationId xmlns:a16="http://schemas.microsoft.com/office/drawing/2014/main" id="{00000000-0008-0000-0300-000097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1</xdr:col>
      <xdr:colOff>0</xdr:colOff>
      <xdr:row>152</xdr:row>
      <xdr:rowOff>0</xdr:rowOff>
    </xdr:from>
    <xdr:ext cx="428625" cy="428625"/>
    <xdr:pic>
      <xdr:nvPicPr>
        <xdr:cNvPr id="152" name="image737.png">
          <a:extLst>
            <a:ext uri="{FF2B5EF4-FFF2-40B4-BE49-F238E27FC236}">
              <a16:creationId xmlns:a16="http://schemas.microsoft.com/office/drawing/2014/main" id="{00000000-0008-0000-0300-000098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1</xdr:col>
      <xdr:colOff>0</xdr:colOff>
      <xdr:row>153</xdr:row>
      <xdr:rowOff>0</xdr:rowOff>
    </xdr:from>
    <xdr:ext cx="428625" cy="428625"/>
    <xdr:pic>
      <xdr:nvPicPr>
        <xdr:cNvPr id="153" name="image759.png">
          <a:extLst>
            <a:ext uri="{FF2B5EF4-FFF2-40B4-BE49-F238E27FC236}">
              <a16:creationId xmlns:a16="http://schemas.microsoft.com/office/drawing/2014/main" id="{00000000-0008-0000-0300-000099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1</xdr:col>
      <xdr:colOff>0</xdr:colOff>
      <xdr:row>154</xdr:row>
      <xdr:rowOff>0</xdr:rowOff>
    </xdr:from>
    <xdr:ext cx="428625" cy="428625"/>
    <xdr:pic>
      <xdr:nvPicPr>
        <xdr:cNvPr id="154" name="image740.png">
          <a:extLst>
            <a:ext uri="{FF2B5EF4-FFF2-40B4-BE49-F238E27FC236}">
              <a16:creationId xmlns:a16="http://schemas.microsoft.com/office/drawing/2014/main" id="{00000000-0008-0000-0300-00009A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1</xdr:col>
      <xdr:colOff>0</xdr:colOff>
      <xdr:row>155</xdr:row>
      <xdr:rowOff>0</xdr:rowOff>
    </xdr:from>
    <xdr:ext cx="428625" cy="428625"/>
    <xdr:pic>
      <xdr:nvPicPr>
        <xdr:cNvPr id="155" name="image763.png">
          <a:extLst>
            <a:ext uri="{FF2B5EF4-FFF2-40B4-BE49-F238E27FC236}">
              <a16:creationId xmlns:a16="http://schemas.microsoft.com/office/drawing/2014/main" id="{00000000-0008-0000-0300-00009B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1</xdr:col>
      <xdr:colOff>0</xdr:colOff>
      <xdr:row>156</xdr:row>
      <xdr:rowOff>0</xdr:rowOff>
    </xdr:from>
    <xdr:ext cx="428625" cy="428625"/>
    <xdr:pic>
      <xdr:nvPicPr>
        <xdr:cNvPr id="156" name="image751.png">
          <a:extLst>
            <a:ext uri="{FF2B5EF4-FFF2-40B4-BE49-F238E27FC236}">
              <a16:creationId xmlns:a16="http://schemas.microsoft.com/office/drawing/2014/main" id="{00000000-0008-0000-0300-00009C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1</xdr:col>
      <xdr:colOff>0</xdr:colOff>
      <xdr:row>157</xdr:row>
      <xdr:rowOff>0</xdr:rowOff>
    </xdr:from>
    <xdr:ext cx="428625" cy="428625"/>
    <xdr:pic>
      <xdr:nvPicPr>
        <xdr:cNvPr id="157" name="image741.png">
          <a:extLst>
            <a:ext uri="{FF2B5EF4-FFF2-40B4-BE49-F238E27FC236}">
              <a16:creationId xmlns:a16="http://schemas.microsoft.com/office/drawing/2014/main" id="{00000000-0008-0000-0300-00009D00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1</xdr:col>
      <xdr:colOff>0</xdr:colOff>
      <xdr:row>158</xdr:row>
      <xdr:rowOff>0</xdr:rowOff>
    </xdr:from>
    <xdr:ext cx="428625" cy="428625"/>
    <xdr:pic>
      <xdr:nvPicPr>
        <xdr:cNvPr id="158" name="image749.png">
          <a:extLst>
            <a:ext uri="{FF2B5EF4-FFF2-40B4-BE49-F238E27FC236}">
              <a16:creationId xmlns:a16="http://schemas.microsoft.com/office/drawing/2014/main" id="{00000000-0008-0000-0300-00009E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1</xdr:col>
      <xdr:colOff>0</xdr:colOff>
      <xdr:row>159</xdr:row>
      <xdr:rowOff>0</xdr:rowOff>
    </xdr:from>
    <xdr:ext cx="428625" cy="428625"/>
    <xdr:pic>
      <xdr:nvPicPr>
        <xdr:cNvPr id="159" name="image742.png">
          <a:extLst>
            <a:ext uri="{FF2B5EF4-FFF2-40B4-BE49-F238E27FC236}">
              <a16:creationId xmlns:a16="http://schemas.microsoft.com/office/drawing/2014/main" id="{00000000-0008-0000-0300-00009F00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1</xdr:col>
      <xdr:colOff>0</xdr:colOff>
      <xdr:row>160</xdr:row>
      <xdr:rowOff>0</xdr:rowOff>
    </xdr:from>
    <xdr:ext cx="428625" cy="428625"/>
    <xdr:pic>
      <xdr:nvPicPr>
        <xdr:cNvPr id="160" name="image754.png">
          <a:extLst>
            <a:ext uri="{FF2B5EF4-FFF2-40B4-BE49-F238E27FC236}">
              <a16:creationId xmlns:a16="http://schemas.microsoft.com/office/drawing/2014/main" id="{00000000-0008-0000-0300-0000A0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1</xdr:col>
      <xdr:colOff>0</xdr:colOff>
      <xdr:row>161</xdr:row>
      <xdr:rowOff>0</xdr:rowOff>
    </xdr:from>
    <xdr:ext cx="428625" cy="428625"/>
    <xdr:pic>
      <xdr:nvPicPr>
        <xdr:cNvPr id="161" name="image745.png">
          <a:extLst>
            <a:ext uri="{FF2B5EF4-FFF2-40B4-BE49-F238E27FC236}">
              <a16:creationId xmlns:a16="http://schemas.microsoft.com/office/drawing/2014/main" id="{00000000-0008-0000-0300-0000A1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1</xdr:col>
      <xdr:colOff>0</xdr:colOff>
      <xdr:row>162</xdr:row>
      <xdr:rowOff>0</xdr:rowOff>
    </xdr:from>
    <xdr:ext cx="428625" cy="428625"/>
    <xdr:pic>
      <xdr:nvPicPr>
        <xdr:cNvPr id="162" name="image802.png">
          <a:extLst>
            <a:ext uri="{FF2B5EF4-FFF2-40B4-BE49-F238E27FC236}">
              <a16:creationId xmlns:a16="http://schemas.microsoft.com/office/drawing/2014/main" id="{00000000-0008-0000-0300-0000A200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1</xdr:col>
      <xdr:colOff>0</xdr:colOff>
      <xdr:row>163</xdr:row>
      <xdr:rowOff>0</xdr:rowOff>
    </xdr:from>
    <xdr:ext cx="428625" cy="428625"/>
    <xdr:pic>
      <xdr:nvPicPr>
        <xdr:cNvPr id="163" name="image748.png">
          <a:extLst>
            <a:ext uri="{FF2B5EF4-FFF2-40B4-BE49-F238E27FC236}">
              <a16:creationId xmlns:a16="http://schemas.microsoft.com/office/drawing/2014/main" id="{00000000-0008-0000-0300-0000A300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1</xdr:col>
      <xdr:colOff>0</xdr:colOff>
      <xdr:row>164</xdr:row>
      <xdr:rowOff>0</xdr:rowOff>
    </xdr:from>
    <xdr:ext cx="428625" cy="428625"/>
    <xdr:pic>
      <xdr:nvPicPr>
        <xdr:cNvPr id="164" name="image758.png">
          <a:extLst>
            <a:ext uri="{FF2B5EF4-FFF2-40B4-BE49-F238E27FC236}">
              <a16:creationId xmlns:a16="http://schemas.microsoft.com/office/drawing/2014/main" id="{00000000-0008-0000-0300-0000A4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1</xdr:col>
      <xdr:colOff>0</xdr:colOff>
      <xdr:row>165</xdr:row>
      <xdr:rowOff>0</xdr:rowOff>
    </xdr:from>
    <xdr:ext cx="428625" cy="428625"/>
    <xdr:pic>
      <xdr:nvPicPr>
        <xdr:cNvPr id="165" name="image755.png">
          <a:extLst>
            <a:ext uri="{FF2B5EF4-FFF2-40B4-BE49-F238E27FC236}">
              <a16:creationId xmlns:a16="http://schemas.microsoft.com/office/drawing/2014/main" id="{00000000-0008-0000-0300-0000A500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1</xdr:col>
      <xdr:colOff>0</xdr:colOff>
      <xdr:row>166</xdr:row>
      <xdr:rowOff>0</xdr:rowOff>
    </xdr:from>
    <xdr:ext cx="428625" cy="428625"/>
    <xdr:pic>
      <xdr:nvPicPr>
        <xdr:cNvPr id="166" name="image760.png">
          <a:extLst>
            <a:ext uri="{FF2B5EF4-FFF2-40B4-BE49-F238E27FC236}">
              <a16:creationId xmlns:a16="http://schemas.microsoft.com/office/drawing/2014/main" id="{00000000-0008-0000-0300-0000A6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1</xdr:col>
      <xdr:colOff>0</xdr:colOff>
      <xdr:row>167</xdr:row>
      <xdr:rowOff>0</xdr:rowOff>
    </xdr:from>
    <xdr:ext cx="428625" cy="428625"/>
    <xdr:pic>
      <xdr:nvPicPr>
        <xdr:cNvPr id="167" name="image766.png">
          <a:extLst>
            <a:ext uri="{FF2B5EF4-FFF2-40B4-BE49-F238E27FC236}">
              <a16:creationId xmlns:a16="http://schemas.microsoft.com/office/drawing/2014/main" id="{00000000-0008-0000-0300-0000A7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1</xdr:col>
      <xdr:colOff>0</xdr:colOff>
      <xdr:row>168</xdr:row>
      <xdr:rowOff>0</xdr:rowOff>
    </xdr:from>
    <xdr:ext cx="428625" cy="428625"/>
    <xdr:pic>
      <xdr:nvPicPr>
        <xdr:cNvPr id="168" name="image750.png">
          <a:extLst>
            <a:ext uri="{FF2B5EF4-FFF2-40B4-BE49-F238E27FC236}">
              <a16:creationId xmlns:a16="http://schemas.microsoft.com/office/drawing/2014/main" id="{00000000-0008-0000-0300-0000A8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1</xdr:col>
      <xdr:colOff>0</xdr:colOff>
      <xdr:row>169</xdr:row>
      <xdr:rowOff>0</xdr:rowOff>
    </xdr:from>
    <xdr:ext cx="428625" cy="428625"/>
    <xdr:pic>
      <xdr:nvPicPr>
        <xdr:cNvPr id="169" name="image765.png">
          <a:extLst>
            <a:ext uri="{FF2B5EF4-FFF2-40B4-BE49-F238E27FC236}">
              <a16:creationId xmlns:a16="http://schemas.microsoft.com/office/drawing/2014/main" id="{00000000-0008-0000-0300-0000A900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1</xdr:col>
      <xdr:colOff>0</xdr:colOff>
      <xdr:row>170</xdr:row>
      <xdr:rowOff>0</xdr:rowOff>
    </xdr:from>
    <xdr:ext cx="428625" cy="428625"/>
    <xdr:pic>
      <xdr:nvPicPr>
        <xdr:cNvPr id="170" name="image753.png">
          <a:extLst>
            <a:ext uri="{FF2B5EF4-FFF2-40B4-BE49-F238E27FC236}">
              <a16:creationId xmlns:a16="http://schemas.microsoft.com/office/drawing/2014/main" id="{00000000-0008-0000-0300-0000AA00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1</xdr:col>
      <xdr:colOff>0</xdr:colOff>
      <xdr:row>171</xdr:row>
      <xdr:rowOff>0</xdr:rowOff>
    </xdr:from>
    <xdr:ext cx="428625" cy="428625"/>
    <xdr:pic>
      <xdr:nvPicPr>
        <xdr:cNvPr id="171" name="image757.png">
          <a:extLst>
            <a:ext uri="{FF2B5EF4-FFF2-40B4-BE49-F238E27FC236}">
              <a16:creationId xmlns:a16="http://schemas.microsoft.com/office/drawing/2014/main" id="{00000000-0008-0000-0300-0000AB00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1</xdr:col>
      <xdr:colOff>0</xdr:colOff>
      <xdr:row>172</xdr:row>
      <xdr:rowOff>0</xdr:rowOff>
    </xdr:from>
    <xdr:ext cx="428625" cy="428625"/>
    <xdr:pic>
      <xdr:nvPicPr>
        <xdr:cNvPr id="172" name="image772.png">
          <a:extLst>
            <a:ext uri="{FF2B5EF4-FFF2-40B4-BE49-F238E27FC236}">
              <a16:creationId xmlns:a16="http://schemas.microsoft.com/office/drawing/2014/main" id="{00000000-0008-0000-0300-0000AC00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1</xdr:col>
      <xdr:colOff>0</xdr:colOff>
      <xdr:row>173</xdr:row>
      <xdr:rowOff>0</xdr:rowOff>
    </xdr:from>
    <xdr:ext cx="428625" cy="428625"/>
    <xdr:pic>
      <xdr:nvPicPr>
        <xdr:cNvPr id="173" name="image764.png">
          <a:extLst>
            <a:ext uri="{FF2B5EF4-FFF2-40B4-BE49-F238E27FC236}">
              <a16:creationId xmlns:a16="http://schemas.microsoft.com/office/drawing/2014/main" id="{00000000-0008-0000-0300-0000AD00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1</xdr:col>
      <xdr:colOff>0</xdr:colOff>
      <xdr:row>174</xdr:row>
      <xdr:rowOff>0</xdr:rowOff>
    </xdr:from>
    <xdr:ext cx="428625" cy="428625"/>
    <xdr:pic>
      <xdr:nvPicPr>
        <xdr:cNvPr id="174" name="image768.png">
          <a:extLst>
            <a:ext uri="{FF2B5EF4-FFF2-40B4-BE49-F238E27FC236}">
              <a16:creationId xmlns:a16="http://schemas.microsoft.com/office/drawing/2014/main" id="{00000000-0008-0000-0300-0000AE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1</xdr:col>
      <xdr:colOff>0</xdr:colOff>
      <xdr:row>175</xdr:row>
      <xdr:rowOff>0</xdr:rowOff>
    </xdr:from>
    <xdr:ext cx="428625" cy="428625"/>
    <xdr:pic>
      <xdr:nvPicPr>
        <xdr:cNvPr id="175" name="image774.png">
          <a:extLst>
            <a:ext uri="{FF2B5EF4-FFF2-40B4-BE49-F238E27FC236}">
              <a16:creationId xmlns:a16="http://schemas.microsoft.com/office/drawing/2014/main" id="{00000000-0008-0000-0300-0000AF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1</xdr:col>
      <xdr:colOff>0</xdr:colOff>
      <xdr:row>176</xdr:row>
      <xdr:rowOff>0</xdr:rowOff>
    </xdr:from>
    <xdr:ext cx="428625" cy="428625"/>
    <xdr:pic>
      <xdr:nvPicPr>
        <xdr:cNvPr id="176" name="image767.png">
          <a:extLst>
            <a:ext uri="{FF2B5EF4-FFF2-40B4-BE49-F238E27FC236}">
              <a16:creationId xmlns:a16="http://schemas.microsoft.com/office/drawing/2014/main" id="{00000000-0008-0000-0300-0000B0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1</xdr:col>
      <xdr:colOff>0</xdr:colOff>
      <xdr:row>177</xdr:row>
      <xdr:rowOff>0</xdr:rowOff>
    </xdr:from>
    <xdr:ext cx="428625" cy="428625"/>
    <xdr:pic>
      <xdr:nvPicPr>
        <xdr:cNvPr id="177" name="image786.png">
          <a:extLst>
            <a:ext uri="{FF2B5EF4-FFF2-40B4-BE49-F238E27FC236}">
              <a16:creationId xmlns:a16="http://schemas.microsoft.com/office/drawing/2014/main" id="{00000000-0008-0000-0300-0000B1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1</xdr:col>
      <xdr:colOff>0</xdr:colOff>
      <xdr:row>178</xdr:row>
      <xdr:rowOff>0</xdr:rowOff>
    </xdr:from>
    <xdr:ext cx="428625" cy="428625"/>
    <xdr:pic>
      <xdr:nvPicPr>
        <xdr:cNvPr id="178" name="image779.png">
          <a:extLst>
            <a:ext uri="{FF2B5EF4-FFF2-40B4-BE49-F238E27FC236}">
              <a16:creationId xmlns:a16="http://schemas.microsoft.com/office/drawing/2014/main" id="{00000000-0008-0000-0300-0000B2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1</xdr:col>
      <xdr:colOff>0</xdr:colOff>
      <xdr:row>179</xdr:row>
      <xdr:rowOff>0</xdr:rowOff>
    </xdr:from>
    <xdr:ext cx="428625" cy="428625"/>
    <xdr:pic>
      <xdr:nvPicPr>
        <xdr:cNvPr id="179" name="image781.png">
          <a:extLst>
            <a:ext uri="{FF2B5EF4-FFF2-40B4-BE49-F238E27FC236}">
              <a16:creationId xmlns:a16="http://schemas.microsoft.com/office/drawing/2014/main" id="{00000000-0008-0000-0300-0000B3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1</xdr:col>
      <xdr:colOff>0</xdr:colOff>
      <xdr:row>180</xdr:row>
      <xdr:rowOff>0</xdr:rowOff>
    </xdr:from>
    <xdr:ext cx="428625" cy="428625"/>
    <xdr:pic>
      <xdr:nvPicPr>
        <xdr:cNvPr id="180" name="image769.png">
          <a:extLst>
            <a:ext uri="{FF2B5EF4-FFF2-40B4-BE49-F238E27FC236}">
              <a16:creationId xmlns:a16="http://schemas.microsoft.com/office/drawing/2014/main" id="{00000000-0008-0000-0300-0000B400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1</xdr:col>
      <xdr:colOff>0</xdr:colOff>
      <xdr:row>181</xdr:row>
      <xdr:rowOff>0</xdr:rowOff>
    </xdr:from>
    <xdr:ext cx="428625" cy="428625"/>
    <xdr:pic>
      <xdr:nvPicPr>
        <xdr:cNvPr id="181" name="image762.png">
          <a:extLst>
            <a:ext uri="{FF2B5EF4-FFF2-40B4-BE49-F238E27FC236}">
              <a16:creationId xmlns:a16="http://schemas.microsoft.com/office/drawing/2014/main" id="{00000000-0008-0000-0300-0000B500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1</xdr:col>
      <xdr:colOff>0</xdr:colOff>
      <xdr:row>182</xdr:row>
      <xdr:rowOff>0</xdr:rowOff>
    </xdr:from>
    <xdr:ext cx="428625" cy="428625"/>
    <xdr:pic>
      <xdr:nvPicPr>
        <xdr:cNvPr id="182" name="image783.png">
          <a:extLst>
            <a:ext uri="{FF2B5EF4-FFF2-40B4-BE49-F238E27FC236}">
              <a16:creationId xmlns:a16="http://schemas.microsoft.com/office/drawing/2014/main" id="{00000000-0008-0000-0300-0000B600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1</xdr:col>
      <xdr:colOff>0</xdr:colOff>
      <xdr:row>183</xdr:row>
      <xdr:rowOff>0</xdr:rowOff>
    </xdr:from>
    <xdr:ext cx="428625" cy="428625"/>
    <xdr:pic>
      <xdr:nvPicPr>
        <xdr:cNvPr id="183" name="image782.png">
          <a:extLst>
            <a:ext uri="{FF2B5EF4-FFF2-40B4-BE49-F238E27FC236}">
              <a16:creationId xmlns:a16="http://schemas.microsoft.com/office/drawing/2014/main" id="{00000000-0008-0000-0300-0000B700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1</xdr:col>
      <xdr:colOff>0</xdr:colOff>
      <xdr:row>184</xdr:row>
      <xdr:rowOff>0</xdr:rowOff>
    </xdr:from>
    <xdr:ext cx="428625" cy="428625"/>
    <xdr:pic>
      <xdr:nvPicPr>
        <xdr:cNvPr id="184" name="image791.png">
          <a:extLst>
            <a:ext uri="{FF2B5EF4-FFF2-40B4-BE49-F238E27FC236}">
              <a16:creationId xmlns:a16="http://schemas.microsoft.com/office/drawing/2014/main" id="{00000000-0008-0000-0300-0000B8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1</xdr:col>
      <xdr:colOff>0</xdr:colOff>
      <xdr:row>185</xdr:row>
      <xdr:rowOff>0</xdr:rowOff>
    </xdr:from>
    <xdr:ext cx="428625" cy="428625"/>
    <xdr:pic>
      <xdr:nvPicPr>
        <xdr:cNvPr id="185" name="image771.png">
          <a:extLst>
            <a:ext uri="{FF2B5EF4-FFF2-40B4-BE49-F238E27FC236}">
              <a16:creationId xmlns:a16="http://schemas.microsoft.com/office/drawing/2014/main" id="{00000000-0008-0000-0300-0000B900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1</xdr:col>
      <xdr:colOff>0</xdr:colOff>
      <xdr:row>186</xdr:row>
      <xdr:rowOff>0</xdr:rowOff>
    </xdr:from>
    <xdr:ext cx="428625" cy="428625"/>
    <xdr:pic>
      <xdr:nvPicPr>
        <xdr:cNvPr id="186" name="image780.png">
          <a:extLst>
            <a:ext uri="{FF2B5EF4-FFF2-40B4-BE49-F238E27FC236}">
              <a16:creationId xmlns:a16="http://schemas.microsoft.com/office/drawing/2014/main" id="{00000000-0008-0000-0300-0000BA00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1</xdr:col>
      <xdr:colOff>0</xdr:colOff>
      <xdr:row>187</xdr:row>
      <xdr:rowOff>0</xdr:rowOff>
    </xdr:from>
    <xdr:ext cx="428625" cy="428625"/>
    <xdr:pic>
      <xdr:nvPicPr>
        <xdr:cNvPr id="187" name="image770.png">
          <a:extLst>
            <a:ext uri="{FF2B5EF4-FFF2-40B4-BE49-F238E27FC236}">
              <a16:creationId xmlns:a16="http://schemas.microsoft.com/office/drawing/2014/main" id="{00000000-0008-0000-0300-0000BB00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1</xdr:col>
      <xdr:colOff>0</xdr:colOff>
      <xdr:row>188</xdr:row>
      <xdr:rowOff>0</xdr:rowOff>
    </xdr:from>
    <xdr:ext cx="428625" cy="428625"/>
    <xdr:pic>
      <xdr:nvPicPr>
        <xdr:cNvPr id="188" name="image778.png">
          <a:extLst>
            <a:ext uri="{FF2B5EF4-FFF2-40B4-BE49-F238E27FC236}">
              <a16:creationId xmlns:a16="http://schemas.microsoft.com/office/drawing/2014/main" id="{00000000-0008-0000-0300-0000BC00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1</xdr:col>
      <xdr:colOff>0</xdr:colOff>
      <xdr:row>189</xdr:row>
      <xdr:rowOff>0</xdr:rowOff>
    </xdr:from>
    <xdr:ext cx="428625" cy="428625"/>
    <xdr:pic>
      <xdr:nvPicPr>
        <xdr:cNvPr id="189" name="image777.png">
          <a:extLst>
            <a:ext uri="{FF2B5EF4-FFF2-40B4-BE49-F238E27FC236}">
              <a16:creationId xmlns:a16="http://schemas.microsoft.com/office/drawing/2014/main" id="{00000000-0008-0000-0300-0000BD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1</xdr:col>
      <xdr:colOff>0</xdr:colOff>
      <xdr:row>190</xdr:row>
      <xdr:rowOff>0</xdr:rowOff>
    </xdr:from>
    <xdr:ext cx="428625" cy="428625"/>
    <xdr:pic>
      <xdr:nvPicPr>
        <xdr:cNvPr id="190" name="image787.png">
          <a:extLst>
            <a:ext uri="{FF2B5EF4-FFF2-40B4-BE49-F238E27FC236}">
              <a16:creationId xmlns:a16="http://schemas.microsoft.com/office/drawing/2014/main" id="{00000000-0008-0000-0300-0000BE00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1</xdr:col>
      <xdr:colOff>0</xdr:colOff>
      <xdr:row>191</xdr:row>
      <xdr:rowOff>0</xdr:rowOff>
    </xdr:from>
    <xdr:ext cx="428625" cy="428625"/>
    <xdr:pic>
      <xdr:nvPicPr>
        <xdr:cNvPr id="191" name="image795.png">
          <a:extLst>
            <a:ext uri="{FF2B5EF4-FFF2-40B4-BE49-F238E27FC236}">
              <a16:creationId xmlns:a16="http://schemas.microsoft.com/office/drawing/2014/main" id="{00000000-0008-0000-0300-0000BF00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1</xdr:col>
      <xdr:colOff>0</xdr:colOff>
      <xdr:row>192</xdr:row>
      <xdr:rowOff>0</xdr:rowOff>
    </xdr:from>
    <xdr:ext cx="428625" cy="428625"/>
    <xdr:pic>
      <xdr:nvPicPr>
        <xdr:cNvPr id="192" name="image788.png">
          <a:extLst>
            <a:ext uri="{FF2B5EF4-FFF2-40B4-BE49-F238E27FC236}">
              <a16:creationId xmlns:a16="http://schemas.microsoft.com/office/drawing/2014/main" id="{00000000-0008-0000-0300-0000C000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1</xdr:col>
      <xdr:colOff>0</xdr:colOff>
      <xdr:row>193</xdr:row>
      <xdr:rowOff>0</xdr:rowOff>
    </xdr:from>
    <xdr:ext cx="428625" cy="428625"/>
    <xdr:pic>
      <xdr:nvPicPr>
        <xdr:cNvPr id="193" name="image773.png">
          <a:extLst>
            <a:ext uri="{FF2B5EF4-FFF2-40B4-BE49-F238E27FC236}">
              <a16:creationId xmlns:a16="http://schemas.microsoft.com/office/drawing/2014/main" id="{00000000-0008-0000-0300-0000C100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1</xdr:col>
      <xdr:colOff>0</xdr:colOff>
      <xdr:row>194</xdr:row>
      <xdr:rowOff>0</xdr:rowOff>
    </xdr:from>
    <xdr:ext cx="428625" cy="428625"/>
    <xdr:pic>
      <xdr:nvPicPr>
        <xdr:cNvPr id="194" name="image775.png">
          <a:extLst>
            <a:ext uri="{FF2B5EF4-FFF2-40B4-BE49-F238E27FC236}">
              <a16:creationId xmlns:a16="http://schemas.microsoft.com/office/drawing/2014/main" id="{00000000-0008-0000-0300-0000C200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1</xdr:col>
      <xdr:colOff>0</xdr:colOff>
      <xdr:row>195</xdr:row>
      <xdr:rowOff>0</xdr:rowOff>
    </xdr:from>
    <xdr:ext cx="428625" cy="428625"/>
    <xdr:pic>
      <xdr:nvPicPr>
        <xdr:cNvPr id="195" name="image776.png">
          <a:extLst>
            <a:ext uri="{FF2B5EF4-FFF2-40B4-BE49-F238E27FC236}">
              <a16:creationId xmlns:a16="http://schemas.microsoft.com/office/drawing/2014/main" id="{00000000-0008-0000-0300-0000C3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1</xdr:col>
      <xdr:colOff>0</xdr:colOff>
      <xdr:row>196</xdr:row>
      <xdr:rowOff>0</xdr:rowOff>
    </xdr:from>
    <xdr:ext cx="428625" cy="428625"/>
    <xdr:pic>
      <xdr:nvPicPr>
        <xdr:cNvPr id="196" name="image798.png">
          <a:extLst>
            <a:ext uri="{FF2B5EF4-FFF2-40B4-BE49-F238E27FC236}">
              <a16:creationId xmlns:a16="http://schemas.microsoft.com/office/drawing/2014/main" id="{00000000-0008-0000-0300-0000C4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1</xdr:col>
      <xdr:colOff>0</xdr:colOff>
      <xdr:row>197</xdr:row>
      <xdr:rowOff>0</xdr:rowOff>
    </xdr:from>
    <xdr:ext cx="428625" cy="428625"/>
    <xdr:pic>
      <xdr:nvPicPr>
        <xdr:cNvPr id="197" name="image817.png">
          <a:extLst>
            <a:ext uri="{FF2B5EF4-FFF2-40B4-BE49-F238E27FC236}">
              <a16:creationId xmlns:a16="http://schemas.microsoft.com/office/drawing/2014/main" id="{00000000-0008-0000-0300-0000C500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1</xdr:col>
      <xdr:colOff>0</xdr:colOff>
      <xdr:row>198</xdr:row>
      <xdr:rowOff>0</xdr:rowOff>
    </xdr:from>
    <xdr:ext cx="428625" cy="428625"/>
    <xdr:pic>
      <xdr:nvPicPr>
        <xdr:cNvPr id="198" name="image789.png">
          <a:extLst>
            <a:ext uri="{FF2B5EF4-FFF2-40B4-BE49-F238E27FC236}">
              <a16:creationId xmlns:a16="http://schemas.microsoft.com/office/drawing/2014/main" id="{00000000-0008-0000-0300-0000C600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1</xdr:col>
      <xdr:colOff>0</xdr:colOff>
      <xdr:row>199</xdr:row>
      <xdr:rowOff>0</xdr:rowOff>
    </xdr:from>
    <xdr:ext cx="428625" cy="428625"/>
    <xdr:pic>
      <xdr:nvPicPr>
        <xdr:cNvPr id="199" name="image784.png">
          <a:extLst>
            <a:ext uri="{FF2B5EF4-FFF2-40B4-BE49-F238E27FC236}">
              <a16:creationId xmlns:a16="http://schemas.microsoft.com/office/drawing/2014/main" id="{00000000-0008-0000-0300-0000C700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1</xdr:col>
      <xdr:colOff>0</xdr:colOff>
      <xdr:row>200</xdr:row>
      <xdr:rowOff>0</xdr:rowOff>
    </xdr:from>
    <xdr:ext cx="428625" cy="428625"/>
    <xdr:pic>
      <xdr:nvPicPr>
        <xdr:cNvPr id="200" name="image785.png">
          <a:extLst>
            <a:ext uri="{FF2B5EF4-FFF2-40B4-BE49-F238E27FC236}">
              <a16:creationId xmlns:a16="http://schemas.microsoft.com/office/drawing/2014/main" id="{00000000-0008-0000-0300-0000C8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1</xdr:col>
      <xdr:colOff>0</xdr:colOff>
      <xdr:row>201</xdr:row>
      <xdr:rowOff>0</xdr:rowOff>
    </xdr:from>
    <xdr:ext cx="428625" cy="428625"/>
    <xdr:pic>
      <xdr:nvPicPr>
        <xdr:cNvPr id="201" name="image793.png">
          <a:extLst>
            <a:ext uri="{FF2B5EF4-FFF2-40B4-BE49-F238E27FC236}">
              <a16:creationId xmlns:a16="http://schemas.microsoft.com/office/drawing/2014/main" id="{00000000-0008-0000-0300-0000C900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1</xdr:col>
      <xdr:colOff>0</xdr:colOff>
      <xdr:row>202</xdr:row>
      <xdr:rowOff>0</xdr:rowOff>
    </xdr:from>
    <xdr:ext cx="428625" cy="428625"/>
    <xdr:pic>
      <xdr:nvPicPr>
        <xdr:cNvPr id="202" name="image790.png">
          <a:extLst>
            <a:ext uri="{FF2B5EF4-FFF2-40B4-BE49-F238E27FC236}">
              <a16:creationId xmlns:a16="http://schemas.microsoft.com/office/drawing/2014/main" id="{00000000-0008-0000-0300-0000CA00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1</xdr:col>
      <xdr:colOff>0</xdr:colOff>
      <xdr:row>203</xdr:row>
      <xdr:rowOff>0</xdr:rowOff>
    </xdr:from>
    <xdr:ext cx="428625" cy="428625"/>
    <xdr:pic>
      <xdr:nvPicPr>
        <xdr:cNvPr id="203" name="image799.png">
          <a:extLst>
            <a:ext uri="{FF2B5EF4-FFF2-40B4-BE49-F238E27FC236}">
              <a16:creationId xmlns:a16="http://schemas.microsoft.com/office/drawing/2014/main" id="{00000000-0008-0000-0300-0000CB00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1</xdr:col>
      <xdr:colOff>0</xdr:colOff>
      <xdr:row>204</xdr:row>
      <xdr:rowOff>0</xdr:rowOff>
    </xdr:from>
    <xdr:ext cx="428625" cy="428625"/>
    <xdr:pic>
      <xdr:nvPicPr>
        <xdr:cNvPr id="204" name="image806.png">
          <a:extLst>
            <a:ext uri="{FF2B5EF4-FFF2-40B4-BE49-F238E27FC236}">
              <a16:creationId xmlns:a16="http://schemas.microsoft.com/office/drawing/2014/main" id="{00000000-0008-0000-0300-0000CC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1</xdr:col>
      <xdr:colOff>0</xdr:colOff>
      <xdr:row>205</xdr:row>
      <xdr:rowOff>0</xdr:rowOff>
    </xdr:from>
    <xdr:ext cx="428625" cy="428625"/>
    <xdr:pic>
      <xdr:nvPicPr>
        <xdr:cNvPr id="205" name="image800.png">
          <a:extLst>
            <a:ext uri="{FF2B5EF4-FFF2-40B4-BE49-F238E27FC236}">
              <a16:creationId xmlns:a16="http://schemas.microsoft.com/office/drawing/2014/main" id="{00000000-0008-0000-0300-0000CD00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1</xdr:col>
      <xdr:colOff>0</xdr:colOff>
      <xdr:row>206</xdr:row>
      <xdr:rowOff>0</xdr:rowOff>
    </xdr:from>
    <xdr:ext cx="428625" cy="428625"/>
    <xdr:pic>
      <xdr:nvPicPr>
        <xdr:cNvPr id="206" name="image821.png">
          <a:extLst>
            <a:ext uri="{FF2B5EF4-FFF2-40B4-BE49-F238E27FC236}">
              <a16:creationId xmlns:a16="http://schemas.microsoft.com/office/drawing/2014/main" id="{00000000-0008-0000-0300-0000CE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1</xdr:col>
      <xdr:colOff>0</xdr:colOff>
      <xdr:row>207</xdr:row>
      <xdr:rowOff>0</xdr:rowOff>
    </xdr:from>
    <xdr:ext cx="428625" cy="428625"/>
    <xdr:pic>
      <xdr:nvPicPr>
        <xdr:cNvPr id="207" name="image792.png">
          <a:extLst>
            <a:ext uri="{FF2B5EF4-FFF2-40B4-BE49-F238E27FC236}">
              <a16:creationId xmlns:a16="http://schemas.microsoft.com/office/drawing/2014/main" id="{00000000-0008-0000-0300-0000CF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1</xdr:col>
      <xdr:colOff>0</xdr:colOff>
      <xdr:row>208</xdr:row>
      <xdr:rowOff>0</xdr:rowOff>
    </xdr:from>
    <xdr:ext cx="428625" cy="428625"/>
    <xdr:pic>
      <xdr:nvPicPr>
        <xdr:cNvPr id="208" name="image794.png">
          <a:extLst>
            <a:ext uri="{FF2B5EF4-FFF2-40B4-BE49-F238E27FC236}">
              <a16:creationId xmlns:a16="http://schemas.microsoft.com/office/drawing/2014/main" id="{00000000-0008-0000-0300-0000D0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1</xdr:col>
      <xdr:colOff>0</xdr:colOff>
      <xdr:row>209</xdr:row>
      <xdr:rowOff>0</xdr:rowOff>
    </xdr:from>
    <xdr:ext cx="428625" cy="428625"/>
    <xdr:pic>
      <xdr:nvPicPr>
        <xdr:cNvPr id="209" name="image809.png">
          <a:extLst>
            <a:ext uri="{FF2B5EF4-FFF2-40B4-BE49-F238E27FC236}">
              <a16:creationId xmlns:a16="http://schemas.microsoft.com/office/drawing/2014/main" id="{00000000-0008-0000-0300-0000D1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1</xdr:col>
      <xdr:colOff>0</xdr:colOff>
      <xdr:row>210</xdr:row>
      <xdr:rowOff>0</xdr:rowOff>
    </xdr:from>
    <xdr:ext cx="428625" cy="428625"/>
    <xdr:pic>
      <xdr:nvPicPr>
        <xdr:cNvPr id="210" name="image814.png">
          <a:extLst>
            <a:ext uri="{FF2B5EF4-FFF2-40B4-BE49-F238E27FC236}">
              <a16:creationId xmlns:a16="http://schemas.microsoft.com/office/drawing/2014/main" id="{00000000-0008-0000-0300-0000D2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1</xdr:col>
      <xdr:colOff>0</xdr:colOff>
      <xdr:row>211</xdr:row>
      <xdr:rowOff>0</xdr:rowOff>
    </xdr:from>
    <xdr:ext cx="428625" cy="428625"/>
    <xdr:pic>
      <xdr:nvPicPr>
        <xdr:cNvPr id="211" name="image804.png">
          <a:extLst>
            <a:ext uri="{FF2B5EF4-FFF2-40B4-BE49-F238E27FC236}">
              <a16:creationId xmlns:a16="http://schemas.microsoft.com/office/drawing/2014/main" id="{00000000-0008-0000-0300-0000D300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1</xdr:col>
      <xdr:colOff>0</xdr:colOff>
      <xdr:row>212</xdr:row>
      <xdr:rowOff>0</xdr:rowOff>
    </xdr:from>
    <xdr:ext cx="428625" cy="428625"/>
    <xdr:pic>
      <xdr:nvPicPr>
        <xdr:cNvPr id="212" name="image796.png">
          <a:extLst>
            <a:ext uri="{FF2B5EF4-FFF2-40B4-BE49-F238E27FC236}">
              <a16:creationId xmlns:a16="http://schemas.microsoft.com/office/drawing/2014/main" id="{00000000-0008-0000-0300-0000D4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1</xdr:col>
      <xdr:colOff>0</xdr:colOff>
      <xdr:row>213</xdr:row>
      <xdr:rowOff>0</xdr:rowOff>
    </xdr:from>
    <xdr:ext cx="428625" cy="428625"/>
    <xdr:pic>
      <xdr:nvPicPr>
        <xdr:cNvPr id="213" name="image803.png">
          <a:extLst>
            <a:ext uri="{FF2B5EF4-FFF2-40B4-BE49-F238E27FC236}">
              <a16:creationId xmlns:a16="http://schemas.microsoft.com/office/drawing/2014/main" id="{00000000-0008-0000-0300-0000D5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1</xdr:col>
      <xdr:colOff>0</xdr:colOff>
      <xdr:row>214</xdr:row>
      <xdr:rowOff>0</xdr:rowOff>
    </xdr:from>
    <xdr:ext cx="428625" cy="428625"/>
    <xdr:pic>
      <xdr:nvPicPr>
        <xdr:cNvPr id="214" name="image801.png">
          <a:extLst>
            <a:ext uri="{FF2B5EF4-FFF2-40B4-BE49-F238E27FC236}">
              <a16:creationId xmlns:a16="http://schemas.microsoft.com/office/drawing/2014/main" id="{00000000-0008-0000-0300-0000D600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1</xdr:col>
      <xdr:colOff>0</xdr:colOff>
      <xdr:row>215</xdr:row>
      <xdr:rowOff>0</xdr:rowOff>
    </xdr:from>
    <xdr:ext cx="428625" cy="428625"/>
    <xdr:pic>
      <xdr:nvPicPr>
        <xdr:cNvPr id="215" name="image813.png">
          <a:extLst>
            <a:ext uri="{FF2B5EF4-FFF2-40B4-BE49-F238E27FC236}">
              <a16:creationId xmlns:a16="http://schemas.microsoft.com/office/drawing/2014/main" id="{00000000-0008-0000-0300-0000D700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1</xdr:col>
      <xdr:colOff>0</xdr:colOff>
      <xdr:row>216</xdr:row>
      <xdr:rowOff>0</xdr:rowOff>
    </xdr:from>
    <xdr:ext cx="428625" cy="428625"/>
    <xdr:pic>
      <xdr:nvPicPr>
        <xdr:cNvPr id="216" name="image818.png">
          <a:extLst>
            <a:ext uri="{FF2B5EF4-FFF2-40B4-BE49-F238E27FC236}">
              <a16:creationId xmlns:a16="http://schemas.microsoft.com/office/drawing/2014/main" id="{00000000-0008-0000-0300-0000D800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1</xdr:col>
      <xdr:colOff>0</xdr:colOff>
      <xdr:row>217</xdr:row>
      <xdr:rowOff>0</xdr:rowOff>
    </xdr:from>
    <xdr:ext cx="428625" cy="428625"/>
    <xdr:pic>
      <xdr:nvPicPr>
        <xdr:cNvPr id="217" name="image810.png">
          <a:extLst>
            <a:ext uri="{FF2B5EF4-FFF2-40B4-BE49-F238E27FC236}">
              <a16:creationId xmlns:a16="http://schemas.microsoft.com/office/drawing/2014/main" id="{00000000-0008-0000-0300-0000D900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1</xdr:col>
      <xdr:colOff>0</xdr:colOff>
      <xdr:row>218</xdr:row>
      <xdr:rowOff>0</xdr:rowOff>
    </xdr:from>
    <xdr:ext cx="428625" cy="428625"/>
    <xdr:pic>
      <xdr:nvPicPr>
        <xdr:cNvPr id="218" name="image797.png">
          <a:extLst>
            <a:ext uri="{FF2B5EF4-FFF2-40B4-BE49-F238E27FC236}">
              <a16:creationId xmlns:a16="http://schemas.microsoft.com/office/drawing/2014/main" id="{00000000-0008-0000-0300-0000DA00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1</xdr:col>
      <xdr:colOff>0</xdr:colOff>
      <xdr:row>219</xdr:row>
      <xdr:rowOff>0</xdr:rowOff>
    </xdr:from>
    <xdr:ext cx="428625" cy="428625"/>
    <xdr:pic>
      <xdr:nvPicPr>
        <xdr:cNvPr id="219" name="image808.png">
          <a:extLst>
            <a:ext uri="{FF2B5EF4-FFF2-40B4-BE49-F238E27FC236}">
              <a16:creationId xmlns:a16="http://schemas.microsoft.com/office/drawing/2014/main" id="{00000000-0008-0000-0300-0000DB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1</xdr:col>
      <xdr:colOff>0</xdr:colOff>
      <xdr:row>220</xdr:row>
      <xdr:rowOff>0</xdr:rowOff>
    </xdr:from>
    <xdr:ext cx="428625" cy="428625"/>
    <xdr:pic>
      <xdr:nvPicPr>
        <xdr:cNvPr id="220" name="image812.png">
          <a:extLst>
            <a:ext uri="{FF2B5EF4-FFF2-40B4-BE49-F238E27FC236}">
              <a16:creationId xmlns:a16="http://schemas.microsoft.com/office/drawing/2014/main" id="{00000000-0008-0000-0300-0000DC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1</xdr:col>
      <xdr:colOff>0</xdr:colOff>
      <xdr:row>221</xdr:row>
      <xdr:rowOff>0</xdr:rowOff>
    </xdr:from>
    <xdr:ext cx="428625" cy="428625"/>
    <xdr:pic>
      <xdr:nvPicPr>
        <xdr:cNvPr id="221" name="image811.png">
          <a:extLst>
            <a:ext uri="{FF2B5EF4-FFF2-40B4-BE49-F238E27FC236}">
              <a16:creationId xmlns:a16="http://schemas.microsoft.com/office/drawing/2014/main" id="{00000000-0008-0000-0300-0000DD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1</xdr:col>
      <xdr:colOff>0</xdr:colOff>
      <xdr:row>222</xdr:row>
      <xdr:rowOff>0</xdr:rowOff>
    </xdr:from>
    <xdr:ext cx="428625" cy="428625"/>
    <xdr:pic>
      <xdr:nvPicPr>
        <xdr:cNvPr id="222" name="image830.png">
          <a:extLst>
            <a:ext uri="{FF2B5EF4-FFF2-40B4-BE49-F238E27FC236}">
              <a16:creationId xmlns:a16="http://schemas.microsoft.com/office/drawing/2014/main" id="{00000000-0008-0000-0300-0000DE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1</xdr:col>
      <xdr:colOff>0</xdr:colOff>
      <xdr:row>223</xdr:row>
      <xdr:rowOff>0</xdr:rowOff>
    </xdr:from>
    <xdr:ext cx="428625" cy="428625"/>
    <xdr:pic>
      <xdr:nvPicPr>
        <xdr:cNvPr id="223" name="image805.png">
          <a:extLst>
            <a:ext uri="{FF2B5EF4-FFF2-40B4-BE49-F238E27FC236}">
              <a16:creationId xmlns:a16="http://schemas.microsoft.com/office/drawing/2014/main" id="{00000000-0008-0000-0300-0000DF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1</xdr:col>
      <xdr:colOff>0</xdr:colOff>
      <xdr:row>224</xdr:row>
      <xdr:rowOff>0</xdr:rowOff>
    </xdr:from>
    <xdr:ext cx="428625" cy="428625"/>
    <xdr:pic>
      <xdr:nvPicPr>
        <xdr:cNvPr id="224" name="image834.png">
          <a:extLst>
            <a:ext uri="{FF2B5EF4-FFF2-40B4-BE49-F238E27FC236}">
              <a16:creationId xmlns:a16="http://schemas.microsoft.com/office/drawing/2014/main" id="{00000000-0008-0000-0300-0000E0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1</xdr:col>
      <xdr:colOff>0</xdr:colOff>
      <xdr:row>225</xdr:row>
      <xdr:rowOff>0</xdr:rowOff>
    </xdr:from>
    <xdr:ext cx="428625" cy="428625"/>
    <xdr:pic>
      <xdr:nvPicPr>
        <xdr:cNvPr id="225" name="image815.png">
          <a:extLst>
            <a:ext uri="{FF2B5EF4-FFF2-40B4-BE49-F238E27FC236}">
              <a16:creationId xmlns:a16="http://schemas.microsoft.com/office/drawing/2014/main" id="{00000000-0008-0000-0300-0000E1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1</xdr:col>
      <xdr:colOff>0</xdr:colOff>
      <xdr:row>226</xdr:row>
      <xdr:rowOff>0</xdr:rowOff>
    </xdr:from>
    <xdr:ext cx="428625" cy="428625"/>
    <xdr:pic>
      <xdr:nvPicPr>
        <xdr:cNvPr id="226" name="image833.png">
          <a:extLst>
            <a:ext uri="{FF2B5EF4-FFF2-40B4-BE49-F238E27FC236}">
              <a16:creationId xmlns:a16="http://schemas.microsoft.com/office/drawing/2014/main" id="{00000000-0008-0000-0300-0000E2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1</xdr:col>
      <xdr:colOff>0</xdr:colOff>
      <xdr:row>227</xdr:row>
      <xdr:rowOff>0</xdr:rowOff>
    </xdr:from>
    <xdr:ext cx="428625" cy="428625"/>
    <xdr:pic>
      <xdr:nvPicPr>
        <xdr:cNvPr id="227" name="image807.png">
          <a:extLst>
            <a:ext uri="{FF2B5EF4-FFF2-40B4-BE49-F238E27FC236}">
              <a16:creationId xmlns:a16="http://schemas.microsoft.com/office/drawing/2014/main" id="{00000000-0008-0000-0300-0000E3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1</xdr:col>
      <xdr:colOff>0</xdr:colOff>
      <xdr:row>228</xdr:row>
      <xdr:rowOff>0</xdr:rowOff>
    </xdr:from>
    <xdr:ext cx="428625" cy="428625"/>
    <xdr:pic>
      <xdr:nvPicPr>
        <xdr:cNvPr id="228" name="image849.png">
          <a:extLst>
            <a:ext uri="{FF2B5EF4-FFF2-40B4-BE49-F238E27FC236}">
              <a16:creationId xmlns:a16="http://schemas.microsoft.com/office/drawing/2014/main" id="{00000000-0008-0000-0300-0000E400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1</xdr:col>
      <xdr:colOff>0</xdr:colOff>
      <xdr:row>229</xdr:row>
      <xdr:rowOff>0</xdr:rowOff>
    </xdr:from>
    <xdr:ext cx="428625" cy="428625"/>
    <xdr:pic>
      <xdr:nvPicPr>
        <xdr:cNvPr id="229" name="image819.png">
          <a:extLst>
            <a:ext uri="{FF2B5EF4-FFF2-40B4-BE49-F238E27FC236}">
              <a16:creationId xmlns:a16="http://schemas.microsoft.com/office/drawing/2014/main" id="{00000000-0008-0000-0300-0000E5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1</xdr:col>
      <xdr:colOff>0</xdr:colOff>
      <xdr:row>230</xdr:row>
      <xdr:rowOff>0</xdr:rowOff>
    </xdr:from>
    <xdr:ext cx="428625" cy="428625"/>
    <xdr:pic>
      <xdr:nvPicPr>
        <xdr:cNvPr id="230" name="image816.png">
          <a:extLst>
            <a:ext uri="{FF2B5EF4-FFF2-40B4-BE49-F238E27FC236}">
              <a16:creationId xmlns:a16="http://schemas.microsoft.com/office/drawing/2014/main" id="{00000000-0008-0000-0300-0000E6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1</xdr:col>
      <xdr:colOff>0</xdr:colOff>
      <xdr:row>231</xdr:row>
      <xdr:rowOff>0</xdr:rowOff>
    </xdr:from>
    <xdr:ext cx="428625" cy="428625"/>
    <xdr:pic>
      <xdr:nvPicPr>
        <xdr:cNvPr id="231" name="image826.png">
          <a:extLst>
            <a:ext uri="{FF2B5EF4-FFF2-40B4-BE49-F238E27FC236}">
              <a16:creationId xmlns:a16="http://schemas.microsoft.com/office/drawing/2014/main" id="{00000000-0008-0000-0300-0000E700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1</xdr:col>
      <xdr:colOff>0</xdr:colOff>
      <xdr:row>232</xdr:row>
      <xdr:rowOff>0</xdr:rowOff>
    </xdr:from>
    <xdr:ext cx="428625" cy="428625"/>
    <xdr:pic>
      <xdr:nvPicPr>
        <xdr:cNvPr id="232" name="image831.png">
          <a:extLst>
            <a:ext uri="{FF2B5EF4-FFF2-40B4-BE49-F238E27FC236}">
              <a16:creationId xmlns:a16="http://schemas.microsoft.com/office/drawing/2014/main" id="{00000000-0008-0000-0300-0000E800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1</xdr:col>
      <xdr:colOff>0</xdr:colOff>
      <xdr:row>233</xdr:row>
      <xdr:rowOff>0</xdr:rowOff>
    </xdr:from>
    <xdr:ext cx="428625" cy="428625"/>
    <xdr:pic>
      <xdr:nvPicPr>
        <xdr:cNvPr id="233" name="image822.png">
          <a:extLst>
            <a:ext uri="{FF2B5EF4-FFF2-40B4-BE49-F238E27FC236}">
              <a16:creationId xmlns:a16="http://schemas.microsoft.com/office/drawing/2014/main" id="{00000000-0008-0000-0300-0000E900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1</xdr:col>
      <xdr:colOff>0</xdr:colOff>
      <xdr:row>234</xdr:row>
      <xdr:rowOff>0</xdr:rowOff>
    </xdr:from>
    <xdr:ext cx="428625" cy="428625"/>
    <xdr:pic>
      <xdr:nvPicPr>
        <xdr:cNvPr id="234" name="image839.png">
          <a:extLst>
            <a:ext uri="{FF2B5EF4-FFF2-40B4-BE49-F238E27FC236}">
              <a16:creationId xmlns:a16="http://schemas.microsoft.com/office/drawing/2014/main" id="{00000000-0008-0000-0300-0000EA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1</xdr:col>
      <xdr:colOff>0</xdr:colOff>
      <xdr:row>235</xdr:row>
      <xdr:rowOff>0</xdr:rowOff>
    </xdr:from>
    <xdr:ext cx="428625" cy="428625"/>
    <xdr:pic>
      <xdr:nvPicPr>
        <xdr:cNvPr id="235" name="image820.png">
          <a:extLst>
            <a:ext uri="{FF2B5EF4-FFF2-40B4-BE49-F238E27FC236}">
              <a16:creationId xmlns:a16="http://schemas.microsoft.com/office/drawing/2014/main" id="{00000000-0008-0000-0300-0000EB00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1</xdr:col>
      <xdr:colOff>0</xdr:colOff>
      <xdr:row>236</xdr:row>
      <xdr:rowOff>0</xdr:rowOff>
    </xdr:from>
    <xdr:ext cx="428625" cy="428625"/>
    <xdr:pic>
      <xdr:nvPicPr>
        <xdr:cNvPr id="236" name="image824.png">
          <a:extLst>
            <a:ext uri="{FF2B5EF4-FFF2-40B4-BE49-F238E27FC236}">
              <a16:creationId xmlns:a16="http://schemas.microsoft.com/office/drawing/2014/main" id="{00000000-0008-0000-0300-0000EC00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1</xdr:col>
      <xdr:colOff>0</xdr:colOff>
      <xdr:row>237</xdr:row>
      <xdr:rowOff>0</xdr:rowOff>
    </xdr:from>
    <xdr:ext cx="428625" cy="428625"/>
    <xdr:pic>
      <xdr:nvPicPr>
        <xdr:cNvPr id="237" name="image825.png">
          <a:extLst>
            <a:ext uri="{FF2B5EF4-FFF2-40B4-BE49-F238E27FC236}">
              <a16:creationId xmlns:a16="http://schemas.microsoft.com/office/drawing/2014/main" id="{00000000-0008-0000-0300-0000ED00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1</xdr:col>
      <xdr:colOff>0</xdr:colOff>
      <xdr:row>238</xdr:row>
      <xdr:rowOff>0</xdr:rowOff>
    </xdr:from>
    <xdr:ext cx="428625" cy="428625"/>
    <xdr:pic>
      <xdr:nvPicPr>
        <xdr:cNvPr id="238" name="image829.png">
          <a:extLst>
            <a:ext uri="{FF2B5EF4-FFF2-40B4-BE49-F238E27FC236}">
              <a16:creationId xmlns:a16="http://schemas.microsoft.com/office/drawing/2014/main" id="{00000000-0008-0000-0300-0000EE00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1</xdr:col>
      <xdr:colOff>0</xdr:colOff>
      <xdr:row>239</xdr:row>
      <xdr:rowOff>0</xdr:rowOff>
    </xdr:from>
    <xdr:ext cx="428625" cy="428625"/>
    <xdr:pic>
      <xdr:nvPicPr>
        <xdr:cNvPr id="239" name="image828.png">
          <a:extLst>
            <a:ext uri="{FF2B5EF4-FFF2-40B4-BE49-F238E27FC236}">
              <a16:creationId xmlns:a16="http://schemas.microsoft.com/office/drawing/2014/main" id="{00000000-0008-0000-0300-0000EF00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1</xdr:col>
      <xdr:colOff>0</xdr:colOff>
      <xdr:row>240</xdr:row>
      <xdr:rowOff>0</xdr:rowOff>
    </xdr:from>
    <xdr:ext cx="428625" cy="428625"/>
    <xdr:pic>
      <xdr:nvPicPr>
        <xdr:cNvPr id="240" name="image837.png">
          <a:extLst>
            <a:ext uri="{FF2B5EF4-FFF2-40B4-BE49-F238E27FC236}">
              <a16:creationId xmlns:a16="http://schemas.microsoft.com/office/drawing/2014/main" id="{00000000-0008-0000-0300-0000F000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1</xdr:col>
      <xdr:colOff>0</xdr:colOff>
      <xdr:row>241</xdr:row>
      <xdr:rowOff>0</xdr:rowOff>
    </xdr:from>
    <xdr:ext cx="200025" cy="200025"/>
    <xdr:pic>
      <xdr:nvPicPr>
        <xdr:cNvPr id="241" name="image832.png">
          <a:extLst>
            <a:ext uri="{FF2B5EF4-FFF2-40B4-BE49-F238E27FC236}">
              <a16:creationId xmlns:a16="http://schemas.microsoft.com/office/drawing/2014/main" id="{00000000-0008-0000-0300-0000F100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1</xdr:col>
      <xdr:colOff>0</xdr:colOff>
      <xdr:row>242</xdr:row>
      <xdr:rowOff>0</xdr:rowOff>
    </xdr:from>
    <xdr:ext cx="428625" cy="428625"/>
    <xdr:pic>
      <xdr:nvPicPr>
        <xdr:cNvPr id="242" name="image823.png">
          <a:extLst>
            <a:ext uri="{FF2B5EF4-FFF2-40B4-BE49-F238E27FC236}">
              <a16:creationId xmlns:a16="http://schemas.microsoft.com/office/drawing/2014/main" id="{00000000-0008-0000-0300-0000F200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1</xdr:col>
      <xdr:colOff>0</xdr:colOff>
      <xdr:row>243</xdr:row>
      <xdr:rowOff>0</xdr:rowOff>
    </xdr:from>
    <xdr:ext cx="428625" cy="428625"/>
    <xdr:pic>
      <xdr:nvPicPr>
        <xdr:cNvPr id="243" name="image827.png">
          <a:extLst>
            <a:ext uri="{FF2B5EF4-FFF2-40B4-BE49-F238E27FC236}">
              <a16:creationId xmlns:a16="http://schemas.microsoft.com/office/drawing/2014/main" id="{00000000-0008-0000-0300-0000F300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1</xdr:col>
      <xdr:colOff>0</xdr:colOff>
      <xdr:row>244</xdr:row>
      <xdr:rowOff>0</xdr:rowOff>
    </xdr:from>
    <xdr:ext cx="428625" cy="428625"/>
    <xdr:pic>
      <xdr:nvPicPr>
        <xdr:cNvPr id="244" name="image835.png">
          <a:extLst>
            <a:ext uri="{FF2B5EF4-FFF2-40B4-BE49-F238E27FC236}">
              <a16:creationId xmlns:a16="http://schemas.microsoft.com/office/drawing/2014/main" id="{00000000-0008-0000-0300-0000F400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1</xdr:col>
      <xdr:colOff>0</xdr:colOff>
      <xdr:row>245</xdr:row>
      <xdr:rowOff>0</xdr:rowOff>
    </xdr:from>
    <xdr:ext cx="428625" cy="428625"/>
    <xdr:pic>
      <xdr:nvPicPr>
        <xdr:cNvPr id="245" name="image838.png">
          <a:extLst>
            <a:ext uri="{FF2B5EF4-FFF2-40B4-BE49-F238E27FC236}">
              <a16:creationId xmlns:a16="http://schemas.microsoft.com/office/drawing/2014/main" id="{00000000-0008-0000-0300-0000F500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1</xdr:col>
      <xdr:colOff>0</xdr:colOff>
      <xdr:row>246</xdr:row>
      <xdr:rowOff>0</xdr:rowOff>
    </xdr:from>
    <xdr:ext cx="428625" cy="428625"/>
    <xdr:pic>
      <xdr:nvPicPr>
        <xdr:cNvPr id="246" name="image840.png">
          <a:extLst>
            <a:ext uri="{FF2B5EF4-FFF2-40B4-BE49-F238E27FC236}">
              <a16:creationId xmlns:a16="http://schemas.microsoft.com/office/drawing/2014/main" id="{00000000-0008-0000-0300-0000F600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1</xdr:col>
      <xdr:colOff>0</xdr:colOff>
      <xdr:row>247</xdr:row>
      <xdr:rowOff>0</xdr:rowOff>
    </xdr:from>
    <xdr:ext cx="428625" cy="428625"/>
    <xdr:pic>
      <xdr:nvPicPr>
        <xdr:cNvPr id="247" name="image845.png">
          <a:extLst>
            <a:ext uri="{FF2B5EF4-FFF2-40B4-BE49-F238E27FC236}">
              <a16:creationId xmlns:a16="http://schemas.microsoft.com/office/drawing/2014/main" id="{00000000-0008-0000-0300-0000F700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1</xdr:col>
      <xdr:colOff>0</xdr:colOff>
      <xdr:row>248</xdr:row>
      <xdr:rowOff>0</xdr:rowOff>
    </xdr:from>
    <xdr:ext cx="428625" cy="428625"/>
    <xdr:pic>
      <xdr:nvPicPr>
        <xdr:cNvPr id="248" name="image836.png">
          <a:extLst>
            <a:ext uri="{FF2B5EF4-FFF2-40B4-BE49-F238E27FC236}">
              <a16:creationId xmlns:a16="http://schemas.microsoft.com/office/drawing/2014/main" id="{00000000-0008-0000-0300-0000F800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1</xdr:col>
      <xdr:colOff>0</xdr:colOff>
      <xdr:row>249</xdr:row>
      <xdr:rowOff>0</xdr:rowOff>
    </xdr:from>
    <xdr:ext cx="428625" cy="428625"/>
    <xdr:pic>
      <xdr:nvPicPr>
        <xdr:cNvPr id="249" name="image871.png">
          <a:extLst>
            <a:ext uri="{FF2B5EF4-FFF2-40B4-BE49-F238E27FC236}">
              <a16:creationId xmlns:a16="http://schemas.microsoft.com/office/drawing/2014/main" id="{00000000-0008-0000-0300-0000F900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oneCellAnchor>
    <xdr:from>
      <xdr:col>1</xdr:col>
      <xdr:colOff>0</xdr:colOff>
      <xdr:row>250</xdr:row>
      <xdr:rowOff>0</xdr:rowOff>
    </xdr:from>
    <xdr:ext cx="428625" cy="428625"/>
    <xdr:pic>
      <xdr:nvPicPr>
        <xdr:cNvPr id="250" name="image846.png">
          <a:extLst>
            <a:ext uri="{FF2B5EF4-FFF2-40B4-BE49-F238E27FC236}">
              <a16:creationId xmlns:a16="http://schemas.microsoft.com/office/drawing/2014/main" id="{00000000-0008-0000-0300-0000FA00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1</xdr:col>
      <xdr:colOff>0</xdr:colOff>
      <xdr:row>251</xdr:row>
      <xdr:rowOff>0</xdr:rowOff>
    </xdr:from>
    <xdr:ext cx="428625" cy="428625"/>
    <xdr:pic>
      <xdr:nvPicPr>
        <xdr:cNvPr id="251" name="image841.png">
          <a:extLst>
            <a:ext uri="{FF2B5EF4-FFF2-40B4-BE49-F238E27FC236}">
              <a16:creationId xmlns:a16="http://schemas.microsoft.com/office/drawing/2014/main" id="{00000000-0008-0000-0300-0000FB00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1</xdr:col>
      <xdr:colOff>0</xdr:colOff>
      <xdr:row>252</xdr:row>
      <xdr:rowOff>0</xdr:rowOff>
    </xdr:from>
    <xdr:ext cx="428625" cy="428625"/>
    <xdr:pic>
      <xdr:nvPicPr>
        <xdr:cNvPr id="252" name="image854.png">
          <a:extLst>
            <a:ext uri="{FF2B5EF4-FFF2-40B4-BE49-F238E27FC236}">
              <a16:creationId xmlns:a16="http://schemas.microsoft.com/office/drawing/2014/main" id="{00000000-0008-0000-0300-0000FC00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1</xdr:col>
      <xdr:colOff>0</xdr:colOff>
      <xdr:row>253</xdr:row>
      <xdr:rowOff>0</xdr:rowOff>
    </xdr:from>
    <xdr:ext cx="428625" cy="428625"/>
    <xdr:pic>
      <xdr:nvPicPr>
        <xdr:cNvPr id="253" name="image844.png">
          <a:extLst>
            <a:ext uri="{FF2B5EF4-FFF2-40B4-BE49-F238E27FC236}">
              <a16:creationId xmlns:a16="http://schemas.microsoft.com/office/drawing/2014/main" id="{00000000-0008-0000-0300-0000FD000000}"/>
            </a:ext>
          </a:extLst>
        </xdr:cNvPr>
        <xdr:cNvPicPr preferRelativeResize="0"/>
      </xdr:nvPicPr>
      <xdr:blipFill>
        <a:blip xmlns:r="http://schemas.openxmlformats.org/officeDocument/2006/relationships" r:embed="rId252" cstate="print"/>
        <a:stretch>
          <a:fillRect/>
        </a:stretch>
      </xdr:blipFill>
      <xdr:spPr>
        <a:prstGeom prst="rect">
          <a:avLst/>
        </a:prstGeom>
        <a:noFill/>
      </xdr:spPr>
    </xdr:pic>
    <xdr:clientData fLocksWithSheet="0"/>
  </xdr:oneCellAnchor>
  <xdr:oneCellAnchor>
    <xdr:from>
      <xdr:col>1</xdr:col>
      <xdr:colOff>0</xdr:colOff>
      <xdr:row>254</xdr:row>
      <xdr:rowOff>0</xdr:rowOff>
    </xdr:from>
    <xdr:ext cx="428625" cy="428625"/>
    <xdr:pic>
      <xdr:nvPicPr>
        <xdr:cNvPr id="254" name="image859.png">
          <a:extLst>
            <a:ext uri="{FF2B5EF4-FFF2-40B4-BE49-F238E27FC236}">
              <a16:creationId xmlns:a16="http://schemas.microsoft.com/office/drawing/2014/main" id="{00000000-0008-0000-0300-0000FE00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1</xdr:col>
      <xdr:colOff>0</xdr:colOff>
      <xdr:row>255</xdr:row>
      <xdr:rowOff>0</xdr:rowOff>
    </xdr:from>
    <xdr:ext cx="428625" cy="428625"/>
    <xdr:pic>
      <xdr:nvPicPr>
        <xdr:cNvPr id="255" name="image877.png">
          <a:extLst>
            <a:ext uri="{FF2B5EF4-FFF2-40B4-BE49-F238E27FC236}">
              <a16:creationId xmlns:a16="http://schemas.microsoft.com/office/drawing/2014/main" id="{00000000-0008-0000-0300-0000FF00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1</xdr:col>
      <xdr:colOff>0</xdr:colOff>
      <xdr:row>256</xdr:row>
      <xdr:rowOff>0</xdr:rowOff>
    </xdr:from>
    <xdr:ext cx="428625" cy="428625"/>
    <xdr:pic>
      <xdr:nvPicPr>
        <xdr:cNvPr id="256" name="image852.png">
          <a:extLst>
            <a:ext uri="{FF2B5EF4-FFF2-40B4-BE49-F238E27FC236}">
              <a16:creationId xmlns:a16="http://schemas.microsoft.com/office/drawing/2014/main" id="{00000000-0008-0000-0300-000000010000}"/>
            </a:ext>
          </a:extLst>
        </xdr:cNvPr>
        <xdr:cNvPicPr preferRelativeResize="0"/>
      </xdr:nvPicPr>
      <xdr:blipFill>
        <a:blip xmlns:r="http://schemas.openxmlformats.org/officeDocument/2006/relationships" r:embed="rId255" cstate="print"/>
        <a:stretch>
          <a:fillRect/>
        </a:stretch>
      </xdr:blipFill>
      <xdr:spPr>
        <a:prstGeom prst="rect">
          <a:avLst/>
        </a:prstGeom>
        <a:noFill/>
      </xdr:spPr>
    </xdr:pic>
    <xdr:clientData fLocksWithSheet="0"/>
  </xdr:oneCellAnchor>
  <xdr:oneCellAnchor>
    <xdr:from>
      <xdr:col>1</xdr:col>
      <xdr:colOff>0</xdr:colOff>
      <xdr:row>257</xdr:row>
      <xdr:rowOff>0</xdr:rowOff>
    </xdr:from>
    <xdr:ext cx="428625" cy="428625"/>
    <xdr:pic>
      <xdr:nvPicPr>
        <xdr:cNvPr id="257" name="image853.png">
          <a:extLst>
            <a:ext uri="{FF2B5EF4-FFF2-40B4-BE49-F238E27FC236}">
              <a16:creationId xmlns:a16="http://schemas.microsoft.com/office/drawing/2014/main" id="{00000000-0008-0000-0300-000001010000}"/>
            </a:ext>
          </a:extLst>
        </xdr:cNvPr>
        <xdr:cNvPicPr preferRelativeResize="0"/>
      </xdr:nvPicPr>
      <xdr:blipFill>
        <a:blip xmlns:r="http://schemas.openxmlformats.org/officeDocument/2006/relationships" r:embed="rId256" cstate="print"/>
        <a:stretch>
          <a:fillRect/>
        </a:stretch>
      </xdr:blipFill>
      <xdr:spPr>
        <a:prstGeom prst="rect">
          <a:avLst/>
        </a:prstGeom>
        <a:noFill/>
      </xdr:spPr>
    </xdr:pic>
    <xdr:clientData fLocksWithSheet="0"/>
  </xdr:oneCellAnchor>
  <xdr:oneCellAnchor>
    <xdr:from>
      <xdr:col>1</xdr:col>
      <xdr:colOff>0</xdr:colOff>
      <xdr:row>258</xdr:row>
      <xdr:rowOff>0</xdr:rowOff>
    </xdr:from>
    <xdr:ext cx="428625" cy="428625"/>
    <xdr:pic>
      <xdr:nvPicPr>
        <xdr:cNvPr id="258" name="image842.png">
          <a:extLst>
            <a:ext uri="{FF2B5EF4-FFF2-40B4-BE49-F238E27FC236}">
              <a16:creationId xmlns:a16="http://schemas.microsoft.com/office/drawing/2014/main" id="{00000000-0008-0000-0300-00000201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1</xdr:col>
      <xdr:colOff>0</xdr:colOff>
      <xdr:row>259</xdr:row>
      <xdr:rowOff>0</xdr:rowOff>
    </xdr:from>
    <xdr:ext cx="428625" cy="428625"/>
    <xdr:pic>
      <xdr:nvPicPr>
        <xdr:cNvPr id="259" name="image855.png">
          <a:extLst>
            <a:ext uri="{FF2B5EF4-FFF2-40B4-BE49-F238E27FC236}">
              <a16:creationId xmlns:a16="http://schemas.microsoft.com/office/drawing/2014/main" id="{00000000-0008-0000-0300-00000301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1</xdr:col>
      <xdr:colOff>0</xdr:colOff>
      <xdr:row>260</xdr:row>
      <xdr:rowOff>0</xdr:rowOff>
    </xdr:from>
    <xdr:ext cx="428625" cy="428625"/>
    <xdr:pic>
      <xdr:nvPicPr>
        <xdr:cNvPr id="260" name="image843.png">
          <a:extLst>
            <a:ext uri="{FF2B5EF4-FFF2-40B4-BE49-F238E27FC236}">
              <a16:creationId xmlns:a16="http://schemas.microsoft.com/office/drawing/2014/main" id="{00000000-0008-0000-0300-00000401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1</xdr:col>
      <xdr:colOff>0</xdr:colOff>
      <xdr:row>261</xdr:row>
      <xdr:rowOff>0</xdr:rowOff>
    </xdr:from>
    <xdr:ext cx="428625" cy="428625"/>
    <xdr:pic>
      <xdr:nvPicPr>
        <xdr:cNvPr id="261" name="image848.png">
          <a:extLst>
            <a:ext uri="{FF2B5EF4-FFF2-40B4-BE49-F238E27FC236}">
              <a16:creationId xmlns:a16="http://schemas.microsoft.com/office/drawing/2014/main" id="{00000000-0008-0000-0300-00000501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1</xdr:col>
      <xdr:colOff>0</xdr:colOff>
      <xdr:row>262</xdr:row>
      <xdr:rowOff>0</xdr:rowOff>
    </xdr:from>
    <xdr:ext cx="428625" cy="428625"/>
    <xdr:pic>
      <xdr:nvPicPr>
        <xdr:cNvPr id="262" name="image857.png">
          <a:extLst>
            <a:ext uri="{FF2B5EF4-FFF2-40B4-BE49-F238E27FC236}">
              <a16:creationId xmlns:a16="http://schemas.microsoft.com/office/drawing/2014/main" id="{00000000-0008-0000-0300-00000601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1</xdr:col>
      <xdr:colOff>0</xdr:colOff>
      <xdr:row>263</xdr:row>
      <xdr:rowOff>0</xdr:rowOff>
    </xdr:from>
    <xdr:ext cx="428625" cy="428625"/>
    <xdr:pic>
      <xdr:nvPicPr>
        <xdr:cNvPr id="263" name="image850.png">
          <a:extLst>
            <a:ext uri="{FF2B5EF4-FFF2-40B4-BE49-F238E27FC236}">
              <a16:creationId xmlns:a16="http://schemas.microsoft.com/office/drawing/2014/main" id="{00000000-0008-0000-0300-00000701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1</xdr:col>
      <xdr:colOff>0</xdr:colOff>
      <xdr:row>264</xdr:row>
      <xdr:rowOff>0</xdr:rowOff>
    </xdr:from>
    <xdr:ext cx="428625" cy="428625"/>
    <xdr:pic>
      <xdr:nvPicPr>
        <xdr:cNvPr id="264" name="image851.png">
          <a:extLst>
            <a:ext uri="{FF2B5EF4-FFF2-40B4-BE49-F238E27FC236}">
              <a16:creationId xmlns:a16="http://schemas.microsoft.com/office/drawing/2014/main" id="{00000000-0008-0000-0300-00000801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1</xdr:col>
      <xdr:colOff>0</xdr:colOff>
      <xdr:row>265</xdr:row>
      <xdr:rowOff>0</xdr:rowOff>
    </xdr:from>
    <xdr:ext cx="428625" cy="428625"/>
    <xdr:pic>
      <xdr:nvPicPr>
        <xdr:cNvPr id="265" name="image895.png">
          <a:extLst>
            <a:ext uri="{FF2B5EF4-FFF2-40B4-BE49-F238E27FC236}">
              <a16:creationId xmlns:a16="http://schemas.microsoft.com/office/drawing/2014/main" id="{00000000-0008-0000-0300-00000901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1</xdr:col>
      <xdr:colOff>0</xdr:colOff>
      <xdr:row>266</xdr:row>
      <xdr:rowOff>0</xdr:rowOff>
    </xdr:from>
    <xdr:ext cx="428625" cy="428625"/>
    <xdr:pic>
      <xdr:nvPicPr>
        <xdr:cNvPr id="266" name="image847.png">
          <a:extLst>
            <a:ext uri="{FF2B5EF4-FFF2-40B4-BE49-F238E27FC236}">
              <a16:creationId xmlns:a16="http://schemas.microsoft.com/office/drawing/2014/main" id="{00000000-0008-0000-0300-00000A01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1</xdr:col>
      <xdr:colOff>0</xdr:colOff>
      <xdr:row>267</xdr:row>
      <xdr:rowOff>0</xdr:rowOff>
    </xdr:from>
    <xdr:ext cx="428625" cy="428625"/>
    <xdr:pic>
      <xdr:nvPicPr>
        <xdr:cNvPr id="267" name="image864.png">
          <a:extLst>
            <a:ext uri="{FF2B5EF4-FFF2-40B4-BE49-F238E27FC236}">
              <a16:creationId xmlns:a16="http://schemas.microsoft.com/office/drawing/2014/main" id="{00000000-0008-0000-0300-00000B01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1</xdr:col>
      <xdr:colOff>0</xdr:colOff>
      <xdr:row>268</xdr:row>
      <xdr:rowOff>0</xdr:rowOff>
    </xdr:from>
    <xdr:ext cx="428625" cy="428625"/>
    <xdr:pic>
      <xdr:nvPicPr>
        <xdr:cNvPr id="268" name="image867.png">
          <a:extLst>
            <a:ext uri="{FF2B5EF4-FFF2-40B4-BE49-F238E27FC236}">
              <a16:creationId xmlns:a16="http://schemas.microsoft.com/office/drawing/2014/main" id="{00000000-0008-0000-0300-00000C01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1</xdr:col>
      <xdr:colOff>0</xdr:colOff>
      <xdr:row>269</xdr:row>
      <xdr:rowOff>0</xdr:rowOff>
    </xdr:from>
    <xdr:ext cx="428625" cy="428625"/>
    <xdr:pic>
      <xdr:nvPicPr>
        <xdr:cNvPr id="269" name="image856.png">
          <a:extLst>
            <a:ext uri="{FF2B5EF4-FFF2-40B4-BE49-F238E27FC236}">
              <a16:creationId xmlns:a16="http://schemas.microsoft.com/office/drawing/2014/main" id="{00000000-0008-0000-0300-00000D01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1</xdr:col>
      <xdr:colOff>0</xdr:colOff>
      <xdr:row>270</xdr:row>
      <xdr:rowOff>0</xdr:rowOff>
    </xdr:from>
    <xdr:ext cx="428625" cy="428625"/>
    <xdr:pic>
      <xdr:nvPicPr>
        <xdr:cNvPr id="270" name="image862.png">
          <a:extLst>
            <a:ext uri="{FF2B5EF4-FFF2-40B4-BE49-F238E27FC236}">
              <a16:creationId xmlns:a16="http://schemas.microsoft.com/office/drawing/2014/main" id="{00000000-0008-0000-0300-00000E010000}"/>
            </a:ext>
          </a:extLst>
        </xdr:cNvPr>
        <xdr:cNvPicPr preferRelativeResize="0"/>
      </xdr:nvPicPr>
      <xdr:blipFill>
        <a:blip xmlns:r="http://schemas.openxmlformats.org/officeDocument/2006/relationships" r:embed="rId269" cstate="print"/>
        <a:stretch>
          <a:fillRect/>
        </a:stretch>
      </xdr:blipFill>
      <xdr:spPr>
        <a:prstGeom prst="rect">
          <a:avLst/>
        </a:prstGeom>
        <a:noFill/>
      </xdr:spPr>
    </xdr:pic>
    <xdr:clientData fLocksWithSheet="0"/>
  </xdr:oneCellAnchor>
  <xdr:oneCellAnchor>
    <xdr:from>
      <xdr:col>1</xdr:col>
      <xdr:colOff>0</xdr:colOff>
      <xdr:row>271</xdr:row>
      <xdr:rowOff>0</xdr:rowOff>
    </xdr:from>
    <xdr:ext cx="428625" cy="428625"/>
    <xdr:pic>
      <xdr:nvPicPr>
        <xdr:cNvPr id="271" name="image860.png">
          <a:extLst>
            <a:ext uri="{FF2B5EF4-FFF2-40B4-BE49-F238E27FC236}">
              <a16:creationId xmlns:a16="http://schemas.microsoft.com/office/drawing/2014/main" id="{00000000-0008-0000-0300-00000F010000}"/>
            </a:ext>
          </a:extLst>
        </xdr:cNvPr>
        <xdr:cNvPicPr preferRelativeResize="0"/>
      </xdr:nvPicPr>
      <xdr:blipFill>
        <a:blip xmlns:r="http://schemas.openxmlformats.org/officeDocument/2006/relationships" r:embed="rId270" cstate="print"/>
        <a:stretch>
          <a:fillRect/>
        </a:stretch>
      </xdr:blipFill>
      <xdr:spPr>
        <a:prstGeom prst="rect">
          <a:avLst/>
        </a:prstGeom>
        <a:noFill/>
      </xdr:spPr>
    </xdr:pic>
    <xdr:clientData fLocksWithSheet="0"/>
  </xdr:oneCellAnchor>
  <xdr:oneCellAnchor>
    <xdr:from>
      <xdr:col>1</xdr:col>
      <xdr:colOff>0</xdr:colOff>
      <xdr:row>272</xdr:row>
      <xdr:rowOff>0</xdr:rowOff>
    </xdr:from>
    <xdr:ext cx="428625" cy="428625"/>
    <xdr:pic>
      <xdr:nvPicPr>
        <xdr:cNvPr id="272" name="image858.png">
          <a:extLst>
            <a:ext uri="{FF2B5EF4-FFF2-40B4-BE49-F238E27FC236}">
              <a16:creationId xmlns:a16="http://schemas.microsoft.com/office/drawing/2014/main" id="{00000000-0008-0000-0300-00001001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1</xdr:col>
      <xdr:colOff>0</xdr:colOff>
      <xdr:row>273</xdr:row>
      <xdr:rowOff>0</xdr:rowOff>
    </xdr:from>
    <xdr:ext cx="428625" cy="428625"/>
    <xdr:pic>
      <xdr:nvPicPr>
        <xdr:cNvPr id="273" name="image869.png">
          <a:extLst>
            <a:ext uri="{FF2B5EF4-FFF2-40B4-BE49-F238E27FC236}">
              <a16:creationId xmlns:a16="http://schemas.microsoft.com/office/drawing/2014/main" id="{00000000-0008-0000-0300-000011010000}"/>
            </a:ext>
          </a:extLst>
        </xdr:cNvPr>
        <xdr:cNvPicPr preferRelativeResize="0"/>
      </xdr:nvPicPr>
      <xdr:blipFill>
        <a:blip xmlns:r="http://schemas.openxmlformats.org/officeDocument/2006/relationships" r:embed="rId272" cstate="print"/>
        <a:stretch>
          <a:fillRect/>
        </a:stretch>
      </xdr:blipFill>
      <xdr:spPr>
        <a:prstGeom prst="rect">
          <a:avLst/>
        </a:prstGeom>
        <a:noFill/>
      </xdr:spPr>
    </xdr:pic>
    <xdr:clientData fLocksWithSheet="0"/>
  </xdr:oneCellAnchor>
  <xdr:oneCellAnchor>
    <xdr:from>
      <xdr:col>1</xdr:col>
      <xdr:colOff>0</xdr:colOff>
      <xdr:row>274</xdr:row>
      <xdr:rowOff>0</xdr:rowOff>
    </xdr:from>
    <xdr:ext cx="428625" cy="428625"/>
    <xdr:pic>
      <xdr:nvPicPr>
        <xdr:cNvPr id="274" name="image881.png">
          <a:extLst>
            <a:ext uri="{FF2B5EF4-FFF2-40B4-BE49-F238E27FC236}">
              <a16:creationId xmlns:a16="http://schemas.microsoft.com/office/drawing/2014/main" id="{00000000-0008-0000-0300-000012010000}"/>
            </a:ext>
          </a:extLst>
        </xdr:cNvPr>
        <xdr:cNvPicPr preferRelativeResize="0"/>
      </xdr:nvPicPr>
      <xdr:blipFill>
        <a:blip xmlns:r="http://schemas.openxmlformats.org/officeDocument/2006/relationships" r:embed="rId273" cstate="print"/>
        <a:stretch>
          <a:fillRect/>
        </a:stretch>
      </xdr:blipFill>
      <xdr:spPr>
        <a:prstGeom prst="rect">
          <a:avLst/>
        </a:prstGeom>
        <a:noFill/>
      </xdr:spPr>
    </xdr:pic>
    <xdr:clientData fLocksWithSheet="0"/>
  </xdr:oneCellAnchor>
  <xdr:oneCellAnchor>
    <xdr:from>
      <xdr:col>1</xdr:col>
      <xdr:colOff>0</xdr:colOff>
      <xdr:row>275</xdr:row>
      <xdr:rowOff>0</xdr:rowOff>
    </xdr:from>
    <xdr:ext cx="428625" cy="428625"/>
    <xdr:pic>
      <xdr:nvPicPr>
        <xdr:cNvPr id="275" name="image861.png">
          <a:extLst>
            <a:ext uri="{FF2B5EF4-FFF2-40B4-BE49-F238E27FC236}">
              <a16:creationId xmlns:a16="http://schemas.microsoft.com/office/drawing/2014/main" id="{00000000-0008-0000-0300-000013010000}"/>
            </a:ext>
          </a:extLst>
        </xdr:cNvPr>
        <xdr:cNvPicPr preferRelativeResize="0"/>
      </xdr:nvPicPr>
      <xdr:blipFill>
        <a:blip xmlns:r="http://schemas.openxmlformats.org/officeDocument/2006/relationships" r:embed="rId274" cstate="print"/>
        <a:stretch>
          <a:fillRect/>
        </a:stretch>
      </xdr:blipFill>
      <xdr:spPr>
        <a:prstGeom prst="rect">
          <a:avLst/>
        </a:prstGeom>
        <a:noFill/>
      </xdr:spPr>
    </xdr:pic>
    <xdr:clientData fLocksWithSheet="0"/>
  </xdr:oneCellAnchor>
  <xdr:oneCellAnchor>
    <xdr:from>
      <xdr:col>1</xdr:col>
      <xdr:colOff>0</xdr:colOff>
      <xdr:row>276</xdr:row>
      <xdr:rowOff>0</xdr:rowOff>
    </xdr:from>
    <xdr:ext cx="428625" cy="428625"/>
    <xdr:pic>
      <xdr:nvPicPr>
        <xdr:cNvPr id="276" name="image900.png">
          <a:extLst>
            <a:ext uri="{FF2B5EF4-FFF2-40B4-BE49-F238E27FC236}">
              <a16:creationId xmlns:a16="http://schemas.microsoft.com/office/drawing/2014/main" id="{00000000-0008-0000-0300-000014010000}"/>
            </a:ext>
          </a:extLst>
        </xdr:cNvPr>
        <xdr:cNvPicPr preferRelativeResize="0"/>
      </xdr:nvPicPr>
      <xdr:blipFill>
        <a:blip xmlns:r="http://schemas.openxmlformats.org/officeDocument/2006/relationships" r:embed="rId275" cstate="print"/>
        <a:stretch>
          <a:fillRect/>
        </a:stretch>
      </xdr:blipFill>
      <xdr:spPr>
        <a:prstGeom prst="rect">
          <a:avLst/>
        </a:prstGeom>
        <a:noFill/>
      </xdr:spPr>
    </xdr:pic>
    <xdr:clientData fLocksWithSheet="0"/>
  </xdr:oneCellAnchor>
  <xdr:oneCellAnchor>
    <xdr:from>
      <xdr:col>1</xdr:col>
      <xdr:colOff>0</xdr:colOff>
      <xdr:row>277</xdr:row>
      <xdr:rowOff>0</xdr:rowOff>
    </xdr:from>
    <xdr:ext cx="428625" cy="428625"/>
    <xdr:pic>
      <xdr:nvPicPr>
        <xdr:cNvPr id="277" name="image876.png">
          <a:extLst>
            <a:ext uri="{FF2B5EF4-FFF2-40B4-BE49-F238E27FC236}">
              <a16:creationId xmlns:a16="http://schemas.microsoft.com/office/drawing/2014/main" id="{00000000-0008-0000-0300-00001501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1</xdr:col>
      <xdr:colOff>0</xdr:colOff>
      <xdr:row>278</xdr:row>
      <xdr:rowOff>0</xdr:rowOff>
    </xdr:from>
    <xdr:ext cx="428625" cy="428625"/>
    <xdr:pic>
      <xdr:nvPicPr>
        <xdr:cNvPr id="278" name="image863.png">
          <a:extLst>
            <a:ext uri="{FF2B5EF4-FFF2-40B4-BE49-F238E27FC236}">
              <a16:creationId xmlns:a16="http://schemas.microsoft.com/office/drawing/2014/main" id="{00000000-0008-0000-0300-00001601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1</xdr:col>
      <xdr:colOff>0</xdr:colOff>
      <xdr:row>279</xdr:row>
      <xdr:rowOff>0</xdr:rowOff>
    </xdr:from>
    <xdr:ext cx="428625" cy="428625"/>
    <xdr:pic>
      <xdr:nvPicPr>
        <xdr:cNvPr id="279" name="image875.png">
          <a:extLst>
            <a:ext uri="{FF2B5EF4-FFF2-40B4-BE49-F238E27FC236}">
              <a16:creationId xmlns:a16="http://schemas.microsoft.com/office/drawing/2014/main" id="{00000000-0008-0000-0300-000017010000}"/>
            </a:ext>
          </a:extLst>
        </xdr:cNvPr>
        <xdr:cNvPicPr preferRelativeResize="0"/>
      </xdr:nvPicPr>
      <xdr:blipFill>
        <a:blip xmlns:r="http://schemas.openxmlformats.org/officeDocument/2006/relationships" r:embed="rId278" cstate="print"/>
        <a:stretch>
          <a:fillRect/>
        </a:stretch>
      </xdr:blipFill>
      <xdr:spPr>
        <a:prstGeom prst="rect">
          <a:avLst/>
        </a:prstGeom>
        <a:noFill/>
      </xdr:spPr>
    </xdr:pic>
    <xdr:clientData fLocksWithSheet="0"/>
  </xdr:oneCellAnchor>
  <xdr:oneCellAnchor>
    <xdr:from>
      <xdr:col>1</xdr:col>
      <xdr:colOff>0</xdr:colOff>
      <xdr:row>280</xdr:row>
      <xdr:rowOff>0</xdr:rowOff>
    </xdr:from>
    <xdr:ext cx="428625" cy="428625"/>
    <xdr:pic>
      <xdr:nvPicPr>
        <xdr:cNvPr id="280" name="image897.png">
          <a:extLst>
            <a:ext uri="{FF2B5EF4-FFF2-40B4-BE49-F238E27FC236}">
              <a16:creationId xmlns:a16="http://schemas.microsoft.com/office/drawing/2014/main" id="{00000000-0008-0000-0300-00001801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1</xdr:col>
      <xdr:colOff>0</xdr:colOff>
      <xdr:row>281</xdr:row>
      <xdr:rowOff>0</xdr:rowOff>
    </xdr:from>
    <xdr:ext cx="428625" cy="428625"/>
    <xdr:pic>
      <xdr:nvPicPr>
        <xdr:cNvPr id="281" name="image870.png">
          <a:extLst>
            <a:ext uri="{FF2B5EF4-FFF2-40B4-BE49-F238E27FC236}">
              <a16:creationId xmlns:a16="http://schemas.microsoft.com/office/drawing/2014/main" id="{00000000-0008-0000-0300-00001901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1</xdr:col>
      <xdr:colOff>0</xdr:colOff>
      <xdr:row>282</xdr:row>
      <xdr:rowOff>0</xdr:rowOff>
    </xdr:from>
    <xdr:ext cx="428625" cy="428625"/>
    <xdr:pic>
      <xdr:nvPicPr>
        <xdr:cNvPr id="282" name="image878.png">
          <a:extLst>
            <a:ext uri="{FF2B5EF4-FFF2-40B4-BE49-F238E27FC236}">
              <a16:creationId xmlns:a16="http://schemas.microsoft.com/office/drawing/2014/main" id="{00000000-0008-0000-0300-00001A010000}"/>
            </a:ext>
          </a:extLst>
        </xdr:cNvPr>
        <xdr:cNvPicPr preferRelativeResize="0"/>
      </xdr:nvPicPr>
      <xdr:blipFill>
        <a:blip xmlns:r="http://schemas.openxmlformats.org/officeDocument/2006/relationships" r:embed="rId281" cstate="print"/>
        <a:stretch>
          <a:fillRect/>
        </a:stretch>
      </xdr:blipFill>
      <xdr:spPr>
        <a:prstGeom prst="rect">
          <a:avLst/>
        </a:prstGeom>
        <a:noFill/>
      </xdr:spPr>
    </xdr:pic>
    <xdr:clientData fLocksWithSheet="0"/>
  </xdr:oneCellAnchor>
  <xdr:oneCellAnchor>
    <xdr:from>
      <xdr:col>1</xdr:col>
      <xdr:colOff>0</xdr:colOff>
      <xdr:row>283</xdr:row>
      <xdr:rowOff>0</xdr:rowOff>
    </xdr:from>
    <xdr:ext cx="428625" cy="428625"/>
    <xdr:pic>
      <xdr:nvPicPr>
        <xdr:cNvPr id="283" name="image868.png">
          <a:extLst>
            <a:ext uri="{FF2B5EF4-FFF2-40B4-BE49-F238E27FC236}">
              <a16:creationId xmlns:a16="http://schemas.microsoft.com/office/drawing/2014/main" id="{00000000-0008-0000-0300-00001B010000}"/>
            </a:ext>
          </a:extLst>
        </xdr:cNvPr>
        <xdr:cNvPicPr preferRelativeResize="0"/>
      </xdr:nvPicPr>
      <xdr:blipFill>
        <a:blip xmlns:r="http://schemas.openxmlformats.org/officeDocument/2006/relationships" r:embed="rId282" cstate="print"/>
        <a:stretch>
          <a:fillRect/>
        </a:stretch>
      </xdr:blipFill>
      <xdr:spPr>
        <a:prstGeom prst="rect">
          <a:avLst/>
        </a:prstGeom>
        <a:noFill/>
      </xdr:spPr>
    </xdr:pic>
    <xdr:clientData fLocksWithSheet="0"/>
  </xdr:oneCellAnchor>
  <xdr:oneCellAnchor>
    <xdr:from>
      <xdr:col>1</xdr:col>
      <xdr:colOff>0</xdr:colOff>
      <xdr:row>284</xdr:row>
      <xdr:rowOff>0</xdr:rowOff>
    </xdr:from>
    <xdr:ext cx="428625" cy="428625"/>
    <xdr:pic>
      <xdr:nvPicPr>
        <xdr:cNvPr id="284" name="image865.png">
          <a:extLst>
            <a:ext uri="{FF2B5EF4-FFF2-40B4-BE49-F238E27FC236}">
              <a16:creationId xmlns:a16="http://schemas.microsoft.com/office/drawing/2014/main" id="{00000000-0008-0000-0300-00001C010000}"/>
            </a:ext>
          </a:extLst>
        </xdr:cNvPr>
        <xdr:cNvPicPr preferRelativeResize="0"/>
      </xdr:nvPicPr>
      <xdr:blipFill>
        <a:blip xmlns:r="http://schemas.openxmlformats.org/officeDocument/2006/relationships" r:embed="rId283" cstate="print"/>
        <a:stretch>
          <a:fillRect/>
        </a:stretch>
      </xdr:blipFill>
      <xdr:spPr>
        <a:prstGeom prst="rect">
          <a:avLst/>
        </a:prstGeom>
        <a:noFill/>
      </xdr:spPr>
    </xdr:pic>
    <xdr:clientData fLocksWithSheet="0"/>
  </xdr:oneCellAnchor>
  <xdr:oneCellAnchor>
    <xdr:from>
      <xdr:col>1</xdr:col>
      <xdr:colOff>0</xdr:colOff>
      <xdr:row>285</xdr:row>
      <xdr:rowOff>0</xdr:rowOff>
    </xdr:from>
    <xdr:ext cx="428625" cy="428625"/>
    <xdr:pic>
      <xdr:nvPicPr>
        <xdr:cNvPr id="285" name="image874.png">
          <a:extLst>
            <a:ext uri="{FF2B5EF4-FFF2-40B4-BE49-F238E27FC236}">
              <a16:creationId xmlns:a16="http://schemas.microsoft.com/office/drawing/2014/main" id="{00000000-0008-0000-0300-00001D010000}"/>
            </a:ext>
          </a:extLst>
        </xdr:cNvPr>
        <xdr:cNvPicPr preferRelativeResize="0"/>
      </xdr:nvPicPr>
      <xdr:blipFill>
        <a:blip xmlns:r="http://schemas.openxmlformats.org/officeDocument/2006/relationships" r:embed="rId284" cstate="print"/>
        <a:stretch>
          <a:fillRect/>
        </a:stretch>
      </xdr:blipFill>
      <xdr:spPr>
        <a:prstGeom prst="rect">
          <a:avLst/>
        </a:prstGeom>
        <a:noFill/>
      </xdr:spPr>
    </xdr:pic>
    <xdr:clientData fLocksWithSheet="0"/>
  </xdr:oneCellAnchor>
  <xdr:oneCellAnchor>
    <xdr:from>
      <xdr:col>1</xdr:col>
      <xdr:colOff>0</xdr:colOff>
      <xdr:row>286</xdr:row>
      <xdr:rowOff>0</xdr:rowOff>
    </xdr:from>
    <xdr:ext cx="428625" cy="428625"/>
    <xdr:pic>
      <xdr:nvPicPr>
        <xdr:cNvPr id="286" name="image866.png">
          <a:extLst>
            <a:ext uri="{FF2B5EF4-FFF2-40B4-BE49-F238E27FC236}">
              <a16:creationId xmlns:a16="http://schemas.microsoft.com/office/drawing/2014/main" id="{00000000-0008-0000-0300-00001E01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1</xdr:col>
      <xdr:colOff>0</xdr:colOff>
      <xdr:row>287</xdr:row>
      <xdr:rowOff>0</xdr:rowOff>
    </xdr:from>
    <xdr:ext cx="428625" cy="428625"/>
    <xdr:pic>
      <xdr:nvPicPr>
        <xdr:cNvPr id="287" name="image872.png">
          <a:extLst>
            <a:ext uri="{FF2B5EF4-FFF2-40B4-BE49-F238E27FC236}">
              <a16:creationId xmlns:a16="http://schemas.microsoft.com/office/drawing/2014/main" id="{00000000-0008-0000-0300-00001F01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1</xdr:col>
      <xdr:colOff>0</xdr:colOff>
      <xdr:row>288</xdr:row>
      <xdr:rowOff>0</xdr:rowOff>
    </xdr:from>
    <xdr:ext cx="428625" cy="428625"/>
    <xdr:pic>
      <xdr:nvPicPr>
        <xdr:cNvPr id="288" name="image873.png">
          <a:extLst>
            <a:ext uri="{FF2B5EF4-FFF2-40B4-BE49-F238E27FC236}">
              <a16:creationId xmlns:a16="http://schemas.microsoft.com/office/drawing/2014/main" id="{00000000-0008-0000-0300-00002001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1</xdr:col>
      <xdr:colOff>0</xdr:colOff>
      <xdr:row>289</xdr:row>
      <xdr:rowOff>0</xdr:rowOff>
    </xdr:from>
    <xdr:ext cx="428625" cy="428625"/>
    <xdr:pic>
      <xdr:nvPicPr>
        <xdr:cNvPr id="289" name="image879.png">
          <a:extLst>
            <a:ext uri="{FF2B5EF4-FFF2-40B4-BE49-F238E27FC236}">
              <a16:creationId xmlns:a16="http://schemas.microsoft.com/office/drawing/2014/main" id="{00000000-0008-0000-0300-000021010000}"/>
            </a:ext>
          </a:extLst>
        </xdr:cNvPr>
        <xdr:cNvPicPr preferRelativeResize="0"/>
      </xdr:nvPicPr>
      <xdr:blipFill>
        <a:blip xmlns:r="http://schemas.openxmlformats.org/officeDocument/2006/relationships" r:embed="rId288" cstate="print"/>
        <a:stretch>
          <a:fillRect/>
        </a:stretch>
      </xdr:blipFill>
      <xdr:spPr>
        <a:prstGeom prst="rect">
          <a:avLst/>
        </a:prstGeom>
        <a:noFill/>
      </xdr:spPr>
    </xdr:pic>
    <xdr:clientData fLocksWithSheet="0"/>
  </xdr:oneCellAnchor>
  <xdr:oneCellAnchor>
    <xdr:from>
      <xdr:col>1</xdr:col>
      <xdr:colOff>0</xdr:colOff>
      <xdr:row>290</xdr:row>
      <xdr:rowOff>0</xdr:rowOff>
    </xdr:from>
    <xdr:ext cx="428625" cy="428625"/>
    <xdr:pic>
      <xdr:nvPicPr>
        <xdr:cNvPr id="290" name="image885.png">
          <a:extLst>
            <a:ext uri="{FF2B5EF4-FFF2-40B4-BE49-F238E27FC236}">
              <a16:creationId xmlns:a16="http://schemas.microsoft.com/office/drawing/2014/main" id="{00000000-0008-0000-0300-00002201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1</xdr:col>
      <xdr:colOff>0</xdr:colOff>
      <xdr:row>291</xdr:row>
      <xdr:rowOff>0</xdr:rowOff>
    </xdr:from>
    <xdr:ext cx="428625" cy="428625"/>
    <xdr:pic>
      <xdr:nvPicPr>
        <xdr:cNvPr id="291" name="image883.png">
          <a:extLst>
            <a:ext uri="{FF2B5EF4-FFF2-40B4-BE49-F238E27FC236}">
              <a16:creationId xmlns:a16="http://schemas.microsoft.com/office/drawing/2014/main" id="{00000000-0008-0000-0300-00002301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1</xdr:col>
      <xdr:colOff>0</xdr:colOff>
      <xdr:row>292</xdr:row>
      <xdr:rowOff>0</xdr:rowOff>
    </xdr:from>
    <xdr:ext cx="428625" cy="428625"/>
    <xdr:pic>
      <xdr:nvPicPr>
        <xdr:cNvPr id="292" name="image892.png">
          <a:extLst>
            <a:ext uri="{FF2B5EF4-FFF2-40B4-BE49-F238E27FC236}">
              <a16:creationId xmlns:a16="http://schemas.microsoft.com/office/drawing/2014/main" id="{00000000-0008-0000-0300-00002401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1</xdr:col>
      <xdr:colOff>0</xdr:colOff>
      <xdr:row>293</xdr:row>
      <xdr:rowOff>0</xdr:rowOff>
    </xdr:from>
    <xdr:ext cx="428625" cy="428625"/>
    <xdr:pic>
      <xdr:nvPicPr>
        <xdr:cNvPr id="293" name="image880.png">
          <a:extLst>
            <a:ext uri="{FF2B5EF4-FFF2-40B4-BE49-F238E27FC236}">
              <a16:creationId xmlns:a16="http://schemas.microsoft.com/office/drawing/2014/main" id="{00000000-0008-0000-0300-00002501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1</xdr:col>
      <xdr:colOff>0</xdr:colOff>
      <xdr:row>294</xdr:row>
      <xdr:rowOff>0</xdr:rowOff>
    </xdr:from>
    <xdr:ext cx="428625" cy="428625"/>
    <xdr:pic>
      <xdr:nvPicPr>
        <xdr:cNvPr id="294" name="image888.png">
          <a:extLst>
            <a:ext uri="{FF2B5EF4-FFF2-40B4-BE49-F238E27FC236}">
              <a16:creationId xmlns:a16="http://schemas.microsoft.com/office/drawing/2014/main" id="{00000000-0008-0000-0300-00002601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1</xdr:col>
      <xdr:colOff>0</xdr:colOff>
      <xdr:row>295</xdr:row>
      <xdr:rowOff>0</xdr:rowOff>
    </xdr:from>
    <xdr:ext cx="428625" cy="428625"/>
    <xdr:pic>
      <xdr:nvPicPr>
        <xdr:cNvPr id="295" name="image893.png">
          <a:extLst>
            <a:ext uri="{FF2B5EF4-FFF2-40B4-BE49-F238E27FC236}">
              <a16:creationId xmlns:a16="http://schemas.microsoft.com/office/drawing/2014/main" id="{00000000-0008-0000-0300-00002701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1</xdr:col>
      <xdr:colOff>0</xdr:colOff>
      <xdr:row>296</xdr:row>
      <xdr:rowOff>0</xdr:rowOff>
    </xdr:from>
    <xdr:ext cx="428625" cy="428625"/>
    <xdr:pic>
      <xdr:nvPicPr>
        <xdr:cNvPr id="296" name="image899.png">
          <a:extLst>
            <a:ext uri="{FF2B5EF4-FFF2-40B4-BE49-F238E27FC236}">
              <a16:creationId xmlns:a16="http://schemas.microsoft.com/office/drawing/2014/main" id="{00000000-0008-0000-0300-00002801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1</xdr:col>
      <xdr:colOff>0</xdr:colOff>
      <xdr:row>297</xdr:row>
      <xdr:rowOff>0</xdr:rowOff>
    </xdr:from>
    <xdr:ext cx="428625" cy="428625"/>
    <xdr:pic>
      <xdr:nvPicPr>
        <xdr:cNvPr id="297" name="image886.png">
          <a:extLst>
            <a:ext uri="{FF2B5EF4-FFF2-40B4-BE49-F238E27FC236}">
              <a16:creationId xmlns:a16="http://schemas.microsoft.com/office/drawing/2014/main" id="{00000000-0008-0000-0300-000029010000}"/>
            </a:ext>
          </a:extLst>
        </xdr:cNvPr>
        <xdr:cNvPicPr preferRelativeResize="0"/>
      </xdr:nvPicPr>
      <xdr:blipFill>
        <a:blip xmlns:r="http://schemas.openxmlformats.org/officeDocument/2006/relationships" r:embed="rId296" cstate="print"/>
        <a:stretch>
          <a:fillRect/>
        </a:stretch>
      </xdr:blipFill>
      <xdr:spPr>
        <a:prstGeom prst="rect">
          <a:avLst/>
        </a:prstGeom>
        <a:noFill/>
      </xdr:spPr>
    </xdr:pic>
    <xdr:clientData fLocksWithSheet="0"/>
  </xdr:oneCellAnchor>
  <xdr:oneCellAnchor>
    <xdr:from>
      <xdr:col>1</xdr:col>
      <xdr:colOff>0</xdr:colOff>
      <xdr:row>298</xdr:row>
      <xdr:rowOff>0</xdr:rowOff>
    </xdr:from>
    <xdr:ext cx="428625" cy="428625"/>
    <xdr:pic>
      <xdr:nvPicPr>
        <xdr:cNvPr id="298" name="image884.png">
          <a:extLst>
            <a:ext uri="{FF2B5EF4-FFF2-40B4-BE49-F238E27FC236}">
              <a16:creationId xmlns:a16="http://schemas.microsoft.com/office/drawing/2014/main" id="{00000000-0008-0000-0300-00002A010000}"/>
            </a:ext>
          </a:extLst>
        </xdr:cNvPr>
        <xdr:cNvPicPr preferRelativeResize="0"/>
      </xdr:nvPicPr>
      <xdr:blipFill>
        <a:blip xmlns:r="http://schemas.openxmlformats.org/officeDocument/2006/relationships" r:embed="rId297" cstate="print"/>
        <a:stretch>
          <a:fillRect/>
        </a:stretch>
      </xdr:blipFill>
      <xdr:spPr>
        <a:prstGeom prst="rect">
          <a:avLst/>
        </a:prstGeom>
        <a:noFill/>
      </xdr:spPr>
    </xdr:pic>
    <xdr:clientData fLocksWithSheet="0"/>
  </xdr:oneCellAnchor>
  <xdr:oneCellAnchor>
    <xdr:from>
      <xdr:col>1</xdr:col>
      <xdr:colOff>0</xdr:colOff>
      <xdr:row>299</xdr:row>
      <xdr:rowOff>0</xdr:rowOff>
    </xdr:from>
    <xdr:ext cx="428625" cy="428625"/>
    <xdr:pic>
      <xdr:nvPicPr>
        <xdr:cNvPr id="299" name="image890.png">
          <a:extLst>
            <a:ext uri="{FF2B5EF4-FFF2-40B4-BE49-F238E27FC236}">
              <a16:creationId xmlns:a16="http://schemas.microsoft.com/office/drawing/2014/main" id="{00000000-0008-0000-0300-00002B010000}"/>
            </a:ext>
          </a:extLst>
        </xdr:cNvPr>
        <xdr:cNvPicPr preferRelativeResize="0"/>
      </xdr:nvPicPr>
      <xdr:blipFill>
        <a:blip xmlns:r="http://schemas.openxmlformats.org/officeDocument/2006/relationships" r:embed="rId298" cstate="print"/>
        <a:stretch>
          <a:fillRect/>
        </a:stretch>
      </xdr:blipFill>
      <xdr:spPr>
        <a:prstGeom prst="rect">
          <a:avLst/>
        </a:prstGeom>
        <a:noFill/>
      </xdr:spPr>
    </xdr:pic>
    <xdr:clientData fLocksWithSheet="0"/>
  </xdr:oneCellAnchor>
  <xdr:oneCellAnchor>
    <xdr:from>
      <xdr:col>1</xdr:col>
      <xdr:colOff>0</xdr:colOff>
      <xdr:row>300</xdr:row>
      <xdr:rowOff>0</xdr:rowOff>
    </xdr:from>
    <xdr:ext cx="428625" cy="428625"/>
    <xdr:pic>
      <xdr:nvPicPr>
        <xdr:cNvPr id="300" name="image882.png">
          <a:extLst>
            <a:ext uri="{FF2B5EF4-FFF2-40B4-BE49-F238E27FC236}">
              <a16:creationId xmlns:a16="http://schemas.microsoft.com/office/drawing/2014/main" id="{00000000-0008-0000-0300-00002C01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1</xdr:col>
      <xdr:colOff>0</xdr:colOff>
      <xdr:row>301</xdr:row>
      <xdr:rowOff>0</xdr:rowOff>
    </xdr:from>
    <xdr:ext cx="428625" cy="428625"/>
    <xdr:pic>
      <xdr:nvPicPr>
        <xdr:cNvPr id="301" name="image891.png">
          <a:extLst>
            <a:ext uri="{FF2B5EF4-FFF2-40B4-BE49-F238E27FC236}">
              <a16:creationId xmlns:a16="http://schemas.microsoft.com/office/drawing/2014/main" id="{00000000-0008-0000-0300-00002D01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1</xdr:col>
      <xdr:colOff>0</xdr:colOff>
      <xdr:row>302</xdr:row>
      <xdr:rowOff>0</xdr:rowOff>
    </xdr:from>
    <xdr:ext cx="428625" cy="428625"/>
    <xdr:pic>
      <xdr:nvPicPr>
        <xdr:cNvPr id="302" name="image931.png">
          <a:extLst>
            <a:ext uri="{FF2B5EF4-FFF2-40B4-BE49-F238E27FC236}">
              <a16:creationId xmlns:a16="http://schemas.microsoft.com/office/drawing/2014/main" id="{00000000-0008-0000-0300-00002E010000}"/>
            </a:ext>
          </a:extLst>
        </xdr:cNvPr>
        <xdr:cNvPicPr preferRelativeResize="0"/>
      </xdr:nvPicPr>
      <xdr:blipFill>
        <a:blip xmlns:r="http://schemas.openxmlformats.org/officeDocument/2006/relationships" r:embed="rId301" cstate="print"/>
        <a:stretch>
          <a:fillRect/>
        </a:stretch>
      </xdr:blipFill>
      <xdr:spPr>
        <a:prstGeom prst="rect">
          <a:avLst/>
        </a:prstGeom>
        <a:noFill/>
      </xdr:spPr>
    </xdr:pic>
    <xdr:clientData fLocksWithSheet="0"/>
  </xdr:oneCellAnchor>
  <xdr:oneCellAnchor>
    <xdr:from>
      <xdr:col>1</xdr:col>
      <xdr:colOff>0</xdr:colOff>
      <xdr:row>303</xdr:row>
      <xdr:rowOff>0</xdr:rowOff>
    </xdr:from>
    <xdr:ext cx="428625" cy="428625"/>
    <xdr:pic>
      <xdr:nvPicPr>
        <xdr:cNvPr id="303" name="image918.png">
          <a:extLst>
            <a:ext uri="{FF2B5EF4-FFF2-40B4-BE49-F238E27FC236}">
              <a16:creationId xmlns:a16="http://schemas.microsoft.com/office/drawing/2014/main" id="{00000000-0008-0000-0300-00002F01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1</xdr:col>
      <xdr:colOff>0</xdr:colOff>
      <xdr:row>304</xdr:row>
      <xdr:rowOff>0</xdr:rowOff>
    </xdr:from>
    <xdr:ext cx="428625" cy="428625"/>
    <xdr:pic>
      <xdr:nvPicPr>
        <xdr:cNvPr id="304" name="image906.png">
          <a:extLst>
            <a:ext uri="{FF2B5EF4-FFF2-40B4-BE49-F238E27FC236}">
              <a16:creationId xmlns:a16="http://schemas.microsoft.com/office/drawing/2014/main" id="{00000000-0008-0000-0300-00003001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1</xdr:col>
      <xdr:colOff>0</xdr:colOff>
      <xdr:row>305</xdr:row>
      <xdr:rowOff>0</xdr:rowOff>
    </xdr:from>
    <xdr:ext cx="428625" cy="428625"/>
    <xdr:pic>
      <xdr:nvPicPr>
        <xdr:cNvPr id="305" name="image889.png">
          <a:extLst>
            <a:ext uri="{FF2B5EF4-FFF2-40B4-BE49-F238E27FC236}">
              <a16:creationId xmlns:a16="http://schemas.microsoft.com/office/drawing/2014/main" id="{00000000-0008-0000-0300-00003101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1</xdr:col>
      <xdr:colOff>0</xdr:colOff>
      <xdr:row>306</xdr:row>
      <xdr:rowOff>0</xdr:rowOff>
    </xdr:from>
    <xdr:ext cx="428625" cy="428625"/>
    <xdr:pic>
      <xdr:nvPicPr>
        <xdr:cNvPr id="306" name="image887.png">
          <a:extLst>
            <a:ext uri="{FF2B5EF4-FFF2-40B4-BE49-F238E27FC236}">
              <a16:creationId xmlns:a16="http://schemas.microsoft.com/office/drawing/2014/main" id="{00000000-0008-0000-0300-00003201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1</xdr:col>
      <xdr:colOff>0</xdr:colOff>
      <xdr:row>307</xdr:row>
      <xdr:rowOff>0</xdr:rowOff>
    </xdr:from>
    <xdr:ext cx="428625" cy="428625"/>
    <xdr:pic>
      <xdr:nvPicPr>
        <xdr:cNvPr id="307" name="image914.png">
          <a:extLst>
            <a:ext uri="{FF2B5EF4-FFF2-40B4-BE49-F238E27FC236}">
              <a16:creationId xmlns:a16="http://schemas.microsoft.com/office/drawing/2014/main" id="{00000000-0008-0000-0300-000033010000}"/>
            </a:ext>
          </a:extLst>
        </xdr:cNvPr>
        <xdr:cNvPicPr preferRelativeResize="0"/>
      </xdr:nvPicPr>
      <xdr:blipFill>
        <a:blip xmlns:r="http://schemas.openxmlformats.org/officeDocument/2006/relationships" r:embed="rId306" cstate="print"/>
        <a:stretch>
          <a:fillRect/>
        </a:stretch>
      </xdr:blipFill>
      <xdr:spPr>
        <a:prstGeom prst="rect">
          <a:avLst/>
        </a:prstGeom>
        <a:noFill/>
      </xdr:spPr>
    </xdr:pic>
    <xdr:clientData fLocksWithSheet="0"/>
  </xdr:oneCellAnchor>
  <xdr:oneCellAnchor>
    <xdr:from>
      <xdr:col>1</xdr:col>
      <xdr:colOff>0</xdr:colOff>
      <xdr:row>308</xdr:row>
      <xdr:rowOff>0</xdr:rowOff>
    </xdr:from>
    <xdr:ext cx="428625" cy="428625"/>
    <xdr:pic>
      <xdr:nvPicPr>
        <xdr:cNvPr id="308" name="image929.png">
          <a:extLst>
            <a:ext uri="{FF2B5EF4-FFF2-40B4-BE49-F238E27FC236}">
              <a16:creationId xmlns:a16="http://schemas.microsoft.com/office/drawing/2014/main" id="{00000000-0008-0000-0300-000034010000}"/>
            </a:ext>
          </a:extLst>
        </xdr:cNvPr>
        <xdr:cNvPicPr preferRelativeResize="0"/>
      </xdr:nvPicPr>
      <xdr:blipFill>
        <a:blip xmlns:r="http://schemas.openxmlformats.org/officeDocument/2006/relationships" r:embed="rId307" cstate="print"/>
        <a:stretch>
          <a:fillRect/>
        </a:stretch>
      </xdr:blipFill>
      <xdr:spPr>
        <a:prstGeom prst="rect">
          <a:avLst/>
        </a:prstGeom>
        <a:noFill/>
      </xdr:spPr>
    </xdr:pic>
    <xdr:clientData fLocksWithSheet="0"/>
  </xdr:oneCellAnchor>
  <xdr:oneCellAnchor>
    <xdr:from>
      <xdr:col>1</xdr:col>
      <xdr:colOff>0</xdr:colOff>
      <xdr:row>309</xdr:row>
      <xdr:rowOff>0</xdr:rowOff>
    </xdr:from>
    <xdr:ext cx="428625" cy="428625"/>
    <xdr:pic>
      <xdr:nvPicPr>
        <xdr:cNvPr id="309" name="image916.png">
          <a:extLst>
            <a:ext uri="{FF2B5EF4-FFF2-40B4-BE49-F238E27FC236}">
              <a16:creationId xmlns:a16="http://schemas.microsoft.com/office/drawing/2014/main" id="{00000000-0008-0000-0300-00003501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1</xdr:col>
      <xdr:colOff>0</xdr:colOff>
      <xdr:row>310</xdr:row>
      <xdr:rowOff>0</xdr:rowOff>
    </xdr:from>
    <xdr:ext cx="428625" cy="428625"/>
    <xdr:pic>
      <xdr:nvPicPr>
        <xdr:cNvPr id="310" name="image912.png">
          <a:extLst>
            <a:ext uri="{FF2B5EF4-FFF2-40B4-BE49-F238E27FC236}">
              <a16:creationId xmlns:a16="http://schemas.microsoft.com/office/drawing/2014/main" id="{00000000-0008-0000-0300-00003601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1</xdr:col>
      <xdr:colOff>0</xdr:colOff>
      <xdr:row>311</xdr:row>
      <xdr:rowOff>0</xdr:rowOff>
    </xdr:from>
    <xdr:ext cx="428625" cy="428625"/>
    <xdr:pic>
      <xdr:nvPicPr>
        <xdr:cNvPr id="311" name="image901.png">
          <a:extLst>
            <a:ext uri="{FF2B5EF4-FFF2-40B4-BE49-F238E27FC236}">
              <a16:creationId xmlns:a16="http://schemas.microsoft.com/office/drawing/2014/main" id="{00000000-0008-0000-0300-00003701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1</xdr:col>
      <xdr:colOff>0</xdr:colOff>
      <xdr:row>312</xdr:row>
      <xdr:rowOff>0</xdr:rowOff>
    </xdr:from>
    <xdr:ext cx="428625" cy="428625"/>
    <xdr:pic>
      <xdr:nvPicPr>
        <xdr:cNvPr id="312" name="image898.png">
          <a:extLst>
            <a:ext uri="{FF2B5EF4-FFF2-40B4-BE49-F238E27FC236}">
              <a16:creationId xmlns:a16="http://schemas.microsoft.com/office/drawing/2014/main" id="{00000000-0008-0000-0300-000038010000}"/>
            </a:ext>
          </a:extLst>
        </xdr:cNvPr>
        <xdr:cNvPicPr preferRelativeResize="0"/>
      </xdr:nvPicPr>
      <xdr:blipFill>
        <a:blip xmlns:r="http://schemas.openxmlformats.org/officeDocument/2006/relationships" r:embed="rId311" cstate="print"/>
        <a:stretch>
          <a:fillRect/>
        </a:stretch>
      </xdr:blipFill>
      <xdr:spPr>
        <a:prstGeom prst="rect">
          <a:avLst/>
        </a:prstGeom>
        <a:noFill/>
      </xdr:spPr>
    </xdr:pic>
    <xdr:clientData fLocksWithSheet="0"/>
  </xdr:oneCellAnchor>
  <xdr:oneCellAnchor>
    <xdr:from>
      <xdr:col>1</xdr:col>
      <xdr:colOff>0</xdr:colOff>
      <xdr:row>313</xdr:row>
      <xdr:rowOff>0</xdr:rowOff>
    </xdr:from>
    <xdr:ext cx="428625" cy="428625"/>
    <xdr:pic>
      <xdr:nvPicPr>
        <xdr:cNvPr id="313" name="image894.png">
          <a:extLst>
            <a:ext uri="{FF2B5EF4-FFF2-40B4-BE49-F238E27FC236}">
              <a16:creationId xmlns:a16="http://schemas.microsoft.com/office/drawing/2014/main" id="{00000000-0008-0000-0300-00003901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1</xdr:col>
      <xdr:colOff>0</xdr:colOff>
      <xdr:row>314</xdr:row>
      <xdr:rowOff>0</xdr:rowOff>
    </xdr:from>
    <xdr:ext cx="428625" cy="428625"/>
    <xdr:pic>
      <xdr:nvPicPr>
        <xdr:cNvPr id="314" name="image902.png">
          <a:extLst>
            <a:ext uri="{FF2B5EF4-FFF2-40B4-BE49-F238E27FC236}">
              <a16:creationId xmlns:a16="http://schemas.microsoft.com/office/drawing/2014/main" id="{00000000-0008-0000-0300-00003A01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1</xdr:col>
      <xdr:colOff>0</xdr:colOff>
      <xdr:row>315</xdr:row>
      <xdr:rowOff>0</xdr:rowOff>
    </xdr:from>
    <xdr:ext cx="428625" cy="428625"/>
    <xdr:pic>
      <xdr:nvPicPr>
        <xdr:cNvPr id="315" name="image905.png">
          <a:extLst>
            <a:ext uri="{FF2B5EF4-FFF2-40B4-BE49-F238E27FC236}">
              <a16:creationId xmlns:a16="http://schemas.microsoft.com/office/drawing/2014/main" id="{00000000-0008-0000-0300-00003B01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1</xdr:col>
      <xdr:colOff>0</xdr:colOff>
      <xdr:row>316</xdr:row>
      <xdr:rowOff>0</xdr:rowOff>
    </xdr:from>
    <xdr:ext cx="428625" cy="428625"/>
    <xdr:pic>
      <xdr:nvPicPr>
        <xdr:cNvPr id="316" name="image907.png">
          <a:extLst>
            <a:ext uri="{FF2B5EF4-FFF2-40B4-BE49-F238E27FC236}">
              <a16:creationId xmlns:a16="http://schemas.microsoft.com/office/drawing/2014/main" id="{00000000-0008-0000-0300-00003C010000}"/>
            </a:ext>
          </a:extLst>
        </xdr:cNvPr>
        <xdr:cNvPicPr preferRelativeResize="0"/>
      </xdr:nvPicPr>
      <xdr:blipFill>
        <a:blip xmlns:r="http://schemas.openxmlformats.org/officeDocument/2006/relationships" r:embed="rId315" cstate="print"/>
        <a:stretch>
          <a:fillRect/>
        </a:stretch>
      </xdr:blipFill>
      <xdr:spPr>
        <a:prstGeom prst="rect">
          <a:avLst/>
        </a:prstGeom>
        <a:noFill/>
      </xdr:spPr>
    </xdr:pic>
    <xdr:clientData fLocksWithSheet="0"/>
  </xdr:oneCellAnchor>
  <xdr:oneCellAnchor>
    <xdr:from>
      <xdr:col>1</xdr:col>
      <xdr:colOff>0</xdr:colOff>
      <xdr:row>317</xdr:row>
      <xdr:rowOff>0</xdr:rowOff>
    </xdr:from>
    <xdr:ext cx="428625" cy="428625"/>
    <xdr:pic>
      <xdr:nvPicPr>
        <xdr:cNvPr id="317" name="image903.png">
          <a:extLst>
            <a:ext uri="{FF2B5EF4-FFF2-40B4-BE49-F238E27FC236}">
              <a16:creationId xmlns:a16="http://schemas.microsoft.com/office/drawing/2014/main" id="{00000000-0008-0000-0300-00003D010000}"/>
            </a:ext>
          </a:extLst>
        </xdr:cNvPr>
        <xdr:cNvPicPr preferRelativeResize="0"/>
      </xdr:nvPicPr>
      <xdr:blipFill>
        <a:blip xmlns:r="http://schemas.openxmlformats.org/officeDocument/2006/relationships" r:embed="rId316" cstate="print"/>
        <a:stretch>
          <a:fillRect/>
        </a:stretch>
      </xdr:blipFill>
      <xdr:spPr>
        <a:prstGeom prst="rect">
          <a:avLst/>
        </a:prstGeom>
        <a:noFill/>
      </xdr:spPr>
    </xdr:pic>
    <xdr:clientData fLocksWithSheet="0"/>
  </xdr:oneCellAnchor>
  <xdr:oneCellAnchor>
    <xdr:from>
      <xdr:col>1</xdr:col>
      <xdr:colOff>0</xdr:colOff>
      <xdr:row>318</xdr:row>
      <xdr:rowOff>0</xdr:rowOff>
    </xdr:from>
    <xdr:ext cx="428625" cy="428625"/>
    <xdr:pic>
      <xdr:nvPicPr>
        <xdr:cNvPr id="318" name="image910.png">
          <a:extLst>
            <a:ext uri="{FF2B5EF4-FFF2-40B4-BE49-F238E27FC236}">
              <a16:creationId xmlns:a16="http://schemas.microsoft.com/office/drawing/2014/main" id="{00000000-0008-0000-0300-00003E01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1</xdr:col>
      <xdr:colOff>0</xdr:colOff>
      <xdr:row>319</xdr:row>
      <xdr:rowOff>0</xdr:rowOff>
    </xdr:from>
    <xdr:ext cx="428625" cy="428625"/>
    <xdr:pic>
      <xdr:nvPicPr>
        <xdr:cNvPr id="319" name="image896.png">
          <a:extLst>
            <a:ext uri="{FF2B5EF4-FFF2-40B4-BE49-F238E27FC236}">
              <a16:creationId xmlns:a16="http://schemas.microsoft.com/office/drawing/2014/main" id="{00000000-0008-0000-0300-00003F01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1</xdr:col>
      <xdr:colOff>0</xdr:colOff>
      <xdr:row>320</xdr:row>
      <xdr:rowOff>0</xdr:rowOff>
    </xdr:from>
    <xdr:ext cx="428625" cy="428625"/>
    <xdr:pic>
      <xdr:nvPicPr>
        <xdr:cNvPr id="320" name="image904.png">
          <a:extLst>
            <a:ext uri="{FF2B5EF4-FFF2-40B4-BE49-F238E27FC236}">
              <a16:creationId xmlns:a16="http://schemas.microsoft.com/office/drawing/2014/main" id="{00000000-0008-0000-0300-000040010000}"/>
            </a:ext>
          </a:extLst>
        </xdr:cNvPr>
        <xdr:cNvPicPr preferRelativeResize="0"/>
      </xdr:nvPicPr>
      <xdr:blipFill>
        <a:blip xmlns:r="http://schemas.openxmlformats.org/officeDocument/2006/relationships" r:embed="rId319" cstate="print"/>
        <a:stretch>
          <a:fillRect/>
        </a:stretch>
      </xdr:blipFill>
      <xdr:spPr>
        <a:prstGeom prst="rect">
          <a:avLst/>
        </a:prstGeom>
        <a:noFill/>
      </xdr:spPr>
    </xdr:pic>
    <xdr:clientData fLocksWithSheet="0"/>
  </xdr:oneCellAnchor>
  <xdr:oneCellAnchor>
    <xdr:from>
      <xdr:col>1</xdr:col>
      <xdr:colOff>0</xdr:colOff>
      <xdr:row>321</xdr:row>
      <xdr:rowOff>0</xdr:rowOff>
    </xdr:from>
    <xdr:ext cx="428625" cy="428625"/>
    <xdr:pic>
      <xdr:nvPicPr>
        <xdr:cNvPr id="321" name="image926.png">
          <a:extLst>
            <a:ext uri="{FF2B5EF4-FFF2-40B4-BE49-F238E27FC236}">
              <a16:creationId xmlns:a16="http://schemas.microsoft.com/office/drawing/2014/main" id="{00000000-0008-0000-0300-00004101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1</xdr:col>
      <xdr:colOff>0</xdr:colOff>
      <xdr:row>322</xdr:row>
      <xdr:rowOff>0</xdr:rowOff>
    </xdr:from>
    <xdr:ext cx="428625" cy="428625"/>
    <xdr:pic>
      <xdr:nvPicPr>
        <xdr:cNvPr id="322" name="image908.png">
          <a:extLst>
            <a:ext uri="{FF2B5EF4-FFF2-40B4-BE49-F238E27FC236}">
              <a16:creationId xmlns:a16="http://schemas.microsoft.com/office/drawing/2014/main" id="{00000000-0008-0000-0300-000042010000}"/>
            </a:ext>
          </a:extLst>
        </xdr:cNvPr>
        <xdr:cNvPicPr preferRelativeResize="0"/>
      </xdr:nvPicPr>
      <xdr:blipFill>
        <a:blip xmlns:r="http://schemas.openxmlformats.org/officeDocument/2006/relationships" r:embed="rId321" cstate="print"/>
        <a:stretch>
          <a:fillRect/>
        </a:stretch>
      </xdr:blipFill>
      <xdr:spPr>
        <a:prstGeom prst="rect">
          <a:avLst/>
        </a:prstGeom>
        <a:noFill/>
      </xdr:spPr>
    </xdr:pic>
    <xdr:clientData fLocksWithSheet="0"/>
  </xdr:oneCellAnchor>
  <xdr:oneCellAnchor>
    <xdr:from>
      <xdr:col>1</xdr:col>
      <xdr:colOff>0</xdr:colOff>
      <xdr:row>323</xdr:row>
      <xdr:rowOff>0</xdr:rowOff>
    </xdr:from>
    <xdr:ext cx="428625" cy="428625"/>
    <xdr:pic>
      <xdr:nvPicPr>
        <xdr:cNvPr id="323" name="image911.png">
          <a:extLst>
            <a:ext uri="{FF2B5EF4-FFF2-40B4-BE49-F238E27FC236}">
              <a16:creationId xmlns:a16="http://schemas.microsoft.com/office/drawing/2014/main" id="{00000000-0008-0000-0300-000043010000}"/>
            </a:ext>
          </a:extLst>
        </xdr:cNvPr>
        <xdr:cNvPicPr preferRelativeResize="0"/>
      </xdr:nvPicPr>
      <xdr:blipFill>
        <a:blip xmlns:r="http://schemas.openxmlformats.org/officeDocument/2006/relationships" r:embed="rId322" cstate="print"/>
        <a:stretch>
          <a:fillRect/>
        </a:stretch>
      </xdr:blipFill>
      <xdr:spPr>
        <a:prstGeom prst="rect">
          <a:avLst/>
        </a:prstGeom>
        <a:noFill/>
      </xdr:spPr>
    </xdr:pic>
    <xdr:clientData fLocksWithSheet="0"/>
  </xdr:oneCellAnchor>
  <xdr:oneCellAnchor>
    <xdr:from>
      <xdr:col>1</xdr:col>
      <xdr:colOff>0</xdr:colOff>
      <xdr:row>324</xdr:row>
      <xdr:rowOff>0</xdr:rowOff>
    </xdr:from>
    <xdr:ext cx="428625" cy="428625"/>
    <xdr:pic>
      <xdr:nvPicPr>
        <xdr:cNvPr id="324" name="image913.png">
          <a:extLst>
            <a:ext uri="{FF2B5EF4-FFF2-40B4-BE49-F238E27FC236}">
              <a16:creationId xmlns:a16="http://schemas.microsoft.com/office/drawing/2014/main" id="{00000000-0008-0000-0300-000044010000}"/>
            </a:ext>
          </a:extLst>
        </xdr:cNvPr>
        <xdr:cNvPicPr preferRelativeResize="0"/>
      </xdr:nvPicPr>
      <xdr:blipFill>
        <a:blip xmlns:r="http://schemas.openxmlformats.org/officeDocument/2006/relationships" r:embed="rId323" cstate="print"/>
        <a:stretch>
          <a:fillRect/>
        </a:stretch>
      </xdr:blipFill>
      <xdr:spPr>
        <a:prstGeom prst="rect">
          <a:avLst/>
        </a:prstGeom>
        <a:noFill/>
      </xdr:spPr>
    </xdr:pic>
    <xdr:clientData fLocksWithSheet="0"/>
  </xdr:oneCellAnchor>
  <xdr:oneCellAnchor>
    <xdr:from>
      <xdr:col>1</xdr:col>
      <xdr:colOff>0</xdr:colOff>
      <xdr:row>325</xdr:row>
      <xdr:rowOff>0</xdr:rowOff>
    </xdr:from>
    <xdr:ext cx="428625" cy="428625"/>
    <xdr:pic>
      <xdr:nvPicPr>
        <xdr:cNvPr id="325" name="image922.png">
          <a:extLst>
            <a:ext uri="{FF2B5EF4-FFF2-40B4-BE49-F238E27FC236}">
              <a16:creationId xmlns:a16="http://schemas.microsoft.com/office/drawing/2014/main" id="{00000000-0008-0000-0300-00004501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1</xdr:col>
      <xdr:colOff>0</xdr:colOff>
      <xdr:row>326</xdr:row>
      <xdr:rowOff>0</xdr:rowOff>
    </xdr:from>
    <xdr:ext cx="428625" cy="428625"/>
    <xdr:pic>
      <xdr:nvPicPr>
        <xdr:cNvPr id="326" name="image920.png">
          <a:extLst>
            <a:ext uri="{FF2B5EF4-FFF2-40B4-BE49-F238E27FC236}">
              <a16:creationId xmlns:a16="http://schemas.microsoft.com/office/drawing/2014/main" id="{00000000-0008-0000-0300-00004601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1</xdr:col>
      <xdr:colOff>0</xdr:colOff>
      <xdr:row>327</xdr:row>
      <xdr:rowOff>0</xdr:rowOff>
    </xdr:from>
    <xdr:ext cx="428625" cy="428625"/>
    <xdr:pic>
      <xdr:nvPicPr>
        <xdr:cNvPr id="327" name="image925.png">
          <a:extLst>
            <a:ext uri="{FF2B5EF4-FFF2-40B4-BE49-F238E27FC236}">
              <a16:creationId xmlns:a16="http://schemas.microsoft.com/office/drawing/2014/main" id="{00000000-0008-0000-0300-00004701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1</xdr:col>
      <xdr:colOff>0</xdr:colOff>
      <xdr:row>328</xdr:row>
      <xdr:rowOff>0</xdr:rowOff>
    </xdr:from>
    <xdr:ext cx="428625" cy="428625"/>
    <xdr:pic>
      <xdr:nvPicPr>
        <xdr:cNvPr id="328" name="image919.png">
          <a:extLst>
            <a:ext uri="{FF2B5EF4-FFF2-40B4-BE49-F238E27FC236}">
              <a16:creationId xmlns:a16="http://schemas.microsoft.com/office/drawing/2014/main" id="{00000000-0008-0000-0300-00004801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1</xdr:col>
      <xdr:colOff>0</xdr:colOff>
      <xdr:row>329</xdr:row>
      <xdr:rowOff>0</xdr:rowOff>
    </xdr:from>
    <xdr:ext cx="428625" cy="428625"/>
    <xdr:pic>
      <xdr:nvPicPr>
        <xdr:cNvPr id="329" name="image909.png">
          <a:extLst>
            <a:ext uri="{FF2B5EF4-FFF2-40B4-BE49-F238E27FC236}">
              <a16:creationId xmlns:a16="http://schemas.microsoft.com/office/drawing/2014/main" id="{00000000-0008-0000-0300-000049010000}"/>
            </a:ext>
          </a:extLst>
        </xdr:cNvPr>
        <xdr:cNvPicPr preferRelativeResize="0"/>
      </xdr:nvPicPr>
      <xdr:blipFill>
        <a:blip xmlns:r="http://schemas.openxmlformats.org/officeDocument/2006/relationships" r:embed="rId328" cstate="print"/>
        <a:stretch>
          <a:fillRect/>
        </a:stretch>
      </xdr:blipFill>
      <xdr:spPr>
        <a:prstGeom prst="rect">
          <a:avLst/>
        </a:prstGeom>
        <a:noFill/>
      </xdr:spPr>
    </xdr:pic>
    <xdr:clientData fLocksWithSheet="0"/>
  </xdr:oneCellAnchor>
  <xdr:oneCellAnchor>
    <xdr:from>
      <xdr:col>1</xdr:col>
      <xdr:colOff>0</xdr:colOff>
      <xdr:row>330</xdr:row>
      <xdr:rowOff>0</xdr:rowOff>
    </xdr:from>
    <xdr:ext cx="428625" cy="428625"/>
    <xdr:pic>
      <xdr:nvPicPr>
        <xdr:cNvPr id="330" name="image923.png">
          <a:extLst>
            <a:ext uri="{FF2B5EF4-FFF2-40B4-BE49-F238E27FC236}">
              <a16:creationId xmlns:a16="http://schemas.microsoft.com/office/drawing/2014/main" id="{00000000-0008-0000-0300-00004A01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1</xdr:col>
      <xdr:colOff>0</xdr:colOff>
      <xdr:row>331</xdr:row>
      <xdr:rowOff>0</xdr:rowOff>
    </xdr:from>
    <xdr:ext cx="428625" cy="428625"/>
    <xdr:pic>
      <xdr:nvPicPr>
        <xdr:cNvPr id="331" name="image917.png">
          <a:extLst>
            <a:ext uri="{FF2B5EF4-FFF2-40B4-BE49-F238E27FC236}">
              <a16:creationId xmlns:a16="http://schemas.microsoft.com/office/drawing/2014/main" id="{00000000-0008-0000-0300-00004B010000}"/>
            </a:ext>
          </a:extLst>
        </xdr:cNvPr>
        <xdr:cNvPicPr preferRelativeResize="0"/>
      </xdr:nvPicPr>
      <xdr:blipFill>
        <a:blip xmlns:r="http://schemas.openxmlformats.org/officeDocument/2006/relationships" r:embed="rId330" cstate="print"/>
        <a:stretch>
          <a:fillRect/>
        </a:stretch>
      </xdr:blipFill>
      <xdr:spPr>
        <a:prstGeom prst="rect">
          <a:avLst/>
        </a:prstGeom>
        <a:noFill/>
      </xdr:spPr>
    </xdr:pic>
    <xdr:clientData fLocksWithSheet="0"/>
  </xdr:oneCellAnchor>
  <xdr:oneCellAnchor>
    <xdr:from>
      <xdr:col>1</xdr:col>
      <xdr:colOff>0</xdr:colOff>
      <xdr:row>332</xdr:row>
      <xdr:rowOff>0</xdr:rowOff>
    </xdr:from>
    <xdr:ext cx="428625" cy="428625"/>
    <xdr:pic>
      <xdr:nvPicPr>
        <xdr:cNvPr id="332" name="image944.png">
          <a:extLst>
            <a:ext uri="{FF2B5EF4-FFF2-40B4-BE49-F238E27FC236}">
              <a16:creationId xmlns:a16="http://schemas.microsoft.com/office/drawing/2014/main" id="{00000000-0008-0000-0300-00004C01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1</xdr:col>
      <xdr:colOff>0</xdr:colOff>
      <xdr:row>333</xdr:row>
      <xdr:rowOff>0</xdr:rowOff>
    </xdr:from>
    <xdr:ext cx="428625" cy="428625"/>
    <xdr:pic>
      <xdr:nvPicPr>
        <xdr:cNvPr id="333" name="image915.png">
          <a:extLst>
            <a:ext uri="{FF2B5EF4-FFF2-40B4-BE49-F238E27FC236}">
              <a16:creationId xmlns:a16="http://schemas.microsoft.com/office/drawing/2014/main" id="{00000000-0008-0000-0300-00004D01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1</xdr:col>
      <xdr:colOff>0</xdr:colOff>
      <xdr:row>334</xdr:row>
      <xdr:rowOff>0</xdr:rowOff>
    </xdr:from>
    <xdr:ext cx="428625" cy="428625"/>
    <xdr:pic>
      <xdr:nvPicPr>
        <xdr:cNvPr id="334" name="image928.png">
          <a:extLst>
            <a:ext uri="{FF2B5EF4-FFF2-40B4-BE49-F238E27FC236}">
              <a16:creationId xmlns:a16="http://schemas.microsoft.com/office/drawing/2014/main" id="{00000000-0008-0000-0300-00004E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1</xdr:col>
      <xdr:colOff>0</xdr:colOff>
      <xdr:row>335</xdr:row>
      <xdr:rowOff>0</xdr:rowOff>
    </xdr:from>
    <xdr:ext cx="428625" cy="428625"/>
    <xdr:pic>
      <xdr:nvPicPr>
        <xdr:cNvPr id="335" name="image927.png">
          <a:extLst>
            <a:ext uri="{FF2B5EF4-FFF2-40B4-BE49-F238E27FC236}">
              <a16:creationId xmlns:a16="http://schemas.microsoft.com/office/drawing/2014/main" id="{00000000-0008-0000-0300-00004F01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1</xdr:col>
      <xdr:colOff>0</xdr:colOff>
      <xdr:row>336</xdr:row>
      <xdr:rowOff>0</xdr:rowOff>
    </xdr:from>
    <xdr:ext cx="428625" cy="428625"/>
    <xdr:pic>
      <xdr:nvPicPr>
        <xdr:cNvPr id="336" name="image943.png">
          <a:extLst>
            <a:ext uri="{FF2B5EF4-FFF2-40B4-BE49-F238E27FC236}">
              <a16:creationId xmlns:a16="http://schemas.microsoft.com/office/drawing/2014/main" id="{00000000-0008-0000-0300-00005001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1</xdr:col>
      <xdr:colOff>0</xdr:colOff>
      <xdr:row>337</xdr:row>
      <xdr:rowOff>0</xdr:rowOff>
    </xdr:from>
    <xdr:ext cx="428625" cy="428625"/>
    <xdr:pic>
      <xdr:nvPicPr>
        <xdr:cNvPr id="337" name="image924.png">
          <a:extLst>
            <a:ext uri="{FF2B5EF4-FFF2-40B4-BE49-F238E27FC236}">
              <a16:creationId xmlns:a16="http://schemas.microsoft.com/office/drawing/2014/main" id="{00000000-0008-0000-0300-000051010000}"/>
            </a:ext>
          </a:extLst>
        </xdr:cNvPr>
        <xdr:cNvPicPr preferRelativeResize="0"/>
      </xdr:nvPicPr>
      <xdr:blipFill>
        <a:blip xmlns:r="http://schemas.openxmlformats.org/officeDocument/2006/relationships" r:embed="rId336" cstate="print"/>
        <a:stretch>
          <a:fillRect/>
        </a:stretch>
      </xdr:blipFill>
      <xdr:spPr>
        <a:prstGeom prst="rect">
          <a:avLst/>
        </a:prstGeom>
        <a:noFill/>
      </xdr:spPr>
    </xdr:pic>
    <xdr:clientData fLocksWithSheet="0"/>
  </xdr:oneCellAnchor>
  <xdr:oneCellAnchor>
    <xdr:from>
      <xdr:col>1</xdr:col>
      <xdr:colOff>0</xdr:colOff>
      <xdr:row>338</xdr:row>
      <xdr:rowOff>0</xdr:rowOff>
    </xdr:from>
    <xdr:ext cx="428625" cy="428625"/>
    <xdr:pic>
      <xdr:nvPicPr>
        <xdr:cNvPr id="338" name="image935.png">
          <a:extLst>
            <a:ext uri="{FF2B5EF4-FFF2-40B4-BE49-F238E27FC236}">
              <a16:creationId xmlns:a16="http://schemas.microsoft.com/office/drawing/2014/main" id="{00000000-0008-0000-0300-00005201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1</xdr:col>
      <xdr:colOff>0</xdr:colOff>
      <xdr:row>339</xdr:row>
      <xdr:rowOff>0</xdr:rowOff>
    </xdr:from>
    <xdr:ext cx="428625" cy="428625"/>
    <xdr:pic>
      <xdr:nvPicPr>
        <xdr:cNvPr id="339" name="image921.png">
          <a:extLst>
            <a:ext uri="{FF2B5EF4-FFF2-40B4-BE49-F238E27FC236}">
              <a16:creationId xmlns:a16="http://schemas.microsoft.com/office/drawing/2014/main" id="{00000000-0008-0000-0300-000053010000}"/>
            </a:ext>
          </a:extLst>
        </xdr:cNvPr>
        <xdr:cNvPicPr preferRelativeResize="0"/>
      </xdr:nvPicPr>
      <xdr:blipFill>
        <a:blip xmlns:r="http://schemas.openxmlformats.org/officeDocument/2006/relationships" r:embed="rId338" cstate="print"/>
        <a:stretch>
          <a:fillRect/>
        </a:stretch>
      </xdr:blipFill>
      <xdr:spPr>
        <a:prstGeom prst="rect">
          <a:avLst/>
        </a:prstGeom>
        <a:noFill/>
      </xdr:spPr>
    </xdr:pic>
    <xdr:clientData fLocksWithSheet="0"/>
  </xdr:oneCellAnchor>
  <xdr:oneCellAnchor>
    <xdr:from>
      <xdr:col>1</xdr:col>
      <xdr:colOff>0</xdr:colOff>
      <xdr:row>340</xdr:row>
      <xdr:rowOff>0</xdr:rowOff>
    </xdr:from>
    <xdr:ext cx="428625" cy="428625"/>
    <xdr:pic>
      <xdr:nvPicPr>
        <xdr:cNvPr id="340" name="image938.png">
          <a:extLst>
            <a:ext uri="{FF2B5EF4-FFF2-40B4-BE49-F238E27FC236}">
              <a16:creationId xmlns:a16="http://schemas.microsoft.com/office/drawing/2014/main" id="{00000000-0008-0000-0300-000054010000}"/>
            </a:ext>
          </a:extLst>
        </xdr:cNvPr>
        <xdr:cNvPicPr preferRelativeResize="0"/>
      </xdr:nvPicPr>
      <xdr:blipFill>
        <a:blip xmlns:r="http://schemas.openxmlformats.org/officeDocument/2006/relationships" r:embed="rId339" cstate="print"/>
        <a:stretch>
          <a:fillRect/>
        </a:stretch>
      </xdr:blipFill>
      <xdr:spPr>
        <a:prstGeom prst="rect">
          <a:avLst/>
        </a:prstGeom>
        <a:noFill/>
      </xdr:spPr>
    </xdr:pic>
    <xdr:clientData fLocksWithSheet="0"/>
  </xdr:oneCellAnchor>
  <xdr:oneCellAnchor>
    <xdr:from>
      <xdr:col>1</xdr:col>
      <xdr:colOff>0</xdr:colOff>
      <xdr:row>341</xdr:row>
      <xdr:rowOff>0</xdr:rowOff>
    </xdr:from>
    <xdr:ext cx="428625" cy="428625"/>
    <xdr:pic>
      <xdr:nvPicPr>
        <xdr:cNvPr id="341" name="image930.png">
          <a:extLst>
            <a:ext uri="{FF2B5EF4-FFF2-40B4-BE49-F238E27FC236}">
              <a16:creationId xmlns:a16="http://schemas.microsoft.com/office/drawing/2014/main" id="{00000000-0008-0000-0300-000055010000}"/>
            </a:ext>
          </a:extLst>
        </xdr:cNvPr>
        <xdr:cNvPicPr preferRelativeResize="0"/>
      </xdr:nvPicPr>
      <xdr:blipFill>
        <a:blip xmlns:r="http://schemas.openxmlformats.org/officeDocument/2006/relationships" r:embed="rId340" cstate="print"/>
        <a:stretch>
          <a:fillRect/>
        </a:stretch>
      </xdr:blipFill>
      <xdr:spPr>
        <a:prstGeom prst="rect">
          <a:avLst/>
        </a:prstGeom>
        <a:noFill/>
      </xdr:spPr>
    </xdr:pic>
    <xdr:clientData fLocksWithSheet="0"/>
  </xdr:oneCellAnchor>
  <xdr:oneCellAnchor>
    <xdr:from>
      <xdr:col>1</xdr:col>
      <xdr:colOff>0</xdr:colOff>
      <xdr:row>342</xdr:row>
      <xdr:rowOff>0</xdr:rowOff>
    </xdr:from>
    <xdr:ext cx="428625" cy="428625"/>
    <xdr:pic>
      <xdr:nvPicPr>
        <xdr:cNvPr id="342" name="image932.png">
          <a:extLst>
            <a:ext uri="{FF2B5EF4-FFF2-40B4-BE49-F238E27FC236}">
              <a16:creationId xmlns:a16="http://schemas.microsoft.com/office/drawing/2014/main" id="{00000000-0008-0000-0300-00005601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1</xdr:col>
      <xdr:colOff>0</xdr:colOff>
      <xdr:row>343</xdr:row>
      <xdr:rowOff>0</xdr:rowOff>
    </xdr:from>
    <xdr:ext cx="428625" cy="428625"/>
    <xdr:pic>
      <xdr:nvPicPr>
        <xdr:cNvPr id="343" name="image940.png">
          <a:extLst>
            <a:ext uri="{FF2B5EF4-FFF2-40B4-BE49-F238E27FC236}">
              <a16:creationId xmlns:a16="http://schemas.microsoft.com/office/drawing/2014/main" id="{00000000-0008-0000-0300-00005701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1</xdr:col>
      <xdr:colOff>0</xdr:colOff>
      <xdr:row>344</xdr:row>
      <xdr:rowOff>0</xdr:rowOff>
    </xdr:from>
    <xdr:ext cx="428625" cy="428625"/>
    <xdr:pic>
      <xdr:nvPicPr>
        <xdr:cNvPr id="344" name="image934.png">
          <a:extLst>
            <a:ext uri="{FF2B5EF4-FFF2-40B4-BE49-F238E27FC236}">
              <a16:creationId xmlns:a16="http://schemas.microsoft.com/office/drawing/2014/main" id="{00000000-0008-0000-0300-00005801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1</xdr:col>
      <xdr:colOff>0</xdr:colOff>
      <xdr:row>345</xdr:row>
      <xdr:rowOff>0</xdr:rowOff>
    </xdr:from>
    <xdr:ext cx="419100" cy="419100"/>
    <xdr:pic>
      <xdr:nvPicPr>
        <xdr:cNvPr id="345" name="image939.png">
          <a:extLst>
            <a:ext uri="{FF2B5EF4-FFF2-40B4-BE49-F238E27FC236}">
              <a16:creationId xmlns:a16="http://schemas.microsoft.com/office/drawing/2014/main" id="{00000000-0008-0000-0300-00005901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1</xdr:col>
      <xdr:colOff>0</xdr:colOff>
      <xdr:row>346</xdr:row>
      <xdr:rowOff>0</xdr:rowOff>
    </xdr:from>
    <xdr:ext cx="428625" cy="428625"/>
    <xdr:pic>
      <xdr:nvPicPr>
        <xdr:cNvPr id="346" name="image936.png">
          <a:extLst>
            <a:ext uri="{FF2B5EF4-FFF2-40B4-BE49-F238E27FC236}">
              <a16:creationId xmlns:a16="http://schemas.microsoft.com/office/drawing/2014/main" id="{00000000-0008-0000-0300-00005A01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1</xdr:col>
      <xdr:colOff>0</xdr:colOff>
      <xdr:row>347</xdr:row>
      <xdr:rowOff>0</xdr:rowOff>
    </xdr:from>
    <xdr:ext cx="419100" cy="419100"/>
    <xdr:pic>
      <xdr:nvPicPr>
        <xdr:cNvPr id="347" name="image933.png">
          <a:extLst>
            <a:ext uri="{FF2B5EF4-FFF2-40B4-BE49-F238E27FC236}">
              <a16:creationId xmlns:a16="http://schemas.microsoft.com/office/drawing/2014/main" id="{00000000-0008-0000-0300-00005B01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1</xdr:col>
      <xdr:colOff>0</xdr:colOff>
      <xdr:row>348</xdr:row>
      <xdr:rowOff>0</xdr:rowOff>
    </xdr:from>
    <xdr:ext cx="419100" cy="419100"/>
    <xdr:pic>
      <xdr:nvPicPr>
        <xdr:cNvPr id="348" name="image951.png">
          <a:extLst>
            <a:ext uri="{FF2B5EF4-FFF2-40B4-BE49-F238E27FC236}">
              <a16:creationId xmlns:a16="http://schemas.microsoft.com/office/drawing/2014/main" id="{00000000-0008-0000-0300-00005C01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1</xdr:col>
      <xdr:colOff>0</xdr:colOff>
      <xdr:row>349</xdr:row>
      <xdr:rowOff>0</xdr:rowOff>
    </xdr:from>
    <xdr:ext cx="428625" cy="428625"/>
    <xdr:pic>
      <xdr:nvPicPr>
        <xdr:cNvPr id="349" name="image937.png">
          <a:extLst>
            <a:ext uri="{FF2B5EF4-FFF2-40B4-BE49-F238E27FC236}">
              <a16:creationId xmlns:a16="http://schemas.microsoft.com/office/drawing/2014/main" id="{00000000-0008-0000-0300-00005D01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1</xdr:col>
      <xdr:colOff>0</xdr:colOff>
      <xdr:row>350</xdr:row>
      <xdr:rowOff>0</xdr:rowOff>
    </xdr:from>
    <xdr:ext cx="419100" cy="419100"/>
    <xdr:pic>
      <xdr:nvPicPr>
        <xdr:cNvPr id="350" name="image958.png">
          <a:extLst>
            <a:ext uri="{FF2B5EF4-FFF2-40B4-BE49-F238E27FC236}">
              <a16:creationId xmlns:a16="http://schemas.microsoft.com/office/drawing/2014/main" id="{00000000-0008-0000-0300-00005E01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oneCellAnchor>
    <xdr:from>
      <xdr:col>1</xdr:col>
      <xdr:colOff>0</xdr:colOff>
      <xdr:row>351</xdr:row>
      <xdr:rowOff>0</xdr:rowOff>
    </xdr:from>
    <xdr:ext cx="419100" cy="419100"/>
    <xdr:pic>
      <xdr:nvPicPr>
        <xdr:cNvPr id="351" name="image941.png">
          <a:extLst>
            <a:ext uri="{FF2B5EF4-FFF2-40B4-BE49-F238E27FC236}">
              <a16:creationId xmlns:a16="http://schemas.microsoft.com/office/drawing/2014/main" id="{00000000-0008-0000-0300-00005F010000}"/>
            </a:ext>
          </a:extLst>
        </xdr:cNvPr>
        <xdr:cNvPicPr preferRelativeResize="0"/>
      </xdr:nvPicPr>
      <xdr:blipFill>
        <a:blip xmlns:r="http://schemas.openxmlformats.org/officeDocument/2006/relationships" r:embed="rId350" cstate="print"/>
        <a:stretch>
          <a:fillRect/>
        </a:stretch>
      </xdr:blipFill>
      <xdr:spPr>
        <a:prstGeom prst="rect">
          <a:avLst/>
        </a:prstGeom>
        <a:noFill/>
      </xdr:spPr>
    </xdr:pic>
    <xdr:clientData fLocksWithSheet="0"/>
  </xdr:oneCellAnchor>
  <xdr:oneCellAnchor>
    <xdr:from>
      <xdr:col>1</xdr:col>
      <xdr:colOff>0</xdr:colOff>
      <xdr:row>352</xdr:row>
      <xdr:rowOff>0</xdr:rowOff>
    </xdr:from>
    <xdr:ext cx="419100" cy="419100"/>
    <xdr:pic>
      <xdr:nvPicPr>
        <xdr:cNvPr id="352" name="image960.png">
          <a:extLst>
            <a:ext uri="{FF2B5EF4-FFF2-40B4-BE49-F238E27FC236}">
              <a16:creationId xmlns:a16="http://schemas.microsoft.com/office/drawing/2014/main" id="{00000000-0008-0000-0300-000060010000}"/>
            </a:ext>
          </a:extLst>
        </xdr:cNvPr>
        <xdr:cNvPicPr preferRelativeResize="0"/>
      </xdr:nvPicPr>
      <xdr:blipFill>
        <a:blip xmlns:r="http://schemas.openxmlformats.org/officeDocument/2006/relationships" r:embed="rId351" cstate="print"/>
        <a:stretch>
          <a:fillRect/>
        </a:stretch>
      </xdr:blipFill>
      <xdr:spPr>
        <a:prstGeom prst="rect">
          <a:avLst/>
        </a:prstGeom>
        <a:noFill/>
      </xdr:spPr>
    </xdr:pic>
    <xdr:clientData fLocksWithSheet="0"/>
  </xdr:oneCellAnchor>
  <xdr:oneCellAnchor>
    <xdr:from>
      <xdr:col>1</xdr:col>
      <xdr:colOff>0</xdr:colOff>
      <xdr:row>353</xdr:row>
      <xdr:rowOff>0</xdr:rowOff>
    </xdr:from>
    <xdr:ext cx="419100" cy="419100"/>
    <xdr:pic>
      <xdr:nvPicPr>
        <xdr:cNvPr id="353" name="image942.png">
          <a:extLst>
            <a:ext uri="{FF2B5EF4-FFF2-40B4-BE49-F238E27FC236}">
              <a16:creationId xmlns:a16="http://schemas.microsoft.com/office/drawing/2014/main" id="{00000000-0008-0000-0300-00006101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xdr:col>
      <xdr:colOff>0</xdr:colOff>
      <xdr:row>354</xdr:row>
      <xdr:rowOff>0</xdr:rowOff>
    </xdr:from>
    <xdr:ext cx="428625" cy="428625"/>
    <xdr:pic>
      <xdr:nvPicPr>
        <xdr:cNvPr id="354" name="image961.png">
          <a:extLst>
            <a:ext uri="{FF2B5EF4-FFF2-40B4-BE49-F238E27FC236}">
              <a16:creationId xmlns:a16="http://schemas.microsoft.com/office/drawing/2014/main" id="{00000000-0008-0000-0300-00006201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1</xdr:col>
      <xdr:colOff>0</xdr:colOff>
      <xdr:row>355</xdr:row>
      <xdr:rowOff>0</xdr:rowOff>
    </xdr:from>
    <xdr:ext cx="428625" cy="428625"/>
    <xdr:pic>
      <xdr:nvPicPr>
        <xdr:cNvPr id="355" name="image957.png">
          <a:extLst>
            <a:ext uri="{FF2B5EF4-FFF2-40B4-BE49-F238E27FC236}">
              <a16:creationId xmlns:a16="http://schemas.microsoft.com/office/drawing/2014/main" id="{00000000-0008-0000-0300-000063010000}"/>
            </a:ext>
          </a:extLst>
        </xdr:cNvPr>
        <xdr:cNvPicPr preferRelativeResize="0"/>
      </xdr:nvPicPr>
      <xdr:blipFill>
        <a:blip xmlns:r="http://schemas.openxmlformats.org/officeDocument/2006/relationships" r:embed="rId353" cstate="print"/>
        <a:stretch>
          <a:fillRect/>
        </a:stretch>
      </xdr:blipFill>
      <xdr:spPr>
        <a:prstGeom prst="rect">
          <a:avLst/>
        </a:prstGeom>
        <a:noFill/>
      </xdr:spPr>
    </xdr:pic>
    <xdr:clientData fLocksWithSheet="0"/>
  </xdr:oneCellAnchor>
  <xdr:oneCellAnchor>
    <xdr:from>
      <xdr:col>1</xdr:col>
      <xdr:colOff>0</xdr:colOff>
      <xdr:row>358</xdr:row>
      <xdr:rowOff>0</xdr:rowOff>
    </xdr:from>
    <xdr:ext cx="428625" cy="428625"/>
    <xdr:pic>
      <xdr:nvPicPr>
        <xdr:cNvPr id="356" name="image948.png">
          <a:extLst>
            <a:ext uri="{FF2B5EF4-FFF2-40B4-BE49-F238E27FC236}">
              <a16:creationId xmlns:a16="http://schemas.microsoft.com/office/drawing/2014/main" id="{00000000-0008-0000-0300-000064010000}"/>
            </a:ext>
          </a:extLst>
        </xdr:cNvPr>
        <xdr:cNvPicPr preferRelativeResize="0"/>
      </xdr:nvPicPr>
      <xdr:blipFill>
        <a:blip xmlns:r="http://schemas.openxmlformats.org/officeDocument/2006/relationships" r:embed="rId35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0</xdr:colOff>
      <xdr:row>1</xdr:row>
      <xdr:rowOff>0</xdr:rowOff>
    </xdr:from>
    <xdr:ext cx="400050" cy="400050"/>
    <xdr:pic>
      <xdr:nvPicPr>
        <xdr:cNvPr id="2" name="image1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xdr:row>
      <xdr:rowOff>0</xdr:rowOff>
    </xdr:from>
    <xdr:ext cx="390525" cy="409575"/>
    <xdr:pic>
      <xdr:nvPicPr>
        <xdr:cNvPr id="3" name="image16.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0</xdr:colOff>
      <xdr:row>1</xdr:row>
      <xdr:rowOff>0</xdr:rowOff>
    </xdr:from>
    <xdr:ext cx="400050" cy="400050"/>
    <xdr:pic>
      <xdr:nvPicPr>
        <xdr:cNvPr id="4" name="image27.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1</xdr:row>
      <xdr:rowOff>0</xdr:rowOff>
    </xdr:from>
    <xdr:ext cx="400050" cy="390525"/>
    <xdr:pic>
      <xdr:nvPicPr>
        <xdr:cNvPr id="5" name="image74.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0</xdr:colOff>
      <xdr:row>1</xdr:row>
      <xdr:rowOff>0</xdr:rowOff>
    </xdr:from>
    <xdr:ext cx="400050" cy="400050"/>
    <xdr:pic>
      <xdr:nvPicPr>
        <xdr:cNvPr id="6" name="image963.pn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0</xdr:colOff>
      <xdr:row>1</xdr:row>
      <xdr:rowOff>0</xdr:rowOff>
    </xdr:from>
    <xdr:ext cx="400050" cy="400050"/>
    <xdr:pic>
      <xdr:nvPicPr>
        <xdr:cNvPr id="7" name="image23.pn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0</xdr:colOff>
      <xdr:row>1</xdr:row>
      <xdr:rowOff>0</xdr:rowOff>
    </xdr:from>
    <xdr:ext cx="400050" cy="400050"/>
    <xdr:pic>
      <xdr:nvPicPr>
        <xdr:cNvPr id="8" name="image947.pn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0</xdr:colOff>
      <xdr:row>1</xdr:row>
      <xdr:rowOff>0</xdr:rowOff>
    </xdr:from>
    <xdr:ext cx="400050" cy="400050"/>
    <xdr:pic>
      <xdr:nvPicPr>
        <xdr:cNvPr id="9" name="image954.png">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10</xdr:col>
      <xdr:colOff>0</xdr:colOff>
      <xdr:row>1</xdr:row>
      <xdr:rowOff>0</xdr:rowOff>
    </xdr:from>
    <xdr:ext cx="400050" cy="400050"/>
    <xdr:pic>
      <xdr:nvPicPr>
        <xdr:cNvPr id="10" name="image130.png">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0</xdr:colOff>
      <xdr:row>1</xdr:row>
      <xdr:rowOff>0</xdr:rowOff>
    </xdr:from>
    <xdr:ext cx="400050" cy="400050"/>
    <xdr:pic>
      <xdr:nvPicPr>
        <xdr:cNvPr id="11" name="image303.png">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12</xdr:col>
      <xdr:colOff>0</xdr:colOff>
      <xdr:row>1</xdr:row>
      <xdr:rowOff>0</xdr:rowOff>
    </xdr:from>
    <xdr:ext cx="400050" cy="400050"/>
    <xdr:pic>
      <xdr:nvPicPr>
        <xdr:cNvPr id="12" name="image153.pn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13</xdr:col>
      <xdr:colOff>0</xdr:colOff>
      <xdr:row>1</xdr:row>
      <xdr:rowOff>0</xdr:rowOff>
    </xdr:from>
    <xdr:ext cx="400050" cy="400050"/>
    <xdr:pic>
      <xdr:nvPicPr>
        <xdr:cNvPr id="13" name="image164.png">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14</xdr:col>
      <xdr:colOff>0</xdr:colOff>
      <xdr:row>1</xdr:row>
      <xdr:rowOff>0</xdr:rowOff>
    </xdr:from>
    <xdr:ext cx="400050" cy="400050"/>
    <xdr:pic>
      <xdr:nvPicPr>
        <xdr:cNvPr id="14" name="image191.png">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15</xdr:col>
      <xdr:colOff>0</xdr:colOff>
      <xdr:row>1</xdr:row>
      <xdr:rowOff>0</xdr:rowOff>
    </xdr:from>
    <xdr:ext cx="400050" cy="400050"/>
    <xdr:pic>
      <xdr:nvPicPr>
        <xdr:cNvPr id="15" name="image163.png">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16</xdr:col>
      <xdr:colOff>0</xdr:colOff>
      <xdr:row>1</xdr:row>
      <xdr:rowOff>0</xdr:rowOff>
    </xdr:from>
    <xdr:ext cx="400050" cy="400050"/>
    <xdr:pic>
      <xdr:nvPicPr>
        <xdr:cNvPr id="16" name="image161.png">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17</xdr:col>
      <xdr:colOff>0</xdr:colOff>
      <xdr:row>1</xdr:row>
      <xdr:rowOff>0</xdr:rowOff>
    </xdr:from>
    <xdr:ext cx="400050" cy="400050"/>
    <xdr:pic>
      <xdr:nvPicPr>
        <xdr:cNvPr id="17" name="image949.png">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18</xdr:col>
      <xdr:colOff>0</xdr:colOff>
      <xdr:row>1</xdr:row>
      <xdr:rowOff>0</xdr:rowOff>
    </xdr:from>
    <xdr:ext cx="400050" cy="400050"/>
    <xdr:pic>
      <xdr:nvPicPr>
        <xdr:cNvPr id="18" name="image73.png">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19</xdr:col>
      <xdr:colOff>0</xdr:colOff>
      <xdr:row>1</xdr:row>
      <xdr:rowOff>0</xdr:rowOff>
    </xdr:from>
    <xdr:ext cx="400050" cy="381000"/>
    <xdr:pic>
      <xdr:nvPicPr>
        <xdr:cNvPr id="19" name="image274.png">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20</xdr:col>
      <xdr:colOff>0</xdr:colOff>
      <xdr:row>1</xdr:row>
      <xdr:rowOff>0</xdr:rowOff>
    </xdr:from>
    <xdr:ext cx="400050" cy="400050"/>
    <xdr:pic>
      <xdr:nvPicPr>
        <xdr:cNvPr id="20" name="image116.png">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21</xdr:col>
      <xdr:colOff>0</xdr:colOff>
      <xdr:row>1</xdr:row>
      <xdr:rowOff>0</xdr:rowOff>
    </xdr:from>
    <xdr:ext cx="400050" cy="400050"/>
    <xdr:pic>
      <xdr:nvPicPr>
        <xdr:cNvPr id="21" name="image357.png">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22</xdr:col>
      <xdr:colOff>0</xdr:colOff>
      <xdr:row>1</xdr:row>
      <xdr:rowOff>0</xdr:rowOff>
    </xdr:from>
    <xdr:ext cx="400050" cy="390525"/>
    <xdr:pic>
      <xdr:nvPicPr>
        <xdr:cNvPr id="22" name="image20.png">
          <a:extLst>
            <a:ext uri="{FF2B5EF4-FFF2-40B4-BE49-F238E27FC236}">
              <a16:creationId xmlns:a16="http://schemas.microsoft.com/office/drawing/2014/main" id="{00000000-0008-0000-05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23</xdr:col>
      <xdr:colOff>0</xdr:colOff>
      <xdr:row>1</xdr:row>
      <xdr:rowOff>0</xdr:rowOff>
    </xdr:from>
    <xdr:ext cx="400050" cy="390525"/>
    <xdr:pic>
      <xdr:nvPicPr>
        <xdr:cNvPr id="23" name="image946.png">
          <a:extLst>
            <a:ext uri="{FF2B5EF4-FFF2-40B4-BE49-F238E27FC236}">
              <a16:creationId xmlns:a16="http://schemas.microsoft.com/office/drawing/2014/main" id="{00000000-0008-0000-05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24</xdr:col>
      <xdr:colOff>0</xdr:colOff>
      <xdr:row>1</xdr:row>
      <xdr:rowOff>0</xdr:rowOff>
    </xdr:from>
    <xdr:ext cx="400050" cy="400050"/>
    <xdr:pic>
      <xdr:nvPicPr>
        <xdr:cNvPr id="24" name="image179.png">
          <a:extLst>
            <a:ext uri="{FF2B5EF4-FFF2-40B4-BE49-F238E27FC236}">
              <a16:creationId xmlns:a16="http://schemas.microsoft.com/office/drawing/2014/main" id="{00000000-0008-0000-05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25</xdr:col>
      <xdr:colOff>0</xdr:colOff>
      <xdr:row>1</xdr:row>
      <xdr:rowOff>0</xdr:rowOff>
    </xdr:from>
    <xdr:ext cx="400050" cy="400050"/>
    <xdr:pic>
      <xdr:nvPicPr>
        <xdr:cNvPr id="25" name="image182.png">
          <a:extLst>
            <a:ext uri="{FF2B5EF4-FFF2-40B4-BE49-F238E27FC236}">
              <a16:creationId xmlns:a16="http://schemas.microsoft.com/office/drawing/2014/main" id="{00000000-0008-0000-05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26</xdr:col>
      <xdr:colOff>0</xdr:colOff>
      <xdr:row>1</xdr:row>
      <xdr:rowOff>0</xdr:rowOff>
    </xdr:from>
    <xdr:ext cx="400050" cy="400050"/>
    <xdr:pic>
      <xdr:nvPicPr>
        <xdr:cNvPr id="26" name="image197.png">
          <a:extLst>
            <a:ext uri="{FF2B5EF4-FFF2-40B4-BE49-F238E27FC236}">
              <a16:creationId xmlns:a16="http://schemas.microsoft.com/office/drawing/2014/main" id="{00000000-0008-0000-05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27</xdr:col>
      <xdr:colOff>0</xdr:colOff>
      <xdr:row>1</xdr:row>
      <xdr:rowOff>0</xdr:rowOff>
    </xdr:from>
    <xdr:ext cx="400050" cy="400050"/>
    <xdr:pic>
      <xdr:nvPicPr>
        <xdr:cNvPr id="27" name="image160.png">
          <a:extLst>
            <a:ext uri="{FF2B5EF4-FFF2-40B4-BE49-F238E27FC236}">
              <a16:creationId xmlns:a16="http://schemas.microsoft.com/office/drawing/2014/main" id="{00000000-0008-0000-05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28</xdr:col>
      <xdr:colOff>0</xdr:colOff>
      <xdr:row>1</xdr:row>
      <xdr:rowOff>0</xdr:rowOff>
    </xdr:from>
    <xdr:ext cx="390525" cy="409575"/>
    <xdr:pic>
      <xdr:nvPicPr>
        <xdr:cNvPr id="28" name="image945.png">
          <a:extLst>
            <a:ext uri="{FF2B5EF4-FFF2-40B4-BE49-F238E27FC236}">
              <a16:creationId xmlns:a16="http://schemas.microsoft.com/office/drawing/2014/main" id="{00000000-0008-0000-05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29</xdr:col>
      <xdr:colOff>0</xdr:colOff>
      <xdr:row>1</xdr:row>
      <xdr:rowOff>0</xdr:rowOff>
    </xdr:from>
    <xdr:ext cx="400050" cy="400050"/>
    <xdr:pic>
      <xdr:nvPicPr>
        <xdr:cNvPr id="29" name="image952.png">
          <a:extLst>
            <a:ext uri="{FF2B5EF4-FFF2-40B4-BE49-F238E27FC236}">
              <a16:creationId xmlns:a16="http://schemas.microsoft.com/office/drawing/2014/main" id="{00000000-0008-0000-05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2</xdr:row>
      <xdr:rowOff>0</xdr:rowOff>
    </xdr:from>
    <xdr:ext cx="1085850" cy="447675"/>
    <xdr:pic>
      <xdr:nvPicPr>
        <xdr:cNvPr id="2" name="image956.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xdr:row>
      <xdr:rowOff>0</xdr:rowOff>
    </xdr:from>
    <xdr:ext cx="1085850" cy="447675"/>
    <xdr:pic>
      <xdr:nvPicPr>
        <xdr:cNvPr id="3" name="image950.pn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4</xdr:row>
      <xdr:rowOff>0</xdr:rowOff>
    </xdr:from>
    <xdr:ext cx="1085850" cy="447675"/>
    <xdr:pic>
      <xdr:nvPicPr>
        <xdr:cNvPr id="4" name="image953.pn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5</xdr:row>
      <xdr:rowOff>0</xdr:rowOff>
    </xdr:from>
    <xdr:ext cx="1085850" cy="447675"/>
    <xdr:pic>
      <xdr:nvPicPr>
        <xdr:cNvPr id="5" name="image955.png">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6</xdr:row>
      <xdr:rowOff>0</xdr:rowOff>
    </xdr:from>
    <xdr:ext cx="466725" cy="200025"/>
    <xdr:pic>
      <xdr:nvPicPr>
        <xdr:cNvPr id="6" name="image962.png">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7</xdr:row>
      <xdr:rowOff>0</xdr:rowOff>
    </xdr:from>
    <xdr:ext cx="466725" cy="200025"/>
    <xdr:pic>
      <xdr:nvPicPr>
        <xdr:cNvPr id="7" name="image962.png">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40</xdr:col>
      <xdr:colOff>0</xdr:colOff>
      <xdr:row>21</xdr:row>
      <xdr:rowOff>0</xdr:rowOff>
    </xdr:from>
    <xdr:ext cx="466725" cy="466725"/>
    <xdr:pic>
      <xdr:nvPicPr>
        <xdr:cNvPr id="2" name="image959.jp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358:E360" headerRowCount="0">
  <tableColumns count="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s>
  <tableStyleInfo name="Items-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2:G102">
  <tableColumns count="7">
    <tableColumn id="1" xr3:uid="{00000000-0010-0000-0100-000001000000}" name="Blessing name"/>
    <tableColumn id="2" xr3:uid="{00000000-0010-0000-0100-000002000000}" name="Tier"/>
    <tableColumn id="3" xr3:uid="{00000000-0010-0000-0100-000003000000}" name="Effect"/>
    <tableColumn id="4" xr3:uid="{00000000-0010-0000-0100-000004000000}" name="Rarity"/>
    <tableColumn id="5" xr3:uid="{00000000-0010-0000-0100-000005000000}" name="Upgrades to"/>
    <tableColumn id="6" xr3:uid="{00000000-0010-0000-0100-000006000000}" name="Is Generated?"/>
    <tableColumn id="7" xr3:uid="{00000000-0010-0000-0100-000007000000}" name="True name"/>
  </tableColumns>
  <tableStyleInfo name="Blessing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I3:I102">
  <tableColumns count="1">
    <tableColumn id="1" xr3:uid="{00000000-0010-0000-0200-000001000000}" name="Tier"/>
  </tableColumns>
  <tableStyleInfo name="Blessings-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2:AM43" headerRowCount="0">
  <tableColumns count="39">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 id="14" xr3:uid="{00000000-0010-0000-0300-00000E000000}" name="Column14"/>
    <tableColumn id="15" xr3:uid="{00000000-0010-0000-0300-00000F000000}" name="Column15"/>
    <tableColumn id="16" xr3:uid="{00000000-0010-0000-0300-000010000000}" name="Column16"/>
    <tableColumn id="17" xr3:uid="{00000000-0010-0000-0300-000011000000}" name="Column17"/>
    <tableColumn id="18" xr3:uid="{00000000-0010-0000-0300-000012000000}" name="Column18"/>
    <tableColumn id="19" xr3:uid="{00000000-0010-0000-0300-000013000000}" name="Column19"/>
    <tableColumn id="20" xr3:uid="{00000000-0010-0000-0300-000014000000}" name="Column20"/>
    <tableColumn id="21" xr3:uid="{00000000-0010-0000-0300-000015000000}" name="Column21"/>
    <tableColumn id="22" xr3:uid="{00000000-0010-0000-0300-000016000000}" name="Column22"/>
    <tableColumn id="23" xr3:uid="{00000000-0010-0000-0300-000017000000}" name="Column23"/>
    <tableColumn id="24" xr3:uid="{00000000-0010-0000-0300-000018000000}" name="Column24"/>
    <tableColumn id="25" xr3:uid="{00000000-0010-0000-0300-000019000000}" name="Column25"/>
    <tableColumn id="26" xr3:uid="{00000000-0010-0000-0300-00001A000000}" name="Column26"/>
    <tableColumn id="27" xr3:uid="{00000000-0010-0000-0300-00001B000000}" name="Column27"/>
    <tableColumn id="28" xr3:uid="{00000000-0010-0000-0300-00001C000000}" name="Column28"/>
    <tableColumn id="29" xr3:uid="{00000000-0010-0000-0300-00001D000000}" name="Column29"/>
    <tableColumn id="30" xr3:uid="{00000000-0010-0000-0300-00001E000000}" name="Column30"/>
    <tableColumn id="31" xr3:uid="{00000000-0010-0000-0300-00001F000000}" name="Column31"/>
    <tableColumn id="32" xr3:uid="{00000000-0010-0000-0300-000020000000}" name="Column32"/>
    <tableColumn id="33" xr3:uid="{00000000-0010-0000-0300-000021000000}" name="Column33"/>
    <tableColumn id="34" xr3:uid="{00000000-0010-0000-0300-000022000000}" name="Column34"/>
    <tableColumn id="35" xr3:uid="{00000000-0010-0000-0300-000023000000}" name="Column35"/>
    <tableColumn id="36" xr3:uid="{00000000-0010-0000-0300-000024000000}" name="Column36"/>
    <tableColumn id="37" xr3:uid="{00000000-0010-0000-0300-000025000000}" name="Column37"/>
    <tableColumn id="38" xr3:uid="{00000000-0010-0000-0300-000026000000}" name="Column38"/>
    <tableColumn id="39" xr3:uid="{00000000-0010-0000-0300-000027000000}" name="Column39"/>
  </tableColumns>
  <tableStyleInfo name="Experimental Curse Tabl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vmlDrawing" Target="../drawings/vmlDrawing5.v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181"/>
  <sheetViews>
    <sheetView workbookViewId="0">
      <pane ySplit="2" topLeftCell="A3" activePane="bottomLeft" state="frozen"/>
      <selection pane="bottomLeft" activeCell="B4" sqref="B4"/>
    </sheetView>
  </sheetViews>
  <sheetFormatPr defaultColWidth="12.5703125" defaultRowHeight="15.75" customHeight="1"/>
  <cols>
    <col min="1" max="1" width="14.140625" customWidth="1"/>
    <col min="2" max="2" width="21.140625" customWidth="1"/>
    <col min="3" max="3" width="40.140625" customWidth="1"/>
    <col min="4" max="4" width="54.7109375" customWidth="1"/>
    <col min="6" max="6" width="6.42578125" customWidth="1"/>
  </cols>
  <sheetData>
    <row r="1" spans="1:6" ht="15.75" customHeight="1">
      <c r="A1" s="301" t="s">
        <v>0</v>
      </c>
      <c r="B1" s="302"/>
      <c r="C1" s="302"/>
      <c r="D1" s="302"/>
      <c r="E1" s="302"/>
      <c r="F1" s="1"/>
    </row>
    <row r="2" spans="1:6" ht="15.75" customHeight="1">
      <c r="A2" s="2" t="s">
        <v>1</v>
      </c>
      <c r="B2" s="2" t="s">
        <v>2</v>
      </c>
      <c r="C2" s="2" t="s">
        <v>3</v>
      </c>
      <c r="D2" s="2" t="s">
        <v>4</v>
      </c>
      <c r="E2" s="2" t="s">
        <v>5</v>
      </c>
      <c r="F2" s="1"/>
    </row>
    <row r="3" spans="1:6" ht="15.75" customHeight="1">
      <c r="A3" s="3" t="s">
        <v>6</v>
      </c>
      <c r="B3" s="4" t="s">
        <v>7</v>
      </c>
      <c r="C3" s="4" t="s">
        <v>8</v>
      </c>
      <c r="D3" s="4" t="s">
        <v>9</v>
      </c>
      <c r="E3" s="4" t="s">
        <v>10</v>
      </c>
      <c r="F3" s="5"/>
    </row>
    <row r="4" spans="1:6" ht="15.75" customHeight="1">
      <c r="A4" s="3"/>
      <c r="B4" s="4" t="s">
        <v>11</v>
      </c>
      <c r="C4" s="4" t="s">
        <v>12</v>
      </c>
      <c r="D4" s="4" t="s">
        <v>13</v>
      </c>
      <c r="E4" s="4" t="s">
        <v>10</v>
      </c>
      <c r="F4" s="5"/>
    </row>
    <row r="5" spans="1:6" ht="15.75" customHeight="1">
      <c r="A5" s="6"/>
      <c r="B5" s="4" t="s">
        <v>14</v>
      </c>
      <c r="C5" s="4" t="s">
        <v>15</v>
      </c>
      <c r="D5" s="4" t="s">
        <v>16</v>
      </c>
      <c r="E5" s="4" t="s">
        <v>10</v>
      </c>
      <c r="F5" s="5"/>
    </row>
    <row r="6" spans="1:6" ht="15.75" customHeight="1">
      <c r="A6" s="6"/>
      <c r="B6" s="4" t="s">
        <v>17</v>
      </c>
      <c r="C6" s="4" t="s">
        <v>18</v>
      </c>
      <c r="D6" s="4" t="s">
        <v>19</v>
      </c>
      <c r="E6" s="4" t="s">
        <v>20</v>
      </c>
      <c r="F6" s="5"/>
    </row>
    <row r="7" spans="1:6" ht="15.75" customHeight="1">
      <c r="A7" s="6"/>
      <c r="B7" s="7" t="s">
        <v>21</v>
      </c>
      <c r="C7" s="7" t="s">
        <v>22</v>
      </c>
      <c r="D7" s="7" t="s">
        <v>23</v>
      </c>
      <c r="E7" s="7" t="s">
        <v>20</v>
      </c>
      <c r="F7" s="5"/>
    </row>
    <row r="8" spans="1:6" ht="15.75" customHeight="1">
      <c r="A8" s="6"/>
      <c r="B8" s="4" t="s">
        <v>24</v>
      </c>
      <c r="C8" s="4" t="s">
        <v>25</v>
      </c>
      <c r="D8" s="4" t="s">
        <v>26</v>
      </c>
      <c r="E8" s="4" t="s">
        <v>27</v>
      </c>
      <c r="F8" s="5"/>
    </row>
    <row r="9" spans="1:6" ht="15.75" customHeight="1">
      <c r="A9" s="6"/>
      <c r="B9" s="7" t="s">
        <v>28</v>
      </c>
      <c r="C9" s="7" t="s">
        <v>29</v>
      </c>
      <c r="D9" s="7" t="s">
        <v>30</v>
      </c>
      <c r="E9" s="7" t="s">
        <v>31</v>
      </c>
      <c r="F9" s="5"/>
    </row>
    <row r="10" spans="1:6" ht="15.75" customHeight="1">
      <c r="A10" s="8" t="s">
        <v>32</v>
      </c>
      <c r="B10" s="9" t="s">
        <v>33</v>
      </c>
      <c r="C10" s="9" t="s">
        <v>34</v>
      </c>
      <c r="D10" s="9" t="s">
        <v>35</v>
      </c>
      <c r="E10" s="10" t="s">
        <v>27</v>
      </c>
      <c r="F10" s="5"/>
    </row>
    <row r="11" spans="1:6" ht="15.75" customHeight="1">
      <c r="A11" s="8"/>
      <c r="B11" s="9" t="s">
        <v>36</v>
      </c>
      <c r="C11" s="9" t="s">
        <v>37</v>
      </c>
      <c r="D11" s="9" t="s">
        <v>38</v>
      </c>
      <c r="E11" s="10" t="s">
        <v>27</v>
      </c>
      <c r="F11" s="5"/>
    </row>
    <row r="12" spans="1:6" ht="15.75" customHeight="1">
      <c r="A12" s="8"/>
      <c r="B12" s="9" t="s">
        <v>39</v>
      </c>
      <c r="C12" s="9" t="s">
        <v>40</v>
      </c>
      <c r="D12" s="9" t="s">
        <v>41</v>
      </c>
      <c r="E12" s="10" t="s">
        <v>27</v>
      </c>
      <c r="F12" s="5"/>
    </row>
    <row r="13" spans="1:6" ht="15.75" customHeight="1">
      <c r="A13" s="8"/>
      <c r="B13" s="9" t="s">
        <v>42</v>
      </c>
      <c r="C13" s="9" t="s">
        <v>43</v>
      </c>
      <c r="D13" s="9" t="s">
        <v>44</v>
      </c>
      <c r="E13" s="10" t="s">
        <v>27</v>
      </c>
      <c r="F13" s="5"/>
    </row>
    <row r="14" spans="1:6" ht="15.75" customHeight="1">
      <c r="A14" s="8"/>
      <c r="B14" s="9" t="s">
        <v>45</v>
      </c>
      <c r="C14" s="9" t="s">
        <v>46</v>
      </c>
      <c r="D14" s="9" t="s">
        <v>47</v>
      </c>
      <c r="E14" s="9" t="s">
        <v>27</v>
      </c>
      <c r="F14" s="5"/>
    </row>
    <row r="15" spans="1:6" ht="15.75" customHeight="1">
      <c r="A15" s="2"/>
      <c r="B15" s="10" t="s">
        <v>48</v>
      </c>
      <c r="C15" s="10" t="s">
        <v>49</v>
      </c>
      <c r="D15" s="10" t="s">
        <v>50</v>
      </c>
      <c r="E15" s="9" t="s">
        <v>27</v>
      </c>
      <c r="F15" s="5"/>
    </row>
    <row r="16" spans="1:6" ht="15.75" customHeight="1">
      <c r="A16" s="8"/>
      <c r="B16" s="9" t="s">
        <v>51</v>
      </c>
      <c r="C16" s="9" t="s">
        <v>52</v>
      </c>
      <c r="D16" s="9" t="s">
        <v>53</v>
      </c>
      <c r="E16" s="9" t="s">
        <v>54</v>
      </c>
      <c r="F16" s="5"/>
    </row>
    <row r="17" spans="1:6" ht="15.75" customHeight="1">
      <c r="A17" s="3" t="s">
        <v>55</v>
      </c>
      <c r="B17" s="4" t="s">
        <v>56</v>
      </c>
      <c r="C17" s="4" t="s">
        <v>57</v>
      </c>
      <c r="D17" s="4" t="s">
        <v>58</v>
      </c>
      <c r="E17" s="4" t="s">
        <v>59</v>
      </c>
      <c r="F17" s="5"/>
    </row>
    <row r="18" spans="1:6" ht="15.75" customHeight="1">
      <c r="A18" s="6"/>
      <c r="B18" s="4" t="s">
        <v>60</v>
      </c>
      <c r="C18" s="4" t="s">
        <v>61</v>
      </c>
      <c r="D18" s="4" t="s">
        <v>62</v>
      </c>
      <c r="E18" s="4" t="s">
        <v>63</v>
      </c>
      <c r="F18" s="5"/>
    </row>
    <row r="19" spans="1:6" ht="15.75" customHeight="1">
      <c r="A19" s="3"/>
      <c r="B19" s="4" t="s">
        <v>64</v>
      </c>
      <c r="C19" s="4" t="s">
        <v>65</v>
      </c>
      <c r="D19" s="4" t="s">
        <v>66</v>
      </c>
      <c r="E19" s="4" t="s">
        <v>67</v>
      </c>
      <c r="F19" s="5"/>
    </row>
    <row r="20" spans="1:6" ht="15.75" customHeight="1">
      <c r="A20" s="8" t="s">
        <v>68</v>
      </c>
      <c r="B20" s="9" t="s">
        <v>69</v>
      </c>
      <c r="C20" s="9" t="s">
        <v>70</v>
      </c>
      <c r="D20" s="9" t="s">
        <v>71</v>
      </c>
      <c r="E20" s="9" t="s">
        <v>63</v>
      </c>
      <c r="F20" s="5"/>
    </row>
    <row r="21" spans="1:6" ht="15.75" customHeight="1">
      <c r="A21" s="2"/>
      <c r="B21" s="10" t="s">
        <v>72</v>
      </c>
      <c r="C21" s="10" t="s">
        <v>73</v>
      </c>
      <c r="D21" s="10" t="s">
        <v>74</v>
      </c>
      <c r="E21" s="9" t="s">
        <v>63</v>
      </c>
      <c r="F21" s="5"/>
    </row>
    <row r="22" spans="1:6" ht="15.75" customHeight="1">
      <c r="A22" s="8"/>
      <c r="B22" s="9" t="s">
        <v>75</v>
      </c>
      <c r="C22" s="9" t="s">
        <v>76</v>
      </c>
      <c r="D22" s="9" t="s">
        <v>77</v>
      </c>
      <c r="E22" s="9" t="s">
        <v>63</v>
      </c>
      <c r="F22" s="5"/>
    </row>
    <row r="23" spans="1:6" ht="15.75" customHeight="1">
      <c r="A23" s="2"/>
      <c r="B23" s="10" t="s">
        <v>78</v>
      </c>
      <c r="C23" s="10" t="s">
        <v>79</v>
      </c>
      <c r="D23" s="10" t="s">
        <v>80</v>
      </c>
      <c r="E23" s="9" t="s">
        <v>81</v>
      </c>
      <c r="F23" s="5"/>
    </row>
    <row r="24" spans="1:6" ht="15.75" customHeight="1">
      <c r="A24" s="8"/>
      <c r="B24" s="10" t="s">
        <v>82</v>
      </c>
      <c r="C24" s="10" t="s">
        <v>83</v>
      </c>
      <c r="D24" s="10" t="s">
        <v>84</v>
      </c>
      <c r="E24" s="9" t="s">
        <v>81</v>
      </c>
      <c r="F24" s="5"/>
    </row>
    <row r="25" spans="1:6" ht="15.75" customHeight="1">
      <c r="A25" s="2"/>
      <c r="B25" s="10" t="s">
        <v>85</v>
      </c>
      <c r="C25" s="10" t="s">
        <v>86</v>
      </c>
      <c r="D25" s="10" t="s">
        <v>87</v>
      </c>
      <c r="E25" s="10" t="s">
        <v>88</v>
      </c>
      <c r="F25" s="5"/>
    </row>
    <row r="26" spans="1:6" ht="15.75" customHeight="1">
      <c r="A26" s="6" t="s">
        <v>89</v>
      </c>
      <c r="B26" s="7" t="s">
        <v>90</v>
      </c>
      <c r="C26" s="7" t="s">
        <v>91</v>
      </c>
      <c r="D26" s="7" t="s">
        <v>92</v>
      </c>
      <c r="E26" s="4" t="s">
        <v>59</v>
      </c>
      <c r="F26" s="5"/>
    </row>
    <row r="27" spans="1:6" ht="15.75" customHeight="1">
      <c r="A27" s="3"/>
      <c r="B27" s="4" t="s">
        <v>93</v>
      </c>
      <c r="C27" s="4" t="s">
        <v>94</v>
      </c>
      <c r="D27" s="4" t="s">
        <v>95</v>
      </c>
      <c r="E27" s="4" t="s">
        <v>96</v>
      </c>
      <c r="F27" s="5"/>
    </row>
    <row r="28" spans="1:6" ht="15.75" customHeight="1">
      <c r="A28" s="3"/>
      <c r="B28" s="4" t="s">
        <v>97</v>
      </c>
      <c r="C28" s="4" t="s">
        <v>98</v>
      </c>
      <c r="D28" s="4" t="s">
        <v>99</v>
      </c>
      <c r="E28" s="4" t="s">
        <v>59</v>
      </c>
      <c r="F28" s="5"/>
    </row>
    <row r="29" spans="1:6" ht="15.75" customHeight="1">
      <c r="A29" s="3"/>
      <c r="B29" s="4" t="s">
        <v>100</v>
      </c>
      <c r="C29" s="4" t="s">
        <v>101</v>
      </c>
      <c r="D29" s="4" t="s">
        <v>102</v>
      </c>
      <c r="E29" s="4" t="s">
        <v>63</v>
      </c>
      <c r="F29" s="5"/>
    </row>
    <row r="30" spans="1:6" ht="15.75" customHeight="1">
      <c r="A30" s="3"/>
      <c r="B30" s="4" t="s">
        <v>103</v>
      </c>
      <c r="C30" s="4" t="s">
        <v>104</v>
      </c>
      <c r="D30" s="4" t="s">
        <v>105</v>
      </c>
      <c r="E30" s="4" t="s">
        <v>106</v>
      </c>
      <c r="F30" s="5"/>
    </row>
    <row r="31" spans="1:6" ht="15.75" customHeight="1">
      <c r="A31" s="3"/>
      <c r="B31" s="4" t="s">
        <v>107</v>
      </c>
      <c r="C31" s="4" t="s">
        <v>108</v>
      </c>
      <c r="D31" s="4" t="s">
        <v>109</v>
      </c>
      <c r="E31" s="4" t="s">
        <v>106</v>
      </c>
      <c r="F31" s="5"/>
    </row>
    <row r="32" spans="1:6" ht="15.75" customHeight="1">
      <c r="A32" s="3"/>
      <c r="B32" s="4" t="s">
        <v>110</v>
      </c>
      <c r="C32" s="4" t="s">
        <v>111</v>
      </c>
      <c r="D32" s="4" t="s">
        <v>112</v>
      </c>
      <c r="E32" s="4" t="s">
        <v>63</v>
      </c>
      <c r="F32" s="5"/>
    </row>
    <row r="33" spans="1:6" ht="15.75" customHeight="1">
      <c r="A33" s="3"/>
      <c r="B33" s="4" t="s">
        <v>113</v>
      </c>
      <c r="C33" s="4" t="s">
        <v>114</v>
      </c>
      <c r="D33" s="4" t="s">
        <v>115</v>
      </c>
      <c r="E33" s="4" t="s">
        <v>63</v>
      </c>
      <c r="F33" s="5"/>
    </row>
    <row r="34" spans="1:6" ht="15.75" customHeight="1">
      <c r="A34" s="3"/>
      <c r="B34" s="4" t="s">
        <v>116</v>
      </c>
      <c r="C34" s="4" t="s">
        <v>117</v>
      </c>
      <c r="D34" s="4" t="s">
        <v>118</v>
      </c>
      <c r="E34" s="4" t="s">
        <v>106</v>
      </c>
      <c r="F34" s="5"/>
    </row>
    <row r="35" spans="1:6" ht="15.75" customHeight="1">
      <c r="A35" s="3"/>
      <c r="B35" s="4" t="s">
        <v>119</v>
      </c>
      <c r="C35" s="4" t="s">
        <v>120</v>
      </c>
      <c r="D35" s="4" t="s">
        <v>121</v>
      </c>
      <c r="E35" s="4" t="s">
        <v>59</v>
      </c>
      <c r="F35" s="5"/>
    </row>
    <row r="36" spans="1:6" ht="15.75" customHeight="1">
      <c r="A36" s="3"/>
      <c r="B36" s="4" t="s">
        <v>122</v>
      </c>
      <c r="C36" s="4" t="s">
        <v>123</v>
      </c>
      <c r="D36" s="4" t="s">
        <v>124</v>
      </c>
      <c r="E36" s="4" t="s">
        <v>106</v>
      </c>
      <c r="F36" s="5"/>
    </row>
    <row r="37" spans="1:6" ht="15.75" customHeight="1">
      <c r="A37" s="3"/>
      <c r="B37" s="4" t="s">
        <v>125</v>
      </c>
      <c r="C37" s="4" t="s">
        <v>126</v>
      </c>
      <c r="D37" s="4" t="s">
        <v>127</v>
      </c>
      <c r="E37" s="4" t="s">
        <v>63</v>
      </c>
      <c r="F37" s="5"/>
    </row>
    <row r="38" spans="1:6" ht="15.75" customHeight="1">
      <c r="A38" s="3"/>
      <c r="B38" s="4" t="s">
        <v>128</v>
      </c>
      <c r="C38" s="4" t="s">
        <v>129</v>
      </c>
      <c r="D38" s="4" t="s">
        <v>130</v>
      </c>
      <c r="E38" s="4" t="s">
        <v>59</v>
      </c>
      <c r="F38" s="5"/>
    </row>
    <row r="39" spans="1:6">
      <c r="A39" s="3"/>
      <c r="B39" s="4" t="s">
        <v>131</v>
      </c>
      <c r="C39" s="4" t="s">
        <v>132</v>
      </c>
      <c r="D39" s="4" t="s">
        <v>133</v>
      </c>
      <c r="E39" s="4" t="s">
        <v>59</v>
      </c>
      <c r="F39" s="5"/>
    </row>
    <row r="40" spans="1:6">
      <c r="A40" s="3"/>
      <c r="B40" s="4" t="s">
        <v>134</v>
      </c>
      <c r="C40" s="4" t="s">
        <v>135</v>
      </c>
      <c r="D40" s="4" t="s">
        <v>136</v>
      </c>
      <c r="E40" s="4" t="s">
        <v>59</v>
      </c>
      <c r="F40" s="5"/>
    </row>
    <row r="41" spans="1:6">
      <c r="A41" s="3"/>
      <c r="B41" s="4" t="s">
        <v>137</v>
      </c>
      <c r="C41" s="4" t="s">
        <v>138</v>
      </c>
      <c r="D41" s="4" t="s">
        <v>139</v>
      </c>
      <c r="E41" s="4" t="s">
        <v>63</v>
      </c>
      <c r="F41" s="5"/>
    </row>
    <row r="42" spans="1:6">
      <c r="A42" s="8" t="s">
        <v>140</v>
      </c>
      <c r="B42" s="9" t="s">
        <v>141</v>
      </c>
      <c r="C42" s="9" t="s">
        <v>142</v>
      </c>
      <c r="D42" s="9" t="s">
        <v>143</v>
      </c>
      <c r="E42" s="9" t="s">
        <v>63</v>
      </c>
      <c r="F42" s="5"/>
    </row>
    <row r="43" spans="1:6">
      <c r="A43" s="2"/>
      <c r="B43" s="9" t="s">
        <v>144</v>
      </c>
      <c r="C43" s="9" t="s">
        <v>145</v>
      </c>
      <c r="D43" s="9" t="s">
        <v>146</v>
      </c>
      <c r="E43" s="9" t="s">
        <v>59</v>
      </c>
      <c r="F43" s="5"/>
    </row>
    <row r="44" spans="1:6">
      <c r="A44" s="2"/>
      <c r="B44" s="9" t="s">
        <v>147</v>
      </c>
      <c r="C44" s="9" t="s">
        <v>148</v>
      </c>
      <c r="D44" s="9" t="s">
        <v>149</v>
      </c>
      <c r="E44" s="9" t="s">
        <v>63</v>
      </c>
      <c r="F44" s="5"/>
    </row>
    <row r="45" spans="1:6">
      <c r="A45" s="2"/>
      <c r="B45" s="10" t="s">
        <v>150</v>
      </c>
      <c r="C45" s="10" t="s">
        <v>151</v>
      </c>
      <c r="D45" s="10" t="s">
        <v>152</v>
      </c>
      <c r="E45" s="9" t="s">
        <v>63</v>
      </c>
      <c r="F45" s="5"/>
    </row>
    <row r="46" spans="1:6">
      <c r="A46" s="2"/>
      <c r="B46" s="10" t="s">
        <v>153</v>
      </c>
      <c r="C46" s="10" t="s">
        <v>154</v>
      </c>
      <c r="D46" s="10" t="s">
        <v>155</v>
      </c>
      <c r="E46" s="9" t="s">
        <v>81</v>
      </c>
      <c r="F46" s="5"/>
    </row>
    <row r="47" spans="1:6">
      <c r="A47" s="2"/>
      <c r="B47" s="10" t="s">
        <v>156</v>
      </c>
      <c r="C47" s="10" t="s">
        <v>157</v>
      </c>
      <c r="D47" s="10" t="s">
        <v>158</v>
      </c>
      <c r="E47" s="9" t="s">
        <v>81</v>
      </c>
      <c r="F47" s="5"/>
    </row>
    <row r="48" spans="1:6">
      <c r="A48" s="2"/>
      <c r="B48" s="9" t="s">
        <v>159</v>
      </c>
      <c r="C48" s="9" t="s">
        <v>160</v>
      </c>
      <c r="D48" s="9" t="s">
        <v>161</v>
      </c>
      <c r="E48" s="9" t="s">
        <v>63</v>
      </c>
      <c r="F48" s="5"/>
    </row>
    <row r="49" spans="1:6">
      <c r="A49" s="8"/>
      <c r="B49" s="9" t="s">
        <v>162</v>
      </c>
      <c r="C49" s="9" t="s">
        <v>163</v>
      </c>
      <c r="D49" s="9" t="s">
        <v>164</v>
      </c>
      <c r="E49" s="10" t="s">
        <v>81</v>
      </c>
      <c r="F49" s="5"/>
    </row>
    <row r="50" spans="1:6">
      <c r="A50" s="2"/>
      <c r="B50" s="10" t="s">
        <v>165</v>
      </c>
      <c r="C50" s="10" t="s">
        <v>166</v>
      </c>
      <c r="D50" s="10" t="s">
        <v>167</v>
      </c>
      <c r="E50" s="10" t="s">
        <v>81</v>
      </c>
      <c r="F50" s="5"/>
    </row>
    <row r="51" spans="1:6">
      <c r="A51" s="2"/>
      <c r="B51" s="10" t="s">
        <v>168</v>
      </c>
      <c r="C51" s="10" t="s">
        <v>169</v>
      </c>
      <c r="D51" s="10" t="s">
        <v>170</v>
      </c>
      <c r="E51" s="10" t="s">
        <v>81</v>
      </c>
      <c r="F51" s="5"/>
    </row>
    <row r="52" spans="1:6">
      <c r="A52" s="2"/>
      <c r="B52" s="10" t="s">
        <v>171</v>
      </c>
      <c r="C52" s="10" t="s">
        <v>172</v>
      </c>
      <c r="D52" s="10" t="s">
        <v>173</v>
      </c>
      <c r="E52" s="10" t="s">
        <v>81</v>
      </c>
      <c r="F52" s="5"/>
    </row>
    <row r="53" spans="1:6">
      <c r="A53" s="2"/>
      <c r="B53" s="10" t="s">
        <v>174</v>
      </c>
      <c r="C53" s="10" t="s">
        <v>175</v>
      </c>
      <c r="D53" s="10" t="s">
        <v>176</v>
      </c>
      <c r="E53" s="10" t="s">
        <v>20</v>
      </c>
      <c r="F53" s="5"/>
    </row>
    <row r="54" spans="1:6">
      <c r="A54" s="2"/>
      <c r="B54" s="10" t="s">
        <v>177</v>
      </c>
      <c r="C54" s="10" t="s">
        <v>178</v>
      </c>
      <c r="D54" s="10" t="s">
        <v>179</v>
      </c>
      <c r="E54" s="10" t="s">
        <v>63</v>
      </c>
      <c r="F54" s="5"/>
    </row>
    <row r="55" spans="1:6">
      <c r="A55" s="2"/>
      <c r="B55" s="10" t="s">
        <v>180</v>
      </c>
      <c r="C55" s="10" t="s">
        <v>181</v>
      </c>
      <c r="D55" s="10" t="s">
        <v>182</v>
      </c>
      <c r="E55" s="10" t="s">
        <v>63</v>
      </c>
      <c r="F55" s="5"/>
    </row>
    <row r="56" spans="1:6">
      <c r="A56" s="2"/>
      <c r="B56" s="10" t="s">
        <v>183</v>
      </c>
      <c r="C56" s="10" t="s">
        <v>184</v>
      </c>
      <c r="D56" s="10" t="s">
        <v>185</v>
      </c>
      <c r="E56" s="10" t="s">
        <v>63</v>
      </c>
      <c r="F56" s="5"/>
    </row>
    <row r="57" spans="1:6">
      <c r="A57" s="6" t="s">
        <v>186</v>
      </c>
      <c r="B57" s="4" t="s">
        <v>187</v>
      </c>
      <c r="C57" s="4" t="s">
        <v>188</v>
      </c>
      <c r="D57" s="4" t="s">
        <v>189</v>
      </c>
      <c r="E57" s="4" t="s">
        <v>63</v>
      </c>
      <c r="F57" s="5"/>
    </row>
    <row r="58" spans="1:6" ht="31.5">
      <c r="A58" s="3"/>
      <c r="B58" s="4" t="s">
        <v>190</v>
      </c>
      <c r="C58" s="4" t="s">
        <v>191</v>
      </c>
      <c r="D58" s="4" t="s">
        <v>192</v>
      </c>
      <c r="E58" s="4" t="s">
        <v>63</v>
      </c>
      <c r="F58" s="5"/>
    </row>
    <row r="59" spans="1:6">
      <c r="A59" s="3"/>
      <c r="B59" s="4" t="s">
        <v>193</v>
      </c>
      <c r="C59" s="4" t="s">
        <v>194</v>
      </c>
      <c r="D59" s="4" t="s">
        <v>195</v>
      </c>
      <c r="E59" s="4" t="s">
        <v>63</v>
      </c>
      <c r="F59" s="5"/>
    </row>
    <row r="60" spans="1:6" ht="31.5">
      <c r="A60" s="3"/>
      <c r="B60" s="4" t="s">
        <v>196</v>
      </c>
      <c r="C60" s="4" t="s">
        <v>197</v>
      </c>
      <c r="D60" s="4" t="s">
        <v>198</v>
      </c>
      <c r="E60" s="4" t="s">
        <v>63</v>
      </c>
      <c r="F60" s="5"/>
    </row>
    <row r="61" spans="1:6">
      <c r="A61" s="3"/>
      <c r="B61" s="4" t="s">
        <v>199</v>
      </c>
      <c r="C61" s="4" t="s">
        <v>200</v>
      </c>
      <c r="D61" s="4" t="s">
        <v>201</v>
      </c>
      <c r="E61" s="4" t="s">
        <v>63</v>
      </c>
      <c r="F61" s="5"/>
    </row>
    <row r="62" spans="1:6">
      <c r="A62" s="3"/>
      <c r="B62" s="4" t="s">
        <v>202</v>
      </c>
      <c r="C62" s="4" t="s">
        <v>203</v>
      </c>
      <c r="D62" s="4" t="s">
        <v>204</v>
      </c>
      <c r="E62" s="4" t="s">
        <v>81</v>
      </c>
      <c r="F62" s="5"/>
    </row>
    <row r="63" spans="1:6">
      <c r="A63" s="3"/>
      <c r="B63" s="4" t="s">
        <v>205</v>
      </c>
      <c r="C63" s="4" t="s">
        <v>206</v>
      </c>
      <c r="D63" s="4" t="s">
        <v>207</v>
      </c>
      <c r="E63" s="4" t="s">
        <v>63</v>
      </c>
      <c r="F63" s="5"/>
    </row>
    <row r="64" spans="1:6">
      <c r="A64" s="3"/>
      <c r="B64" s="7" t="s">
        <v>208</v>
      </c>
      <c r="C64" s="7" t="s">
        <v>209</v>
      </c>
      <c r="D64" s="7" t="s">
        <v>210</v>
      </c>
      <c r="E64" s="7" t="s">
        <v>63</v>
      </c>
      <c r="F64" s="5"/>
    </row>
    <row r="65" spans="1:6">
      <c r="A65" s="3"/>
      <c r="B65" s="7" t="s">
        <v>211</v>
      </c>
      <c r="C65" s="7" t="s">
        <v>212</v>
      </c>
      <c r="D65" s="7" t="s">
        <v>213</v>
      </c>
      <c r="E65" s="7" t="s">
        <v>63</v>
      </c>
      <c r="F65" s="5"/>
    </row>
    <row r="66" spans="1:6">
      <c r="A66" s="8" t="s">
        <v>214</v>
      </c>
      <c r="B66" s="9" t="s">
        <v>215</v>
      </c>
      <c r="C66" s="9" t="s">
        <v>216</v>
      </c>
      <c r="D66" s="9" t="s">
        <v>217</v>
      </c>
      <c r="E66" s="9" t="s">
        <v>96</v>
      </c>
      <c r="F66" s="5"/>
    </row>
    <row r="67" spans="1:6">
      <c r="A67" s="2"/>
      <c r="B67" s="10" t="s">
        <v>218</v>
      </c>
      <c r="C67" s="10" t="s">
        <v>219</v>
      </c>
      <c r="D67" s="10" t="s">
        <v>220</v>
      </c>
      <c r="E67" s="10" t="s">
        <v>81</v>
      </c>
      <c r="F67" s="5"/>
    </row>
    <row r="68" spans="1:6">
      <c r="A68" s="2"/>
      <c r="B68" s="10" t="s">
        <v>221</v>
      </c>
      <c r="C68" s="10" t="s">
        <v>222</v>
      </c>
      <c r="D68" s="10" t="s">
        <v>223</v>
      </c>
      <c r="E68" s="10" t="s">
        <v>59</v>
      </c>
      <c r="F68" s="5"/>
    </row>
    <row r="69" spans="1:6">
      <c r="A69" s="2"/>
      <c r="B69" s="10" t="s">
        <v>224</v>
      </c>
      <c r="C69" s="10" t="s">
        <v>225</v>
      </c>
      <c r="D69" s="10" t="s">
        <v>226</v>
      </c>
      <c r="E69" s="10" t="s">
        <v>59</v>
      </c>
      <c r="F69" s="5"/>
    </row>
    <row r="70" spans="1:6">
      <c r="A70" s="2"/>
      <c r="B70" s="10" t="s">
        <v>227</v>
      </c>
      <c r="C70" s="10" t="s">
        <v>228</v>
      </c>
      <c r="D70" s="10" t="s">
        <v>229</v>
      </c>
      <c r="E70" s="10" t="s">
        <v>63</v>
      </c>
      <c r="F70" s="5"/>
    </row>
    <row r="71" spans="1:6">
      <c r="A71" s="2"/>
      <c r="B71" s="10" t="s">
        <v>230</v>
      </c>
      <c r="C71" s="10" t="s">
        <v>231</v>
      </c>
      <c r="D71" s="10" t="s">
        <v>232</v>
      </c>
      <c r="E71" s="10" t="s">
        <v>63</v>
      </c>
      <c r="F71" s="5"/>
    </row>
    <row r="72" spans="1:6">
      <c r="A72" s="2"/>
      <c r="B72" s="10" t="s">
        <v>233</v>
      </c>
      <c r="C72" s="10" t="s">
        <v>234</v>
      </c>
      <c r="D72" s="10" t="s">
        <v>235</v>
      </c>
      <c r="E72" s="10" t="s">
        <v>63</v>
      </c>
      <c r="F72" s="5"/>
    </row>
    <row r="73" spans="1:6">
      <c r="A73" s="2"/>
      <c r="B73" s="10" t="s">
        <v>236</v>
      </c>
      <c r="C73" s="10" t="s">
        <v>237</v>
      </c>
      <c r="D73" s="10" t="s">
        <v>238</v>
      </c>
      <c r="E73" s="10" t="s">
        <v>63</v>
      </c>
      <c r="F73" s="5"/>
    </row>
    <row r="74" spans="1:6">
      <c r="A74" s="2"/>
      <c r="B74" s="10" t="s">
        <v>239</v>
      </c>
      <c r="C74" s="10" t="s">
        <v>240</v>
      </c>
      <c r="D74" s="10" t="s">
        <v>241</v>
      </c>
      <c r="E74" s="10" t="s">
        <v>63</v>
      </c>
      <c r="F74" s="5"/>
    </row>
    <row r="75" spans="1:6">
      <c r="A75" s="2"/>
      <c r="B75" s="10" t="s">
        <v>242</v>
      </c>
      <c r="C75" s="10" t="s">
        <v>243</v>
      </c>
      <c r="D75" s="10" t="s">
        <v>244</v>
      </c>
      <c r="E75" s="10" t="s">
        <v>81</v>
      </c>
      <c r="F75" s="5"/>
    </row>
    <row r="76" spans="1:6">
      <c r="A76" s="2"/>
      <c r="B76" s="10" t="s">
        <v>245</v>
      </c>
      <c r="C76" s="10" t="s">
        <v>246</v>
      </c>
      <c r="D76" s="10" t="s">
        <v>247</v>
      </c>
      <c r="E76" s="10" t="s">
        <v>63</v>
      </c>
      <c r="F76" s="5"/>
    </row>
    <row r="77" spans="1:6">
      <c r="A77" s="2"/>
      <c r="B77" s="9" t="s">
        <v>248</v>
      </c>
      <c r="C77" s="9" t="s">
        <v>249</v>
      </c>
      <c r="D77" s="9" t="s">
        <v>250</v>
      </c>
      <c r="E77" s="9" t="s">
        <v>63</v>
      </c>
      <c r="F77" s="5"/>
    </row>
    <row r="78" spans="1:6">
      <c r="A78" s="2"/>
      <c r="B78" s="9" t="s">
        <v>251</v>
      </c>
      <c r="C78" s="9" t="s">
        <v>252</v>
      </c>
      <c r="D78" s="11" t="s">
        <v>253</v>
      </c>
      <c r="E78" s="9" t="s">
        <v>254</v>
      </c>
      <c r="F78" s="5"/>
    </row>
    <row r="79" spans="1:6" ht="31.5">
      <c r="A79" s="3" t="s">
        <v>255</v>
      </c>
      <c r="B79" s="4" t="s">
        <v>256</v>
      </c>
      <c r="C79" s="4" t="s">
        <v>257</v>
      </c>
      <c r="D79" s="4" t="s">
        <v>258</v>
      </c>
      <c r="E79" s="4" t="s">
        <v>106</v>
      </c>
      <c r="F79" s="5"/>
    </row>
    <row r="80" spans="1:6">
      <c r="A80" s="3"/>
      <c r="B80" s="4" t="s">
        <v>259</v>
      </c>
      <c r="C80" s="4" t="s">
        <v>260</v>
      </c>
      <c r="D80" s="4" t="s">
        <v>261</v>
      </c>
      <c r="E80" s="4" t="s">
        <v>54</v>
      </c>
      <c r="F80" s="5"/>
    </row>
    <row r="81" spans="1:6">
      <c r="A81" s="8" t="s">
        <v>262</v>
      </c>
      <c r="B81" s="9" t="s">
        <v>263</v>
      </c>
      <c r="C81" s="9" t="s">
        <v>264</v>
      </c>
      <c r="D81" s="9" t="s">
        <v>265</v>
      </c>
      <c r="E81" s="9" t="s">
        <v>81</v>
      </c>
      <c r="F81" s="5"/>
    </row>
    <row r="82" spans="1:6" ht="94.5">
      <c r="A82" s="2"/>
      <c r="B82" s="9" t="s">
        <v>266</v>
      </c>
      <c r="C82" s="9" t="s">
        <v>267</v>
      </c>
      <c r="D82" s="9" t="s">
        <v>268</v>
      </c>
      <c r="E82" s="9" t="s">
        <v>20</v>
      </c>
      <c r="F82" s="5"/>
    </row>
    <row r="83" spans="1:6">
      <c r="A83" s="6" t="s">
        <v>269</v>
      </c>
      <c r="B83" s="4" t="s">
        <v>270</v>
      </c>
      <c r="C83" s="4" t="s">
        <v>271</v>
      </c>
      <c r="D83" s="4" t="s">
        <v>272</v>
      </c>
      <c r="E83" s="7" t="s">
        <v>63</v>
      </c>
      <c r="F83" s="5"/>
    </row>
    <row r="84" spans="1:6">
      <c r="A84" s="3"/>
      <c r="B84" s="4" t="s">
        <v>273</v>
      </c>
      <c r="C84" s="4" t="s">
        <v>274</v>
      </c>
      <c r="D84" s="4" t="s">
        <v>275</v>
      </c>
      <c r="E84" s="7" t="s">
        <v>63</v>
      </c>
      <c r="F84" s="5"/>
    </row>
    <row r="85" spans="1:6">
      <c r="A85" s="3"/>
      <c r="B85" s="4" t="s">
        <v>276</v>
      </c>
      <c r="C85" s="4" t="s">
        <v>277</v>
      </c>
      <c r="D85" s="4" t="s">
        <v>278</v>
      </c>
      <c r="E85" s="7" t="s">
        <v>63</v>
      </c>
      <c r="F85" s="5"/>
    </row>
    <row r="86" spans="1:6">
      <c r="A86" s="3"/>
      <c r="B86" s="4" t="s">
        <v>279</v>
      </c>
      <c r="C86" s="4" t="s">
        <v>280</v>
      </c>
      <c r="D86" s="7" t="s">
        <v>281</v>
      </c>
      <c r="E86" s="4" t="s">
        <v>63</v>
      </c>
      <c r="F86" s="5"/>
    </row>
    <row r="87" spans="1:6">
      <c r="A87" s="3"/>
      <c r="B87" s="4" t="s">
        <v>282</v>
      </c>
      <c r="C87" s="4" t="s">
        <v>283</v>
      </c>
      <c r="D87" s="4" t="s">
        <v>284</v>
      </c>
      <c r="E87" s="7" t="s">
        <v>63</v>
      </c>
      <c r="F87" s="5"/>
    </row>
    <row r="88" spans="1:6">
      <c r="A88" s="8" t="s">
        <v>285</v>
      </c>
      <c r="B88" s="9" t="s">
        <v>286</v>
      </c>
      <c r="C88" s="9" t="s">
        <v>287</v>
      </c>
      <c r="D88" s="9" t="s">
        <v>288</v>
      </c>
      <c r="E88" s="9" t="s">
        <v>63</v>
      </c>
      <c r="F88" s="5"/>
    </row>
    <row r="89" spans="1:6">
      <c r="A89" s="2"/>
      <c r="B89" s="10" t="s">
        <v>289</v>
      </c>
      <c r="C89" s="10" t="s">
        <v>290</v>
      </c>
      <c r="D89" s="10" t="s">
        <v>291</v>
      </c>
      <c r="E89" s="9" t="s">
        <v>20</v>
      </c>
      <c r="F89" s="5"/>
    </row>
    <row r="90" spans="1:6" ht="31.5">
      <c r="A90" s="6" t="s">
        <v>292</v>
      </c>
      <c r="B90" s="4" t="s">
        <v>293</v>
      </c>
      <c r="C90" s="4" t="s">
        <v>294</v>
      </c>
      <c r="D90" s="4" t="s">
        <v>295</v>
      </c>
      <c r="E90" s="4" t="s">
        <v>63</v>
      </c>
      <c r="F90" s="5"/>
    </row>
    <row r="91" spans="1:6">
      <c r="A91" s="3"/>
      <c r="B91" s="7" t="s">
        <v>296</v>
      </c>
      <c r="C91" s="7" t="s">
        <v>297</v>
      </c>
      <c r="D91" s="7" t="s">
        <v>298</v>
      </c>
      <c r="E91" s="4" t="s">
        <v>63</v>
      </c>
      <c r="F91" s="5"/>
    </row>
    <row r="92" spans="1:6">
      <c r="A92" s="6"/>
      <c r="B92" s="4" t="s">
        <v>299</v>
      </c>
      <c r="C92" s="4" t="s">
        <v>300</v>
      </c>
      <c r="D92" s="4" t="s">
        <v>301</v>
      </c>
      <c r="E92" s="4" t="s">
        <v>63</v>
      </c>
      <c r="F92" s="5"/>
    </row>
    <row r="93" spans="1:6">
      <c r="A93" s="3"/>
      <c r="B93" s="7" t="s">
        <v>302</v>
      </c>
      <c r="C93" s="7" t="s">
        <v>303</v>
      </c>
      <c r="D93" s="7" t="s">
        <v>304</v>
      </c>
      <c r="E93" s="4" t="s">
        <v>63</v>
      </c>
      <c r="F93" s="5"/>
    </row>
    <row r="94" spans="1:6">
      <c r="A94" s="6"/>
      <c r="B94" s="7" t="s">
        <v>305</v>
      </c>
      <c r="C94" s="7" t="s">
        <v>306</v>
      </c>
      <c r="D94" s="7" t="s">
        <v>307</v>
      </c>
      <c r="E94" s="4" t="s">
        <v>63</v>
      </c>
      <c r="F94" s="5"/>
    </row>
    <row r="95" spans="1:6">
      <c r="A95" s="3"/>
      <c r="B95" s="7" t="s">
        <v>308</v>
      </c>
      <c r="C95" s="7" t="s">
        <v>309</v>
      </c>
      <c r="D95" s="7" t="s">
        <v>310</v>
      </c>
      <c r="E95" s="7" t="s">
        <v>54</v>
      </c>
      <c r="F95" s="5"/>
    </row>
    <row r="96" spans="1:6">
      <c r="A96" s="3"/>
      <c r="B96" s="7" t="s">
        <v>311</v>
      </c>
      <c r="C96" s="7" t="s">
        <v>312</v>
      </c>
      <c r="D96" s="7" t="s">
        <v>313</v>
      </c>
      <c r="E96" s="7" t="s">
        <v>63</v>
      </c>
      <c r="F96" s="5"/>
    </row>
    <row r="97" spans="1:6">
      <c r="A97" s="6"/>
      <c r="B97" s="7" t="s">
        <v>314</v>
      </c>
      <c r="C97" s="7" t="s">
        <v>315</v>
      </c>
      <c r="D97" s="7" t="s">
        <v>316</v>
      </c>
      <c r="E97" s="4" t="s">
        <v>59</v>
      </c>
      <c r="F97" s="5"/>
    </row>
    <row r="98" spans="1:6">
      <c r="A98" s="3"/>
      <c r="B98" s="4" t="s">
        <v>317</v>
      </c>
      <c r="C98" s="4" t="s">
        <v>318</v>
      </c>
      <c r="D98" s="4" t="s">
        <v>319</v>
      </c>
      <c r="E98" s="4" t="s">
        <v>27</v>
      </c>
      <c r="F98" s="5"/>
    </row>
    <row r="99" spans="1:6">
      <c r="A99" s="3"/>
      <c r="B99" s="4" t="s">
        <v>320</v>
      </c>
      <c r="C99" s="4" t="s">
        <v>321</v>
      </c>
      <c r="D99" s="4" t="s">
        <v>322</v>
      </c>
      <c r="E99" s="4" t="s">
        <v>27</v>
      </c>
      <c r="F99" s="5"/>
    </row>
    <row r="100" spans="1:6">
      <c r="A100" s="8" t="s">
        <v>323</v>
      </c>
      <c r="B100" s="9" t="s">
        <v>324</v>
      </c>
      <c r="C100" s="9" t="s">
        <v>325</v>
      </c>
      <c r="D100" s="9" t="s">
        <v>326</v>
      </c>
      <c r="E100" s="9" t="s">
        <v>327</v>
      </c>
      <c r="F100" s="5"/>
    </row>
    <row r="101" spans="1:6">
      <c r="A101" s="2"/>
      <c r="B101" s="9" t="s">
        <v>328</v>
      </c>
      <c r="C101" s="9" t="s">
        <v>329</v>
      </c>
      <c r="D101" s="9" t="s">
        <v>330</v>
      </c>
      <c r="E101" s="9" t="s">
        <v>327</v>
      </c>
      <c r="F101" s="5"/>
    </row>
    <row r="102" spans="1:6">
      <c r="A102" s="2"/>
      <c r="B102" s="9" t="s">
        <v>331</v>
      </c>
      <c r="C102" s="9" t="s">
        <v>332</v>
      </c>
      <c r="D102" s="9" t="s">
        <v>333</v>
      </c>
      <c r="E102" s="9" t="s">
        <v>327</v>
      </c>
      <c r="F102" s="5"/>
    </row>
    <row r="103" spans="1:6">
      <c r="A103" s="2"/>
      <c r="B103" s="9" t="s">
        <v>334</v>
      </c>
      <c r="C103" s="9" t="s">
        <v>335</v>
      </c>
      <c r="D103" s="9" t="s">
        <v>336</v>
      </c>
      <c r="E103" s="9" t="s">
        <v>27</v>
      </c>
      <c r="F103" s="5"/>
    </row>
    <row r="104" spans="1:6" ht="31.5">
      <c r="A104" s="2"/>
      <c r="B104" s="9" t="s">
        <v>337</v>
      </c>
      <c r="C104" s="9" t="s">
        <v>338</v>
      </c>
      <c r="D104" s="9" t="s">
        <v>339</v>
      </c>
      <c r="E104" s="9" t="s">
        <v>63</v>
      </c>
      <c r="F104" s="5"/>
    </row>
    <row r="105" spans="1:6" ht="31.5">
      <c r="A105" s="2"/>
      <c r="B105" s="9" t="s">
        <v>340</v>
      </c>
      <c r="C105" s="9" t="s">
        <v>341</v>
      </c>
      <c r="D105" s="9" t="s">
        <v>342</v>
      </c>
      <c r="E105" s="9" t="s">
        <v>63</v>
      </c>
      <c r="F105" s="5"/>
    </row>
    <row r="106" spans="1:6" ht="31.5">
      <c r="A106" s="2"/>
      <c r="B106" s="9" t="s">
        <v>343</v>
      </c>
      <c r="C106" s="9" t="s">
        <v>344</v>
      </c>
      <c r="D106" s="9" t="s">
        <v>345</v>
      </c>
      <c r="E106" s="9" t="s">
        <v>63</v>
      </c>
      <c r="F106" s="5"/>
    </row>
    <row r="107" spans="1:6" ht="31.5">
      <c r="A107" s="2"/>
      <c r="B107" s="9" t="s">
        <v>346</v>
      </c>
      <c r="C107" s="9" t="s">
        <v>347</v>
      </c>
      <c r="D107" s="9" t="s">
        <v>348</v>
      </c>
      <c r="E107" s="9" t="s">
        <v>31</v>
      </c>
      <c r="F107" s="5"/>
    </row>
    <row r="108" spans="1:6">
      <c r="A108" s="2"/>
      <c r="B108" s="9" t="s">
        <v>349</v>
      </c>
      <c r="C108" s="9" t="s">
        <v>350</v>
      </c>
      <c r="D108" s="9" t="s">
        <v>351</v>
      </c>
      <c r="E108" s="9" t="s">
        <v>27</v>
      </c>
      <c r="F108" s="5"/>
    </row>
    <row r="109" spans="1:6" ht="31.5">
      <c r="A109" s="2"/>
      <c r="B109" s="9" t="s">
        <v>352</v>
      </c>
      <c r="C109" s="9" t="s">
        <v>353</v>
      </c>
      <c r="D109" s="9" t="s">
        <v>354</v>
      </c>
      <c r="E109" s="9" t="s">
        <v>27</v>
      </c>
      <c r="F109" s="5"/>
    </row>
    <row r="110" spans="1:6">
      <c r="A110" s="2"/>
      <c r="B110" s="10" t="s">
        <v>355</v>
      </c>
      <c r="C110" s="10" t="s">
        <v>356</v>
      </c>
      <c r="D110" s="10" t="s">
        <v>357</v>
      </c>
      <c r="E110" s="9" t="s">
        <v>54</v>
      </c>
      <c r="F110" s="5"/>
    </row>
    <row r="111" spans="1:6" ht="31.5">
      <c r="A111" s="2"/>
      <c r="B111" s="10" t="s">
        <v>358</v>
      </c>
      <c r="C111" s="10" t="s">
        <v>359</v>
      </c>
      <c r="D111" s="10" t="s">
        <v>44</v>
      </c>
      <c r="E111" s="9" t="s">
        <v>67</v>
      </c>
      <c r="F111" s="5"/>
    </row>
    <row r="112" spans="1:6">
      <c r="A112" s="2"/>
      <c r="B112" s="10" t="s">
        <v>360</v>
      </c>
      <c r="C112" s="10" t="s">
        <v>361</v>
      </c>
      <c r="D112" s="10" t="s">
        <v>362</v>
      </c>
      <c r="E112" s="9" t="s">
        <v>27</v>
      </c>
      <c r="F112" s="5"/>
    </row>
    <row r="113" spans="1:6" ht="31.5">
      <c r="A113" s="2"/>
      <c r="B113" s="9" t="s">
        <v>363</v>
      </c>
      <c r="C113" s="9" t="s">
        <v>364</v>
      </c>
      <c r="D113" s="9" t="s">
        <v>365</v>
      </c>
      <c r="E113" s="9" t="s">
        <v>54</v>
      </c>
      <c r="F113" s="5"/>
    </row>
    <row r="114" spans="1:6" ht="31.5">
      <c r="A114" s="8"/>
      <c r="B114" s="9" t="s">
        <v>366</v>
      </c>
      <c r="C114" s="9" t="s">
        <v>367</v>
      </c>
      <c r="D114" s="9" t="s">
        <v>368</v>
      </c>
      <c r="E114" s="10" t="s">
        <v>63</v>
      </c>
      <c r="F114" s="5"/>
    </row>
    <row r="115" spans="1:6">
      <c r="A115" s="2"/>
      <c r="B115" s="10" t="s">
        <v>369</v>
      </c>
      <c r="C115" s="10" t="s">
        <v>370</v>
      </c>
      <c r="D115" s="10" t="s">
        <v>371</v>
      </c>
      <c r="E115" s="10" t="s">
        <v>27</v>
      </c>
      <c r="F115" s="5"/>
    </row>
    <row r="116" spans="1:6">
      <c r="A116" s="2"/>
      <c r="B116" s="10" t="s">
        <v>372</v>
      </c>
      <c r="C116" s="10" t="s">
        <v>373</v>
      </c>
      <c r="D116" s="10" t="s">
        <v>374</v>
      </c>
      <c r="E116" s="10" t="s">
        <v>27</v>
      </c>
      <c r="F116" s="5"/>
    </row>
    <row r="117" spans="1:6">
      <c r="A117" s="3" t="s">
        <v>375</v>
      </c>
      <c r="B117" s="7" t="s">
        <v>376</v>
      </c>
      <c r="C117" s="7" t="s">
        <v>377</v>
      </c>
      <c r="D117" s="7" t="s">
        <v>378</v>
      </c>
      <c r="E117" s="7" t="s">
        <v>63</v>
      </c>
      <c r="F117" s="5"/>
    </row>
    <row r="118" spans="1:6">
      <c r="A118" s="3"/>
      <c r="B118" s="7" t="s">
        <v>379</v>
      </c>
      <c r="C118" s="7" t="s">
        <v>380</v>
      </c>
      <c r="D118" s="7" t="s">
        <v>381</v>
      </c>
      <c r="E118" s="7" t="s">
        <v>63</v>
      </c>
      <c r="F118" s="5"/>
    </row>
    <row r="119" spans="1:6">
      <c r="A119" s="3"/>
      <c r="B119" s="7" t="s">
        <v>382</v>
      </c>
      <c r="C119" s="7" t="s">
        <v>383</v>
      </c>
      <c r="D119" s="7" t="s">
        <v>384</v>
      </c>
      <c r="E119" s="7" t="s">
        <v>63</v>
      </c>
      <c r="F119" s="5"/>
    </row>
    <row r="120" spans="1:6">
      <c r="A120" s="3"/>
      <c r="B120" s="7" t="s">
        <v>385</v>
      </c>
      <c r="C120" s="7" t="s">
        <v>386</v>
      </c>
      <c r="D120" s="7" t="s">
        <v>387</v>
      </c>
      <c r="E120" s="7" t="s">
        <v>63</v>
      </c>
      <c r="F120" s="5"/>
    </row>
    <row r="121" spans="1:6">
      <c r="A121" s="3"/>
      <c r="B121" s="7" t="s">
        <v>388</v>
      </c>
      <c r="C121" s="7" t="s">
        <v>389</v>
      </c>
      <c r="D121" s="7" t="s">
        <v>390</v>
      </c>
      <c r="E121" s="7" t="s">
        <v>63</v>
      </c>
      <c r="F121" s="5"/>
    </row>
    <row r="122" spans="1:6">
      <c r="A122" s="3"/>
      <c r="B122" s="4" t="s">
        <v>391</v>
      </c>
      <c r="C122" s="4" t="s">
        <v>392</v>
      </c>
      <c r="D122" s="4" t="s">
        <v>393</v>
      </c>
      <c r="E122" s="4" t="s">
        <v>63</v>
      </c>
      <c r="F122" s="5"/>
    </row>
    <row r="123" spans="1:6">
      <c r="A123" s="3"/>
      <c r="B123" s="4" t="s">
        <v>394</v>
      </c>
      <c r="C123" s="4" t="s">
        <v>395</v>
      </c>
      <c r="D123" s="4" t="s">
        <v>396</v>
      </c>
      <c r="E123" s="4" t="s">
        <v>63</v>
      </c>
      <c r="F123" s="5"/>
    </row>
    <row r="124" spans="1:6">
      <c r="A124" s="3"/>
      <c r="B124" s="4" t="s">
        <v>397</v>
      </c>
      <c r="C124" s="4" t="s">
        <v>398</v>
      </c>
      <c r="D124" s="4" t="s">
        <v>399</v>
      </c>
      <c r="E124" s="4" t="s">
        <v>63</v>
      </c>
      <c r="F124" s="5"/>
    </row>
    <row r="125" spans="1:6">
      <c r="A125" s="6"/>
      <c r="B125" s="4" t="s">
        <v>400</v>
      </c>
      <c r="C125" s="4" t="s">
        <v>401</v>
      </c>
      <c r="D125" s="4" t="s">
        <v>402</v>
      </c>
      <c r="E125" s="4" t="s">
        <v>63</v>
      </c>
      <c r="F125" s="5"/>
    </row>
    <row r="126" spans="1:6">
      <c r="A126" s="3"/>
      <c r="B126" s="4" t="s">
        <v>403</v>
      </c>
      <c r="C126" s="4" t="s">
        <v>404</v>
      </c>
      <c r="D126" s="4" t="s">
        <v>405</v>
      </c>
      <c r="E126" s="4" t="s">
        <v>63</v>
      </c>
      <c r="F126" s="5"/>
    </row>
    <row r="127" spans="1:6">
      <c r="A127" s="3"/>
      <c r="B127" s="7" t="s">
        <v>406</v>
      </c>
      <c r="C127" s="7" t="s">
        <v>407</v>
      </c>
      <c r="D127" s="7" t="s">
        <v>408</v>
      </c>
      <c r="E127" s="7" t="s">
        <v>81</v>
      </c>
      <c r="F127" s="5"/>
    </row>
    <row r="128" spans="1:6">
      <c r="A128" s="3"/>
      <c r="B128" s="4" t="s">
        <v>409</v>
      </c>
      <c r="C128" s="4" t="s">
        <v>410</v>
      </c>
      <c r="D128" s="4" t="s">
        <v>411</v>
      </c>
      <c r="E128" s="4" t="s">
        <v>81</v>
      </c>
      <c r="F128" s="5"/>
    </row>
    <row r="129" spans="1:6">
      <c r="A129" s="3"/>
      <c r="B129" s="7" t="s">
        <v>412</v>
      </c>
      <c r="C129" s="7" t="s">
        <v>413</v>
      </c>
      <c r="D129" s="7" t="s">
        <v>414</v>
      </c>
      <c r="E129" s="7" t="s">
        <v>63</v>
      </c>
      <c r="F129" s="5"/>
    </row>
    <row r="130" spans="1:6">
      <c r="A130" s="8" t="s">
        <v>415</v>
      </c>
      <c r="B130" s="10" t="s">
        <v>416</v>
      </c>
      <c r="C130" s="10" t="s">
        <v>417</v>
      </c>
      <c r="D130" s="10" t="s">
        <v>418</v>
      </c>
      <c r="E130" s="10" t="s">
        <v>63</v>
      </c>
      <c r="F130" s="5"/>
    </row>
    <row r="131" spans="1:6">
      <c r="A131" s="2"/>
      <c r="B131" s="10" t="s">
        <v>419</v>
      </c>
      <c r="C131" s="10" t="s">
        <v>420</v>
      </c>
      <c r="D131" s="10" t="s">
        <v>421</v>
      </c>
      <c r="E131" s="10" t="s">
        <v>63</v>
      </c>
      <c r="F131" s="5"/>
    </row>
    <row r="132" spans="1:6">
      <c r="A132" s="2"/>
      <c r="B132" s="10" t="s">
        <v>422</v>
      </c>
      <c r="C132" s="10" t="s">
        <v>423</v>
      </c>
      <c r="D132" s="10" t="s">
        <v>424</v>
      </c>
      <c r="E132" s="10" t="s">
        <v>63</v>
      </c>
      <c r="F132" s="5"/>
    </row>
    <row r="133" spans="1:6">
      <c r="A133" s="2"/>
      <c r="B133" s="10" t="s">
        <v>425</v>
      </c>
      <c r="C133" s="10" t="s">
        <v>426</v>
      </c>
      <c r="D133" s="10" t="s">
        <v>427</v>
      </c>
      <c r="E133" s="10" t="s">
        <v>63</v>
      </c>
      <c r="F133" s="5"/>
    </row>
    <row r="134" spans="1:6">
      <c r="A134" s="1"/>
      <c r="B134" s="5"/>
      <c r="C134" s="5"/>
      <c r="D134" s="5"/>
      <c r="E134" s="5"/>
      <c r="F134" s="5"/>
    </row>
    <row r="135" spans="1:6">
      <c r="A135" s="301" t="s">
        <v>428</v>
      </c>
      <c r="B135" s="302"/>
      <c r="C135" s="302"/>
      <c r="D135" s="302"/>
      <c r="E135" s="302"/>
      <c r="F135" s="302"/>
    </row>
    <row r="136" spans="1:6">
      <c r="A136" s="3" t="s">
        <v>6</v>
      </c>
      <c r="B136" s="12" t="s">
        <v>429</v>
      </c>
      <c r="C136" s="12" t="s">
        <v>430</v>
      </c>
      <c r="D136" s="12" t="s">
        <v>431</v>
      </c>
      <c r="E136" s="12" t="s">
        <v>431</v>
      </c>
      <c r="F136" s="13"/>
    </row>
    <row r="137" spans="1:6">
      <c r="A137" s="8" t="s">
        <v>32</v>
      </c>
      <c r="B137" s="14" t="s">
        <v>432</v>
      </c>
      <c r="C137" s="14" t="s">
        <v>433</v>
      </c>
      <c r="D137" s="14" t="s">
        <v>431</v>
      </c>
      <c r="E137" s="15" t="s">
        <v>431</v>
      </c>
      <c r="F137" s="13"/>
    </row>
    <row r="138" spans="1:6">
      <c r="A138" s="16"/>
      <c r="B138" s="14" t="s">
        <v>434</v>
      </c>
      <c r="C138" s="14" t="s">
        <v>435</v>
      </c>
      <c r="D138" s="14" t="s">
        <v>431</v>
      </c>
      <c r="E138" s="15" t="s">
        <v>431</v>
      </c>
      <c r="F138" s="13"/>
    </row>
    <row r="139" spans="1:6" ht="31.5">
      <c r="A139" s="17" t="s">
        <v>255</v>
      </c>
      <c r="B139" s="18" t="s">
        <v>436</v>
      </c>
      <c r="C139" s="18" t="s">
        <v>437</v>
      </c>
      <c r="D139" s="18" t="s">
        <v>431</v>
      </c>
      <c r="E139" s="18" t="s">
        <v>431</v>
      </c>
      <c r="F139" s="13"/>
    </row>
    <row r="140" spans="1:6">
      <c r="A140" s="19"/>
      <c r="B140" s="18" t="s">
        <v>438</v>
      </c>
      <c r="C140" s="18" t="s">
        <v>439</v>
      </c>
      <c r="D140" s="18" t="s">
        <v>431</v>
      </c>
      <c r="E140" s="18" t="s">
        <v>431</v>
      </c>
      <c r="F140" s="13"/>
    </row>
    <row r="141" spans="1:6">
      <c r="A141" s="19"/>
      <c r="B141" s="18" t="s">
        <v>440</v>
      </c>
      <c r="C141" s="18" t="s">
        <v>441</v>
      </c>
      <c r="D141" s="18" t="s">
        <v>431</v>
      </c>
      <c r="E141" s="18" t="s">
        <v>431</v>
      </c>
      <c r="F141" s="13"/>
    </row>
    <row r="142" spans="1:6">
      <c r="A142" s="17"/>
      <c r="B142" s="18" t="s">
        <v>442</v>
      </c>
      <c r="C142" s="18" t="s">
        <v>443</v>
      </c>
      <c r="D142" s="18" t="s">
        <v>431</v>
      </c>
      <c r="E142" s="18" t="s">
        <v>431</v>
      </c>
      <c r="F142" s="13"/>
    </row>
    <row r="143" spans="1:6">
      <c r="A143" s="19"/>
      <c r="B143" s="20" t="s">
        <v>444</v>
      </c>
      <c r="C143" s="20" t="s">
        <v>445</v>
      </c>
      <c r="D143" s="20" t="s">
        <v>431</v>
      </c>
      <c r="E143" s="20" t="s">
        <v>431</v>
      </c>
      <c r="F143" s="13"/>
    </row>
    <row r="144" spans="1:6">
      <c r="A144" s="8" t="s">
        <v>285</v>
      </c>
      <c r="B144" s="15" t="s">
        <v>446</v>
      </c>
      <c r="C144" s="15" t="s">
        <v>447</v>
      </c>
      <c r="D144" s="15" t="s">
        <v>431</v>
      </c>
      <c r="E144" s="15" t="s">
        <v>431</v>
      </c>
      <c r="F144" s="13"/>
    </row>
    <row r="145" spans="1:6">
      <c r="A145" s="16"/>
      <c r="B145" s="15" t="s">
        <v>448</v>
      </c>
      <c r="C145" s="15" t="s">
        <v>449</v>
      </c>
      <c r="D145" s="15" t="s">
        <v>431</v>
      </c>
      <c r="E145" s="15" t="s">
        <v>431</v>
      </c>
      <c r="F145" s="13"/>
    </row>
    <row r="146" spans="1:6">
      <c r="A146" s="16"/>
      <c r="B146" s="15" t="s">
        <v>450</v>
      </c>
      <c r="C146" s="15" t="s">
        <v>451</v>
      </c>
      <c r="D146" s="15" t="s">
        <v>431</v>
      </c>
      <c r="E146" s="15" t="s">
        <v>431</v>
      </c>
      <c r="F146" s="13"/>
    </row>
    <row r="147" spans="1:6">
      <c r="A147" s="16"/>
      <c r="B147" s="15" t="s">
        <v>452</v>
      </c>
      <c r="C147" s="15" t="s">
        <v>453</v>
      </c>
      <c r="D147" s="15" t="s">
        <v>431</v>
      </c>
      <c r="E147" s="15" t="s">
        <v>431</v>
      </c>
      <c r="F147" s="13"/>
    </row>
    <row r="148" spans="1:6">
      <c r="A148" s="6" t="s">
        <v>292</v>
      </c>
      <c r="B148" s="20" t="s">
        <v>454</v>
      </c>
      <c r="C148" s="20" t="s">
        <v>455</v>
      </c>
      <c r="D148" s="20" t="s">
        <v>431</v>
      </c>
      <c r="E148" s="20" t="s">
        <v>431</v>
      </c>
      <c r="F148" s="13"/>
    </row>
    <row r="149" spans="1:6">
      <c r="A149" s="19"/>
      <c r="B149" s="20" t="s">
        <v>456</v>
      </c>
      <c r="C149" s="20" t="s">
        <v>457</v>
      </c>
      <c r="D149" s="20" t="s">
        <v>431</v>
      </c>
      <c r="E149" s="20" t="s">
        <v>431</v>
      </c>
      <c r="F149" s="13"/>
    </row>
    <row r="150" spans="1:6">
      <c r="A150" s="8" t="s">
        <v>323</v>
      </c>
      <c r="B150" s="15" t="s">
        <v>458</v>
      </c>
      <c r="C150" s="15" t="s">
        <v>459</v>
      </c>
      <c r="D150" s="15" t="s">
        <v>431</v>
      </c>
      <c r="E150" s="15" t="s">
        <v>431</v>
      </c>
      <c r="F150" s="13"/>
    </row>
    <row r="151" spans="1:6" ht="31.5">
      <c r="A151" s="16"/>
      <c r="B151" s="15" t="s">
        <v>460</v>
      </c>
      <c r="C151" s="15" t="s">
        <v>461</v>
      </c>
      <c r="D151" s="15" t="s">
        <v>431</v>
      </c>
      <c r="E151" s="15" t="s">
        <v>431</v>
      </c>
      <c r="F151" s="13"/>
    </row>
    <row r="152" spans="1:6" ht="31.5">
      <c r="A152" s="16"/>
      <c r="B152" s="15" t="s">
        <v>462</v>
      </c>
      <c r="C152" s="15" t="s">
        <v>463</v>
      </c>
      <c r="D152" s="15" t="s">
        <v>431</v>
      </c>
      <c r="E152" s="15" t="s">
        <v>431</v>
      </c>
      <c r="F152" s="13"/>
    </row>
    <row r="153" spans="1:6" ht="31.5">
      <c r="A153" s="16"/>
      <c r="B153" s="15" t="s">
        <v>464</v>
      </c>
      <c r="C153" s="15" t="s">
        <v>465</v>
      </c>
      <c r="D153" s="15" t="s">
        <v>431</v>
      </c>
      <c r="E153" s="15" t="s">
        <v>431</v>
      </c>
      <c r="F153" s="13"/>
    </row>
    <row r="154" spans="1:6" ht="31.5">
      <c r="A154" s="16"/>
      <c r="B154" s="15" t="s">
        <v>466</v>
      </c>
      <c r="C154" s="15" t="s">
        <v>467</v>
      </c>
      <c r="D154" s="15" t="s">
        <v>431</v>
      </c>
      <c r="E154" s="15" t="s">
        <v>431</v>
      </c>
      <c r="F154" s="13"/>
    </row>
    <row r="155" spans="1:6">
      <c r="A155" s="16"/>
      <c r="B155" s="15" t="s">
        <v>468</v>
      </c>
      <c r="C155" s="15" t="s">
        <v>469</v>
      </c>
      <c r="D155" s="15" t="s">
        <v>431</v>
      </c>
      <c r="E155" s="15" t="s">
        <v>431</v>
      </c>
      <c r="F155" s="13"/>
    </row>
    <row r="156" spans="1:6">
      <c r="A156" s="16"/>
      <c r="B156" s="14" t="s">
        <v>470</v>
      </c>
      <c r="C156" s="14" t="s">
        <v>471</v>
      </c>
      <c r="D156" s="14" t="s">
        <v>431</v>
      </c>
      <c r="E156" s="14" t="s">
        <v>431</v>
      </c>
      <c r="F156" s="13"/>
    </row>
    <row r="157" spans="1:6">
      <c r="A157" s="16"/>
      <c r="B157" s="14" t="s">
        <v>472</v>
      </c>
      <c r="C157" s="14" t="s">
        <v>473</v>
      </c>
      <c r="D157" s="14" t="s">
        <v>431</v>
      </c>
      <c r="E157" s="14" t="s">
        <v>431</v>
      </c>
      <c r="F157" s="13"/>
    </row>
    <row r="158" spans="1:6">
      <c r="A158" s="16"/>
      <c r="B158" s="14" t="s">
        <v>474</v>
      </c>
      <c r="C158" s="14" t="s">
        <v>475</v>
      </c>
      <c r="D158" s="14" t="s">
        <v>431</v>
      </c>
      <c r="E158" s="14" t="s">
        <v>431</v>
      </c>
      <c r="F158" s="13"/>
    </row>
    <row r="159" spans="1:6">
      <c r="A159" s="16"/>
      <c r="B159" s="14" t="s">
        <v>476</v>
      </c>
      <c r="C159" s="14" t="s">
        <v>477</v>
      </c>
      <c r="D159" s="14" t="s">
        <v>431</v>
      </c>
      <c r="E159" s="14" t="s">
        <v>431</v>
      </c>
      <c r="F159" s="13"/>
    </row>
    <row r="160" spans="1:6">
      <c r="A160" s="16"/>
      <c r="B160" s="14" t="s">
        <v>478</v>
      </c>
      <c r="C160" s="14" t="s">
        <v>479</v>
      </c>
      <c r="D160" s="14" t="s">
        <v>431</v>
      </c>
      <c r="E160" s="14" t="s">
        <v>431</v>
      </c>
      <c r="F160" s="13"/>
    </row>
    <row r="161" spans="1:6">
      <c r="A161" s="16"/>
      <c r="B161" s="14" t="s">
        <v>480</v>
      </c>
      <c r="C161" s="14" t="s">
        <v>481</v>
      </c>
      <c r="D161" s="14" t="s">
        <v>431</v>
      </c>
      <c r="E161" s="14" t="s">
        <v>431</v>
      </c>
      <c r="F161" s="13"/>
    </row>
    <row r="162" spans="1:6">
      <c r="A162" s="16"/>
      <c r="B162" s="14" t="s">
        <v>482</v>
      </c>
      <c r="C162" s="14" t="s">
        <v>483</v>
      </c>
      <c r="D162" s="14" t="s">
        <v>431</v>
      </c>
      <c r="E162" s="14" t="s">
        <v>431</v>
      </c>
      <c r="F162" s="13"/>
    </row>
    <row r="163" spans="1:6">
      <c r="A163" s="16"/>
      <c r="B163" s="14" t="s">
        <v>484</v>
      </c>
      <c r="C163" s="14" t="s">
        <v>485</v>
      </c>
      <c r="D163" s="14" t="s">
        <v>431</v>
      </c>
      <c r="E163" s="14" t="s">
        <v>431</v>
      </c>
      <c r="F163" s="13"/>
    </row>
    <row r="164" spans="1:6">
      <c r="A164" s="16"/>
      <c r="B164" s="14" t="s">
        <v>486</v>
      </c>
      <c r="C164" s="14" t="s">
        <v>487</v>
      </c>
      <c r="D164" s="14" t="s">
        <v>431</v>
      </c>
      <c r="E164" s="14" t="s">
        <v>431</v>
      </c>
      <c r="F164" s="13"/>
    </row>
    <row r="165" spans="1:6">
      <c r="A165" s="16"/>
      <c r="B165" s="14" t="s">
        <v>488</v>
      </c>
      <c r="C165" s="14" t="s">
        <v>489</v>
      </c>
      <c r="D165" s="14" t="s">
        <v>431</v>
      </c>
      <c r="E165" s="14" t="s">
        <v>431</v>
      </c>
      <c r="F165" s="13"/>
    </row>
    <row r="166" spans="1:6">
      <c r="A166" s="16"/>
      <c r="B166" s="14" t="s">
        <v>490</v>
      </c>
      <c r="C166" s="14" t="s">
        <v>491</v>
      </c>
      <c r="D166" s="14" t="s">
        <v>431</v>
      </c>
      <c r="E166" s="14" t="s">
        <v>431</v>
      </c>
      <c r="F166" s="13"/>
    </row>
    <row r="167" spans="1:6">
      <c r="A167" s="3" t="s">
        <v>375</v>
      </c>
      <c r="B167" s="20" t="s">
        <v>492</v>
      </c>
      <c r="C167" s="20" t="s">
        <v>493</v>
      </c>
      <c r="D167" s="20" t="s">
        <v>431</v>
      </c>
      <c r="E167" s="20" t="s">
        <v>431</v>
      </c>
      <c r="F167" s="13"/>
    </row>
    <row r="168" spans="1:6">
      <c r="A168" s="19"/>
      <c r="B168" s="18" t="s">
        <v>494</v>
      </c>
      <c r="C168" s="18" t="s">
        <v>495</v>
      </c>
      <c r="D168" s="18" t="s">
        <v>431</v>
      </c>
      <c r="E168" s="18" t="s">
        <v>431</v>
      </c>
      <c r="F168" s="13"/>
    </row>
    <row r="169" spans="1:6">
      <c r="A169" s="19"/>
      <c r="B169" s="20" t="s">
        <v>496</v>
      </c>
      <c r="C169" s="20" t="s">
        <v>497</v>
      </c>
      <c r="D169" s="20" t="s">
        <v>431</v>
      </c>
      <c r="E169" s="20" t="s">
        <v>431</v>
      </c>
      <c r="F169" s="13"/>
    </row>
    <row r="170" spans="1:6">
      <c r="A170" s="8" t="s">
        <v>415</v>
      </c>
      <c r="B170" s="14" t="s">
        <v>498</v>
      </c>
      <c r="C170" s="14" t="s">
        <v>499</v>
      </c>
      <c r="D170" s="14" t="s">
        <v>431</v>
      </c>
      <c r="E170" s="14" t="s">
        <v>431</v>
      </c>
      <c r="F170" s="13"/>
    </row>
    <row r="171" spans="1:6">
      <c r="A171" s="16"/>
      <c r="B171" s="14" t="s">
        <v>500</v>
      </c>
      <c r="C171" s="14" t="s">
        <v>501</v>
      </c>
      <c r="D171" s="14" t="s">
        <v>431</v>
      </c>
      <c r="E171" s="14" t="s">
        <v>431</v>
      </c>
      <c r="F171" s="13"/>
    </row>
    <row r="172" spans="1:6">
      <c r="A172" s="16"/>
      <c r="B172" s="14" t="s">
        <v>502</v>
      </c>
      <c r="C172" s="14" t="s">
        <v>503</v>
      </c>
      <c r="D172" s="14" t="s">
        <v>431</v>
      </c>
      <c r="E172" s="14" t="s">
        <v>431</v>
      </c>
      <c r="F172" s="13"/>
    </row>
    <row r="173" spans="1:6">
      <c r="A173" s="16"/>
      <c r="B173" s="14" t="s">
        <v>504</v>
      </c>
      <c r="C173" s="14" t="s">
        <v>505</v>
      </c>
      <c r="D173" s="14" t="s">
        <v>431</v>
      </c>
      <c r="E173" s="14" t="s">
        <v>431</v>
      </c>
      <c r="F173" s="13"/>
    </row>
    <row r="174" spans="1:6">
      <c r="A174" s="16"/>
      <c r="B174" s="14" t="s">
        <v>506</v>
      </c>
      <c r="C174" s="14" t="s">
        <v>507</v>
      </c>
      <c r="D174" s="14" t="s">
        <v>431</v>
      </c>
      <c r="E174" s="14" t="s">
        <v>431</v>
      </c>
      <c r="F174" s="13"/>
    </row>
    <row r="175" spans="1:6">
      <c r="A175" s="16"/>
      <c r="B175" s="14" t="s">
        <v>508</v>
      </c>
      <c r="C175" s="14" t="s">
        <v>509</v>
      </c>
      <c r="D175" s="14" t="s">
        <v>431</v>
      </c>
      <c r="E175" s="14" t="s">
        <v>431</v>
      </c>
      <c r="F175" s="13"/>
    </row>
    <row r="176" spans="1:6">
      <c r="A176" s="16"/>
      <c r="B176" s="14" t="s">
        <v>510</v>
      </c>
      <c r="C176" s="14" t="s">
        <v>511</v>
      </c>
      <c r="D176" s="14" t="s">
        <v>431</v>
      </c>
      <c r="E176" s="14" t="s">
        <v>431</v>
      </c>
      <c r="F176" s="13"/>
    </row>
    <row r="177" spans="1:6">
      <c r="A177" s="16"/>
      <c r="B177" s="15" t="s">
        <v>512</v>
      </c>
      <c r="C177" s="15" t="s">
        <v>513</v>
      </c>
      <c r="D177" s="15" t="s">
        <v>431</v>
      </c>
      <c r="E177" s="15" t="s">
        <v>431</v>
      </c>
      <c r="F177" s="13"/>
    </row>
    <row r="178" spans="1:6">
      <c r="A178" s="16"/>
      <c r="B178" s="14" t="s">
        <v>514</v>
      </c>
      <c r="C178" s="14" t="s">
        <v>515</v>
      </c>
      <c r="D178" s="14" t="s">
        <v>431</v>
      </c>
      <c r="E178" s="14" t="s">
        <v>431</v>
      </c>
      <c r="F178" s="13"/>
    </row>
    <row r="179" spans="1:6">
      <c r="A179" s="21" t="s">
        <v>516</v>
      </c>
      <c r="B179" s="20" t="s">
        <v>517</v>
      </c>
      <c r="C179" s="20" t="s">
        <v>518</v>
      </c>
      <c r="D179" s="20" t="s">
        <v>431</v>
      </c>
      <c r="E179" s="20" t="s">
        <v>431</v>
      </c>
      <c r="F179" s="13"/>
    </row>
    <row r="180" spans="1:6">
      <c r="A180" s="19"/>
      <c r="B180" s="20" t="s">
        <v>519</v>
      </c>
      <c r="C180" s="20" t="s">
        <v>520</v>
      </c>
      <c r="D180" s="20" t="s">
        <v>431</v>
      </c>
      <c r="E180" s="20" t="s">
        <v>431</v>
      </c>
      <c r="F180" s="13"/>
    </row>
    <row r="181" spans="1:6">
      <c r="A181" s="1"/>
      <c r="B181" s="5"/>
      <c r="C181" s="5"/>
      <c r="D181" s="5"/>
      <c r="E181" s="5"/>
      <c r="F181" s="5"/>
    </row>
  </sheetData>
  <mergeCells count="2">
    <mergeCell ref="A1:E1"/>
    <mergeCell ref="A135:F135"/>
  </mergeCells>
  <conditionalFormatting sqref="F134 F136:F181">
    <cfRule type="cellIs" dxfId="9" priority="1" operator="equal">
      <formula>"TRUE"</formula>
    </cfRule>
  </conditionalFormatting>
  <hyperlinks>
    <hyperlink ref="D78" location="Events!A1" display="Events"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Q115"/>
  <sheetViews>
    <sheetView workbookViewId="0">
      <pane ySplit="3" topLeftCell="A4" activePane="bottomLeft" state="frozen"/>
      <selection pane="bottomLeft" activeCell="O16" sqref="O16"/>
    </sheetView>
  </sheetViews>
  <sheetFormatPr defaultColWidth="12.5703125" defaultRowHeight="15.75" customHeight="1"/>
  <cols>
    <col min="1" max="1" width="1.7109375" customWidth="1"/>
    <col min="2" max="2" width="6.7109375" customWidth="1"/>
    <col min="3" max="3" width="5.42578125" customWidth="1"/>
    <col min="4" max="4" width="6.28515625" customWidth="1"/>
    <col min="6" max="6" width="4.85546875" customWidth="1"/>
    <col min="7" max="7" width="7" customWidth="1"/>
    <col min="8" max="13" width="6.42578125" customWidth="1"/>
    <col min="14" max="14" width="9.28515625" customWidth="1"/>
    <col min="15" max="15" width="8" customWidth="1"/>
    <col min="16" max="16" width="41" customWidth="1"/>
    <col min="17" max="17" width="13.7109375" customWidth="1"/>
  </cols>
  <sheetData>
    <row r="1" spans="1:17">
      <c r="A1" s="303" t="s">
        <v>521</v>
      </c>
      <c r="B1" s="302"/>
      <c r="C1" s="302"/>
      <c r="D1" s="302"/>
      <c r="E1" s="302"/>
      <c r="F1" s="302"/>
      <c r="G1" s="302"/>
      <c r="H1" s="302"/>
      <c r="I1" s="302"/>
      <c r="J1" s="302"/>
      <c r="K1" s="302"/>
      <c r="L1" s="302"/>
      <c r="M1" s="302"/>
      <c r="N1" s="302"/>
      <c r="O1" s="302"/>
      <c r="P1" s="302"/>
      <c r="Q1" s="23"/>
    </row>
    <row r="2" spans="1:17" ht="30.75" customHeight="1">
      <c r="A2" s="24"/>
      <c r="B2" s="25" t="s">
        <v>522</v>
      </c>
      <c r="C2" s="25" t="s">
        <v>523</v>
      </c>
      <c r="D2" s="25" t="s">
        <v>524</v>
      </c>
      <c r="E2" s="25" t="s">
        <v>525</v>
      </c>
      <c r="F2" s="26" t="s">
        <v>526</v>
      </c>
      <c r="G2" s="25" t="s">
        <v>527</v>
      </c>
      <c r="H2" s="304" t="s">
        <v>528</v>
      </c>
      <c r="I2" s="305"/>
      <c r="J2" s="305"/>
      <c r="K2" s="305"/>
      <c r="L2" s="305"/>
      <c r="M2" s="306"/>
      <c r="N2" s="27" t="s">
        <v>529</v>
      </c>
      <c r="O2" s="28" t="s">
        <v>530</v>
      </c>
      <c r="P2" s="28" t="s">
        <v>531</v>
      </c>
      <c r="Q2" s="29"/>
    </row>
    <row r="3" spans="1:17">
      <c r="A3" s="23"/>
      <c r="B3" s="30"/>
      <c r="C3" s="30"/>
      <c r="D3" s="30"/>
      <c r="E3" s="21"/>
      <c r="F3" s="31"/>
      <c r="G3" s="30"/>
      <c r="H3" s="32" t="s">
        <v>532</v>
      </c>
      <c r="I3" s="32" t="s">
        <v>533</v>
      </c>
      <c r="J3" s="32" t="s">
        <v>534</v>
      </c>
      <c r="K3" s="32" t="s">
        <v>535</v>
      </c>
      <c r="L3" s="32" t="s">
        <v>536</v>
      </c>
      <c r="M3" s="32" t="s">
        <v>537</v>
      </c>
      <c r="N3" s="33"/>
      <c r="O3" s="34"/>
      <c r="P3" s="34"/>
      <c r="Q3" s="23"/>
    </row>
    <row r="4" spans="1:17" ht="37.5" customHeight="1">
      <c r="A4" s="23"/>
      <c r="B4" s="35" t="s">
        <v>538</v>
      </c>
      <c r="C4" s="36">
        <v>1</v>
      </c>
      <c r="D4" s="37"/>
      <c r="E4" s="38" t="s">
        <v>539</v>
      </c>
      <c r="F4" s="39">
        <v>4</v>
      </c>
      <c r="G4" s="37"/>
      <c r="H4" s="36"/>
      <c r="I4" s="36"/>
      <c r="J4" s="36"/>
      <c r="K4" s="36"/>
      <c r="L4" s="36"/>
      <c r="M4" s="36"/>
      <c r="N4" s="36"/>
      <c r="O4" s="40"/>
      <c r="P4" s="41"/>
      <c r="Q4" s="23"/>
    </row>
    <row r="5" spans="1:17" ht="37.5" customHeight="1">
      <c r="A5" s="23"/>
      <c r="B5" s="35" t="s">
        <v>538</v>
      </c>
      <c r="C5" s="36">
        <v>1</v>
      </c>
      <c r="D5" s="37"/>
      <c r="E5" s="38" t="s">
        <v>540</v>
      </c>
      <c r="F5" s="39">
        <v>6</v>
      </c>
      <c r="G5" s="37"/>
      <c r="H5" s="36"/>
      <c r="I5" s="36"/>
      <c r="J5" s="36"/>
      <c r="K5" s="36"/>
      <c r="L5" s="36"/>
      <c r="M5" s="36"/>
      <c r="N5" s="36"/>
      <c r="O5" s="40"/>
      <c r="P5" s="40" t="s">
        <v>541</v>
      </c>
      <c r="Q5" s="23"/>
    </row>
    <row r="6" spans="1:17" ht="37.5" customHeight="1">
      <c r="A6" s="23"/>
      <c r="B6" s="35" t="s">
        <v>538</v>
      </c>
      <c r="C6" s="36">
        <v>1</v>
      </c>
      <c r="D6" s="37"/>
      <c r="E6" s="38" t="s">
        <v>542</v>
      </c>
      <c r="F6" s="39">
        <v>3</v>
      </c>
      <c r="G6" s="37"/>
      <c r="H6" s="36"/>
      <c r="I6" s="36"/>
      <c r="J6" s="36"/>
      <c r="K6" s="36"/>
      <c r="L6" s="36"/>
      <c r="M6" s="36"/>
      <c r="N6" s="36"/>
      <c r="O6" s="40"/>
      <c r="P6" s="40" t="s">
        <v>543</v>
      </c>
      <c r="Q6" s="23"/>
    </row>
    <row r="7" spans="1:17" ht="37.5" customHeight="1">
      <c r="A7" s="23"/>
      <c r="B7" s="35" t="s">
        <v>538</v>
      </c>
      <c r="C7" s="36">
        <v>1</v>
      </c>
      <c r="D7" s="37"/>
      <c r="E7" s="38" t="s">
        <v>544</v>
      </c>
      <c r="F7" s="39">
        <v>5</v>
      </c>
      <c r="G7" s="37"/>
      <c r="H7" s="36"/>
      <c r="I7" s="36"/>
      <c r="J7" s="36"/>
      <c r="K7" s="36"/>
      <c r="L7" s="36"/>
      <c r="M7" s="36"/>
      <c r="N7" s="36"/>
      <c r="O7" s="40"/>
      <c r="P7" s="40" t="s">
        <v>545</v>
      </c>
      <c r="Q7" s="23"/>
    </row>
    <row r="8" spans="1:17" ht="37.5" customHeight="1">
      <c r="A8" s="23"/>
      <c r="B8" s="7" t="s">
        <v>546</v>
      </c>
      <c r="C8" s="36">
        <v>1</v>
      </c>
      <c r="D8" s="37"/>
      <c r="E8" s="3" t="s">
        <v>547</v>
      </c>
      <c r="F8" s="42">
        <v>5</v>
      </c>
      <c r="G8" s="37"/>
      <c r="H8" s="36"/>
      <c r="I8" s="36"/>
      <c r="J8" s="36"/>
      <c r="K8" s="36"/>
      <c r="L8" s="36"/>
      <c r="M8" s="36"/>
      <c r="N8" s="36"/>
      <c r="O8" s="40"/>
      <c r="P8" s="41"/>
      <c r="Q8" s="23"/>
    </row>
    <row r="9" spans="1:17" ht="37.5" customHeight="1">
      <c r="A9" s="23"/>
      <c r="B9" s="7" t="s">
        <v>546</v>
      </c>
      <c r="C9" s="36">
        <v>1</v>
      </c>
      <c r="D9" s="37"/>
      <c r="E9" s="3" t="s">
        <v>548</v>
      </c>
      <c r="F9" s="42">
        <v>5</v>
      </c>
      <c r="G9" s="37"/>
      <c r="H9" s="36"/>
      <c r="I9" s="36"/>
      <c r="J9" s="36"/>
      <c r="K9" s="36"/>
      <c r="L9" s="36"/>
      <c r="M9" s="36"/>
      <c r="N9" s="36"/>
      <c r="O9" s="40"/>
      <c r="P9" s="40" t="s">
        <v>541</v>
      </c>
      <c r="Q9" s="23"/>
    </row>
    <row r="10" spans="1:17" ht="37.5" customHeight="1">
      <c r="A10" s="23"/>
      <c r="B10" s="7" t="s">
        <v>546</v>
      </c>
      <c r="C10" s="36">
        <v>1</v>
      </c>
      <c r="D10" s="37"/>
      <c r="E10" s="3" t="s">
        <v>549</v>
      </c>
      <c r="F10" s="42">
        <v>4</v>
      </c>
      <c r="G10" s="37"/>
      <c r="H10" s="36"/>
      <c r="I10" s="36"/>
      <c r="J10" s="36"/>
      <c r="K10" s="36"/>
      <c r="L10" s="36"/>
      <c r="M10" s="36"/>
      <c r="N10" s="36"/>
      <c r="O10" s="40"/>
      <c r="P10" s="40" t="s">
        <v>543</v>
      </c>
      <c r="Q10" s="23"/>
    </row>
    <row r="11" spans="1:17" ht="37.5" customHeight="1">
      <c r="A11" s="23"/>
      <c r="B11" s="7" t="s">
        <v>546</v>
      </c>
      <c r="C11" s="36">
        <v>1</v>
      </c>
      <c r="D11" s="37"/>
      <c r="E11" s="3" t="s">
        <v>550</v>
      </c>
      <c r="F11" s="42">
        <v>6</v>
      </c>
      <c r="G11" s="37"/>
      <c r="H11" s="36"/>
      <c r="I11" s="36"/>
      <c r="J11" s="36"/>
      <c r="K11" s="36"/>
      <c r="L11" s="36"/>
      <c r="M11" s="36"/>
      <c r="N11" s="37"/>
      <c r="O11" s="40"/>
      <c r="P11" s="40" t="s">
        <v>551</v>
      </c>
      <c r="Q11" s="23"/>
    </row>
    <row r="12" spans="1:17" ht="37.5" customHeight="1">
      <c r="A12" s="23"/>
      <c r="B12" s="43" t="s">
        <v>552</v>
      </c>
      <c r="C12" s="36">
        <v>1</v>
      </c>
      <c r="D12" s="37"/>
      <c r="E12" s="44" t="s">
        <v>553</v>
      </c>
      <c r="F12" s="45">
        <v>7</v>
      </c>
      <c r="G12" s="37"/>
      <c r="H12" s="36"/>
      <c r="I12" s="36"/>
      <c r="J12" s="36"/>
      <c r="K12" s="36"/>
      <c r="L12" s="36"/>
      <c r="M12" s="36"/>
      <c r="N12" s="36"/>
      <c r="O12" s="40"/>
      <c r="P12" s="40"/>
      <c r="Q12" s="23"/>
    </row>
    <row r="13" spans="1:17" ht="37.5" customHeight="1">
      <c r="A13" s="23"/>
      <c r="B13" s="43" t="s">
        <v>552</v>
      </c>
      <c r="C13" s="36">
        <v>1</v>
      </c>
      <c r="D13" s="37"/>
      <c r="E13" s="44" t="s">
        <v>554</v>
      </c>
      <c r="F13" s="45">
        <v>6</v>
      </c>
      <c r="G13" s="37"/>
      <c r="H13" s="36"/>
      <c r="I13" s="36"/>
      <c r="J13" s="36"/>
      <c r="K13" s="36"/>
      <c r="L13" s="36"/>
      <c r="M13" s="36"/>
      <c r="N13" s="36"/>
      <c r="O13" s="40"/>
      <c r="P13" s="40" t="s">
        <v>541</v>
      </c>
      <c r="Q13" s="23"/>
    </row>
    <row r="14" spans="1:17" ht="37.5" customHeight="1">
      <c r="A14" s="23"/>
      <c r="B14" s="43" t="s">
        <v>552</v>
      </c>
      <c r="C14" s="36">
        <v>1</v>
      </c>
      <c r="D14" s="37"/>
      <c r="E14" s="44" t="s">
        <v>555</v>
      </c>
      <c r="F14" s="45">
        <v>5</v>
      </c>
      <c r="G14" s="37"/>
      <c r="H14" s="36"/>
      <c r="I14" s="36"/>
      <c r="J14" s="36"/>
      <c r="K14" s="36"/>
      <c r="L14" s="36"/>
      <c r="M14" s="36"/>
      <c r="N14" s="36"/>
      <c r="O14" s="40"/>
      <c r="P14" s="40" t="s">
        <v>543</v>
      </c>
      <c r="Q14" s="23"/>
    </row>
    <row r="15" spans="1:17" ht="37.5" customHeight="1">
      <c r="A15" s="23"/>
      <c r="B15" s="43" t="s">
        <v>552</v>
      </c>
      <c r="C15" s="36">
        <v>1</v>
      </c>
      <c r="D15" s="37"/>
      <c r="E15" s="44" t="s">
        <v>556</v>
      </c>
      <c r="F15" s="45">
        <v>4</v>
      </c>
      <c r="G15" s="37"/>
      <c r="H15" s="36"/>
      <c r="I15" s="36"/>
      <c r="J15" s="36"/>
      <c r="K15" s="36"/>
      <c r="L15" s="36"/>
      <c r="M15" s="36"/>
      <c r="N15" s="36"/>
      <c r="O15" s="40"/>
      <c r="P15" s="40" t="s">
        <v>557</v>
      </c>
      <c r="Q15" s="23"/>
    </row>
    <row r="16" spans="1:17" ht="37.5" customHeight="1">
      <c r="A16" s="23"/>
      <c r="B16" s="46" t="s">
        <v>558</v>
      </c>
      <c r="C16" s="36">
        <v>1</v>
      </c>
      <c r="D16" s="37"/>
      <c r="E16" s="47" t="s">
        <v>559</v>
      </c>
      <c r="F16" s="48">
        <v>5</v>
      </c>
      <c r="G16" s="37"/>
      <c r="H16" s="36"/>
      <c r="I16" s="36"/>
      <c r="J16" s="36"/>
      <c r="K16" s="36"/>
      <c r="L16" s="36"/>
      <c r="M16" s="36"/>
      <c r="N16" s="36"/>
      <c r="O16" s="40"/>
      <c r="P16" s="40"/>
      <c r="Q16" s="23"/>
    </row>
    <row r="17" spans="1:17" ht="37.5" customHeight="1">
      <c r="A17" s="23"/>
      <c r="B17" s="46" t="s">
        <v>558</v>
      </c>
      <c r="C17" s="36">
        <v>1</v>
      </c>
      <c r="D17" s="37"/>
      <c r="E17" s="47" t="s">
        <v>560</v>
      </c>
      <c r="F17" s="48">
        <v>5</v>
      </c>
      <c r="G17" s="37"/>
      <c r="H17" s="36"/>
      <c r="I17" s="36"/>
      <c r="J17" s="36"/>
      <c r="K17" s="36"/>
      <c r="L17" s="36"/>
      <c r="M17" s="36"/>
      <c r="N17" s="36"/>
      <c r="O17" s="40"/>
      <c r="P17" s="40" t="s">
        <v>541</v>
      </c>
      <c r="Q17" s="23"/>
    </row>
    <row r="18" spans="1:17" ht="37.5" customHeight="1">
      <c r="A18" s="23"/>
      <c r="B18" s="46" t="s">
        <v>558</v>
      </c>
      <c r="C18" s="36">
        <v>1</v>
      </c>
      <c r="D18" s="37"/>
      <c r="E18" s="47" t="s">
        <v>561</v>
      </c>
      <c r="F18" s="48">
        <v>5</v>
      </c>
      <c r="G18" s="37"/>
      <c r="H18" s="36"/>
      <c r="I18" s="36"/>
      <c r="J18" s="36"/>
      <c r="K18" s="36"/>
      <c r="L18" s="36"/>
      <c r="M18" s="36"/>
      <c r="N18" s="36"/>
      <c r="O18" s="40"/>
      <c r="P18" s="40" t="s">
        <v>543</v>
      </c>
      <c r="Q18" s="23"/>
    </row>
    <row r="19" spans="1:17" ht="37.5" customHeight="1">
      <c r="A19" s="23"/>
      <c r="B19" s="46" t="s">
        <v>558</v>
      </c>
      <c r="C19" s="36">
        <v>1</v>
      </c>
      <c r="D19" s="37"/>
      <c r="E19" s="47" t="s">
        <v>562</v>
      </c>
      <c r="F19" s="48">
        <v>4</v>
      </c>
      <c r="G19" s="37"/>
      <c r="H19" s="36"/>
      <c r="I19" s="36"/>
      <c r="J19" s="36"/>
      <c r="K19" s="36"/>
      <c r="L19" s="36"/>
      <c r="M19" s="36"/>
      <c r="N19" s="36"/>
      <c r="O19" s="40"/>
      <c r="P19" s="40" t="s">
        <v>563</v>
      </c>
      <c r="Q19" s="23"/>
    </row>
    <row r="20" spans="1:17" ht="37.5" customHeight="1">
      <c r="A20" s="23"/>
      <c r="B20" s="49" t="s">
        <v>564</v>
      </c>
      <c r="C20" s="36">
        <v>1</v>
      </c>
      <c r="D20" s="37"/>
      <c r="E20" s="50" t="s">
        <v>565</v>
      </c>
      <c r="F20" s="51">
        <v>4</v>
      </c>
      <c r="G20" s="37"/>
      <c r="H20" s="36"/>
      <c r="I20" s="36"/>
      <c r="J20" s="36"/>
      <c r="K20" s="36"/>
      <c r="L20" s="36"/>
      <c r="M20" s="36"/>
      <c r="N20" s="36"/>
      <c r="O20" s="40"/>
      <c r="P20" s="37"/>
      <c r="Q20" s="23"/>
    </row>
    <row r="21" spans="1:17" ht="37.5" customHeight="1">
      <c r="A21" s="23"/>
      <c r="B21" s="49" t="s">
        <v>564</v>
      </c>
      <c r="C21" s="36">
        <v>1</v>
      </c>
      <c r="D21" s="37"/>
      <c r="E21" s="50" t="s">
        <v>566</v>
      </c>
      <c r="F21" s="51">
        <v>5</v>
      </c>
      <c r="G21" s="37"/>
      <c r="H21" s="36"/>
      <c r="I21" s="36"/>
      <c r="J21" s="36"/>
      <c r="K21" s="36"/>
      <c r="L21" s="36"/>
      <c r="M21" s="36"/>
      <c r="N21" s="36"/>
      <c r="O21" s="40"/>
      <c r="P21" s="40" t="s">
        <v>541</v>
      </c>
      <c r="Q21" s="23"/>
    </row>
    <row r="22" spans="1:17" ht="37.5" customHeight="1">
      <c r="A22" s="23"/>
      <c r="B22" s="49" t="s">
        <v>564</v>
      </c>
      <c r="C22" s="36">
        <v>1</v>
      </c>
      <c r="D22" s="37"/>
      <c r="E22" s="50" t="s">
        <v>567</v>
      </c>
      <c r="F22" s="51">
        <v>4</v>
      </c>
      <c r="G22" s="37"/>
      <c r="H22" s="36"/>
      <c r="I22" s="36"/>
      <c r="J22" s="36"/>
      <c r="K22" s="36"/>
      <c r="L22" s="36"/>
      <c r="M22" s="36"/>
      <c r="N22" s="36"/>
      <c r="O22" s="40"/>
      <c r="P22" s="40" t="s">
        <v>543</v>
      </c>
      <c r="Q22" s="23"/>
    </row>
    <row r="23" spans="1:17" ht="37.5" customHeight="1">
      <c r="A23" s="23"/>
      <c r="B23" s="49" t="s">
        <v>564</v>
      </c>
      <c r="C23" s="36">
        <v>1</v>
      </c>
      <c r="D23" s="37"/>
      <c r="E23" s="50" t="s">
        <v>568</v>
      </c>
      <c r="F23" s="51">
        <v>5</v>
      </c>
      <c r="G23" s="37"/>
      <c r="H23" s="36"/>
      <c r="I23" s="36"/>
      <c r="J23" s="36"/>
      <c r="K23" s="36"/>
      <c r="L23" s="36"/>
      <c r="M23" s="36"/>
      <c r="N23" s="36"/>
      <c r="O23" s="40"/>
      <c r="P23" s="40" t="s">
        <v>569</v>
      </c>
      <c r="Q23" s="23"/>
    </row>
    <row r="24" spans="1:17" ht="37.5" customHeight="1">
      <c r="A24" s="23"/>
      <c r="B24" s="35" t="s">
        <v>538</v>
      </c>
      <c r="C24" s="36">
        <v>2</v>
      </c>
      <c r="D24" s="37"/>
      <c r="E24" s="52" t="s">
        <v>570</v>
      </c>
      <c r="F24" s="53">
        <v>7</v>
      </c>
      <c r="G24" s="40"/>
      <c r="H24" s="36"/>
      <c r="I24" s="36"/>
      <c r="J24" s="36"/>
      <c r="K24" s="36"/>
      <c r="L24" s="36"/>
      <c r="M24" s="36"/>
      <c r="N24" s="36"/>
      <c r="O24" s="40"/>
      <c r="P24" s="40" t="s">
        <v>571</v>
      </c>
      <c r="Q24" s="23"/>
    </row>
    <row r="25" spans="1:17" ht="37.5" customHeight="1">
      <c r="A25" s="23"/>
      <c r="B25" s="35" t="s">
        <v>538</v>
      </c>
      <c r="C25" s="36">
        <v>2</v>
      </c>
      <c r="D25" s="37"/>
      <c r="E25" s="52" t="s">
        <v>572</v>
      </c>
      <c r="F25" s="53">
        <v>7</v>
      </c>
      <c r="G25" s="40"/>
      <c r="H25" s="36"/>
      <c r="I25" s="36"/>
      <c r="J25" s="36"/>
      <c r="K25" s="36"/>
      <c r="L25" s="36"/>
      <c r="M25" s="36"/>
      <c r="N25" s="36"/>
      <c r="O25" s="40"/>
      <c r="P25" s="40"/>
      <c r="Q25" s="23"/>
    </row>
    <row r="26" spans="1:17" ht="37.5" customHeight="1">
      <c r="A26" s="23"/>
      <c r="B26" s="35" t="s">
        <v>538</v>
      </c>
      <c r="C26" s="36">
        <v>2</v>
      </c>
      <c r="D26" s="37"/>
      <c r="E26" s="52" t="s">
        <v>573</v>
      </c>
      <c r="F26" s="53">
        <v>7</v>
      </c>
      <c r="G26" s="40"/>
      <c r="H26" s="36"/>
      <c r="I26" s="36"/>
      <c r="J26" s="36"/>
      <c r="K26" s="36"/>
      <c r="L26" s="36"/>
      <c r="M26" s="36"/>
      <c r="N26" s="36"/>
      <c r="O26" s="40"/>
      <c r="P26" s="40"/>
      <c r="Q26" s="23"/>
    </row>
    <row r="27" spans="1:17" ht="37.5" customHeight="1">
      <c r="A27" s="23"/>
      <c r="B27" s="35" t="s">
        <v>538</v>
      </c>
      <c r="C27" s="36">
        <v>2</v>
      </c>
      <c r="D27" s="37"/>
      <c r="E27" s="52" t="s">
        <v>574</v>
      </c>
      <c r="F27" s="53">
        <v>6</v>
      </c>
      <c r="G27" s="40"/>
      <c r="H27" s="36"/>
      <c r="I27" s="36"/>
      <c r="J27" s="36"/>
      <c r="K27" s="36"/>
      <c r="L27" s="36"/>
      <c r="M27" s="36"/>
      <c r="N27" s="36"/>
      <c r="O27" s="40"/>
      <c r="P27" s="40" t="s">
        <v>575</v>
      </c>
      <c r="Q27" s="23"/>
    </row>
    <row r="28" spans="1:17" ht="37.5" customHeight="1">
      <c r="A28" s="23"/>
      <c r="B28" s="35" t="s">
        <v>538</v>
      </c>
      <c r="C28" s="36">
        <v>2</v>
      </c>
      <c r="D28" s="37"/>
      <c r="E28" s="52" t="s">
        <v>576</v>
      </c>
      <c r="F28" s="53">
        <v>7</v>
      </c>
      <c r="G28" s="40"/>
      <c r="H28" s="36"/>
      <c r="I28" s="36"/>
      <c r="J28" s="36"/>
      <c r="K28" s="36"/>
      <c r="L28" s="36"/>
      <c r="M28" s="36"/>
      <c r="N28" s="36"/>
      <c r="O28" s="40"/>
      <c r="P28" s="40"/>
      <c r="Q28" s="23"/>
    </row>
    <row r="29" spans="1:17" ht="37.5" customHeight="1">
      <c r="A29" s="23"/>
      <c r="B29" s="35" t="s">
        <v>538</v>
      </c>
      <c r="C29" s="36">
        <v>2</v>
      </c>
      <c r="D29" s="37"/>
      <c r="E29" s="52" t="s">
        <v>577</v>
      </c>
      <c r="F29" s="53">
        <v>7</v>
      </c>
      <c r="G29" s="40"/>
      <c r="H29" s="36"/>
      <c r="I29" s="36"/>
      <c r="J29" s="36"/>
      <c r="K29" s="36"/>
      <c r="L29" s="36"/>
      <c r="M29" s="36"/>
      <c r="N29" s="36"/>
      <c r="O29" s="40"/>
      <c r="P29" s="40"/>
      <c r="Q29" s="23"/>
    </row>
    <row r="30" spans="1:17" ht="37.5" customHeight="1">
      <c r="A30" s="23"/>
      <c r="B30" s="35" t="s">
        <v>538</v>
      </c>
      <c r="C30" s="36">
        <v>2</v>
      </c>
      <c r="D30" s="37"/>
      <c r="E30" s="52" t="s">
        <v>578</v>
      </c>
      <c r="F30" s="53">
        <v>7</v>
      </c>
      <c r="G30" s="40"/>
      <c r="H30" s="36"/>
      <c r="I30" s="36"/>
      <c r="J30" s="36"/>
      <c r="K30" s="36"/>
      <c r="L30" s="36"/>
      <c r="M30" s="36"/>
      <c r="N30" s="36"/>
      <c r="O30" s="40"/>
      <c r="P30" s="40"/>
      <c r="Q30" s="23"/>
    </row>
    <row r="31" spans="1:17" ht="37.5" customHeight="1">
      <c r="A31" s="23"/>
      <c r="B31" s="35" t="s">
        <v>538</v>
      </c>
      <c r="C31" s="36">
        <v>2</v>
      </c>
      <c r="D31" s="37"/>
      <c r="E31" s="52" t="s">
        <v>579</v>
      </c>
      <c r="F31" s="53">
        <v>7</v>
      </c>
      <c r="G31" s="40"/>
      <c r="H31" s="36"/>
      <c r="I31" s="36"/>
      <c r="J31" s="36"/>
      <c r="K31" s="36"/>
      <c r="L31" s="36"/>
      <c r="M31" s="36"/>
      <c r="N31" s="36"/>
      <c r="O31" s="40"/>
      <c r="P31" s="40"/>
      <c r="Q31" s="23"/>
    </row>
    <row r="32" spans="1:17" ht="37.5" customHeight="1">
      <c r="A32" s="23"/>
      <c r="B32" s="7" t="s">
        <v>546</v>
      </c>
      <c r="C32" s="36">
        <v>2</v>
      </c>
      <c r="D32" s="37"/>
      <c r="E32" s="6" t="s">
        <v>580</v>
      </c>
      <c r="F32" s="54">
        <v>8</v>
      </c>
      <c r="G32" s="40"/>
      <c r="H32" s="36"/>
      <c r="I32" s="36"/>
      <c r="J32" s="36"/>
      <c r="K32" s="36"/>
      <c r="L32" s="36"/>
      <c r="M32" s="36"/>
      <c r="N32" s="36"/>
      <c r="O32" s="40"/>
      <c r="P32" s="40"/>
      <c r="Q32" s="23"/>
    </row>
    <row r="33" spans="1:17" ht="37.5" customHeight="1">
      <c r="A33" s="23"/>
      <c r="B33" s="7" t="s">
        <v>546</v>
      </c>
      <c r="C33" s="36">
        <v>2</v>
      </c>
      <c r="D33" s="37"/>
      <c r="E33" s="6" t="s">
        <v>581</v>
      </c>
      <c r="F33" s="54">
        <v>8</v>
      </c>
      <c r="G33" s="40"/>
      <c r="H33" s="36"/>
      <c r="I33" s="36"/>
      <c r="J33" s="36"/>
      <c r="K33" s="36"/>
      <c r="L33" s="36"/>
      <c r="M33" s="36"/>
      <c r="N33" s="36"/>
      <c r="O33" s="40"/>
      <c r="P33" s="40"/>
      <c r="Q33" s="23"/>
    </row>
    <row r="34" spans="1:17" ht="37.5" customHeight="1">
      <c r="A34" s="23"/>
      <c r="B34" s="7" t="s">
        <v>546</v>
      </c>
      <c r="C34" s="36">
        <v>2</v>
      </c>
      <c r="D34" s="37"/>
      <c r="E34" s="6" t="s">
        <v>582</v>
      </c>
      <c r="F34" s="54">
        <v>8</v>
      </c>
      <c r="G34" s="40"/>
      <c r="H34" s="36"/>
      <c r="I34" s="36"/>
      <c r="J34" s="36"/>
      <c r="K34" s="36"/>
      <c r="L34" s="36"/>
      <c r="M34" s="36"/>
      <c r="N34" s="36"/>
      <c r="O34" s="40"/>
      <c r="P34" s="40"/>
      <c r="Q34" s="23"/>
    </row>
    <row r="35" spans="1:17" ht="37.5" customHeight="1">
      <c r="A35" s="23"/>
      <c r="B35" s="7" t="s">
        <v>546</v>
      </c>
      <c r="C35" s="36">
        <v>2</v>
      </c>
      <c r="D35" s="37"/>
      <c r="E35" s="6" t="s">
        <v>583</v>
      </c>
      <c r="F35" s="54">
        <v>7</v>
      </c>
      <c r="G35" s="40"/>
      <c r="H35" s="36"/>
      <c r="I35" s="36"/>
      <c r="J35" s="36"/>
      <c r="K35" s="36"/>
      <c r="L35" s="36"/>
      <c r="M35" s="36"/>
      <c r="N35" s="36"/>
      <c r="O35" s="40"/>
      <c r="P35" s="40"/>
      <c r="Q35" s="23"/>
    </row>
    <row r="36" spans="1:17" ht="37.5" customHeight="1">
      <c r="A36" s="23"/>
      <c r="B36" s="7" t="s">
        <v>546</v>
      </c>
      <c r="C36" s="36">
        <v>2</v>
      </c>
      <c r="D36" s="37"/>
      <c r="E36" s="6" t="s">
        <v>584</v>
      </c>
      <c r="F36" s="54">
        <v>7</v>
      </c>
      <c r="G36" s="40"/>
      <c r="H36" s="36"/>
      <c r="I36" s="36"/>
      <c r="J36" s="36"/>
      <c r="K36" s="36"/>
      <c r="L36" s="36"/>
      <c r="M36" s="36"/>
      <c r="N36" s="36"/>
      <c r="O36" s="40"/>
      <c r="P36" s="40"/>
      <c r="Q36" s="23"/>
    </row>
    <row r="37" spans="1:17" ht="37.5" customHeight="1">
      <c r="A37" s="23"/>
      <c r="B37" s="7" t="s">
        <v>546</v>
      </c>
      <c r="C37" s="36">
        <v>2</v>
      </c>
      <c r="D37" s="37"/>
      <c r="E37" s="6" t="s">
        <v>585</v>
      </c>
      <c r="F37" s="54">
        <v>7</v>
      </c>
      <c r="G37" s="40"/>
      <c r="H37" s="36"/>
      <c r="I37" s="36"/>
      <c r="J37" s="36"/>
      <c r="K37" s="36"/>
      <c r="L37" s="36"/>
      <c r="M37" s="36"/>
      <c r="N37" s="36"/>
      <c r="O37" s="40"/>
      <c r="P37" s="40"/>
      <c r="Q37" s="23"/>
    </row>
    <row r="38" spans="1:17" ht="37.5" customHeight="1">
      <c r="A38" s="23"/>
      <c r="B38" s="7" t="s">
        <v>546</v>
      </c>
      <c r="C38" s="36">
        <v>2</v>
      </c>
      <c r="D38" s="37"/>
      <c r="E38" s="6" t="s">
        <v>586</v>
      </c>
      <c r="F38" s="54">
        <v>8</v>
      </c>
      <c r="G38" s="40"/>
      <c r="H38" s="36"/>
      <c r="I38" s="36"/>
      <c r="J38" s="36"/>
      <c r="K38" s="36"/>
      <c r="L38" s="36"/>
      <c r="M38" s="36"/>
      <c r="N38" s="36"/>
      <c r="O38" s="40"/>
      <c r="P38" s="40"/>
      <c r="Q38" s="23"/>
    </row>
    <row r="39" spans="1:17" ht="37.5" customHeight="1">
      <c r="A39" s="23"/>
      <c r="B39" s="7" t="s">
        <v>546</v>
      </c>
      <c r="C39" s="36">
        <v>2</v>
      </c>
      <c r="D39" s="37"/>
      <c r="E39" s="6" t="s">
        <v>587</v>
      </c>
      <c r="F39" s="54">
        <v>6</v>
      </c>
      <c r="G39" s="40"/>
      <c r="H39" s="36"/>
      <c r="I39" s="36"/>
      <c r="J39" s="36"/>
      <c r="K39" s="36"/>
      <c r="L39" s="36"/>
      <c r="M39" s="36"/>
      <c r="N39" s="36"/>
      <c r="O39" s="40"/>
      <c r="P39" s="40"/>
      <c r="Q39" s="23"/>
    </row>
    <row r="40" spans="1:17" ht="37.5" customHeight="1">
      <c r="A40" s="23"/>
      <c r="B40" s="43" t="s">
        <v>552</v>
      </c>
      <c r="C40" s="36">
        <v>2</v>
      </c>
      <c r="D40" s="37"/>
      <c r="E40" s="55" t="s">
        <v>588</v>
      </c>
      <c r="F40" s="56">
        <v>8</v>
      </c>
      <c r="G40" s="40"/>
      <c r="H40" s="36"/>
      <c r="I40" s="36"/>
      <c r="J40" s="36"/>
      <c r="K40" s="36"/>
      <c r="L40" s="36"/>
      <c r="M40" s="36"/>
      <c r="N40" s="36"/>
      <c r="O40" s="40"/>
      <c r="P40" s="40"/>
      <c r="Q40" s="23"/>
    </row>
    <row r="41" spans="1:17" ht="37.5" customHeight="1">
      <c r="A41" s="23"/>
      <c r="B41" s="43" t="s">
        <v>552</v>
      </c>
      <c r="C41" s="36">
        <v>2</v>
      </c>
      <c r="D41" s="37"/>
      <c r="E41" s="55" t="s">
        <v>589</v>
      </c>
      <c r="F41" s="56">
        <v>9</v>
      </c>
      <c r="G41" s="40"/>
      <c r="H41" s="36"/>
      <c r="I41" s="36"/>
      <c r="J41" s="36"/>
      <c r="K41" s="36"/>
      <c r="L41" s="36"/>
      <c r="M41" s="36"/>
      <c r="N41" s="36"/>
      <c r="O41" s="40"/>
      <c r="P41" s="40"/>
      <c r="Q41" s="23"/>
    </row>
    <row r="42" spans="1:17" ht="37.5" customHeight="1">
      <c r="A42" s="23"/>
      <c r="B42" s="43" t="s">
        <v>552</v>
      </c>
      <c r="C42" s="36">
        <v>2</v>
      </c>
      <c r="D42" s="37"/>
      <c r="E42" s="55" t="s">
        <v>590</v>
      </c>
      <c r="F42" s="56">
        <v>9</v>
      </c>
      <c r="G42" s="40"/>
      <c r="H42" s="36"/>
      <c r="I42" s="36"/>
      <c r="J42" s="36"/>
      <c r="K42" s="36"/>
      <c r="L42" s="36"/>
      <c r="M42" s="36"/>
      <c r="N42" s="36"/>
      <c r="O42" s="40"/>
      <c r="P42" s="40"/>
      <c r="Q42" s="23"/>
    </row>
    <row r="43" spans="1:17" ht="37.5" customHeight="1">
      <c r="A43" s="23"/>
      <c r="B43" s="43" t="s">
        <v>552</v>
      </c>
      <c r="C43" s="36">
        <v>2</v>
      </c>
      <c r="D43" s="37"/>
      <c r="E43" s="55" t="s">
        <v>591</v>
      </c>
      <c r="F43" s="56">
        <v>8</v>
      </c>
      <c r="G43" s="40"/>
      <c r="H43" s="36"/>
      <c r="I43" s="36"/>
      <c r="J43" s="36"/>
      <c r="K43" s="36"/>
      <c r="L43" s="36"/>
      <c r="M43" s="36"/>
      <c r="N43" s="36"/>
      <c r="O43" s="40"/>
      <c r="P43" s="40"/>
      <c r="Q43" s="23"/>
    </row>
    <row r="44" spans="1:17" ht="37.5" customHeight="1">
      <c r="A44" s="23"/>
      <c r="B44" s="43" t="s">
        <v>552</v>
      </c>
      <c r="C44" s="36">
        <v>2</v>
      </c>
      <c r="D44" s="37"/>
      <c r="E44" s="55" t="s">
        <v>592</v>
      </c>
      <c r="F44" s="56">
        <v>6</v>
      </c>
      <c r="G44" s="40"/>
      <c r="H44" s="36"/>
      <c r="I44" s="36"/>
      <c r="J44" s="36"/>
      <c r="K44" s="36"/>
      <c r="L44" s="36"/>
      <c r="M44" s="36"/>
      <c r="N44" s="36"/>
      <c r="O44" s="40"/>
      <c r="P44" s="40"/>
      <c r="Q44" s="23"/>
    </row>
    <row r="45" spans="1:17" ht="37.5" customHeight="1">
      <c r="A45" s="23"/>
      <c r="B45" s="43" t="s">
        <v>552</v>
      </c>
      <c r="C45" s="36">
        <v>2</v>
      </c>
      <c r="D45" s="37"/>
      <c r="E45" s="55" t="s">
        <v>593</v>
      </c>
      <c r="F45" s="56">
        <v>8</v>
      </c>
      <c r="G45" s="40"/>
      <c r="H45" s="36"/>
      <c r="I45" s="36"/>
      <c r="J45" s="36"/>
      <c r="K45" s="36"/>
      <c r="L45" s="36"/>
      <c r="M45" s="36"/>
      <c r="N45" s="36"/>
      <c r="O45" s="40"/>
      <c r="P45" s="40"/>
      <c r="Q45" s="23"/>
    </row>
    <row r="46" spans="1:17" ht="37.5" customHeight="1">
      <c r="A46" s="23"/>
      <c r="B46" s="43" t="s">
        <v>552</v>
      </c>
      <c r="C46" s="36">
        <v>2</v>
      </c>
      <c r="D46" s="37"/>
      <c r="E46" s="55" t="s">
        <v>594</v>
      </c>
      <c r="F46" s="56">
        <v>7</v>
      </c>
      <c r="G46" s="40"/>
      <c r="H46" s="36"/>
      <c r="I46" s="36"/>
      <c r="J46" s="36"/>
      <c r="K46" s="36"/>
      <c r="L46" s="36"/>
      <c r="M46" s="36"/>
      <c r="N46" s="36"/>
      <c r="O46" s="41"/>
      <c r="P46" s="40"/>
      <c r="Q46" s="23"/>
    </row>
    <row r="47" spans="1:17" ht="37.5" customHeight="1">
      <c r="A47" s="23"/>
      <c r="B47" s="43" t="s">
        <v>552</v>
      </c>
      <c r="C47" s="36">
        <v>2</v>
      </c>
      <c r="D47" s="37"/>
      <c r="E47" s="55" t="s">
        <v>242</v>
      </c>
      <c r="F47" s="56">
        <v>20</v>
      </c>
      <c r="G47" s="40"/>
      <c r="H47" s="36"/>
      <c r="I47" s="36"/>
      <c r="J47" s="36"/>
      <c r="K47" s="36"/>
      <c r="L47" s="36"/>
      <c r="M47" s="36"/>
      <c r="N47" s="36"/>
      <c r="O47" s="40"/>
      <c r="P47" s="40" t="s">
        <v>595</v>
      </c>
      <c r="Q47" s="23"/>
    </row>
    <row r="48" spans="1:17" ht="37.5" customHeight="1">
      <c r="A48" s="23"/>
      <c r="B48" s="46" t="s">
        <v>558</v>
      </c>
      <c r="C48" s="36">
        <v>2</v>
      </c>
      <c r="D48" s="37"/>
      <c r="E48" s="57" t="s">
        <v>596</v>
      </c>
      <c r="F48" s="58">
        <v>7</v>
      </c>
      <c r="G48" s="40"/>
      <c r="H48" s="36"/>
      <c r="I48" s="36"/>
      <c r="J48" s="36"/>
      <c r="K48" s="36"/>
      <c r="L48" s="36"/>
      <c r="M48" s="36"/>
      <c r="N48" s="36"/>
      <c r="O48" s="40"/>
      <c r="P48" s="40"/>
      <c r="Q48" s="23"/>
    </row>
    <row r="49" spans="1:17" ht="37.5" customHeight="1">
      <c r="A49" s="23"/>
      <c r="B49" s="46" t="s">
        <v>558</v>
      </c>
      <c r="C49" s="36">
        <v>2</v>
      </c>
      <c r="D49" s="37"/>
      <c r="E49" s="57" t="s">
        <v>597</v>
      </c>
      <c r="F49" s="58">
        <v>7</v>
      </c>
      <c r="G49" s="40"/>
      <c r="H49" s="36"/>
      <c r="I49" s="36"/>
      <c r="J49" s="36"/>
      <c r="K49" s="36"/>
      <c r="L49" s="36"/>
      <c r="M49" s="36"/>
      <c r="N49" s="36"/>
      <c r="O49" s="40"/>
      <c r="P49" s="40"/>
      <c r="Q49" s="23"/>
    </row>
    <row r="50" spans="1:17" ht="37.5" customHeight="1">
      <c r="A50" s="23"/>
      <c r="B50" s="46" t="s">
        <v>558</v>
      </c>
      <c r="C50" s="36">
        <v>2</v>
      </c>
      <c r="D50" s="37"/>
      <c r="E50" s="57" t="s">
        <v>598</v>
      </c>
      <c r="F50" s="58">
        <v>5</v>
      </c>
      <c r="G50" s="40"/>
      <c r="H50" s="36"/>
      <c r="I50" s="36"/>
      <c r="J50" s="36"/>
      <c r="K50" s="36"/>
      <c r="L50" s="36"/>
      <c r="M50" s="36"/>
      <c r="N50" s="36"/>
      <c r="O50" s="40"/>
      <c r="P50" s="40"/>
      <c r="Q50" s="23"/>
    </row>
    <row r="51" spans="1:17" ht="37.5" customHeight="1">
      <c r="A51" s="23"/>
      <c r="B51" s="46" t="s">
        <v>558</v>
      </c>
      <c r="C51" s="36">
        <v>2</v>
      </c>
      <c r="D51" s="37"/>
      <c r="E51" s="57" t="s">
        <v>599</v>
      </c>
      <c r="F51" s="58">
        <v>7</v>
      </c>
      <c r="G51" s="40"/>
      <c r="H51" s="36"/>
      <c r="I51" s="36"/>
      <c r="J51" s="36"/>
      <c r="K51" s="36"/>
      <c r="L51" s="36"/>
      <c r="M51" s="36"/>
      <c r="N51" s="36"/>
      <c r="O51" s="40"/>
      <c r="P51" s="40"/>
      <c r="Q51" s="23"/>
    </row>
    <row r="52" spans="1:17" ht="37.5" customHeight="1">
      <c r="A52" s="23"/>
      <c r="B52" s="46" t="s">
        <v>558</v>
      </c>
      <c r="C52" s="36">
        <v>2</v>
      </c>
      <c r="D52" s="37"/>
      <c r="E52" s="57" t="s">
        <v>600</v>
      </c>
      <c r="F52" s="58">
        <v>7</v>
      </c>
      <c r="G52" s="40"/>
      <c r="H52" s="36"/>
      <c r="I52" s="36"/>
      <c r="J52" s="36"/>
      <c r="K52" s="36"/>
      <c r="L52" s="36"/>
      <c r="M52" s="36"/>
      <c r="N52" s="36"/>
      <c r="O52" s="40"/>
      <c r="P52" s="40"/>
      <c r="Q52" s="23"/>
    </row>
    <row r="53" spans="1:17" ht="37.5" customHeight="1">
      <c r="A53" s="23"/>
      <c r="B53" s="46" t="s">
        <v>558</v>
      </c>
      <c r="C53" s="36">
        <v>2</v>
      </c>
      <c r="D53" s="37"/>
      <c r="E53" s="57" t="s">
        <v>601</v>
      </c>
      <c r="F53" s="58">
        <v>6</v>
      </c>
      <c r="G53" s="40"/>
      <c r="H53" s="36"/>
      <c r="I53" s="36"/>
      <c r="J53" s="36"/>
      <c r="K53" s="36"/>
      <c r="L53" s="36"/>
      <c r="M53" s="36"/>
      <c r="N53" s="36"/>
      <c r="O53" s="40"/>
      <c r="P53" s="40"/>
      <c r="Q53" s="23"/>
    </row>
    <row r="54" spans="1:17" ht="37.5" customHeight="1">
      <c r="A54" s="23"/>
      <c r="B54" s="46" t="s">
        <v>558</v>
      </c>
      <c r="C54" s="36">
        <v>2</v>
      </c>
      <c r="D54" s="37"/>
      <c r="E54" s="57" t="s">
        <v>602</v>
      </c>
      <c r="F54" s="58">
        <v>7</v>
      </c>
      <c r="G54" s="40"/>
      <c r="H54" s="36"/>
      <c r="I54" s="36"/>
      <c r="J54" s="36"/>
      <c r="K54" s="36"/>
      <c r="L54" s="36"/>
      <c r="M54" s="36"/>
      <c r="N54" s="36"/>
      <c r="O54" s="40"/>
      <c r="P54" s="40"/>
      <c r="Q54" s="23"/>
    </row>
    <row r="55" spans="1:17" ht="37.5" customHeight="1">
      <c r="A55" s="23"/>
      <c r="B55" s="46" t="s">
        <v>558</v>
      </c>
      <c r="C55" s="36">
        <v>2</v>
      </c>
      <c r="D55" s="37"/>
      <c r="E55" s="57" t="s">
        <v>603</v>
      </c>
      <c r="F55" s="58">
        <v>8</v>
      </c>
      <c r="G55" s="40"/>
      <c r="H55" s="36"/>
      <c r="I55" s="36"/>
      <c r="J55" s="36"/>
      <c r="K55" s="36"/>
      <c r="L55" s="36"/>
      <c r="M55" s="36"/>
      <c r="N55" s="36"/>
      <c r="O55" s="40"/>
      <c r="P55" s="40" t="s">
        <v>604</v>
      </c>
      <c r="Q55" s="23"/>
    </row>
    <row r="56" spans="1:17" ht="37.5" customHeight="1">
      <c r="A56" s="23"/>
      <c r="B56" s="49" t="s">
        <v>564</v>
      </c>
      <c r="C56" s="36">
        <v>2</v>
      </c>
      <c r="D56" s="37"/>
      <c r="E56" s="59" t="s">
        <v>605</v>
      </c>
      <c r="F56" s="60">
        <v>6</v>
      </c>
      <c r="G56" s="40"/>
      <c r="H56" s="36"/>
      <c r="I56" s="36"/>
      <c r="J56" s="36"/>
      <c r="K56" s="36"/>
      <c r="L56" s="36"/>
      <c r="M56" s="36"/>
      <c r="N56" s="36"/>
      <c r="O56" s="40"/>
      <c r="P56" s="40"/>
      <c r="Q56" s="23"/>
    </row>
    <row r="57" spans="1:17" ht="37.5" customHeight="1">
      <c r="A57" s="23"/>
      <c r="B57" s="49" t="s">
        <v>564</v>
      </c>
      <c r="C57" s="36">
        <v>2</v>
      </c>
      <c r="D57" s="37"/>
      <c r="E57" s="59" t="s">
        <v>606</v>
      </c>
      <c r="F57" s="60">
        <v>6</v>
      </c>
      <c r="G57" s="40"/>
      <c r="H57" s="36"/>
      <c r="I57" s="36"/>
      <c r="J57" s="36"/>
      <c r="K57" s="36"/>
      <c r="L57" s="36"/>
      <c r="M57" s="36"/>
      <c r="N57" s="36"/>
      <c r="O57" s="40"/>
      <c r="P57" s="40"/>
      <c r="Q57" s="23"/>
    </row>
    <row r="58" spans="1:17" ht="37.5" customHeight="1">
      <c r="A58" s="23"/>
      <c r="B58" s="49" t="s">
        <v>564</v>
      </c>
      <c r="C58" s="36">
        <v>2</v>
      </c>
      <c r="D58" s="37"/>
      <c r="E58" s="59" t="s">
        <v>607</v>
      </c>
      <c r="F58" s="60">
        <v>6</v>
      </c>
      <c r="G58" s="40"/>
      <c r="H58" s="36"/>
      <c r="I58" s="36"/>
      <c r="J58" s="36"/>
      <c r="K58" s="36"/>
      <c r="L58" s="36"/>
      <c r="M58" s="36"/>
      <c r="N58" s="36"/>
      <c r="O58" s="40"/>
      <c r="P58" s="40" t="s">
        <v>608</v>
      </c>
      <c r="Q58" s="23"/>
    </row>
    <row r="59" spans="1:17" ht="37.5" customHeight="1">
      <c r="A59" s="23"/>
      <c r="B59" s="49" t="s">
        <v>564</v>
      </c>
      <c r="C59" s="36">
        <v>2</v>
      </c>
      <c r="D59" s="37"/>
      <c r="E59" s="59" t="s">
        <v>609</v>
      </c>
      <c r="F59" s="60">
        <v>7</v>
      </c>
      <c r="G59" s="40"/>
      <c r="H59" s="36"/>
      <c r="I59" s="36"/>
      <c r="J59" s="36"/>
      <c r="K59" s="36"/>
      <c r="L59" s="36"/>
      <c r="M59" s="36"/>
      <c r="N59" s="36"/>
      <c r="O59" s="40"/>
      <c r="P59" s="40"/>
      <c r="Q59" s="23"/>
    </row>
    <row r="60" spans="1:17" ht="37.5" customHeight="1">
      <c r="A60" s="23"/>
      <c r="B60" s="49" t="s">
        <v>564</v>
      </c>
      <c r="C60" s="36">
        <v>2</v>
      </c>
      <c r="D60" s="37"/>
      <c r="E60" s="59" t="s">
        <v>610</v>
      </c>
      <c r="F60" s="60">
        <v>6</v>
      </c>
      <c r="G60" s="40"/>
      <c r="H60" s="36"/>
      <c r="I60" s="36"/>
      <c r="J60" s="36"/>
      <c r="K60" s="36"/>
      <c r="L60" s="36"/>
      <c r="M60" s="36"/>
      <c r="N60" s="36"/>
      <c r="O60" s="40"/>
      <c r="P60" s="40"/>
      <c r="Q60" s="23"/>
    </row>
    <row r="61" spans="1:17" ht="37.5" customHeight="1">
      <c r="A61" s="23"/>
      <c r="B61" s="49" t="s">
        <v>564</v>
      </c>
      <c r="C61" s="36">
        <v>2</v>
      </c>
      <c r="D61" s="37"/>
      <c r="E61" s="59" t="s">
        <v>611</v>
      </c>
      <c r="F61" s="60">
        <v>9</v>
      </c>
      <c r="G61" s="40"/>
      <c r="H61" s="36"/>
      <c r="I61" s="36"/>
      <c r="J61" s="36"/>
      <c r="K61" s="36"/>
      <c r="L61" s="36"/>
      <c r="M61" s="36"/>
      <c r="N61" s="61"/>
      <c r="O61" s="40"/>
      <c r="P61" s="40"/>
      <c r="Q61" s="23"/>
    </row>
    <row r="62" spans="1:17" ht="37.5" customHeight="1">
      <c r="A62" s="23"/>
      <c r="B62" s="49" t="s">
        <v>564</v>
      </c>
      <c r="C62" s="36">
        <v>2</v>
      </c>
      <c r="D62" s="37"/>
      <c r="E62" s="59" t="s">
        <v>612</v>
      </c>
      <c r="F62" s="60">
        <v>7</v>
      </c>
      <c r="G62" s="40"/>
      <c r="H62" s="36"/>
      <c r="I62" s="36"/>
      <c r="J62" s="36"/>
      <c r="K62" s="36"/>
      <c r="L62" s="36"/>
      <c r="M62" s="36"/>
      <c r="N62" s="36"/>
      <c r="O62" s="40"/>
      <c r="P62" s="40"/>
      <c r="Q62" s="23"/>
    </row>
    <row r="63" spans="1:17" ht="37.5" customHeight="1">
      <c r="A63" s="23"/>
      <c r="B63" s="49" t="s">
        <v>564</v>
      </c>
      <c r="C63" s="36">
        <v>2</v>
      </c>
      <c r="D63" s="37"/>
      <c r="E63" s="59" t="s">
        <v>613</v>
      </c>
      <c r="F63" s="60">
        <v>7</v>
      </c>
      <c r="G63" s="40"/>
      <c r="H63" s="36"/>
      <c r="I63" s="36"/>
      <c r="J63" s="36"/>
      <c r="K63" s="36"/>
      <c r="L63" s="36"/>
      <c r="M63" s="36"/>
      <c r="N63" s="36"/>
      <c r="O63" s="40"/>
      <c r="P63" s="40"/>
      <c r="Q63" s="23"/>
    </row>
    <row r="64" spans="1:17" ht="37.5" customHeight="1">
      <c r="A64" s="23"/>
      <c r="B64" s="35" t="s">
        <v>538</v>
      </c>
      <c r="C64" s="36">
        <v>3</v>
      </c>
      <c r="D64" s="37"/>
      <c r="E64" s="52" t="s">
        <v>614</v>
      </c>
      <c r="F64" s="53">
        <v>8</v>
      </c>
      <c r="G64" s="40"/>
      <c r="H64" s="36"/>
      <c r="I64" s="36"/>
      <c r="J64" s="36"/>
      <c r="K64" s="36"/>
      <c r="L64" s="36"/>
      <c r="M64" s="36"/>
      <c r="N64" s="36"/>
      <c r="O64" s="40"/>
      <c r="P64" s="40"/>
      <c r="Q64" s="23"/>
    </row>
    <row r="65" spans="1:17" ht="37.5" customHeight="1">
      <c r="A65" s="23"/>
      <c r="B65" s="35" t="s">
        <v>538</v>
      </c>
      <c r="C65" s="36">
        <v>3</v>
      </c>
      <c r="D65" s="37"/>
      <c r="E65" s="52" t="s">
        <v>615</v>
      </c>
      <c r="F65" s="53">
        <v>8</v>
      </c>
      <c r="G65" s="40"/>
      <c r="H65" s="36"/>
      <c r="I65" s="36"/>
      <c r="J65" s="36"/>
      <c r="K65" s="36"/>
      <c r="L65" s="36"/>
      <c r="M65" s="36"/>
      <c r="N65" s="36"/>
      <c r="O65" s="40"/>
      <c r="P65" s="40"/>
      <c r="Q65" s="23"/>
    </row>
    <row r="66" spans="1:17" ht="37.5" customHeight="1">
      <c r="A66" s="23"/>
      <c r="B66" s="35" t="s">
        <v>538</v>
      </c>
      <c r="C66" s="36">
        <v>3</v>
      </c>
      <c r="D66" s="37"/>
      <c r="E66" s="52" t="s">
        <v>616</v>
      </c>
      <c r="F66" s="53">
        <v>9</v>
      </c>
      <c r="G66" s="40"/>
      <c r="H66" s="36"/>
      <c r="I66" s="36"/>
      <c r="J66" s="36"/>
      <c r="K66" s="36"/>
      <c r="L66" s="36"/>
      <c r="M66" s="36"/>
      <c r="N66" s="36"/>
      <c r="O66" s="40"/>
      <c r="P66" s="40"/>
      <c r="Q66" s="23"/>
    </row>
    <row r="67" spans="1:17" ht="37.5" customHeight="1">
      <c r="A67" s="23"/>
      <c r="B67" s="35" t="s">
        <v>538</v>
      </c>
      <c r="C67" s="36">
        <v>3</v>
      </c>
      <c r="D67" s="37"/>
      <c r="E67" s="52" t="s">
        <v>617</v>
      </c>
      <c r="F67" s="53">
        <v>9</v>
      </c>
      <c r="G67" s="40"/>
      <c r="H67" s="36"/>
      <c r="I67" s="36"/>
      <c r="J67" s="36"/>
      <c r="K67" s="36"/>
      <c r="L67" s="61"/>
      <c r="M67" s="61"/>
      <c r="N67" s="36"/>
      <c r="O67" s="40"/>
      <c r="P67" s="40" t="s">
        <v>618</v>
      </c>
      <c r="Q67" s="23"/>
    </row>
    <row r="68" spans="1:17" ht="37.5" customHeight="1">
      <c r="A68" s="23"/>
      <c r="B68" s="35" t="s">
        <v>538</v>
      </c>
      <c r="C68" s="36">
        <v>3</v>
      </c>
      <c r="D68" s="37"/>
      <c r="E68" s="52" t="s">
        <v>619</v>
      </c>
      <c r="F68" s="53">
        <v>6</v>
      </c>
      <c r="G68" s="40"/>
      <c r="H68" s="36"/>
      <c r="I68" s="36"/>
      <c r="J68" s="36"/>
      <c r="K68" s="36"/>
      <c r="L68" s="36"/>
      <c r="M68" s="36"/>
      <c r="N68" s="36"/>
      <c r="O68" s="40"/>
      <c r="P68" s="40"/>
      <c r="Q68" s="23"/>
    </row>
    <row r="69" spans="1:17" ht="37.5" customHeight="1">
      <c r="A69" s="23"/>
      <c r="B69" s="35" t="s">
        <v>538</v>
      </c>
      <c r="C69" s="36">
        <v>3</v>
      </c>
      <c r="D69" s="37"/>
      <c r="E69" s="52" t="s">
        <v>620</v>
      </c>
      <c r="F69" s="53">
        <v>7</v>
      </c>
      <c r="G69" s="40"/>
      <c r="H69" s="36"/>
      <c r="I69" s="36"/>
      <c r="J69" s="36"/>
      <c r="K69" s="36"/>
      <c r="L69" s="36"/>
      <c r="M69" s="36"/>
      <c r="N69" s="36"/>
      <c r="O69" s="40"/>
      <c r="P69" s="40"/>
      <c r="Q69" s="23"/>
    </row>
    <row r="70" spans="1:17" ht="37.5" customHeight="1">
      <c r="A70" s="23"/>
      <c r="B70" s="35" t="s">
        <v>538</v>
      </c>
      <c r="C70" s="36">
        <v>3</v>
      </c>
      <c r="D70" s="37"/>
      <c r="E70" s="52" t="s">
        <v>621</v>
      </c>
      <c r="F70" s="53">
        <v>9</v>
      </c>
      <c r="G70" s="40"/>
      <c r="H70" s="36"/>
      <c r="I70" s="36"/>
      <c r="J70" s="36"/>
      <c r="K70" s="36"/>
      <c r="L70" s="36"/>
      <c r="M70" s="36"/>
      <c r="N70" s="36"/>
      <c r="O70" s="40"/>
      <c r="P70" s="40" t="s">
        <v>622</v>
      </c>
      <c r="Q70" s="23"/>
    </row>
    <row r="71" spans="1:17" ht="37.5" customHeight="1">
      <c r="A71" s="23"/>
      <c r="B71" s="35" t="s">
        <v>538</v>
      </c>
      <c r="C71" s="36">
        <v>3</v>
      </c>
      <c r="D71" s="37"/>
      <c r="E71" s="52" t="s">
        <v>623</v>
      </c>
      <c r="F71" s="53">
        <v>8</v>
      </c>
      <c r="G71" s="40"/>
      <c r="H71" s="36"/>
      <c r="I71" s="36"/>
      <c r="J71" s="36"/>
      <c r="K71" s="36"/>
      <c r="L71" s="36"/>
      <c r="M71" s="36"/>
      <c r="N71" s="36"/>
      <c r="O71" s="40"/>
      <c r="P71" s="40"/>
      <c r="Q71" s="23"/>
    </row>
    <row r="72" spans="1:17" ht="37.5" customHeight="1">
      <c r="A72" s="23"/>
      <c r="B72" s="7" t="s">
        <v>546</v>
      </c>
      <c r="C72" s="36">
        <v>3</v>
      </c>
      <c r="D72" s="37"/>
      <c r="E72" s="6" t="s">
        <v>624</v>
      </c>
      <c r="F72" s="54">
        <v>12</v>
      </c>
      <c r="G72" s="40"/>
      <c r="H72" s="36"/>
      <c r="I72" s="36"/>
      <c r="J72" s="36"/>
      <c r="K72" s="36"/>
      <c r="L72" s="36"/>
      <c r="M72" s="36"/>
      <c r="N72" s="36"/>
      <c r="O72" s="40"/>
      <c r="P72" s="40"/>
      <c r="Q72" s="23"/>
    </row>
    <row r="73" spans="1:17" ht="37.5" customHeight="1">
      <c r="A73" s="23"/>
      <c r="B73" s="7" t="s">
        <v>546</v>
      </c>
      <c r="C73" s="36">
        <v>3</v>
      </c>
      <c r="D73" s="37"/>
      <c r="E73" s="6" t="s">
        <v>625</v>
      </c>
      <c r="F73" s="54">
        <v>9</v>
      </c>
      <c r="G73" s="40"/>
      <c r="H73" s="36"/>
      <c r="I73" s="36"/>
      <c r="J73" s="36"/>
      <c r="K73" s="36"/>
      <c r="L73" s="36"/>
      <c r="M73" s="36"/>
      <c r="N73" s="36"/>
      <c r="O73" s="40"/>
      <c r="P73" s="40"/>
      <c r="Q73" s="23"/>
    </row>
    <row r="74" spans="1:17" ht="37.5" customHeight="1">
      <c r="A74" s="23"/>
      <c r="B74" s="7" t="s">
        <v>546</v>
      </c>
      <c r="C74" s="36">
        <v>3</v>
      </c>
      <c r="D74" s="37"/>
      <c r="E74" s="6" t="s">
        <v>626</v>
      </c>
      <c r="F74" s="54">
        <v>8</v>
      </c>
      <c r="G74" s="40"/>
      <c r="H74" s="36"/>
      <c r="I74" s="36"/>
      <c r="J74" s="36"/>
      <c r="K74" s="36"/>
      <c r="L74" s="36"/>
      <c r="M74" s="36"/>
      <c r="N74" s="36"/>
      <c r="O74" s="40"/>
      <c r="P74" s="40"/>
      <c r="Q74" s="23"/>
    </row>
    <row r="75" spans="1:17" ht="37.5" customHeight="1">
      <c r="A75" s="23"/>
      <c r="B75" s="7" t="s">
        <v>546</v>
      </c>
      <c r="C75" s="36">
        <v>3</v>
      </c>
      <c r="D75" s="37"/>
      <c r="E75" s="6" t="s">
        <v>627</v>
      </c>
      <c r="F75" s="54">
        <v>8</v>
      </c>
      <c r="G75" s="40"/>
      <c r="H75" s="36"/>
      <c r="I75" s="36"/>
      <c r="J75" s="36"/>
      <c r="K75" s="36"/>
      <c r="L75" s="36"/>
      <c r="M75" s="36"/>
      <c r="N75" s="36"/>
      <c r="O75" s="40"/>
      <c r="P75" s="40"/>
      <c r="Q75" s="23"/>
    </row>
    <row r="76" spans="1:17" ht="37.5" customHeight="1">
      <c r="A76" s="23"/>
      <c r="B76" s="7" t="s">
        <v>546</v>
      </c>
      <c r="C76" s="36">
        <v>3</v>
      </c>
      <c r="D76" s="37"/>
      <c r="E76" s="6" t="s">
        <v>628</v>
      </c>
      <c r="F76" s="54">
        <v>8</v>
      </c>
      <c r="G76" s="40"/>
      <c r="H76" s="36"/>
      <c r="I76" s="36"/>
      <c r="J76" s="36"/>
      <c r="K76" s="36"/>
      <c r="L76" s="36"/>
      <c r="M76" s="36"/>
      <c r="N76" s="36"/>
      <c r="O76" s="40"/>
      <c r="P76" s="40"/>
      <c r="Q76" s="23"/>
    </row>
    <row r="77" spans="1:17" ht="37.5" customHeight="1">
      <c r="A77" s="23"/>
      <c r="B77" s="7" t="s">
        <v>546</v>
      </c>
      <c r="C77" s="36">
        <v>3</v>
      </c>
      <c r="D77" s="37"/>
      <c r="E77" s="6" t="s">
        <v>629</v>
      </c>
      <c r="F77" s="54">
        <v>10</v>
      </c>
      <c r="G77" s="40"/>
      <c r="H77" s="36"/>
      <c r="I77" s="36"/>
      <c r="J77" s="36"/>
      <c r="K77" s="36"/>
      <c r="L77" s="36"/>
      <c r="M77" s="36"/>
      <c r="N77" s="36"/>
      <c r="O77" s="40"/>
      <c r="P77" s="40"/>
      <c r="Q77" s="23"/>
    </row>
    <row r="78" spans="1:17" ht="37.5" customHeight="1">
      <c r="A78" s="23"/>
      <c r="B78" s="7" t="s">
        <v>546</v>
      </c>
      <c r="C78" s="36">
        <v>3</v>
      </c>
      <c r="D78" s="37"/>
      <c r="E78" s="6" t="s">
        <v>630</v>
      </c>
      <c r="F78" s="54">
        <v>11</v>
      </c>
      <c r="G78" s="40"/>
      <c r="H78" s="36"/>
      <c r="I78" s="36"/>
      <c r="J78" s="36"/>
      <c r="K78" s="36"/>
      <c r="L78" s="36"/>
      <c r="M78" s="36"/>
      <c r="N78" s="36"/>
      <c r="O78" s="40"/>
      <c r="P78" s="40"/>
      <c r="Q78" s="23"/>
    </row>
    <row r="79" spans="1:17" ht="37.5" customHeight="1">
      <c r="A79" s="23"/>
      <c r="B79" s="7" t="s">
        <v>546</v>
      </c>
      <c r="C79" s="36">
        <v>3</v>
      </c>
      <c r="D79" s="37"/>
      <c r="E79" s="6" t="s">
        <v>631</v>
      </c>
      <c r="F79" s="54">
        <v>7</v>
      </c>
      <c r="G79" s="40"/>
      <c r="H79" s="36"/>
      <c r="I79" s="36"/>
      <c r="J79" s="36"/>
      <c r="K79" s="36"/>
      <c r="L79" s="36"/>
      <c r="M79" s="36"/>
      <c r="N79" s="36"/>
      <c r="O79" s="40"/>
      <c r="P79" s="40"/>
      <c r="Q79" s="23"/>
    </row>
    <row r="80" spans="1:17" ht="37.5" customHeight="1">
      <c r="A80" s="23"/>
      <c r="B80" s="43" t="s">
        <v>552</v>
      </c>
      <c r="C80" s="36">
        <v>3</v>
      </c>
      <c r="D80" s="37"/>
      <c r="E80" s="55" t="s">
        <v>632</v>
      </c>
      <c r="F80" s="56">
        <v>10</v>
      </c>
      <c r="G80" s="40"/>
      <c r="H80" s="36"/>
      <c r="I80" s="36"/>
      <c r="J80" s="36"/>
      <c r="K80" s="36"/>
      <c r="L80" s="36"/>
      <c r="M80" s="36"/>
      <c r="N80" s="36"/>
      <c r="O80" s="40"/>
      <c r="P80" s="40"/>
      <c r="Q80" s="23"/>
    </row>
    <row r="81" spans="1:17" ht="37.5" customHeight="1">
      <c r="A81" s="23"/>
      <c r="B81" s="43" t="s">
        <v>552</v>
      </c>
      <c r="C81" s="36">
        <v>3</v>
      </c>
      <c r="D81" s="37"/>
      <c r="E81" s="55" t="s">
        <v>633</v>
      </c>
      <c r="F81" s="56">
        <v>9</v>
      </c>
      <c r="G81" s="40"/>
      <c r="H81" s="36"/>
      <c r="I81" s="36"/>
      <c r="J81" s="36"/>
      <c r="K81" s="36"/>
      <c r="L81" s="36"/>
      <c r="M81" s="36"/>
      <c r="N81" s="36"/>
      <c r="O81" s="40"/>
      <c r="P81" s="40"/>
      <c r="Q81" s="23"/>
    </row>
    <row r="82" spans="1:17" ht="37.5" customHeight="1">
      <c r="A82" s="23"/>
      <c r="B82" s="43" t="s">
        <v>552</v>
      </c>
      <c r="C82" s="36">
        <v>3</v>
      </c>
      <c r="D82" s="37"/>
      <c r="E82" s="55" t="s">
        <v>634</v>
      </c>
      <c r="F82" s="56">
        <v>4</v>
      </c>
      <c r="G82" s="40"/>
      <c r="H82" s="36"/>
      <c r="I82" s="36"/>
      <c r="J82" s="36"/>
      <c r="K82" s="36"/>
      <c r="L82" s="36"/>
      <c r="M82" s="36"/>
      <c r="N82" s="37"/>
      <c r="O82" s="36"/>
      <c r="P82" s="40" t="s">
        <v>635</v>
      </c>
      <c r="Q82" s="23"/>
    </row>
    <row r="83" spans="1:17" ht="37.5" customHeight="1">
      <c r="A83" s="23"/>
      <c r="B83" s="43" t="s">
        <v>552</v>
      </c>
      <c r="C83" s="36">
        <v>3</v>
      </c>
      <c r="D83" s="37"/>
      <c r="E83" s="44" t="s">
        <v>636</v>
      </c>
      <c r="F83" s="45">
        <v>4</v>
      </c>
      <c r="G83" s="62" t="b">
        <v>1</v>
      </c>
      <c r="H83" s="36"/>
      <c r="I83" s="36"/>
      <c r="J83" s="36"/>
      <c r="K83" s="36"/>
      <c r="L83" s="36"/>
      <c r="M83" s="36"/>
      <c r="N83" s="36"/>
      <c r="O83" s="40"/>
      <c r="P83" s="40" t="s">
        <v>637</v>
      </c>
      <c r="Q83" s="23"/>
    </row>
    <row r="84" spans="1:17" ht="37.5" customHeight="1">
      <c r="A84" s="23"/>
      <c r="B84" s="43" t="s">
        <v>552</v>
      </c>
      <c r="C84" s="36">
        <v>3</v>
      </c>
      <c r="D84" s="37"/>
      <c r="E84" s="55" t="s">
        <v>638</v>
      </c>
      <c r="F84" s="56">
        <v>10</v>
      </c>
      <c r="G84" s="40"/>
      <c r="H84" s="36"/>
      <c r="I84" s="36"/>
      <c r="J84" s="36"/>
      <c r="K84" s="36"/>
      <c r="L84" s="36"/>
      <c r="M84" s="36"/>
      <c r="N84" s="36"/>
      <c r="O84" s="40"/>
      <c r="P84" s="40"/>
      <c r="Q84" s="23"/>
    </row>
    <row r="85" spans="1:17" ht="37.5" customHeight="1">
      <c r="A85" s="23"/>
      <c r="B85" s="43" t="s">
        <v>552</v>
      </c>
      <c r="C85" s="36">
        <v>3</v>
      </c>
      <c r="D85" s="37"/>
      <c r="E85" s="55" t="s">
        <v>639</v>
      </c>
      <c r="F85" s="56">
        <v>8</v>
      </c>
      <c r="G85" s="40"/>
      <c r="H85" s="36"/>
      <c r="I85" s="36"/>
      <c r="J85" s="36"/>
      <c r="K85" s="36"/>
      <c r="L85" s="36"/>
      <c r="M85" s="36"/>
      <c r="N85" s="36"/>
      <c r="O85" s="40"/>
      <c r="P85" s="40"/>
      <c r="Q85" s="23"/>
    </row>
    <row r="86" spans="1:17" ht="37.5" customHeight="1">
      <c r="A86" s="23"/>
      <c r="B86" s="43" t="s">
        <v>552</v>
      </c>
      <c r="C86" s="36">
        <v>3</v>
      </c>
      <c r="D86" s="37"/>
      <c r="E86" s="55" t="s">
        <v>640</v>
      </c>
      <c r="F86" s="56">
        <v>12</v>
      </c>
      <c r="G86" s="40"/>
      <c r="H86" s="36"/>
      <c r="I86" s="36"/>
      <c r="J86" s="36"/>
      <c r="K86" s="36"/>
      <c r="L86" s="36"/>
      <c r="M86" s="36"/>
      <c r="N86" s="36"/>
      <c r="O86" s="40"/>
      <c r="P86" s="40"/>
      <c r="Q86" s="23"/>
    </row>
    <row r="87" spans="1:17" ht="37.5" customHeight="1">
      <c r="A87" s="23"/>
      <c r="B87" s="43" t="s">
        <v>552</v>
      </c>
      <c r="C87" s="36">
        <v>3</v>
      </c>
      <c r="D87" s="40"/>
      <c r="E87" s="55" t="s">
        <v>641</v>
      </c>
      <c r="F87" s="56">
        <v>10</v>
      </c>
      <c r="G87" s="37"/>
      <c r="H87" s="36"/>
      <c r="I87" s="36"/>
      <c r="J87" s="36"/>
      <c r="K87" s="36"/>
      <c r="L87" s="36"/>
      <c r="M87" s="36"/>
      <c r="N87" s="36"/>
      <c r="O87" s="40"/>
      <c r="P87" s="40"/>
      <c r="Q87" s="23"/>
    </row>
    <row r="88" spans="1:17" ht="37.5" customHeight="1">
      <c r="A88" s="23"/>
      <c r="B88" s="43" t="s">
        <v>552</v>
      </c>
      <c r="C88" s="36">
        <v>3</v>
      </c>
      <c r="D88" s="37"/>
      <c r="E88" s="55" t="s">
        <v>642</v>
      </c>
      <c r="F88" s="56">
        <v>8</v>
      </c>
      <c r="G88" s="40"/>
      <c r="H88" s="36"/>
      <c r="I88" s="36"/>
      <c r="J88" s="36"/>
      <c r="K88" s="36"/>
      <c r="L88" s="36"/>
      <c r="M88" s="36"/>
      <c r="N88" s="37"/>
      <c r="O88" s="36"/>
      <c r="P88" s="40" t="s">
        <v>643</v>
      </c>
      <c r="Q88" s="23"/>
    </row>
    <row r="89" spans="1:17" ht="37.5" customHeight="1">
      <c r="A89" s="23"/>
      <c r="B89" s="46" t="s">
        <v>558</v>
      </c>
      <c r="C89" s="36">
        <v>3</v>
      </c>
      <c r="D89" s="37"/>
      <c r="E89" s="57" t="s">
        <v>644</v>
      </c>
      <c r="F89" s="58">
        <v>9</v>
      </c>
      <c r="G89" s="40"/>
      <c r="H89" s="36"/>
      <c r="I89" s="36"/>
      <c r="J89" s="36"/>
      <c r="K89" s="36"/>
      <c r="L89" s="36"/>
      <c r="M89" s="36"/>
      <c r="N89" s="36"/>
      <c r="O89" s="40"/>
      <c r="P89" s="40"/>
      <c r="Q89" s="23"/>
    </row>
    <row r="90" spans="1:17" ht="37.5" customHeight="1">
      <c r="A90" s="23"/>
      <c r="B90" s="46" t="s">
        <v>558</v>
      </c>
      <c r="C90" s="36">
        <v>3</v>
      </c>
      <c r="D90" s="37"/>
      <c r="E90" s="57" t="s">
        <v>645</v>
      </c>
      <c r="F90" s="58">
        <v>8</v>
      </c>
      <c r="G90" s="40"/>
      <c r="H90" s="36"/>
      <c r="I90" s="36"/>
      <c r="J90" s="36"/>
      <c r="K90" s="36"/>
      <c r="L90" s="36"/>
      <c r="M90" s="36"/>
      <c r="N90" s="36"/>
      <c r="O90" s="40"/>
      <c r="P90" s="40"/>
      <c r="Q90" s="23"/>
    </row>
    <row r="91" spans="1:17" ht="37.5" customHeight="1">
      <c r="A91" s="23"/>
      <c r="B91" s="46" t="s">
        <v>558</v>
      </c>
      <c r="C91" s="36">
        <v>3</v>
      </c>
      <c r="D91" s="37"/>
      <c r="E91" s="57" t="s">
        <v>646</v>
      </c>
      <c r="F91" s="58">
        <v>9</v>
      </c>
      <c r="G91" s="40"/>
      <c r="H91" s="36"/>
      <c r="I91" s="36"/>
      <c r="J91" s="36"/>
      <c r="K91" s="36"/>
      <c r="L91" s="36"/>
      <c r="M91" s="36"/>
      <c r="N91" s="36"/>
      <c r="O91" s="40"/>
      <c r="P91" s="40"/>
      <c r="Q91" s="23"/>
    </row>
    <row r="92" spans="1:17" ht="37.5" customHeight="1">
      <c r="A92" s="23"/>
      <c r="B92" s="46" t="s">
        <v>558</v>
      </c>
      <c r="C92" s="36">
        <v>3</v>
      </c>
      <c r="D92" s="37"/>
      <c r="E92" s="57" t="s">
        <v>647</v>
      </c>
      <c r="F92" s="58">
        <v>8</v>
      </c>
      <c r="G92" s="40"/>
      <c r="H92" s="36"/>
      <c r="I92" s="61"/>
      <c r="J92" s="36"/>
      <c r="K92" s="36"/>
      <c r="L92" s="36"/>
      <c r="M92" s="36"/>
      <c r="N92" s="36"/>
      <c r="O92" s="40"/>
      <c r="P92" s="40"/>
      <c r="Q92" s="23"/>
    </row>
    <row r="93" spans="1:17" ht="37.5" customHeight="1">
      <c r="A93" s="23"/>
      <c r="B93" s="46" t="s">
        <v>558</v>
      </c>
      <c r="C93" s="36">
        <v>3</v>
      </c>
      <c r="D93" s="37"/>
      <c r="E93" s="57" t="s">
        <v>648</v>
      </c>
      <c r="F93" s="58">
        <v>8</v>
      </c>
      <c r="G93" s="40"/>
      <c r="H93" s="36"/>
      <c r="I93" s="36"/>
      <c r="J93" s="36"/>
      <c r="K93" s="36"/>
      <c r="L93" s="36"/>
      <c r="M93" s="36"/>
      <c r="N93" s="36"/>
      <c r="O93" s="40"/>
      <c r="P93" s="40"/>
      <c r="Q93" s="23"/>
    </row>
    <row r="94" spans="1:17" ht="37.5" customHeight="1">
      <c r="A94" s="23"/>
      <c r="B94" s="46" t="s">
        <v>558</v>
      </c>
      <c r="C94" s="36">
        <v>3</v>
      </c>
      <c r="D94" s="37"/>
      <c r="E94" s="57" t="s">
        <v>649</v>
      </c>
      <c r="F94" s="58">
        <v>10</v>
      </c>
      <c r="G94" s="40"/>
      <c r="H94" s="36"/>
      <c r="I94" s="36"/>
      <c r="J94" s="36"/>
      <c r="K94" s="36"/>
      <c r="L94" s="36"/>
      <c r="M94" s="36"/>
      <c r="N94" s="36"/>
      <c r="O94" s="40"/>
      <c r="P94" s="40"/>
      <c r="Q94" s="23"/>
    </row>
    <row r="95" spans="1:17" ht="37.5" customHeight="1">
      <c r="A95" s="23"/>
      <c r="B95" s="46" t="s">
        <v>558</v>
      </c>
      <c r="C95" s="36">
        <v>3</v>
      </c>
      <c r="D95" s="37"/>
      <c r="E95" s="57" t="s">
        <v>650</v>
      </c>
      <c r="F95" s="58">
        <v>8</v>
      </c>
      <c r="G95" s="40"/>
      <c r="H95" s="36"/>
      <c r="I95" s="36"/>
      <c r="J95" s="36"/>
      <c r="K95" s="36"/>
      <c r="L95" s="36"/>
      <c r="M95" s="36"/>
      <c r="N95" s="36"/>
      <c r="O95" s="40"/>
      <c r="P95" s="40" t="s">
        <v>651</v>
      </c>
      <c r="Q95" s="23"/>
    </row>
    <row r="96" spans="1:17" ht="37.5" customHeight="1">
      <c r="A96" s="23"/>
      <c r="B96" s="46" t="s">
        <v>558</v>
      </c>
      <c r="C96" s="36">
        <v>3</v>
      </c>
      <c r="D96" s="37"/>
      <c r="E96" s="57" t="s">
        <v>652</v>
      </c>
      <c r="F96" s="58">
        <v>9</v>
      </c>
      <c r="G96" s="40"/>
      <c r="H96" s="36"/>
      <c r="I96" s="36"/>
      <c r="J96" s="36"/>
      <c r="K96" s="36"/>
      <c r="L96" s="36"/>
      <c r="M96" s="36"/>
      <c r="N96" s="36"/>
      <c r="O96" s="40"/>
      <c r="P96" s="40"/>
      <c r="Q96" s="23"/>
    </row>
    <row r="97" spans="1:17" ht="37.5" customHeight="1">
      <c r="A97" s="23"/>
      <c r="B97" s="49" t="s">
        <v>564</v>
      </c>
      <c r="C97" s="36">
        <v>3</v>
      </c>
      <c r="D97" s="37"/>
      <c r="E97" s="59" t="s">
        <v>653</v>
      </c>
      <c r="F97" s="60">
        <v>7</v>
      </c>
      <c r="G97" s="40"/>
      <c r="H97" s="36"/>
      <c r="I97" s="36"/>
      <c r="J97" s="36"/>
      <c r="K97" s="36"/>
      <c r="L97" s="36"/>
      <c r="M97" s="36"/>
      <c r="N97" s="36"/>
      <c r="O97" s="40"/>
      <c r="P97" s="40"/>
      <c r="Q97" s="23"/>
    </row>
    <row r="98" spans="1:17" ht="37.5" customHeight="1">
      <c r="A98" s="23"/>
      <c r="B98" s="49" t="s">
        <v>564</v>
      </c>
      <c r="C98" s="36">
        <v>3</v>
      </c>
      <c r="D98" s="37"/>
      <c r="E98" s="59" t="s">
        <v>654</v>
      </c>
      <c r="F98" s="60">
        <v>7</v>
      </c>
      <c r="G98" s="40"/>
      <c r="H98" s="36"/>
      <c r="I98" s="36"/>
      <c r="J98" s="36"/>
      <c r="K98" s="36"/>
      <c r="L98" s="36"/>
      <c r="M98" s="36"/>
      <c r="N98" s="36"/>
      <c r="O98" s="40"/>
      <c r="P98" s="40"/>
      <c r="Q98" s="23"/>
    </row>
    <row r="99" spans="1:17" ht="37.5" customHeight="1">
      <c r="A99" s="23"/>
      <c r="B99" s="49" t="s">
        <v>564</v>
      </c>
      <c r="C99" s="36">
        <v>3</v>
      </c>
      <c r="D99" s="37"/>
      <c r="E99" s="59" t="s">
        <v>388</v>
      </c>
      <c r="F99" s="60">
        <v>9</v>
      </c>
      <c r="G99" s="40"/>
      <c r="H99" s="36"/>
      <c r="I99" s="36"/>
      <c r="J99" s="36"/>
      <c r="K99" s="36"/>
      <c r="L99" s="36"/>
      <c r="M99" s="36"/>
      <c r="N99" s="36"/>
      <c r="O99" s="40"/>
      <c r="P99" s="40"/>
      <c r="Q99" s="23"/>
    </row>
    <row r="100" spans="1:17" ht="37.5" customHeight="1">
      <c r="A100" s="23"/>
      <c r="B100" s="49" t="s">
        <v>564</v>
      </c>
      <c r="C100" s="36">
        <v>3</v>
      </c>
      <c r="D100" s="37"/>
      <c r="E100" s="59" t="s">
        <v>655</v>
      </c>
      <c r="F100" s="60">
        <v>8</v>
      </c>
      <c r="G100" s="40"/>
      <c r="H100" s="36"/>
      <c r="I100" s="36"/>
      <c r="J100" s="36"/>
      <c r="K100" s="36"/>
      <c r="L100" s="36"/>
      <c r="M100" s="36"/>
      <c r="N100" s="36"/>
      <c r="O100" s="40"/>
      <c r="P100" s="40"/>
      <c r="Q100" s="23"/>
    </row>
    <row r="101" spans="1:17" ht="37.5" customHeight="1">
      <c r="A101" s="23"/>
      <c r="B101" s="49" t="s">
        <v>564</v>
      </c>
      <c r="C101" s="36">
        <v>3</v>
      </c>
      <c r="D101" s="37"/>
      <c r="E101" s="59" t="s">
        <v>656</v>
      </c>
      <c r="F101" s="60">
        <v>9</v>
      </c>
      <c r="G101" s="40"/>
      <c r="H101" s="36"/>
      <c r="I101" s="36"/>
      <c r="J101" s="36"/>
      <c r="K101" s="36"/>
      <c r="L101" s="36"/>
      <c r="M101" s="36"/>
      <c r="N101" s="36"/>
      <c r="O101" s="40"/>
      <c r="P101" s="40"/>
      <c r="Q101" s="23"/>
    </row>
    <row r="102" spans="1:17" ht="37.5" customHeight="1">
      <c r="A102" s="23"/>
      <c r="B102" s="49" t="s">
        <v>564</v>
      </c>
      <c r="C102" s="36">
        <v>3</v>
      </c>
      <c r="D102" s="37"/>
      <c r="E102" s="59" t="s">
        <v>657</v>
      </c>
      <c r="F102" s="60">
        <v>7</v>
      </c>
      <c r="G102" s="40"/>
      <c r="H102" s="36"/>
      <c r="I102" s="36"/>
      <c r="J102" s="36"/>
      <c r="K102" s="36"/>
      <c r="L102" s="36"/>
      <c r="M102" s="36"/>
      <c r="N102" s="36"/>
      <c r="O102" s="40"/>
      <c r="P102" s="40"/>
      <c r="Q102" s="23"/>
    </row>
    <row r="103" spans="1:17" ht="37.5" customHeight="1">
      <c r="A103" s="23"/>
      <c r="B103" s="49" t="s">
        <v>564</v>
      </c>
      <c r="C103" s="36">
        <v>3</v>
      </c>
      <c r="D103" s="37"/>
      <c r="E103" s="59" t="s">
        <v>658</v>
      </c>
      <c r="F103" s="60">
        <v>8</v>
      </c>
      <c r="G103" s="40"/>
      <c r="H103" s="36"/>
      <c r="I103" s="36"/>
      <c r="J103" s="36"/>
      <c r="K103" s="36"/>
      <c r="L103" s="36"/>
      <c r="M103" s="36"/>
      <c r="N103" s="36"/>
      <c r="O103" s="40"/>
      <c r="P103" s="40" t="s">
        <v>659</v>
      </c>
      <c r="Q103" s="23"/>
    </row>
    <row r="104" spans="1:17" ht="37.5" customHeight="1">
      <c r="A104" s="23"/>
      <c r="B104" s="49" t="s">
        <v>564</v>
      </c>
      <c r="C104" s="36">
        <v>3</v>
      </c>
      <c r="D104" s="37"/>
      <c r="E104" s="59" t="s">
        <v>660</v>
      </c>
      <c r="F104" s="60">
        <v>8</v>
      </c>
      <c r="G104" s="40"/>
      <c r="H104" s="36"/>
      <c r="I104" s="36"/>
      <c r="J104" s="36"/>
      <c r="K104" s="36"/>
      <c r="L104" s="36"/>
      <c r="M104" s="36"/>
      <c r="N104" s="36"/>
      <c r="O104" s="40"/>
      <c r="P104" s="40"/>
      <c r="Q104" s="23"/>
    </row>
    <row r="105" spans="1:17" ht="37.5" customHeight="1">
      <c r="A105" s="23"/>
      <c r="B105" s="49" t="s">
        <v>564</v>
      </c>
      <c r="C105" s="36">
        <v>4</v>
      </c>
      <c r="D105" s="37"/>
      <c r="E105" s="50" t="s">
        <v>661</v>
      </c>
      <c r="F105" s="51">
        <v>6</v>
      </c>
      <c r="G105" s="62" t="b">
        <v>1</v>
      </c>
      <c r="H105" s="36"/>
      <c r="I105" s="36"/>
      <c r="J105" s="36"/>
      <c r="K105" s="36"/>
      <c r="L105" s="36"/>
      <c r="M105" s="36"/>
      <c r="N105" s="36"/>
      <c r="O105" s="40"/>
      <c r="P105" s="40" t="s">
        <v>662</v>
      </c>
      <c r="Q105" s="23"/>
    </row>
    <row r="106" spans="1:17">
      <c r="A106" s="23"/>
      <c r="B106" s="23"/>
      <c r="C106" s="63"/>
      <c r="D106" s="23"/>
      <c r="E106" s="22"/>
      <c r="F106" s="63"/>
      <c r="G106" s="23"/>
      <c r="H106" s="63"/>
      <c r="I106" s="63"/>
      <c r="J106" s="63"/>
      <c r="K106" s="63"/>
      <c r="L106" s="63"/>
      <c r="M106" s="63"/>
      <c r="N106" s="63"/>
      <c r="O106" s="29"/>
      <c r="P106" s="29"/>
      <c r="Q106" s="23"/>
    </row>
    <row r="107" spans="1:17" ht="18.75">
      <c r="A107" s="23"/>
      <c r="B107" s="307" t="s">
        <v>663</v>
      </c>
      <c r="C107" s="302"/>
      <c r="D107" s="302"/>
      <c r="E107" s="302"/>
      <c r="F107" s="302"/>
      <c r="G107" s="302"/>
      <c r="H107" s="302"/>
      <c r="I107" s="302"/>
      <c r="J107" s="302"/>
      <c r="K107" s="302"/>
      <c r="L107" s="302"/>
      <c r="M107" s="302"/>
      <c r="N107" s="302"/>
      <c r="O107" s="302"/>
      <c r="P107" s="302"/>
      <c r="Q107" s="23"/>
    </row>
    <row r="108" spans="1:17" hidden="1">
      <c r="A108" s="23"/>
      <c r="B108" s="308" t="s">
        <v>664</v>
      </c>
      <c r="C108" s="302"/>
      <c r="D108" s="302"/>
      <c r="E108" s="302"/>
      <c r="F108" s="302"/>
      <c r="G108" s="302"/>
      <c r="H108" s="302"/>
      <c r="I108" s="302"/>
      <c r="J108" s="302"/>
      <c r="K108" s="302"/>
      <c r="L108" s="302"/>
      <c r="M108" s="302"/>
      <c r="N108" s="302"/>
      <c r="O108" s="302"/>
      <c r="P108" s="302"/>
      <c r="Q108" s="23"/>
    </row>
    <row r="109" spans="1:17" ht="22.5" customHeight="1">
      <c r="A109" s="23"/>
      <c r="B109" s="65" t="s">
        <v>665</v>
      </c>
      <c r="C109" s="63"/>
      <c r="D109" s="23"/>
      <c r="E109" s="22"/>
      <c r="F109" s="63"/>
      <c r="G109" s="23"/>
      <c r="H109" s="63"/>
      <c r="I109" s="63"/>
      <c r="J109" s="63"/>
      <c r="K109" s="63"/>
      <c r="L109" s="63"/>
      <c r="M109" s="63"/>
      <c r="N109" s="63"/>
      <c r="O109" s="29"/>
      <c r="P109" s="29"/>
      <c r="Q109" s="23"/>
    </row>
    <row r="110" spans="1:17" ht="22.5" customHeight="1">
      <c r="A110" s="23"/>
      <c r="B110" s="23"/>
      <c r="C110" s="23" t="s">
        <v>666</v>
      </c>
      <c r="D110" s="23"/>
      <c r="E110" s="22"/>
      <c r="F110" s="63"/>
      <c r="G110" s="23"/>
      <c r="H110" s="63"/>
      <c r="I110" s="63"/>
      <c r="J110" s="63"/>
      <c r="K110" s="63"/>
      <c r="L110" s="63"/>
      <c r="M110" s="63"/>
      <c r="N110" s="63"/>
      <c r="O110" s="29"/>
      <c r="P110" s="29"/>
      <c r="Q110" s="23"/>
    </row>
    <row r="111" spans="1:17" ht="22.5" customHeight="1">
      <c r="A111" s="23"/>
      <c r="B111" s="23" t="s">
        <v>667</v>
      </c>
      <c r="C111" s="63"/>
      <c r="D111" s="23"/>
      <c r="E111" s="22"/>
      <c r="F111" s="63"/>
      <c r="G111" s="23"/>
      <c r="H111" s="63"/>
      <c r="I111" s="63"/>
      <c r="J111" s="63"/>
      <c r="K111" s="63"/>
      <c r="L111" s="63"/>
      <c r="M111" s="63"/>
      <c r="N111" s="63"/>
      <c r="O111" s="29"/>
      <c r="P111" s="29"/>
      <c r="Q111" s="23"/>
    </row>
    <row r="112" spans="1:17" ht="22.5" customHeight="1">
      <c r="A112" s="23"/>
      <c r="B112" s="23" t="s">
        <v>668</v>
      </c>
      <c r="C112" s="63"/>
      <c r="D112" s="23"/>
      <c r="E112" s="22"/>
      <c r="F112" s="63"/>
      <c r="G112" s="23"/>
      <c r="H112" s="63"/>
      <c r="I112" s="63"/>
      <c r="J112" s="63"/>
      <c r="K112" s="63"/>
      <c r="L112" s="63"/>
      <c r="M112" s="63"/>
      <c r="N112" s="63"/>
      <c r="O112" s="29"/>
      <c r="P112" s="29"/>
      <c r="Q112" s="23"/>
    </row>
    <row r="113" spans="1:17" ht="22.5" customHeight="1">
      <c r="A113" s="23"/>
      <c r="B113" s="23"/>
      <c r="C113" s="65" t="s">
        <v>669</v>
      </c>
      <c r="D113" s="23"/>
      <c r="E113" s="22"/>
      <c r="F113" s="63"/>
      <c r="G113" s="23"/>
      <c r="H113" s="63"/>
      <c r="I113" s="63"/>
      <c r="J113" s="63"/>
      <c r="K113" s="63"/>
      <c r="L113" s="63"/>
      <c r="M113" s="63"/>
      <c r="N113" s="63"/>
      <c r="O113" s="29"/>
      <c r="P113" s="29"/>
      <c r="Q113" s="23"/>
    </row>
    <row r="114" spans="1:17" ht="22.5" customHeight="1">
      <c r="A114" s="23"/>
      <c r="B114" s="23"/>
      <c r="C114" s="66" t="s">
        <v>670</v>
      </c>
      <c r="D114" s="23"/>
      <c r="E114" s="22"/>
      <c r="F114" s="63"/>
      <c r="G114" s="23"/>
      <c r="H114" s="63"/>
      <c r="I114" s="63"/>
      <c r="J114" s="63"/>
      <c r="K114" s="63"/>
      <c r="L114" s="63"/>
      <c r="M114" s="63"/>
      <c r="N114" s="63"/>
      <c r="O114" s="29"/>
      <c r="P114" s="29"/>
      <c r="Q114" s="23"/>
    </row>
    <row r="115" spans="1:17" ht="22.5" customHeight="1">
      <c r="A115" s="23"/>
      <c r="B115" s="23"/>
      <c r="C115" s="63"/>
      <c r="D115" s="23"/>
      <c r="E115" s="22"/>
      <c r="F115" s="63"/>
      <c r="G115" s="23"/>
      <c r="H115" s="63"/>
      <c r="I115" s="63"/>
      <c r="J115" s="63"/>
      <c r="K115" s="63"/>
      <c r="L115" s="63"/>
      <c r="M115" s="63"/>
      <c r="N115" s="63"/>
      <c r="O115" s="29"/>
      <c r="P115" s="29"/>
      <c r="Q115" s="23"/>
    </row>
  </sheetData>
  <autoFilter ref="B3:P105" xr:uid="{00000000-0009-0000-0000-000001000000}">
    <sortState xmlns:xlrd2="http://schemas.microsoft.com/office/spreadsheetml/2017/richdata2" ref="B3:P105">
      <sortCondition ref="C3:C105"/>
      <sortCondition ref="B3:B105"/>
    </sortState>
  </autoFilter>
  <mergeCells count="4">
    <mergeCell ref="A1:P1"/>
    <mergeCell ref="H2:M2"/>
    <mergeCell ref="B107:P107"/>
    <mergeCell ref="B108:P108"/>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O70"/>
  <sheetViews>
    <sheetView workbookViewId="0">
      <pane ySplit="3" topLeftCell="A4" activePane="bottomLeft" state="frozen"/>
      <selection pane="bottomLeft" activeCell="B5" sqref="B5"/>
    </sheetView>
  </sheetViews>
  <sheetFormatPr defaultColWidth="12.5703125" defaultRowHeight="15.75" customHeight="1"/>
  <cols>
    <col min="1" max="1" width="1.42578125" customWidth="1"/>
    <col min="2" max="2" width="6" customWidth="1"/>
    <col min="3" max="4" width="11.42578125" customWidth="1"/>
    <col min="5" max="5" width="12.140625" customWidth="1"/>
    <col min="6" max="6" width="7" customWidth="1"/>
    <col min="7" max="12" width="6.42578125" customWidth="1"/>
    <col min="13" max="13" width="35.85546875" customWidth="1"/>
    <col min="14" max="14" width="44.42578125" customWidth="1"/>
    <col min="15" max="15" width="6.42578125" customWidth="1"/>
  </cols>
  <sheetData>
    <row r="1" spans="1:15">
      <c r="A1" s="22" t="s">
        <v>671</v>
      </c>
      <c r="B1" s="22"/>
      <c r="C1" s="22"/>
      <c r="D1" s="22"/>
      <c r="E1" s="22"/>
      <c r="F1" s="22"/>
      <c r="G1" s="22"/>
      <c r="H1" s="22"/>
      <c r="I1" s="22"/>
      <c r="J1" s="22"/>
      <c r="K1" s="22"/>
      <c r="L1" s="22"/>
      <c r="M1" s="22"/>
      <c r="N1" s="22"/>
      <c r="O1" s="1"/>
    </row>
    <row r="2" spans="1:15" ht="30.75" customHeight="1">
      <c r="A2" s="24"/>
      <c r="B2" s="320" t="s">
        <v>672</v>
      </c>
      <c r="C2" s="320" t="s">
        <v>673</v>
      </c>
      <c r="D2" s="320" t="s">
        <v>674</v>
      </c>
      <c r="E2" s="320" t="s">
        <v>526</v>
      </c>
      <c r="F2" s="325" t="s">
        <v>675</v>
      </c>
      <c r="G2" s="326" t="s">
        <v>528</v>
      </c>
      <c r="H2" s="305"/>
      <c r="I2" s="305"/>
      <c r="J2" s="305"/>
      <c r="K2" s="305"/>
      <c r="L2" s="306"/>
      <c r="M2" s="320" t="s">
        <v>676</v>
      </c>
      <c r="N2" s="320" t="s">
        <v>531</v>
      </c>
      <c r="O2" s="67"/>
    </row>
    <row r="3" spans="1:15">
      <c r="A3" s="24"/>
      <c r="B3" s="311"/>
      <c r="C3" s="311"/>
      <c r="D3" s="311"/>
      <c r="E3" s="311"/>
      <c r="F3" s="311"/>
      <c r="G3" s="37" t="s">
        <v>532</v>
      </c>
      <c r="H3" s="37" t="s">
        <v>533</v>
      </c>
      <c r="I3" s="37" t="s">
        <v>534</v>
      </c>
      <c r="J3" s="37" t="s">
        <v>535</v>
      </c>
      <c r="K3" s="37" t="s">
        <v>536</v>
      </c>
      <c r="L3" s="37" t="s">
        <v>537</v>
      </c>
      <c r="M3" s="311"/>
      <c r="N3" s="311"/>
      <c r="O3" s="67"/>
    </row>
    <row r="4" spans="1:15" ht="38.25" customHeight="1">
      <c r="A4" s="29"/>
      <c r="B4" s="68" t="s">
        <v>677</v>
      </c>
      <c r="C4" s="69" t="s">
        <v>678</v>
      </c>
      <c r="D4" s="36"/>
      <c r="E4" s="70"/>
      <c r="F4" s="71"/>
      <c r="G4" s="72"/>
      <c r="H4" s="72"/>
      <c r="I4" s="72"/>
      <c r="J4" s="72"/>
      <c r="K4" s="72"/>
      <c r="L4" s="72"/>
      <c r="M4" s="40" t="s">
        <v>679</v>
      </c>
      <c r="N4" s="40"/>
      <c r="O4" s="73"/>
    </row>
    <row r="5" spans="1:15" ht="38.25" customHeight="1">
      <c r="A5" s="29"/>
      <c r="B5" s="68" t="s">
        <v>677</v>
      </c>
      <c r="C5" s="69" t="s">
        <v>680</v>
      </c>
      <c r="D5" s="36"/>
      <c r="E5" s="74"/>
      <c r="F5" s="71"/>
      <c r="G5" s="72"/>
      <c r="H5" s="72"/>
      <c r="I5" s="72"/>
      <c r="J5" s="72"/>
      <c r="K5" s="75"/>
      <c r="L5" s="75"/>
      <c r="M5" s="40"/>
      <c r="N5" s="40" t="s">
        <v>681</v>
      </c>
      <c r="O5" s="73"/>
    </row>
    <row r="6" spans="1:15" ht="38.25" customHeight="1">
      <c r="A6" s="29"/>
      <c r="B6" s="68" t="s">
        <v>677</v>
      </c>
      <c r="C6" s="69" t="s">
        <v>136</v>
      </c>
      <c r="D6" s="61"/>
      <c r="E6" s="74"/>
      <c r="F6" s="76" t="s">
        <v>682</v>
      </c>
      <c r="G6" s="72"/>
      <c r="H6" s="72"/>
      <c r="I6" s="72"/>
      <c r="J6" s="72"/>
      <c r="K6" s="72"/>
      <c r="L6" s="72"/>
      <c r="M6" s="40"/>
      <c r="N6" s="40" t="s">
        <v>683</v>
      </c>
      <c r="O6" s="73"/>
    </row>
    <row r="7" spans="1:15" ht="38.25" customHeight="1">
      <c r="A7" s="29"/>
      <c r="B7" s="68" t="s">
        <v>677</v>
      </c>
      <c r="C7" s="69" t="s">
        <v>684</v>
      </c>
      <c r="D7" s="36"/>
      <c r="E7" s="70"/>
      <c r="F7" s="71"/>
      <c r="G7" s="72"/>
      <c r="H7" s="72"/>
      <c r="I7" s="72"/>
      <c r="J7" s="72"/>
      <c r="K7" s="72"/>
      <c r="L7" s="72"/>
      <c r="M7" s="40" t="s">
        <v>685</v>
      </c>
      <c r="N7" s="40"/>
      <c r="O7" s="73"/>
    </row>
    <row r="8" spans="1:15" ht="38.25" customHeight="1">
      <c r="A8" s="29"/>
      <c r="B8" s="68" t="s">
        <v>677</v>
      </c>
      <c r="C8" s="69" t="s">
        <v>686</v>
      </c>
      <c r="D8" s="36"/>
      <c r="E8" s="74"/>
      <c r="F8" s="71"/>
      <c r="G8" s="72"/>
      <c r="H8" s="72"/>
      <c r="I8" s="72"/>
      <c r="J8" s="72"/>
      <c r="K8" s="72"/>
      <c r="L8" s="72"/>
      <c r="M8" s="40" t="s">
        <v>687</v>
      </c>
      <c r="N8" s="40"/>
      <c r="O8" s="73"/>
    </row>
    <row r="9" spans="1:15" ht="38.25" customHeight="1">
      <c r="A9" s="29"/>
      <c r="B9" s="68" t="s">
        <v>677</v>
      </c>
      <c r="C9" s="69" t="s">
        <v>226</v>
      </c>
      <c r="D9" s="36"/>
      <c r="E9" s="74"/>
      <c r="F9" s="71"/>
      <c r="G9" s="72"/>
      <c r="H9" s="72"/>
      <c r="I9" s="72"/>
      <c r="J9" s="72"/>
      <c r="K9" s="72"/>
      <c r="L9" s="72"/>
      <c r="M9" s="40" t="s">
        <v>688</v>
      </c>
      <c r="N9" s="40" t="s">
        <v>689</v>
      </c>
      <c r="O9" s="73"/>
    </row>
    <row r="10" spans="1:15" ht="38.25" customHeight="1">
      <c r="A10" s="29"/>
      <c r="B10" s="68" t="s">
        <v>677</v>
      </c>
      <c r="C10" s="69" t="s">
        <v>690</v>
      </c>
      <c r="D10" s="36"/>
      <c r="E10" s="74"/>
      <c r="F10" s="71"/>
      <c r="G10" s="72"/>
      <c r="H10" s="72"/>
      <c r="I10" s="72"/>
      <c r="J10" s="72"/>
      <c r="K10" s="72"/>
      <c r="L10" s="72"/>
      <c r="M10" s="40"/>
      <c r="N10" s="40"/>
      <c r="O10" s="73"/>
    </row>
    <row r="11" spans="1:15" ht="38.25" customHeight="1">
      <c r="A11" s="29"/>
      <c r="B11" s="68" t="s">
        <v>677</v>
      </c>
      <c r="C11" s="69" t="s">
        <v>691</v>
      </c>
      <c r="D11" s="61"/>
      <c r="E11" s="74"/>
      <c r="F11" s="71"/>
      <c r="G11" s="72"/>
      <c r="H11" s="72"/>
      <c r="I11" s="72"/>
      <c r="J11" s="72"/>
      <c r="K11" s="72"/>
      <c r="L11" s="72"/>
      <c r="M11" s="40" t="s">
        <v>692</v>
      </c>
      <c r="N11" s="40"/>
      <c r="O11" s="73"/>
    </row>
    <row r="12" spans="1:15" ht="38.25" customHeight="1">
      <c r="A12" s="29"/>
      <c r="B12" s="68" t="s">
        <v>677</v>
      </c>
      <c r="C12" s="69" t="s">
        <v>99</v>
      </c>
      <c r="D12" s="36"/>
      <c r="E12" s="74"/>
      <c r="F12" s="71"/>
      <c r="G12" s="72"/>
      <c r="H12" s="72"/>
      <c r="I12" s="72"/>
      <c r="J12" s="72"/>
      <c r="K12" s="72"/>
      <c r="L12" s="72"/>
      <c r="M12" s="40" t="s">
        <v>693</v>
      </c>
      <c r="N12" s="40" t="s">
        <v>694</v>
      </c>
      <c r="O12" s="73"/>
    </row>
    <row r="13" spans="1:15" ht="38.25" customHeight="1">
      <c r="A13" s="29"/>
      <c r="B13" s="68" t="s">
        <v>677</v>
      </c>
      <c r="C13" s="69" t="s">
        <v>695</v>
      </c>
      <c r="D13" s="36"/>
      <c r="E13" s="70"/>
      <c r="F13" s="71"/>
      <c r="G13" s="72"/>
      <c r="H13" s="72"/>
      <c r="I13" s="72"/>
      <c r="J13" s="72"/>
      <c r="K13" s="72"/>
      <c r="L13" s="72"/>
      <c r="M13" s="40"/>
      <c r="N13" s="40"/>
      <c r="O13" s="73"/>
    </row>
    <row r="14" spans="1:15" ht="38.25" customHeight="1">
      <c r="A14" s="29"/>
      <c r="B14" s="68" t="s">
        <v>677</v>
      </c>
      <c r="C14" s="69" t="s">
        <v>92</v>
      </c>
      <c r="D14" s="36"/>
      <c r="E14" s="77"/>
      <c r="F14" s="71"/>
      <c r="G14" s="72"/>
      <c r="H14" s="72"/>
      <c r="I14" s="72"/>
      <c r="J14" s="72"/>
      <c r="K14" s="72"/>
      <c r="L14" s="72"/>
      <c r="M14" s="40" t="s">
        <v>696</v>
      </c>
      <c r="N14" s="40" t="s">
        <v>697</v>
      </c>
      <c r="O14" s="73"/>
    </row>
    <row r="15" spans="1:15" ht="38.25" customHeight="1">
      <c r="A15" s="40"/>
      <c r="B15" s="68" t="s">
        <v>677</v>
      </c>
      <c r="C15" s="69" t="s">
        <v>130</v>
      </c>
      <c r="D15" s="36"/>
      <c r="E15" s="78"/>
      <c r="F15" s="76" t="s">
        <v>698</v>
      </c>
      <c r="G15" s="72"/>
      <c r="H15" s="72"/>
      <c r="I15" s="75"/>
      <c r="J15" s="75"/>
      <c r="K15" s="72"/>
      <c r="L15" s="75"/>
      <c r="M15" s="40"/>
      <c r="N15" s="40" t="s">
        <v>699</v>
      </c>
      <c r="O15" s="73"/>
    </row>
    <row r="16" spans="1:15" ht="11.25" customHeight="1">
      <c r="A16" s="29"/>
      <c r="B16" s="321" t="s">
        <v>677</v>
      </c>
      <c r="C16" s="322" t="s">
        <v>58</v>
      </c>
      <c r="D16" s="79"/>
      <c r="E16" s="323"/>
      <c r="F16" s="324" t="s">
        <v>682</v>
      </c>
      <c r="G16" s="80"/>
      <c r="H16" s="80"/>
      <c r="I16" s="80"/>
      <c r="J16" s="80"/>
      <c r="K16" s="80"/>
      <c r="L16" s="80"/>
      <c r="M16" s="309" t="s">
        <v>700</v>
      </c>
      <c r="N16" s="309" t="s">
        <v>701</v>
      </c>
      <c r="O16" s="73"/>
    </row>
    <row r="17" spans="1:15" ht="38.25" customHeight="1">
      <c r="A17" s="29"/>
      <c r="B17" s="310"/>
      <c r="C17" s="310"/>
      <c r="D17" s="81"/>
      <c r="E17" s="302"/>
      <c r="F17" s="310"/>
      <c r="G17" s="72"/>
      <c r="H17" s="72"/>
      <c r="I17" s="72"/>
      <c r="J17" s="72"/>
      <c r="K17" s="72"/>
      <c r="L17" s="72"/>
      <c r="M17" s="310"/>
      <c r="N17" s="310"/>
      <c r="O17" s="73"/>
    </row>
    <row r="18" spans="1:15" ht="11.25" customHeight="1">
      <c r="A18" s="29"/>
      <c r="B18" s="311"/>
      <c r="C18" s="311"/>
      <c r="D18" s="82"/>
      <c r="E18" s="315"/>
      <c r="F18" s="311"/>
      <c r="G18" s="80"/>
      <c r="H18" s="80"/>
      <c r="I18" s="80"/>
      <c r="J18" s="80"/>
      <c r="K18" s="80"/>
      <c r="L18" s="80"/>
      <c r="M18" s="311"/>
      <c r="N18" s="311"/>
      <c r="O18" s="73"/>
    </row>
    <row r="19" spans="1:15" ht="45" customHeight="1">
      <c r="A19" s="40"/>
      <c r="B19" s="83" t="s">
        <v>702</v>
      </c>
      <c r="C19" s="38" t="s">
        <v>121</v>
      </c>
      <c r="D19" s="36"/>
      <c r="E19" s="78"/>
      <c r="F19" s="71"/>
      <c r="G19" s="37"/>
      <c r="H19" s="37"/>
      <c r="I19" s="37"/>
      <c r="J19" s="37"/>
      <c r="K19" s="37"/>
      <c r="L19" s="37"/>
      <c r="M19" s="40" t="s">
        <v>703</v>
      </c>
      <c r="N19" s="40" t="s">
        <v>704</v>
      </c>
      <c r="O19" s="73"/>
    </row>
    <row r="20" spans="1:15" ht="45" customHeight="1">
      <c r="A20" s="29"/>
      <c r="B20" s="83" t="s">
        <v>702</v>
      </c>
      <c r="C20" s="38" t="s">
        <v>705</v>
      </c>
      <c r="D20" s="36"/>
      <c r="E20" s="70"/>
      <c r="F20" s="71"/>
      <c r="G20" s="37"/>
      <c r="H20" s="37"/>
      <c r="I20" s="37"/>
      <c r="J20" s="37"/>
      <c r="K20" s="37"/>
      <c r="L20" s="37"/>
      <c r="M20" s="40"/>
      <c r="N20" s="40"/>
      <c r="O20" s="73"/>
    </row>
    <row r="21" spans="1:15" ht="45" customHeight="1">
      <c r="A21" s="29"/>
      <c r="B21" s="83" t="s">
        <v>702</v>
      </c>
      <c r="C21" s="38" t="s">
        <v>706</v>
      </c>
      <c r="D21" s="36"/>
      <c r="E21" s="74"/>
      <c r="F21" s="71"/>
      <c r="G21" s="37"/>
      <c r="H21" s="37"/>
      <c r="I21" s="37"/>
      <c r="J21" s="37"/>
      <c r="K21" s="37"/>
      <c r="L21" s="37"/>
      <c r="M21" s="40"/>
      <c r="N21" s="40"/>
      <c r="O21" s="73"/>
    </row>
    <row r="22" spans="1:15" ht="45" customHeight="1">
      <c r="A22" s="29"/>
      <c r="B22" s="83" t="s">
        <v>702</v>
      </c>
      <c r="C22" s="38" t="s">
        <v>707</v>
      </c>
      <c r="D22" s="36"/>
      <c r="E22" s="74"/>
      <c r="F22" s="71"/>
      <c r="G22" s="37"/>
      <c r="H22" s="37"/>
      <c r="I22" s="37"/>
      <c r="J22" s="37"/>
      <c r="K22" s="37"/>
      <c r="L22" s="37"/>
      <c r="M22" s="40"/>
      <c r="N22" s="40"/>
      <c r="O22" s="73"/>
    </row>
    <row r="23" spans="1:15" ht="45" customHeight="1">
      <c r="A23" s="29"/>
      <c r="B23" s="83" t="s">
        <v>702</v>
      </c>
      <c r="C23" s="38" t="s">
        <v>708</v>
      </c>
      <c r="D23" s="36"/>
      <c r="E23" s="74"/>
      <c r="F23" s="71"/>
      <c r="G23" s="37"/>
      <c r="H23" s="37"/>
      <c r="I23" s="37"/>
      <c r="J23" s="37"/>
      <c r="K23" s="37"/>
      <c r="L23" s="37"/>
      <c r="M23" s="84" t="s">
        <v>709</v>
      </c>
      <c r="N23" s="40"/>
      <c r="O23" s="73"/>
    </row>
    <row r="24" spans="1:15" ht="45" customHeight="1">
      <c r="A24" s="29"/>
      <c r="B24" s="83" t="s">
        <v>702</v>
      </c>
      <c r="C24" s="38" t="s">
        <v>710</v>
      </c>
      <c r="D24" s="36"/>
      <c r="E24" s="74"/>
      <c r="F24" s="71"/>
      <c r="G24" s="37"/>
      <c r="H24" s="37"/>
      <c r="I24" s="37"/>
      <c r="J24" s="37"/>
      <c r="K24" s="37"/>
      <c r="L24" s="37"/>
      <c r="M24" s="40" t="s">
        <v>711</v>
      </c>
      <c r="N24" s="40"/>
      <c r="O24" s="73"/>
    </row>
    <row r="25" spans="1:15" ht="45" customHeight="1">
      <c r="A25" s="29"/>
      <c r="B25" s="83" t="s">
        <v>702</v>
      </c>
      <c r="C25" s="38" t="s">
        <v>146</v>
      </c>
      <c r="D25" s="61"/>
      <c r="E25" s="74"/>
      <c r="F25" s="76" t="s">
        <v>712</v>
      </c>
      <c r="G25" s="37"/>
      <c r="H25" s="37"/>
      <c r="I25" s="37"/>
      <c r="J25" s="37"/>
      <c r="K25" s="37"/>
      <c r="L25" s="37"/>
      <c r="M25" s="40"/>
      <c r="N25" s="40" t="s">
        <v>713</v>
      </c>
      <c r="O25" s="73"/>
    </row>
    <row r="26" spans="1:15" ht="45" customHeight="1">
      <c r="A26" s="29"/>
      <c r="B26" s="83" t="s">
        <v>702</v>
      </c>
      <c r="C26" s="52" t="s">
        <v>714</v>
      </c>
      <c r="D26" s="36"/>
      <c r="E26" s="85"/>
      <c r="F26" s="86"/>
      <c r="G26" s="37"/>
      <c r="H26" s="37"/>
      <c r="I26" s="37"/>
      <c r="J26" s="37"/>
      <c r="K26" s="37"/>
      <c r="L26" s="37"/>
      <c r="M26" s="40"/>
      <c r="N26" s="40"/>
      <c r="O26" s="73"/>
    </row>
    <row r="27" spans="1:15" ht="45" customHeight="1">
      <c r="A27" s="29"/>
      <c r="B27" s="83" t="s">
        <v>702</v>
      </c>
      <c r="C27" s="52" t="s">
        <v>715</v>
      </c>
      <c r="D27" s="36"/>
      <c r="E27" s="85"/>
      <c r="F27" s="86"/>
      <c r="G27" s="37"/>
      <c r="H27" s="37"/>
      <c r="I27" s="37"/>
      <c r="J27" s="37"/>
      <c r="K27" s="37"/>
      <c r="L27" s="37"/>
      <c r="M27" s="40" t="s">
        <v>716</v>
      </c>
      <c r="N27" s="40"/>
      <c r="O27" s="73"/>
    </row>
    <row r="28" spans="1:15" ht="45" customHeight="1">
      <c r="A28" s="29"/>
      <c r="B28" s="83" t="s">
        <v>702</v>
      </c>
      <c r="C28" s="52" t="s">
        <v>717</v>
      </c>
      <c r="D28" s="61"/>
      <c r="E28" s="85"/>
      <c r="F28" s="86"/>
      <c r="G28" s="37"/>
      <c r="H28" s="37"/>
      <c r="I28" s="37"/>
      <c r="J28" s="37"/>
      <c r="K28" s="37"/>
      <c r="L28" s="37"/>
      <c r="M28" s="40" t="s">
        <v>718</v>
      </c>
      <c r="N28" s="40"/>
      <c r="O28" s="73"/>
    </row>
    <row r="29" spans="1:15" ht="45" customHeight="1">
      <c r="A29" s="29"/>
      <c r="B29" s="83" t="s">
        <v>702</v>
      </c>
      <c r="C29" s="52" t="s">
        <v>719</v>
      </c>
      <c r="D29" s="36"/>
      <c r="E29" s="74"/>
      <c r="F29" s="87" t="s">
        <v>720</v>
      </c>
      <c r="G29" s="36"/>
      <c r="H29" s="36"/>
      <c r="I29" s="36"/>
      <c r="J29" s="36"/>
      <c r="K29" s="36"/>
      <c r="L29" s="36"/>
      <c r="M29" s="40" t="s">
        <v>721</v>
      </c>
      <c r="N29" s="40"/>
      <c r="O29" s="73"/>
    </row>
    <row r="30" spans="1:15" ht="45" customHeight="1">
      <c r="A30" s="29"/>
      <c r="B30" s="83" t="s">
        <v>702</v>
      </c>
      <c r="C30" s="52" t="s">
        <v>133</v>
      </c>
      <c r="D30" s="36"/>
      <c r="E30" s="74"/>
      <c r="F30" s="87" t="s">
        <v>722</v>
      </c>
      <c r="G30" s="37"/>
      <c r="H30" s="37"/>
      <c r="I30" s="36"/>
      <c r="J30" s="36"/>
      <c r="K30" s="36"/>
      <c r="L30" s="36"/>
      <c r="M30" s="40"/>
      <c r="N30" s="40" t="s">
        <v>723</v>
      </c>
      <c r="O30" s="73"/>
    </row>
    <row r="31" spans="1:15" ht="45" customHeight="1">
      <c r="A31" s="29"/>
      <c r="B31" s="83" t="s">
        <v>702</v>
      </c>
      <c r="C31" s="52" t="s">
        <v>724</v>
      </c>
      <c r="D31" s="36"/>
      <c r="E31" s="85"/>
      <c r="F31" s="86"/>
      <c r="G31" s="37"/>
      <c r="H31" s="37"/>
      <c r="I31" s="37"/>
      <c r="J31" s="37"/>
      <c r="K31" s="37"/>
      <c r="L31" s="37"/>
      <c r="M31" s="40" t="s">
        <v>725</v>
      </c>
      <c r="N31" s="40"/>
      <c r="O31" s="73"/>
    </row>
    <row r="32" spans="1:15" ht="45" customHeight="1">
      <c r="A32" s="29"/>
      <c r="B32" s="83" t="s">
        <v>702</v>
      </c>
      <c r="C32" s="52" t="s">
        <v>726</v>
      </c>
      <c r="D32" s="36"/>
      <c r="E32" s="85"/>
      <c r="F32" s="87" t="s">
        <v>727</v>
      </c>
      <c r="G32" s="37"/>
      <c r="H32" s="37"/>
      <c r="I32" s="37"/>
      <c r="J32" s="37"/>
      <c r="K32" s="37"/>
      <c r="L32" s="37"/>
      <c r="M32" s="40" t="s">
        <v>728</v>
      </c>
      <c r="N32" s="40"/>
      <c r="O32" s="73"/>
    </row>
    <row r="33" spans="1:15" ht="52.5" customHeight="1">
      <c r="A33" s="29"/>
      <c r="B33" s="88" t="s">
        <v>729</v>
      </c>
      <c r="C33" s="57" t="s">
        <v>730</v>
      </c>
      <c r="D33" s="36"/>
      <c r="E33" s="85"/>
      <c r="F33" s="86"/>
      <c r="G33" s="37"/>
      <c r="H33" s="37"/>
      <c r="I33" s="37"/>
      <c r="J33" s="37"/>
      <c r="K33" s="37"/>
      <c r="L33" s="37"/>
      <c r="M33" s="40" t="s">
        <v>731</v>
      </c>
      <c r="N33" s="41"/>
      <c r="O33" s="89"/>
    </row>
    <row r="34" spans="1:15" ht="52.5" customHeight="1">
      <c r="A34" s="29"/>
      <c r="B34" s="88" t="s">
        <v>729</v>
      </c>
      <c r="C34" s="57" t="s">
        <v>732</v>
      </c>
      <c r="D34" s="36"/>
      <c r="E34" s="85"/>
      <c r="F34" s="86"/>
      <c r="G34" s="37"/>
      <c r="H34" s="37"/>
      <c r="I34" s="37"/>
      <c r="J34" s="37"/>
      <c r="K34" s="37"/>
      <c r="L34" s="37"/>
      <c r="M34" s="40" t="s">
        <v>733</v>
      </c>
      <c r="N34" s="41"/>
      <c r="O34" s="89"/>
    </row>
    <row r="35" spans="1:15" ht="52.5" customHeight="1">
      <c r="A35" s="29"/>
      <c r="B35" s="88" t="s">
        <v>729</v>
      </c>
      <c r="C35" s="57" t="s">
        <v>734</v>
      </c>
      <c r="D35" s="36"/>
      <c r="E35" s="85"/>
      <c r="F35" s="86"/>
      <c r="G35" s="37"/>
      <c r="H35" s="37"/>
      <c r="I35" s="37"/>
      <c r="J35" s="37"/>
      <c r="K35" s="37"/>
      <c r="L35" s="37"/>
      <c r="M35" s="40" t="s">
        <v>735</v>
      </c>
      <c r="N35" s="41"/>
      <c r="O35" s="89"/>
    </row>
    <row r="36" spans="1:15" ht="52.5" customHeight="1">
      <c r="A36" s="29"/>
      <c r="B36" s="88" t="s">
        <v>729</v>
      </c>
      <c r="C36" s="57" t="s">
        <v>736</v>
      </c>
      <c r="D36" s="36"/>
      <c r="E36" s="85"/>
      <c r="F36" s="86"/>
      <c r="G36" s="37"/>
      <c r="H36" s="37"/>
      <c r="I36" s="37"/>
      <c r="J36" s="37"/>
      <c r="K36" s="37"/>
      <c r="L36" s="37"/>
      <c r="M36" s="40" t="s">
        <v>737</v>
      </c>
      <c r="N36" s="41"/>
      <c r="O36" s="89"/>
    </row>
    <row r="37" spans="1:15" ht="18.75" customHeight="1">
      <c r="A37" s="29"/>
      <c r="B37" s="312" t="s">
        <v>729</v>
      </c>
      <c r="C37" s="313" t="s">
        <v>316</v>
      </c>
      <c r="D37" s="90"/>
      <c r="E37" s="314"/>
      <c r="F37" s="316"/>
      <c r="G37" s="317"/>
      <c r="H37" s="317"/>
      <c r="I37" s="318"/>
      <c r="J37" s="318"/>
      <c r="K37" s="317"/>
      <c r="L37" s="317"/>
      <c r="M37" s="319" t="s">
        <v>738</v>
      </c>
      <c r="N37" s="309" t="s">
        <v>739</v>
      </c>
      <c r="O37" s="73"/>
    </row>
    <row r="38" spans="1:15" ht="52.5" customHeight="1">
      <c r="A38" s="29"/>
      <c r="B38" s="310"/>
      <c r="C38" s="310"/>
      <c r="D38" s="92"/>
      <c r="E38" s="302"/>
      <c r="F38" s="310"/>
      <c r="G38" s="311"/>
      <c r="H38" s="311"/>
      <c r="I38" s="311"/>
      <c r="J38" s="311"/>
      <c r="K38" s="311"/>
      <c r="L38" s="311"/>
      <c r="M38" s="310"/>
      <c r="N38" s="310"/>
      <c r="O38" s="73"/>
    </row>
    <row r="39" spans="1:15" ht="18.75" customHeight="1">
      <c r="A39" s="29"/>
      <c r="B39" s="311"/>
      <c r="C39" s="311"/>
      <c r="D39" s="93"/>
      <c r="E39" s="315"/>
      <c r="F39" s="311"/>
      <c r="G39" s="37"/>
      <c r="H39" s="37"/>
      <c r="I39" s="41"/>
      <c r="J39" s="41"/>
      <c r="K39" s="37"/>
      <c r="L39" s="37"/>
      <c r="M39" s="311"/>
      <c r="N39" s="311"/>
      <c r="O39" s="73"/>
    </row>
    <row r="40" spans="1:15" ht="52.5" customHeight="1">
      <c r="A40" s="29"/>
      <c r="B40" s="88" t="s">
        <v>729</v>
      </c>
      <c r="C40" s="57" t="s">
        <v>740</v>
      </c>
      <c r="D40" s="36"/>
      <c r="E40" s="85"/>
      <c r="F40" s="86"/>
      <c r="G40" s="37"/>
      <c r="H40" s="37"/>
      <c r="I40" s="37"/>
      <c r="J40" s="37"/>
      <c r="K40" s="37"/>
      <c r="L40" s="37"/>
      <c r="M40" s="40" t="s">
        <v>741</v>
      </c>
      <c r="N40" s="40"/>
      <c r="O40" s="73"/>
    </row>
    <row r="41" spans="1:15" ht="52.5" customHeight="1">
      <c r="A41" s="29"/>
      <c r="B41" s="88" t="s">
        <v>729</v>
      </c>
      <c r="C41" s="57" t="s">
        <v>742</v>
      </c>
      <c r="D41" s="36"/>
      <c r="E41" s="85"/>
      <c r="F41" s="86"/>
      <c r="G41" s="37"/>
      <c r="H41" s="37"/>
      <c r="I41" s="37"/>
      <c r="J41" s="37"/>
      <c r="K41" s="37"/>
      <c r="L41" s="37"/>
      <c r="M41" s="40" t="s">
        <v>743</v>
      </c>
      <c r="N41" s="40"/>
      <c r="O41" s="73"/>
    </row>
    <row r="42" spans="1:15" ht="52.5" customHeight="1">
      <c r="A42" s="29"/>
      <c r="B42" s="88" t="s">
        <v>729</v>
      </c>
      <c r="C42" s="57" t="s">
        <v>223</v>
      </c>
      <c r="D42" s="36"/>
      <c r="E42" s="85"/>
      <c r="F42" s="86"/>
      <c r="G42" s="37"/>
      <c r="H42" s="37"/>
      <c r="I42" s="37"/>
      <c r="J42" s="37"/>
      <c r="K42" s="37"/>
      <c r="L42" s="37"/>
      <c r="M42" s="40" t="s">
        <v>744</v>
      </c>
      <c r="N42" s="40" t="s">
        <v>745</v>
      </c>
      <c r="O42" s="73"/>
    </row>
    <row r="43" spans="1:15" ht="52.5" customHeight="1">
      <c r="A43" s="29"/>
      <c r="B43" s="88" t="s">
        <v>729</v>
      </c>
      <c r="C43" s="57" t="s">
        <v>746</v>
      </c>
      <c r="D43" s="36"/>
      <c r="E43" s="85"/>
      <c r="F43" s="86"/>
      <c r="G43" s="37"/>
      <c r="H43" s="37"/>
      <c r="I43" s="37"/>
      <c r="J43" s="37"/>
      <c r="K43" s="37"/>
      <c r="L43" s="37"/>
      <c r="M43" s="40" t="s">
        <v>747</v>
      </c>
      <c r="N43" s="41"/>
      <c r="O43" s="89"/>
    </row>
    <row r="44" spans="1:15" ht="52.5" customHeight="1">
      <c r="A44" s="29"/>
      <c r="B44" s="88" t="s">
        <v>729</v>
      </c>
      <c r="C44" s="57" t="s">
        <v>748</v>
      </c>
      <c r="D44" s="36"/>
      <c r="E44" s="85"/>
      <c r="F44" s="86"/>
      <c r="G44" s="37"/>
      <c r="H44" s="37"/>
      <c r="I44" s="41"/>
      <c r="J44" s="41"/>
      <c r="K44" s="37"/>
      <c r="L44" s="37"/>
      <c r="M44" s="40" t="s">
        <v>749</v>
      </c>
      <c r="N44" s="41"/>
      <c r="O44" s="89"/>
    </row>
    <row r="45" spans="1:15" ht="52.5" customHeight="1">
      <c r="A45" s="29"/>
      <c r="B45" s="88" t="s">
        <v>729</v>
      </c>
      <c r="C45" s="57" t="s">
        <v>750</v>
      </c>
      <c r="D45" s="36"/>
      <c r="E45" s="85"/>
      <c r="F45" s="86"/>
      <c r="G45" s="37"/>
      <c r="H45" s="37"/>
      <c r="I45" s="37"/>
      <c r="J45" s="37"/>
      <c r="K45" s="37"/>
      <c r="L45" s="41"/>
      <c r="M45" s="40" t="s">
        <v>751</v>
      </c>
      <c r="N45" s="41"/>
      <c r="O45" s="89"/>
    </row>
    <row r="46" spans="1:15" ht="52.5" customHeight="1">
      <c r="A46" s="29"/>
      <c r="B46" s="88" t="s">
        <v>729</v>
      </c>
      <c r="C46" s="57" t="s">
        <v>752</v>
      </c>
      <c r="D46" s="36"/>
      <c r="E46" s="85"/>
      <c r="F46" s="86"/>
      <c r="G46" s="37"/>
      <c r="H46" s="37"/>
      <c r="I46" s="41"/>
      <c r="J46" s="41"/>
      <c r="K46" s="37"/>
      <c r="L46" s="37"/>
      <c r="M46" s="40" t="s">
        <v>753</v>
      </c>
      <c r="N46" s="41"/>
      <c r="O46" s="89"/>
    </row>
    <row r="47" spans="1:15" ht="52.5" customHeight="1">
      <c r="A47" s="29"/>
      <c r="B47" s="88" t="s">
        <v>729</v>
      </c>
      <c r="C47" s="57" t="s">
        <v>754</v>
      </c>
      <c r="D47" s="36"/>
      <c r="E47" s="74"/>
      <c r="F47" s="86"/>
      <c r="G47" s="37"/>
      <c r="H47" s="37"/>
      <c r="I47" s="37"/>
      <c r="J47" s="37"/>
      <c r="K47" s="37"/>
      <c r="L47" s="37"/>
      <c r="M47" s="40" t="s">
        <v>755</v>
      </c>
      <c r="N47" s="41"/>
      <c r="O47" s="89"/>
    </row>
    <row r="48" spans="1:15" ht="52.5" customHeight="1">
      <c r="A48" s="29"/>
      <c r="B48" s="88" t="s">
        <v>729</v>
      </c>
      <c r="C48" s="57" t="s">
        <v>756</v>
      </c>
      <c r="D48" s="36"/>
      <c r="E48" s="85"/>
      <c r="F48" s="86"/>
      <c r="G48" s="37"/>
      <c r="H48" s="37"/>
      <c r="I48" s="37"/>
      <c r="J48" s="37"/>
      <c r="K48" s="37"/>
      <c r="L48" s="37"/>
      <c r="M48" s="40" t="s">
        <v>757</v>
      </c>
      <c r="N48" s="41"/>
      <c r="O48" s="89"/>
    </row>
    <row r="49" spans="1:15" ht="52.5" customHeight="1">
      <c r="A49" s="29"/>
      <c r="B49" s="88" t="s">
        <v>729</v>
      </c>
      <c r="C49" s="57" t="s">
        <v>758</v>
      </c>
      <c r="D49" s="36"/>
      <c r="E49" s="94"/>
      <c r="F49" s="86"/>
      <c r="G49" s="37"/>
      <c r="H49" s="37"/>
      <c r="I49" s="37"/>
      <c r="J49" s="37"/>
      <c r="K49" s="37"/>
      <c r="L49" s="37"/>
      <c r="M49" s="40" t="s">
        <v>759</v>
      </c>
      <c r="N49" s="41"/>
      <c r="O49" s="89"/>
    </row>
    <row r="50" spans="1:15" ht="52.5" customHeight="1">
      <c r="A50" s="29"/>
      <c r="B50" s="88" t="s">
        <v>729</v>
      </c>
      <c r="C50" s="57" t="s">
        <v>760</v>
      </c>
      <c r="D50" s="36"/>
      <c r="E50" s="74"/>
      <c r="F50" s="86"/>
      <c r="G50" s="37"/>
      <c r="H50" s="37"/>
      <c r="I50" s="37"/>
      <c r="J50" s="37"/>
      <c r="K50" s="37"/>
      <c r="L50" s="37"/>
      <c r="M50" s="41"/>
      <c r="N50" s="40" t="s">
        <v>761</v>
      </c>
      <c r="O50" s="73"/>
    </row>
    <row r="51" spans="1:15" ht="52.5" customHeight="1">
      <c r="A51" s="29"/>
      <c r="B51" s="88" t="s">
        <v>729</v>
      </c>
      <c r="C51" s="57" t="s">
        <v>762</v>
      </c>
      <c r="D51" s="36"/>
      <c r="E51" s="85"/>
      <c r="F51" s="86"/>
      <c r="G51" s="37"/>
      <c r="H51" s="37"/>
      <c r="I51" s="37"/>
      <c r="J51" s="37"/>
      <c r="K51" s="37"/>
      <c r="L51" s="37"/>
      <c r="M51" s="40" t="s">
        <v>763</v>
      </c>
      <c r="N51" s="40" t="s">
        <v>761</v>
      </c>
      <c r="O51" s="73"/>
    </row>
    <row r="52" spans="1:15" ht="52.5" customHeight="1">
      <c r="A52" s="29"/>
      <c r="B52" s="88" t="s">
        <v>729</v>
      </c>
      <c r="C52" s="57" t="s">
        <v>105</v>
      </c>
      <c r="D52" s="36"/>
      <c r="E52" s="85"/>
      <c r="F52" s="86"/>
      <c r="G52" s="37"/>
      <c r="H52" s="37"/>
      <c r="I52" s="37"/>
      <c r="J52" s="37"/>
      <c r="K52" s="37"/>
      <c r="L52" s="37"/>
      <c r="M52" s="40" t="s">
        <v>764</v>
      </c>
      <c r="N52" s="40" t="s">
        <v>765</v>
      </c>
      <c r="O52" s="73"/>
    </row>
    <row r="53" spans="1:15" ht="52.5" customHeight="1">
      <c r="A53" s="29"/>
      <c r="B53" s="88" t="s">
        <v>729</v>
      </c>
      <c r="C53" s="57" t="s">
        <v>766</v>
      </c>
      <c r="D53" s="36"/>
      <c r="E53" s="85"/>
      <c r="F53" s="86"/>
      <c r="G53" s="37"/>
      <c r="H53" s="37"/>
      <c r="I53" s="37"/>
      <c r="J53" s="37"/>
      <c r="K53" s="37"/>
      <c r="L53" s="37"/>
      <c r="M53" s="40" t="s">
        <v>767</v>
      </c>
      <c r="N53" s="309" t="s">
        <v>768</v>
      </c>
      <c r="O53" s="73"/>
    </row>
    <row r="54" spans="1:15" ht="52.5" customHeight="1">
      <c r="A54" s="29"/>
      <c r="B54" s="88" t="s">
        <v>729</v>
      </c>
      <c r="C54" s="57" t="s">
        <v>769</v>
      </c>
      <c r="D54" s="36"/>
      <c r="E54" s="85"/>
      <c r="F54" s="86"/>
      <c r="G54" s="37"/>
      <c r="H54" s="37"/>
      <c r="I54" s="37"/>
      <c r="J54" s="37"/>
      <c r="K54" s="41"/>
      <c r="L54" s="41"/>
      <c r="M54" s="40" t="s">
        <v>770</v>
      </c>
      <c r="N54" s="310"/>
      <c r="O54" s="73"/>
    </row>
    <row r="55" spans="1:15" ht="52.5" customHeight="1">
      <c r="A55" s="29"/>
      <c r="B55" s="88" t="s">
        <v>729</v>
      </c>
      <c r="C55" s="57" t="s">
        <v>771</v>
      </c>
      <c r="D55" s="36"/>
      <c r="E55" s="85"/>
      <c r="F55" s="86"/>
      <c r="G55" s="37"/>
      <c r="H55" s="37"/>
      <c r="I55" s="37"/>
      <c r="J55" s="37"/>
      <c r="K55" s="37"/>
      <c r="L55" s="37"/>
      <c r="M55" s="40" t="s">
        <v>772</v>
      </c>
      <c r="N55" s="311"/>
      <c r="O55" s="73"/>
    </row>
    <row r="56" spans="1:15" ht="69" customHeight="1">
      <c r="A56" s="29"/>
      <c r="B56" s="95" t="s">
        <v>773</v>
      </c>
      <c r="C56" s="96" t="s">
        <v>774</v>
      </c>
      <c r="D56" s="36"/>
      <c r="E56" s="85"/>
      <c r="F56" s="86"/>
      <c r="G56" s="37"/>
      <c r="H56" s="37"/>
      <c r="I56" s="41"/>
      <c r="J56" s="41"/>
      <c r="K56" s="37"/>
      <c r="L56" s="37"/>
      <c r="M56" s="40" t="s">
        <v>775</v>
      </c>
      <c r="N56" s="40" t="s">
        <v>776</v>
      </c>
      <c r="O56" s="73"/>
    </row>
    <row r="57" spans="1:15" ht="69" customHeight="1">
      <c r="A57" s="29"/>
      <c r="B57" s="95" t="s">
        <v>773</v>
      </c>
      <c r="C57" s="96" t="s">
        <v>109</v>
      </c>
      <c r="D57" s="36"/>
      <c r="E57" s="85"/>
      <c r="F57" s="86"/>
      <c r="G57" s="37"/>
      <c r="H57" s="37"/>
      <c r="I57" s="37"/>
      <c r="J57" s="37"/>
      <c r="K57" s="37"/>
      <c r="L57" s="37"/>
      <c r="M57" s="40" t="s">
        <v>777</v>
      </c>
      <c r="N57" s="40" t="s">
        <v>778</v>
      </c>
      <c r="O57" s="73"/>
    </row>
    <row r="58" spans="1:15" ht="69" customHeight="1">
      <c r="A58" s="29"/>
      <c r="B58" s="95" t="s">
        <v>773</v>
      </c>
      <c r="C58" s="96" t="s">
        <v>779</v>
      </c>
      <c r="D58" s="36"/>
      <c r="E58" s="85"/>
      <c r="F58" s="86"/>
      <c r="G58" s="37"/>
      <c r="H58" s="37"/>
      <c r="I58" s="37"/>
      <c r="J58" s="37"/>
      <c r="K58" s="41"/>
      <c r="L58" s="41"/>
      <c r="M58" s="40" t="s">
        <v>780</v>
      </c>
      <c r="N58" s="40" t="s">
        <v>781</v>
      </c>
      <c r="O58" s="73"/>
    </row>
    <row r="59" spans="1:15" ht="69" customHeight="1">
      <c r="A59" s="29"/>
      <c r="B59" s="95" t="s">
        <v>773</v>
      </c>
      <c r="C59" s="96" t="s">
        <v>782</v>
      </c>
      <c r="D59" s="36"/>
      <c r="E59" s="85"/>
      <c r="F59" s="86"/>
      <c r="G59" s="37"/>
      <c r="H59" s="37"/>
      <c r="I59" s="37"/>
      <c r="J59" s="37"/>
      <c r="K59" s="37"/>
      <c r="L59" s="37"/>
      <c r="M59" s="40" t="s">
        <v>783</v>
      </c>
      <c r="N59" s="40" t="s">
        <v>781</v>
      </c>
      <c r="O59" s="73"/>
    </row>
    <row r="60" spans="1:15" ht="69" customHeight="1">
      <c r="A60" s="29"/>
      <c r="B60" s="95" t="s">
        <v>773</v>
      </c>
      <c r="C60" s="96" t="s">
        <v>118</v>
      </c>
      <c r="D60" s="36"/>
      <c r="E60" s="85"/>
      <c r="F60" s="86"/>
      <c r="G60" s="37"/>
      <c r="H60" s="37"/>
      <c r="I60" s="37"/>
      <c r="J60" s="37"/>
      <c r="K60" s="37"/>
      <c r="L60" s="37"/>
      <c r="M60" s="40" t="s">
        <v>784</v>
      </c>
      <c r="N60" s="40" t="s">
        <v>785</v>
      </c>
      <c r="O60" s="73"/>
    </row>
    <row r="61" spans="1:15" ht="69" customHeight="1">
      <c r="A61" s="29"/>
      <c r="B61" s="95" t="s">
        <v>773</v>
      </c>
      <c r="C61" s="96" t="s">
        <v>786</v>
      </c>
      <c r="D61" s="36"/>
      <c r="E61" s="85"/>
      <c r="F61" s="86"/>
      <c r="G61" s="37"/>
      <c r="H61" s="37"/>
      <c r="I61" s="37"/>
      <c r="J61" s="37"/>
      <c r="K61" s="37"/>
      <c r="L61" s="37"/>
      <c r="M61" s="40" t="s">
        <v>787</v>
      </c>
      <c r="N61" s="40" t="s">
        <v>788</v>
      </c>
      <c r="O61" s="73"/>
    </row>
    <row r="62" spans="1:15" ht="69" customHeight="1">
      <c r="A62" s="29"/>
      <c r="B62" s="95" t="s">
        <v>773</v>
      </c>
      <c r="C62" s="96" t="s">
        <v>789</v>
      </c>
      <c r="D62" s="36"/>
      <c r="E62" s="85"/>
      <c r="F62" s="86"/>
      <c r="G62" s="37"/>
      <c r="H62" s="37"/>
      <c r="I62" s="37"/>
      <c r="J62" s="37"/>
      <c r="K62" s="37"/>
      <c r="L62" s="37"/>
      <c r="M62" s="40" t="s">
        <v>790</v>
      </c>
      <c r="N62" s="40" t="s">
        <v>788</v>
      </c>
      <c r="O62" s="73"/>
    </row>
    <row r="63" spans="1:15" ht="69" customHeight="1">
      <c r="A63" s="29"/>
      <c r="B63" s="95" t="s">
        <v>773</v>
      </c>
      <c r="C63" s="96" t="s">
        <v>124</v>
      </c>
      <c r="D63" s="36"/>
      <c r="E63" s="85"/>
      <c r="F63" s="86"/>
      <c r="G63" s="37"/>
      <c r="H63" s="37"/>
      <c r="I63" s="37"/>
      <c r="J63" s="37"/>
      <c r="K63" s="37"/>
      <c r="L63" s="37"/>
      <c r="M63" s="40" t="s">
        <v>791</v>
      </c>
      <c r="N63" s="40" t="s">
        <v>792</v>
      </c>
      <c r="O63" s="73"/>
    </row>
    <row r="64" spans="1:15" ht="69" customHeight="1">
      <c r="A64" s="29"/>
      <c r="B64" s="95" t="s">
        <v>773</v>
      </c>
      <c r="C64" s="96" t="s">
        <v>793</v>
      </c>
      <c r="D64" s="36"/>
      <c r="E64" s="85"/>
      <c r="F64" s="86"/>
      <c r="G64" s="37"/>
      <c r="H64" s="37"/>
      <c r="I64" s="37"/>
      <c r="J64" s="37"/>
      <c r="K64" s="37"/>
      <c r="L64" s="37"/>
      <c r="M64" s="40"/>
      <c r="N64" s="40" t="s">
        <v>794</v>
      </c>
      <c r="O64" s="73"/>
    </row>
    <row r="65" spans="1:15" ht="69" customHeight="1">
      <c r="A65" s="29"/>
      <c r="B65" s="95" t="s">
        <v>773</v>
      </c>
      <c r="C65" s="96" t="s">
        <v>795</v>
      </c>
      <c r="D65" s="36"/>
      <c r="E65" s="85"/>
      <c r="F65" s="86"/>
      <c r="G65" s="37"/>
      <c r="H65" s="37"/>
      <c r="I65" s="37"/>
      <c r="J65" s="37"/>
      <c r="K65" s="37"/>
      <c r="L65" s="37"/>
      <c r="M65" s="40" t="s">
        <v>796</v>
      </c>
      <c r="N65" s="40" t="s">
        <v>794</v>
      </c>
      <c r="O65" s="73"/>
    </row>
    <row r="66" spans="1:15" ht="69" customHeight="1">
      <c r="A66" s="29"/>
      <c r="B66" s="95" t="s">
        <v>773</v>
      </c>
      <c r="C66" s="96" t="s">
        <v>258</v>
      </c>
      <c r="D66" s="36"/>
      <c r="E66" s="85"/>
      <c r="F66" s="86"/>
      <c r="G66" s="37"/>
      <c r="H66" s="37"/>
      <c r="I66" s="37"/>
      <c r="J66" s="37"/>
      <c r="K66" s="37"/>
      <c r="L66" s="41"/>
      <c r="M66" s="40" t="s">
        <v>797</v>
      </c>
      <c r="N66" s="40" t="s">
        <v>798</v>
      </c>
      <c r="O66" s="73"/>
    </row>
    <row r="67" spans="1:15" ht="45" customHeight="1">
      <c r="A67" s="29"/>
      <c r="B67" s="83" t="s">
        <v>702</v>
      </c>
      <c r="C67" s="84" t="s">
        <v>799</v>
      </c>
      <c r="D67" s="36"/>
      <c r="E67" s="74"/>
      <c r="F67" s="87" t="s">
        <v>800</v>
      </c>
      <c r="G67" s="37"/>
      <c r="H67" s="37"/>
      <c r="I67" s="37"/>
      <c r="J67" s="37"/>
      <c r="K67" s="37"/>
      <c r="L67" s="37"/>
      <c r="M67" s="40"/>
      <c r="N67" s="40" t="s">
        <v>801</v>
      </c>
      <c r="O67" s="73"/>
    </row>
    <row r="68" spans="1:15" ht="12.75" customHeight="1">
      <c r="A68" s="29"/>
      <c r="B68" s="29"/>
      <c r="C68" s="24"/>
      <c r="D68" s="63"/>
      <c r="E68" s="29"/>
      <c r="F68" s="97"/>
      <c r="G68" s="23"/>
      <c r="H68" s="23"/>
      <c r="I68" s="23"/>
      <c r="J68" s="23"/>
      <c r="K68" s="23"/>
      <c r="L68" s="23"/>
      <c r="M68" s="29"/>
      <c r="N68" s="29"/>
      <c r="O68" s="73"/>
    </row>
    <row r="69" spans="1:15" ht="48" customHeight="1">
      <c r="A69" s="29"/>
      <c r="B69" s="308" t="s">
        <v>802</v>
      </c>
      <c r="C69" s="302"/>
      <c r="D69" s="302"/>
      <c r="E69" s="302"/>
      <c r="F69" s="302"/>
      <c r="G69" s="302"/>
      <c r="H69" s="302"/>
      <c r="I69" s="302"/>
      <c r="J69" s="302"/>
      <c r="K69" s="302"/>
      <c r="L69" s="302"/>
      <c r="M69" s="302"/>
      <c r="N69" s="29"/>
      <c r="O69" s="73"/>
    </row>
    <row r="70" spans="1:15" ht="22.5" customHeight="1">
      <c r="A70" s="29"/>
      <c r="B70" s="29"/>
      <c r="C70" s="29"/>
      <c r="D70" s="29"/>
      <c r="E70" s="29"/>
      <c r="F70" s="29"/>
      <c r="G70" s="29"/>
      <c r="H70" s="29"/>
      <c r="I70" s="29"/>
      <c r="J70" s="29"/>
      <c r="K70" s="29"/>
      <c r="L70" s="29"/>
      <c r="M70" s="29"/>
      <c r="N70" s="29"/>
      <c r="O70" s="73"/>
    </row>
  </sheetData>
  <mergeCells count="28">
    <mergeCell ref="M2:M3"/>
    <mergeCell ref="N2:N3"/>
    <mergeCell ref="B2:B3"/>
    <mergeCell ref="B16:B18"/>
    <mergeCell ref="C16:C18"/>
    <mergeCell ref="E16:E18"/>
    <mergeCell ref="F16:F18"/>
    <mergeCell ref="M16:M18"/>
    <mergeCell ref="N16:N18"/>
    <mergeCell ref="C2:C3"/>
    <mergeCell ref="D2:D3"/>
    <mergeCell ref="E2:E3"/>
    <mergeCell ref="F2:F3"/>
    <mergeCell ref="G2:L2"/>
    <mergeCell ref="N53:N55"/>
    <mergeCell ref="B69:M69"/>
    <mergeCell ref="B37:B39"/>
    <mergeCell ref="C37:C39"/>
    <mergeCell ref="E37:E39"/>
    <mergeCell ref="F37:F39"/>
    <mergeCell ref="G37:G38"/>
    <mergeCell ref="H37:H38"/>
    <mergeCell ref="I37:I38"/>
    <mergeCell ref="J37:J38"/>
    <mergeCell ref="K37:K38"/>
    <mergeCell ref="L37:L38"/>
    <mergeCell ref="M37:M39"/>
    <mergeCell ref="N37:N39"/>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360"/>
  <sheetViews>
    <sheetView tabSelected="1" workbookViewId="0">
      <pane ySplit="2" topLeftCell="A3" activePane="bottomLeft" state="frozen"/>
      <selection pane="bottomLeft" activeCell="D5" sqref="D5"/>
    </sheetView>
  </sheetViews>
  <sheetFormatPr defaultColWidth="12.5703125" defaultRowHeight="15.75" customHeight="1"/>
  <cols>
    <col min="1" max="1" width="17.5703125" customWidth="1"/>
    <col min="2" max="2" width="5.5703125" customWidth="1"/>
    <col min="3" max="3" width="6.5703125" customWidth="1"/>
    <col min="4" max="4" width="82.7109375" customWidth="1"/>
    <col min="5" max="5" width="27.42578125" customWidth="1"/>
    <col min="6" max="6" width="5.85546875" customWidth="1"/>
    <col min="7" max="7" width="7.140625" customWidth="1"/>
    <col min="8" max="8" width="16" customWidth="1"/>
    <col min="9" max="9" width="6.42578125" customWidth="1"/>
  </cols>
  <sheetData>
    <row r="1" spans="1:9">
      <c r="A1" s="303" t="str">
        <f>COUNTIF(A3:A356,"&lt;&gt;")&amp;" items (not including failsafe)"</f>
        <v>354 items (not including failsafe)</v>
      </c>
      <c r="B1" s="302"/>
      <c r="C1" s="302"/>
      <c r="D1" s="302"/>
      <c r="E1" s="302"/>
      <c r="F1" s="302"/>
      <c r="G1" s="302"/>
      <c r="H1" s="302"/>
      <c r="I1" s="22"/>
    </row>
    <row r="2" spans="1:9">
      <c r="A2" s="98" t="s">
        <v>803</v>
      </c>
      <c r="B2" s="98"/>
      <c r="C2" s="99" t="s">
        <v>523</v>
      </c>
      <c r="D2" s="98" t="s">
        <v>804</v>
      </c>
      <c r="E2" s="98" t="s">
        <v>805</v>
      </c>
      <c r="F2" s="100"/>
      <c r="G2" s="101"/>
      <c r="H2" s="101"/>
      <c r="I2" s="100"/>
    </row>
    <row r="3" spans="1:9">
      <c r="A3" s="2" t="s">
        <v>806</v>
      </c>
      <c r="B3" s="102"/>
      <c r="C3" s="103">
        <v>-2</v>
      </c>
      <c r="D3" s="10" t="s">
        <v>807</v>
      </c>
      <c r="E3" s="10" t="s">
        <v>808</v>
      </c>
      <c r="F3" s="104"/>
      <c r="G3" s="105" t="s">
        <v>523</v>
      </c>
      <c r="H3" s="105" t="s">
        <v>809</v>
      </c>
      <c r="I3" s="22"/>
    </row>
    <row r="4" spans="1:9" ht="33.75" customHeight="1">
      <c r="A4" s="106" t="s">
        <v>810</v>
      </c>
      <c r="B4" s="107"/>
      <c r="C4" s="108">
        <v>-2</v>
      </c>
      <c r="D4" s="360" t="s">
        <v>811</v>
      </c>
      <c r="E4" s="109" t="s">
        <v>808</v>
      </c>
      <c r="F4" s="104"/>
      <c r="G4" s="110">
        <v>-2</v>
      </c>
      <c r="H4" s="110">
        <f t="shared" ref="H4:H21" si="0">COUNTIF($C$3:$C$359,G4)</f>
        <v>6</v>
      </c>
      <c r="I4" s="111"/>
    </row>
    <row r="5" spans="1:9" ht="33.75" customHeight="1">
      <c r="A5" s="2" t="s">
        <v>812</v>
      </c>
      <c r="B5" s="102"/>
      <c r="C5" s="103">
        <v>-2</v>
      </c>
      <c r="D5" s="10" t="s">
        <v>813</v>
      </c>
      <c r="E5" s="10" t="s">
        <v>808</v>
      </c>
      <c r="F5" s="104"/>
      <c r="G5" s="110">
        <v>-1</v>
      </c>
      <c r="H5" s="110">
        <f t="shared" si="0"/>
        <v>9</v>
      </c>
      <c r="I5" s="111"/>
    </row>
    <row r="6" spans="1:9" ht="33.75" customHeight="1">
      <c r="A6" s="106" t="s">
        <v>814</v>
      </c>
      <c r="B6" s="107"/>
      <c r="C6" s="108">
        <v>-2</v>
      </c>
      <c r="D6" s="109" t="s">
        <v>815</v>
      </c>
      <c r="E6" s="109" t="s">
        <v>808</v>
      </c>
      <c r="F6" s="104"/>
      <c r="G6" s="110">
        <v>0</v>
      </c>
      <c r="H6" s="110">
        <f t="shared" si="0"/>
        <v>35</v>
      </c>
      <c r="I6" s="111"/>
    </row>
    <row r="7" spans="1:9" ht="33.75" customHeight="1">
      <c r="A7" s="2" t="s">
        <v>816</v>
      </c>
      <c r="B7" s="102"/>
      <c r="C7" s="103">
        <v>-2</v>
      </c>
      <c r="D7" s="10" t="s">
        <v>817</v>
      </c>
      <c r="E7" s="10" t="s">
        <v>818</v>
      </c>
      <c r="F7" s="104"/>
      <c r="G7" s="110">
        <v>1</v>
      </c>
      <c r="H7" s="110">
        <f t="shared" si="0"/>
        <v>34</v>
      </c>
      <c r="I7" s="111"/>
    </row>
    <row r="8" spans="1:9" ht="33.75" customHeight="1">
      <c r="A8" s="106" t="s">
        <v>819</v>
      </c>
      <c r="B8" s="107"/>
      <c r="C8" s="108">
        <v>-2</v>
      </c>
      <c r="D8" s="109" t="s">
        <v>820</v>
      </c>
      <c r="E8" s="109" t="s">
        <v>821</v>
      </c>
      <c r="F8" s="104"/>
      <c r="G8" s="110">
        <v>2</v>
      </c>
      <c r="H8" s="110">
        <f t="shared" si="0"/>
        <v>39</v>
      </c>
      <c r="I8" s="111"/>
    </row>
    <row r="9" spans="1:9" ht="33.75" customHeight="1">
      <c r="A9" s="2" t="s">
        <v>822</v>
      </c>
      <c r="B9" s="102"/>
      <c r="C9" s="103">
        <v>-1</v>
      </c>
      <c r="D9" s="10" t="s">
        <v>823</v>
      </c>
      <c r="E9" s="10" t="s">
        <v>808</v>
      </c>
      <c r="F9" s="104"/>
      <c r="G9" s="110">
        <v>3</v>
      </c>
      <c r="H9" s="110">
        <f t="shared" si="0"/>
        <v>26</v>
      </c>
      <c r="I9" s="111"/>
    </row>
    <row r="10" spans="1:9" ht="33.75" customHeight="1">
      <c r="A10" s="106" t="s">
        <v>824</v>
      </c>
      <c r="B10" s="107"/>
      <c r="C10" s="108">
        <v>-1</v>
      </c>
      <c r="D10" s="109" t="s">
        <v>825</v>
      </c>
      <c r="E10" s="109" t="s">
        <v>808</v>
      </c>
      <c r="F10" s="104"/>
      <c r="G10" s="110">
        <v>4</v>
      </c>
      <c r="H10" s="110">
        <f t="shared" si="0"/>
        <v>37</v>
      </c>
      <c r="I10" s="111"/>
    </row>
    <row r="11" spans="1:9" ht="33.75" customHeight="1">
      <c r="A11" s="2" t="s">
        <v>826</v>
      </c>
      <c r="B11" s="102"/>
      <c r="C11" s="103">
        <v>-1</v>
      </c>
      <c r="D11" s="10" t="s">
        <v>827</v>
      </c>
      <c r="E11" s="10" t="s">
        <v>808</v>
      </c>
      <c r="F11" s="104"/>
      <c r="G11" s="110">
        <v>5</v>
      </c>
      <c r="H11" s="110">
        <f t="shared" si="0"/>
        <v>38</v>
      </c>
      <c r="I11" s="111"/>
    </row>
    <row r="12" spans="1:9" ht="33.75" customHeight="1">
      <c r="A12" s="106" t="s">
        <v>828</v>
      </c>
      <c r="B12" s="107"/>
      <c r="C12" s="108">
        <v>-1</v>
      </c>
      <c r="D12" s="109" t="s">
        <v>829</v>
      </c>
      <c r="E12" s="109" t="s">
        <v>808</v>
      </c>
      <c r="F12" s="104"/>
      <c r="G12" s="110">
        <v>6</v>
      </c>
      <c r="H12" s="110">
        <f t="shared" si="0"/>
        <v>37</v>
      </c>
      <c r="I12" s="111"/>
    </row>
    <row r="13" spans="1:9" ht="33.75" customHeight="1">
      <c r="A13" s="2" t="s">
        <v>830</v>
      </c>
      <c r="B13" s="102"/>
      <c r="C13" s="103">
        <v>-1</v>
      </c>
      <c r="D13" s="10" t="s">
        <v>831</v>
      </c>
      <c r="E13" s="10" t="s">
        <v>808</v>
      </c>
      <c r="F13" s="104"/>
      <c r="G13" s="110">
        <v>7</v>
      </c>
      <c r="H13" s="110">
        <f t="shared" si="0"/>
        <v>32</v>
      </c>
      <c r="I13" s="111"/>
    </row>
    <row r="14" spans="1:9" ht="33.75" customHeight="1">
      <c r="A14" s="106" t="s">
        <v>832</v>
      </c>
      <c r="B14" s="107"/>
      <c r="C14" s="108">
        <v>-1</v>
      </c>
      <c r="D14" s="109" t="s">
        <v>833</v>
      </c>
      <c r="E14" s="109" t="s">
        <v>808</v>
      </c>
      <c r="F14" s="104"/>
      <c r="G14" s="110">
        <v>8</v>
      </c>
      <c r="H14" s="110">
        <f t="shared" si="0"/>
        <v>21</v>
      </c>
      <c r="I14" s="111"/>
    </row>
    <row r="15" spans="1:9" ht="33.75" customHeight="1">
      <c r="A15" s="2" t="s">
        <v>834</v>
      </c>
      <c r="B15" s="102"/>
      <c r="C15" s="103">
        <v>-1</v>
      </c>
      <c r="D15" s="10" t="s">
        <v>835</v>
      </c>
      <c r="E15" s="10" t="s">
        <v>818</v>
      </c>
      <c r="F15" s="104"/>
      <c r="G15" s="110">
        <v>9</v>
      </c>
      <c r="H15" s="110">
        <f t="shared" si="0"/>
        <v>17</v>
      </c>
      <c r="I15" s="111"/>
    </row>
    <row r="16" spans="1:9" ht="33.75" customHeight="1">
      <c r="A16" s="106" t="s">
        <v>836</v>
      </c>
      <c r="B16" s="107"/>
      <c r="C16" s="108">
        <v>-1</v>
      </c>
      <c r="D16" s="109" t="s">
        <v>837</v>
      </c>
      <c r="E16" s="109" t="s">
        <v>808</v>
      </c>
      <c r="F16" s="104"/>
      <c r="G16" s="110">
        <v>10</v>
      </c>
      <c r="H16" s="110">
        <f t="shared" si="0"/>
        <v>7</v>
      </c>
      <c r="I16" s="111"/>
    </row>
    <row r="17" spans="1:9" ht="33.75" customHeight="1">
      <c r="A17" s="2" t="s">
        <v>838</v>
      </c>
      <c r="B17" s="102"/>
      <c r="C17" s="103">
        <v>-1</v>
      </c>
      <c r="D17" s="10" t="s">
        <v>839</v>
      </c>
      <c r="E17" s="10" t="s">
        <v>808</v>
      </c>
      <c r="F17" s="104"/>
      <c r="G17" s="110">
        <v>11</v>
      </c>
      <c r="H17" s="110">
        <f t="shared" si="0"/>
        <v>5</v>
      </c>
      <c r="I17" s="111"/>
    </row>
    <row r="18" spans="1:9" ht="33.75" customHeight="1">
      <c r="A18" s="106" t="s">
        <v>840</v>
      </c>
      <c r="B18" s="107"/>
      <c r="C18" s="108">
        <v>0</v>
      </c>
      <c r="D18" s="109" t="s">
        <v>841</v>
      </c>
      <c r="E18" s="109" t="s">
        <v>842</v>
      </c>
      <c r="F18" s="104"/>
      <c r="G18" s="110">
        <v>12</v>
      </c>
      <c r="H18" s="110">
        <f t="shared" si="0"/>
        <v>4</v>
      </c>
      <c r="I18" s="111"/>
    </row>
    <row r="19" spans="1:9" ht="33.75" customHeight="1">
      <c r="A19" s="2" t="s">
        <v>843</v>
      </c>
      <c r="B19" s="102"/>
      <c r="C19" s="103">
        <v>0</v>
      </c>
      <c r="D19" s="10" t="s">
        <v>844</v>
      </c>
      <c r="E19" s="10" t="s">
        <v>845</v>
      </c>
      <c r="F19" s="104"/>
      <c r="G19" s="110">
        <v>13</v>
      </c>
      <c r="H19" s="110">
        <f t="shared" si="0"/>
        <v>5</v>
      </c>
      <c r="I19" s="111"/>
    </row>
    <row r="20" spans="1:9" ht="33.75" customHeight="1">
      <c r="A20" s="106" t="s">
        <v>846</v>
      </c>
      <c r="B20" s="107"/>
      <c r="C20" s="108">
        <v>0</v>
      </c>
      <c r="D20" s="109" t="s">
        <v>847</v>
      </c>
      <c r="E20" s="109" t="s">
        <v>842</v>
      </c>
      <c r="F20" s="104"/>
      <c r="G20" s="110">
        <v>14</v>
      </c>
      <c r="H20" s="110">
        <f t="shared" si="0"/>
        <v>1</v>
      </c>
      <c r="I20" s="111"/>
    </row>
    <row r="21" spans="1:9" ht="33.75" customHeight="1">
      <c r="A21" s="2" t="s">
        <v>848</v>
      </c>
      <c r="B21" s="102"/>
      <c r="C21" s="103">
        <v>0</v>
      </c>
      <c r="D21" s="10" t="s">
        <v>849</v>
      </c>
      <c r="E21" s="10" t="s">
        <v>808</v>
      </c>
      <c r="F21" s="104"/>
      <c r="G21" s="110">
        <v>20</v>
      </c>
      <c r="H21" s="110">
        <f t="shared" si="0"/>
        <v>1</v>
      </c>
      <c r="I21" s="111"/>
    </row>
    <row r="22" spans="1:9" ht="33.75" customHeight="1">
      <c r="A22" s="106" t="s">
        <v>850</v>
      </c>
      <c r="B22" s="107"/>
      <c r="C22" s="108">
        <v>0</v>
      </c>
      <c r="D22" s="112" t="s">
        <v>851</v>
      </c>
      <c r="E22" s="109" t="s">
        <v>808</v>
      </c>
      <c r="F22" s="100"/>
      <c r="G22" s="100"/>
      <c r="H22" s="100"/>
      <c r="I22" s="100"/>
    </row>
    <row r="23" spans="1:9" ht="33.75" customHeight="1">
      <c r="A23" s="2" t="s">
        <v>852</v>
      </c>
      <c r="B23" s="102"/>
      <c r="C23" s="103">
        <v>0</v>
      </c>
      <c r="D23" s="10" t="s">
        <v>853</v>
      </c>
      <c r="E23" s="10" t="s">
        <v>842</v>
      </c>
      <c r="F23" s="100"/>
      <c r="G23" s="100"/>
      <c r="H23" s="100"/>
      <c r="I23" s="100"/>
    </row>
    <row r="24" spans="1:9" ht="33.75" customHeight="1">
      <c r="A24" s="106" t="s">
        <v>854</v>
      </c>
      <c r="B24" s="107"/>
      <c r="C24" s="108">
        <v>0</v>
      </c>
      <c r="D24" s="109" t="s">
        <v>855</v>
      </c>
      <c r="E24" s="109" t="s">
        <v>856</v>
      </c>
      <c r="F24" s="100"/>
      <c r="G24" s="100"/>
      <c r="H24" s="100"/>
      <c r="I24" s="100"/>
    </row>
    <row r="25" spans="1:9" ht="33.75" customHeight="1">
      <c r="A25" s="2" t="s">
        <v>857</v>
      </c>
      <c r="B25" s="102"/>
      <c r="C25" s="103">
        <v>0</v>
      </c>
      <c r="D25" s="10" t="s">
        <v>858</v>
      </c>
      <c r="E25" s="10" t="s">
        <v>859</v>
      </c>
      <c r="F25" s="100"/>
      <c r="G25" s="100"/>
      <c r="H25" s="100"/>
      <c r="I25" s="100"/>
    </row>
    <row r="26" spans="1:9" ht="33.75" customHeight="1">
      <c r="A26" s="106" t="s">
        <v>860</v>
      </c>
      <c r="B26" s="107"/>
      <c r="C26" s="108">
        <v>0</v>
      </c>
      <c r="D26" s="109" t="s">
        <v>861</v>
      </c>
      <c r="E26" s="109" t="s">
        <v>808</v>
      </c>
      <c r="F26" s="100"/>
      <c r="G26" s="100"/>
      <c r="H26" s="100"/>
      <c r="I26" s="100"/>
    </row>
    <row r="27" spans="1:9" ht="33.75" customHeight="1">
      <c r="A27" s="2" t="s">
        <v>862</v>
      </c>
      <c r="B27" s="102"/>
      <c r="C27" s="103">
        <v>0</v>
      </c>
      <c r="D27" s="10" t="s">
        <v>863</v>
      </c>
      <c r="E27" s="10" t="s">
        <v>808</v>
      </c>
      <c r="F27" s="100"/>
      <c r="G27" s="100"/>
      <c r="H27" s="100"/>
      <c r="I27" s="100"/>
    </row>
    <row r="28" spans="1:9" ht="33.75" customHeight="1">
      <c r="A28" s="106" t="s">
        <v>864</v>
      </c>
      <c r="B28" s="107"/>
      <c r="C28" s="108">
        <v>0</v>
      </c>
      <c r="D28" s="109" t="s">
        <v>865</v>
      </c>
      <c r="E28" s="109" t="s">
        <v>808</v>
      </c>
      <c r="F28" s="100"/>
      <c r="G28" s="100"/>
      <c r="H28" s="100"/>
      <c r="I28" s="100"/>
    </row>
    <row r="29" spans="1:9" ht="33.75" customHeight="1">
      <c r="A29" s="2" t="s">
        <v>866</v>
      </c>
      <c r="B29" s="102"/>
      <c r="C29" s="103">
        <v>0</v>
      </c>
      <c r="D29" s="10" t="s">
        <v>867</v>
      </c>
      <c r="E29" s="10" t="s">
        <v>808</v>
      </c>
      <c r="F29" s="100"/>
      <c r="G29" s="100"/>
      <c r="H29" s="100"/>
      <c r="I29" s="100"/>
    </row>
    <row r="30" spans="1:9" ht="33.75" customHeight="1">
      <c r="A30" s="106" t="s">
        <v>868</v>
      </c>
      <c r="B30" s="107"/>
      <c r="C30" s="108">
        <v>0</v>
      </c>
      <c r="D30" s="109" t="s">
        <v>869</v>
      </c>
      <c r="E30" s="109" t="s">
        <v>808</v>
      </c>
      <c r="F30" s="100"/>
      <c r="G30" s="100"/>
      <c r="H30" s="100"/>
      <c r="I30" s="100"/>
    </row>
    <row r="31" spans="1:9" ht="33.75" customHeight="1">
      <c r="A31" s="2" t="s">
        <v>870</v>
      </c>
      <c r="B31" s="102"/>
      <c r="C31" s="103">
        <v>0</v>
      </c>
      <c r="D31" s="10" t="s">
        <v>871</v>
      </c>
      <c r="E31" s="10" t="s">
        <v>842</v>
      </c>
      <c r="F31" s="100"/>
      <c r="G31" s="100"/>
      <c r="H31" s="100"/>
      <c r="I31" s="100"/>
    </row>
    <row r="32" spans="1:9" ht="33.75" customHeight="1">
      <c r="A32" s="106" t="s">
        <v>872</v>
      </c>
      <c r="B32" s="107"/>
      <c r="C32" s="108">
        <v>0</v>
      </c>
      <c r="D32" s="109" t="s">
        <v>873</v>
      </c>
      <c r="E32" s="109" t="s">
        <v>842</v>
      </c>
      <c r="F32" s="100"/>
      <c r="G32" s="100"/>
      <c r="H32" s="100"/>
      <c r="I32" s="100"/>
    </row>
    <row r="33" spans="1:9" ht="33.75" customHeight="1">
      <c r="A33" s="2" t="s">
        <v>874</v>
      </c>
      <c r="B33" s="102"/>
      <c r="C33" s="103">
        <v>0</v>
      </c>
      <c r="D33" s="10" t="s">
        <v>875</v>
      </c>
      <c r="E33" s="10" t="s">
        <v>808</v>
      </c>
      <c r="F33" s="100"/>
      <c r="G33" s="100"/>
      <c r="H33" s="100"/>
      <c r="I33" s="100"/>
    </row>
    <row r="34" spans="1:9" ht="33.75" customHeight="1">
      <c r="A34" s="106" t="s">
        <v>876</v>
      </c>
      <c r="B34" s="107"/>
      <c r="C34" s="108">
        <v>0</v>
      </c>
      <c r="D34" s="112" t="s">
        <v>877</v>
      </c>
      <c r="E34" s="109" t="s">
        <v>878</v>
      </c>
      <c r="F34" s="100"/>
      <c r="G34" s="100"/>
      <c r="H34" s="100"/>
      <c r="I34" s="100"/>
    </row>
    <row r="35" spans="1:9" ht="33.75" customHeight="1">
      <c r="A35" s="2" t="s">
        <v>879</v>
      </c>
      <c r="B35" s="102"/>
      <c r="C35" s="103">
        <v>0</v>
      </c>
      <c r="D35" s="10" t="s">
        <v>880</v>
      </c>
      <c r="E35" s="10" t="s">
        <v>842</v>
      </c>
      <c r="F35" s="100"/>
      <c r="G35" s="100"/>
      <c r="H35" s="100"/>
      <c r="I35" s="100"/>
    </row>
    <row r="36" spans="1:9" ht="33.75" customHeight="1">
      <c r="A36" s="106" t="s">
        <v>881</v>
      </c>
      <c r="B36" s="107"/>
      <c r="C36" s="108">
        <v>0</v>
      </c>
      <c r="D36" s="109" t="s">
        <v>882</v>
      </c>
      <c r="E36" s="109" t="s">
        <v>842</v>
      </c>
      <c r="F36" s="100"/>
      <c r="G36" s="100"/>
      <c r="H36" s="100"/>
      <c r="I36" s="100"/>
    </row>
    <row r="37" spans="1:9" ht="33.75" customHeight="1">
      <c r="A37" s="2" t="s">
        <v>883</v>
      </c>
      <c r="B37" s="102"/>
      <c r="C37" s="103">
        <v>0</v>
      </c>
      <c r="D37" s="10" t="s">
        <v>884</v>
      </c>
      <c r="E37" s="10" t="s">
        <v>808</v>
      </c>
      <c r="F37" s="100"/>
      <c r="G37" s="100"/>
      <c r="H37" s="100"/>
      <c r="I37" s="100"/>
    </row>
    <row r="38" spans="1:9" ht="33.75" customHeight="1">
      <c r="A38" s="106" t="s">
        <v>885</v>
      </c>
      <c r="B38" s="107"/>
      <c r="C38" s="108">
        <v>0</v>
      </c>
      <c r="D38" s="109" t="s">
        <v>886</v>
      </c>
      <c r="E38" s="109" t="s">
        <v>808</v>
      </c>
      <c r="F38" s="100"/>
      <c r="G38" s="100"/>
      <c r="H38" s="100"/>
      <c r="I38" s="100"/>
    </row>
    <row r="39" spans="1:9" ht="33.75" customHeight="1">
      <c r="A39" s="2" t="s">
        <v>887</v>
      </c>
      <c r="B39" s="102"/>
      <c r="C39" s="103">
        <v>0</v>
      </c>
      <c r="D39" s="10" t="s">
        <v>888</v>
      </c>
      <c r="E39" s="10" t="s">
        <v>889</v>
      </c>
      <c r="F39" s="100"/>
      <c r="G39" s="100"/>
      <c r="H39" s="100"/>
      <c r="I39" s="100"/>
    </row>
    <row r="40" spans="1:9" ht="33.75" customHeight="1">
      <c r="A40" s="106" t="s">
        <v>890</v>
      </c>
      <c r="B40" s="107"/>
      <c r="C40" s="108">
        <v>0</v>
      </c>
      <c r="D40" s="109" t="s">
        <v>891</v>
      </c>
      <c r="E40" s="109" t="s">
        <v>892</v>
      </c>
      <c r="F40" s="100"/>
      <c r="G40" s="100"/>
      <c r="H40" s="100"/>
      <c r="I40" s="100"/>
    </row>
    <row r="41" spans="1:9" ht="33.75" customHeight="1">
      <c r="A41" s="2" t="s">
        <v>893</v>
      </c>
      <c r="B41" s="102"/>
      <c r="C41" s="103">
        <v>0</v>
      </c>
      <c r="D41" s="10" t="s">
        <v>894</v>
      </c>
      <c r="E41" s="10" t="s">
        <v>808</v>
      </c>
      <c r="F41" s="100"/>
      <c r="G41" s="100"/>
      <c r="H41" s="100"/>
      <c r="I41" s="100"/>
    </row>
    <row r="42" spans="1:9" ht="33.75" customHeight="1">
      <c r="A42" s="106" t="s">
        <v>895</v>
      </c>
      <c r="B42" s="107"/>
      <c r="C42" s="108">
        <v>0</v>
      </c>
      <c r="D42" s="109" t="s">
        <v>896</v>
      </c>
      <c r="E42" s="109" t="s">
        <v>808</v>
      </c>
      <c r="F42" s="100"/>
      <c r="G42" s="100"/>
      <c r="H42" s="100"/>
      <c r="I42" s="100"/>
    </row>
    <row r="43" spans="1:9" ht="33.75" customHeight="1">
      <c r="A43" s="2" t="s">
        <v>897</v>
      </c>
      <c r="B43" s="102"/>
      <c r="C43" s="103">
        <v>0</v>
      </c>
      <c r="D43" s="10" t="s">
        <v>898</v>
      </c>
      <c r="E43" s="10" t="s">
        <v>842</v>
      </c>
      <c r="F43" s="100"/>
      <c r="G43" s="100"/>
      <c r="H43" s="100"/>
      <c r="I43" s="100"/>
    </row>
    <row r="44" spans="1:9" ht="33.75" customHeight="1">
      <c r="A44" s="106" t="s">
        <v>899</v>
      </c>
      <c r="B44" s="107"/>
      <c r="C44" s="108">
        <v>0</v>
      </c>
      <c r="D44" s="109" t="s">
        <v>900</v>
      </c>
      <c r="E44" s="109" t="s">
        <v>842</v>
      </c>
      <c r="F44" s="100"/>
      <c r="G44" s="100"/>
      <c r="H44" s="100"/>
      <c r="I44" s="100"/>
    </row>
    <row r="45" spans="1:9" ht="33.75" customHeight="1">
      <c r="A45" s="2" t="s">
        <v>901</v>
      </c>
      <c r="B45" s="102"/>
      <c r="C45" s="103">
        <v>0</v>
      </c>
      <c r="D45" s="10" t="s">
        <v>902</v>
      </c>
      <c r="E45" s="10" t="s">
        <v>808</v>
      </c>
      <c r="F45" s="100"/>
      <c r="G45" s="100"/>
      <c r="H45" s="100"/>
      <c r="I45" s="100"/>
    </row>
    <row r="46" spans="1:9" ht="33.75" customHeight="1">
      <c r="A46" s="106" t="s">
        <v>903</v>
      </c>
      <c r="B46" s="107"/>
      <c r="C46" s="108">
        <v>0</v>
      </c>
      <c r="D46" s="109" t="s">
        <v>904</v>
      </c>
      <c r="E46" s="109" t="s">
        <v>808</v>
      </c>
      <c r="F46" s="100"/>
      <c r="G46" s="100"/>
      <c r="H46" s="100"/>
      <c r="I46" s="100"/>
    </row>
    <row r="47" spans="1:9" ht="33.75" customHeight="1">
      <c r="A47" s="2" t="s">
        <v>905</v>
      </c>
      <c r="B47" s="102"/>
      <c r="C47" s="103">
        <v>0</v>
      </c>
      <c r="D47" s="10" t="s">
        <v>906</v>
      </c>
      <c r="E47" s="10" t="s">
        <v>808</v>
      </c>
      <c r="F47" s="100"/>
      <c r="G47" s="100"/>
      <c r="H47" s="100"/>
      <c r="I47" s="100"/>
    </row>
    <row r="48" spans="1:9" ht="33.75" customHeight="1">
      <c r="A48" s="106" t="s">
        <v>907</v>
      </c>
      <c r="B48" s="107"/>
      <c r="C48" s="108">
        <v>0</v>
      </c>
      <c r="D48" s="109" t="s">
        <v>908</v>
      </c>
      <c r="E48" s="109" t="s">
        <v>842</v>
      </c>
      <c r="F48" s="100"/>
      <c r="G48" s="100"/>
      <c r="H48" s="100"/>
      <c r="I48" s="100"/>
    </row>
    <row r="49" spans="1:9" ht="33.75" customHeight="1">
      <c r="A49" s="2" t="s">
        <v>909</v>
      </c>
      <c r="B49" s="102"/>
      <c r="C49" s="103">
        <v>0</v>
      </c>
      <c r="D49" s="10" t="s">
        <v>910</v>
      </c>
      <c r="E49" s="10" t="s">
        <v>842</v>
      </c>
      <c r="F49" s="100"/>
      <c r="G49" s="100"/>
      <c r="H49" s="100"/>
      <c r="I49" s="100"/>
    </row>
    <row r="50" spans="1:9" ht="33.75" customHeight="1">
      <c r="A50" s="106" t="s">
        <v>911</v>
      </c>
      <c r="B50" s="107"/>
      <c r="C50" s="108">
        <v>0</v>
      </c>
      <c r="D50" s="109" t="s">
        <v>912</v>
      </c>
      <c r="E50" s="109" t="s">
        <v>808</v>
      </c>
      <c r="F50" s="100"/>
      <c r="G50" s="100"/>
      <c r="H50" s="100"/>
      <c r="I50" s="100"/>
    </row>
    <row r="51" spans="1:9" ht="33.75" customHeight="1">
      <c r="A51" s="2" t="s">
        <v>913</v>
      </c>
      <c r="B51" s="102"/>
      <c r="C51" s="103">
        <v>0</v>
      </c>
      <c r="D51" s="10" t="s">
        <v>914</v>
      </c>
      <c r="E51" s="10" t="s">
        <v>808</v>
      </c>
      <c r="F51" s="100"/>
      <c r="G51" s="100"/>
      <c r="H51" s="100"/>
      <c r="I51" s="100"/>
    </row>
    <row r="52" spans="1:9" ht="33.75" customHeight="1">
      <c r="A52" s="106" t="s">
        <v>915</v>
      </c>
      <c r="B52" s="107"/>
      <c r="C52" s="108">
        <v>0</v>
      </c>
      <c r="D52" s="112" t="s">
        <v>916</v>
      </c>
      <c r="E52" s="109" t="s">
        <v>808</v>
      </c>
      <c r="F52" s="100"/>
      <c r="G52" s="100"/>
      <c r="H52" s="100"/>
      <c r="I52" s="100"/>
    </row>
    <row r="53" spans="1:9" ht="33.75" customHeight="1">
      <c r="A53" s="2" t="s">
        <v>917</v>
      </c>
      <c r="B53" s="102"/>
      <c r="C53" s="103">
        <v>1</v>
      </c>
      <c r="D53" s="10" t="s">
        <v>918</v>
      </c>
      <c r="E53" s="10" t="s">
        <v>808</v>
      </c>
      <c r="F53" s="100"/>
      <c r="G53" s="100"/>
      <c r="H53" s="100"/>
      <c r="I53" s="100"/>
    </row>
    <row r="54" spans="1:9" ht="33.75" customHeight="1">
      <c r="A54" s="106" t="s">
        <v>919</v>
      </c>
      <c r="B54" s="107"/>
      <c r="C54" s="108">
        <v>1</v>
      </c>
      <c r="D54" s="109" t="s">
        <v>920</v>
      </c>
      <c r="E54" s="109" t="s">
        <v>921</v>
      </c>
      <c r="F54" s="100"/>
      <c r="G54" s="100"/>
      <c r="H54" s="100"/>
      <c r="I54" s="100"/>
    </row>
    <row r="55" spans="1:9" ht="33.75" customHeight="1">
      <c r="A55" s="2" t="s">
        <v>922</v>
      </c>
      <c r="B55" s="102"/>
      <c r="C55" s="103">
        <v>1</v>
      </c>
      <c r="D55" s="10" t="s">
        <v>923</v>
      </c>
      <c r="E55" s="10" t="s">
        <v>808</v>
      </c>
      <c r="F55" s="100"/>
      <c r="G55" s="100"/>
      <c r="H55" s="100"/>
      <c r="I55" s="100"/>
    </row>
    <row r="56" spans="1:9" ht="33.75" customHeight="1">
      <c r="A56" s="106" t="s">
        <v>924</v>
      </c>
      <c r="B56" s="107"/>
      <c r="C56" s="108">
        <v>1</v>
      </c>
      <c r="D56" s="109" t="s">
        <v>925</v>
      </c>
      <c r="E56" s="109" t="s">
        <v>926</v>
      </c>
      <c r="F56" s="100"/>
      <c r="G56" s="100"/>
      <c r="H56" s="100"/>
      <c r="I56" s="100"/>
    </row>
    <row r="57" spans="1:9" ht="33.75" customHeight="1">
      <c r="A57" s="2" t="s">
        <v>927</v>
      </c>
      <c r="B57" s="102"/>
      <c r="C57" s="103">
        <v>1</v>
      </c>
      <c r="D57" s="10" t="s">
        <v>928</v>
      </c>
      <c r="E57" s="10" t="s">
        <v>808</v>
      </c>
      <c r="F57" s="100"/>
      <c r="G57" s="100"/>
      <c r="H57" s="100"/>
      <c r="I57" s="100"/>
    </row>
    <row r="58" spans="1:9" ht="33.75" customHeight="1">
      <c r="A58" s="106" t="s">
        <v>929</v>
      </c>
      <c r="B58" s="107"/>
      <c r="C58" s="108">
        <v>1</v>
      </c>
      <c r="D58" s="109" t="s">
        <v>930</v>
      </c>
      <c r="E58" s="109" t="s">
        <v>808</v>
      </c>
      <c r="F58" s="100"/>
      <c r="G58" s="100"/>
      <c r="H58" s="100"/>
      <c r="I58" s="100"/>
    </row>
    <row r="59" spans="1:9" ht="33.75" customHeight="1">
      <c r="A59" s="2" t="s">
        <v>931</v>
      </c>
      <c r="B59" s="102"/>
      <c r="C59" s="103">
        <v>1</v>
      </c>
      <c r="D59" s="10" t="s">
        <v>932</v>
      </c>
      <c r="E59" s="10" t="s">
        <v>808</v>
      </c>
      <c r="F59" s="100"/>
      <c r="G59" s="100"/>
      <c r="H59" s="100"/>
      <c r="I59" s="100"/>
    </row>
    <row r="60" spans="1:9" ht="33.75" customHeight="1">
      <c r="A60" s="106" t="s">
        <v>933</v>
      </c>
      <c r="B60" s="107"/>
      <c r="C60" s="108">
        <v>1</v>
      </c>
      <c r="D60" s="109" t="s">
        <v>934</v>
      </c>
      <c r="E60" s="109" t="s">
        <v>808</v>
      </c>
      <c r="F60" s="100"/>
      <c r="G60" s="100"/>
      <c r="H60" s="100"/>
      <c r="I60" s="100"/>
    </row>
    <row r="61" spans="1:9" ht="33.75" customHeight="1">
      <c r="A61" s="2" t="s">
        <v>233</v>
      </c>
      <c r="B61" s="102"/>
      <c r="C61" s="103">
        <v>1</v>
      </c>
      <c r="D61" s="10" t="s">
        <v>935</v>
      </c>
      <c r="E61" s="10" t="s">
        <v>936</v>
      </c>
      <c r="F61" s="100"/>
      <c r="G61" s="100"/>
      <c r="H61" s="100"/>
      <c r="I61" s="100"/>
    </row>
    <row r="62" spans="1:9" ht="33.75" customHeight="1">
      <c r="A62" s="106" t="s">
        <v>937</v>
      </c>
      <c r="B62" s="107"/>
      <c r="C62" s="108">
        <v>1</v>
      </c>
      <c r="D62" s="109" t="s">
        <v>938</v>
      </c>
      <c r="E62" s="109" t="s">
        <v>889</v>
      </c>
      <c r="F62" s="100"/>
      <c r="G62" s="100"/>
      <c r="H62" s="100"/>
      <c r="I62" s="100"/>
    </row>
    <row r="63" spans="1:9" ht="33.75" customHeight="1">
      <c r="A63" s="2" t="s">
        <v>939</v>
      </c>
      <c r="B63" s="102"/>
      <c r="C63" s="103">
        <v>1</v>
      </c>
      <c r="D63" s="10" t="s">
        <v>940</v>
      </c>
      <c r="E63" s="10" t="s">
        <v>808</v>
      </c>
      <c r="F63" s="100"/>
      <c r="G63" s="100"/>
      <c r="H63" s="100"/>
      <c r="I63" s="100"/>
    </row>
    <row r="64" spans="1:9" ht="33.75" customHeight="1">
      <c r="A64" s="106" t="s">
        <v>941</v>
      </c>
      <c r="B64" s="107"/>
      <c r="C64" s="108">
        <v>1</v>
      </c>
      <c r="D64" s="112" t="s">
        <v>942</v>
      </c>
      <c r="E64" s="109" t="s">
        <v>943</v>
      </c>
      <c r="F64" s="100"/>
      <c r="G64" s="100"/>
      <c r="H64" s="100"/>
      <c r="I64" s="100"/>
    </row>
    <row r="65" spans="1:9" ht="33.75" customHeight="1">
      <c r="A65" s="2" t="s">
        <v>944</v>
      </c>
      <c r="B65" s="102"/>
      <c r="C65" s="103">
        <v>1</v>
      </c>
      <c r="D65" s="10" t="s">
        <v>945</v>
      </c>
      <c r="E65" s="10" t="s">
        <v>808</v>
      </c>
      <c r="F65" s="100"/>
      <c r="G65" s="100"/>
      <c r="H65" s="100"/>
      <c r="I65" s="100"/>
    </row>
    <row r="66" spans="1:9" ht="33.75" customHeight="1">
      <c r="A66" s="106" t="s">
        <v>946</v>
      </c>
      <c r="B66" s="107"/>
      <c r="C66" s="108">
        <v>1</v>
      </c>
      <c r="D66" s="112" t="s">
        <v>947</v>
      </c>
      <c r="E66" s="109" t="s">
        <v>808</v>
      </c>
      <c r="F66" s="100"/>
      <c r="G66" s="100"/>
      <c r="H66" s="100"/>
      <c r="I66" s="100"/>
    </row>
    <row r="67" spans="1:9" ht="33.75" customHeight="1">
      <c r="A67" s="2" t="s">
        <v>948</v>
      </c>
      <c r="B67" s="102"/>
      <c r="C67" s="103">
        <v>1</v>
      </c>
      <c r="D67" s="10" t="s">
        <v>949</v>
      </c>
      <c r="E67" s="10" t="s">
        <v>889</v>
      </c>
      <c r="F67" s="100"/>
      <c r="G67" s="100"/>
      <c r="H67" s="100"/>
      <c r="I67" s="100"/>
    </row>
    <row r="68" spans="1:9" ht="33.75" customHeight="1">
      <c r="A68" s="106" t="s">
        <v>950</v>
      </c>
      <c r="B68" s="107"/>
      <c r="C68" s="108">
        <v>1</v>
      </c>
      <c r="D68" s="109" t="s">
        <v>951</v>
      </c>
      <c r="E68" s="109" t="s">
        <v>952</v>
      </c>
      <c r="F68" s="100"/>
      <c r="G68" s="100"/>
      <c r="H68" s="100"/>
      <c r="I68" s="100"/>
    </row>
    <row r="69" spans="1:9" ht="33.75" customHeight="1">
      <c r="A69" s="2" t="s">
        <v>953</v>
      </c>
      <c r="B69" s="102"/>
      <c r="C69" s="103">
        <v>1</v>
      </c>
      <c r="D69" s="10" t="s">
        <v>954</v>
      </c>
      <c r="E69" s="10" t="s">
        <v>955</v>
      </c>
      <c r="F69" s="100"/>
      <c r="G69" s="100"/>
      <c r="H69" s="100"/>
      <c r="I69" s="100"/>
    </row>
    <row r="70" spans="1:9" ht="33.75" customHeight="1">
      <c r="A70" s="106" t="s">
        <v>956</v>
      </c>
      <c r="B70" s="113"/>
      <c r="C70" s="108">
        <v>1</v>
      </c>
      <c r="D70" s="112" t="s">
        <v>957</v>
      </c>
      <c r="E70" s="109" t="s">
        <v>958</v>
      </c>
      <c r="F70" s="100"/>
      <c r="G70" s="100"/>
      <c r="H70" s="100"/>
      <c r="I70" s="100"/>
    </row>
    <row r="71" spans="1:9" ht="33.75" customHeight="1">
      <c r="A71" s="2" t="s">
        <v>959</v>
      </c>
      <c r="B71" s="102"/>
      <c r="C71" s="103">
        <v>1</v>
      </c>
      <c r="D71" s="10" t="s">
        <v>960</v>
      </c>
      <c r="E71" s="10" t="s">
        <v>808</v>
      </c>
      <c r="F71" s="100"/>
      <c r="G71" s="100"/>
      <c r="H71" s="100"/>
      <c r="I71" s="100"/>
    </row>
    <row r="72" spans="1:9" ht="33.75" customHeight="1">
      <c r="A72" s="106" t="s">
        <v>961</v>
      </c>
      <c r="B72" s="107"/>
      <c r="C72" s="108">
        <v>1</v>
      </c>
      <c r="D72" s="109" t="s">
        <v>962</v>
      </c>
      <c r="E72" s="109" t="s">
        <v>963</v>
      </c>
      <c r="F72" s="100"/>
      <c r="G72" s="100"/>
      <c r="H72" s="100"/>
      <c r="I72" s="100"/>
    </row>
    <row r="73" spans="1:9" ht="33.75" customHeight="1">
      <c r="A73" s="2" t="s">
        <v>964</v>
      </c>
      <c r="B73" s="102"/>
      <c r="C73" s="103">
        <v>1</v>
      </c>
      <c r="D73" s="10" t="s">
        <v>965</v>
      </c>
      <c r="E73" s="10" t="s">
        <v>966</v>
      </c>
      <c r="F73" s="100"/>
      <c r="G73" s="100"/>
      <c r="H73" s="100"/>
      <c r="I73" s="100"/>
    </row>
    <row r="74" spans="1:9" ht="33.75" customHeight="1">
      <c r="A74" s="106" t="s">
        <v>967</v>
      </c>
      <c r="B74" s="107"/>
      <c r="C74" s="108">
        <v>1</v>
      </c>
      <c r="D74" s="109" t="s">
        <v>968</v>
      </c>
      <c r="E74" s="109" t="s">
        <v>808</v>
      </c>
      <c r="F74" s="100"/>
      <c r="G74" s="100"/>
      <c r="H74" s="100"/>
      <c r="I74" s="100"/>
    </row>
    <row r="75" spans="1:9" ht="33.75" customHeight="1">
      <c r="A75" s="2" t="s">
        <v>969</v>
      </c>
      <c r="B75" s="102"/>
      <c r="C75" s="103">
        <v>1</v>
      </c>
      <c r="D75" s="10" t="s">
        <v>970</v>
      </c>
      <c r="E75" s="10" t="s">
        <v>808</v>
      </c>
      <c r="F75" s="100"/>
      <c r="G75" s="100"/>
      <c r="H75" s="100"/>
      <c r="I75" s="100"/>
    </row>
    <row r="76" spans="1:9" ht="33.75" customHeight="1">
      <c r="A76" s="106" t="s">
        <v>971</v>
      </c>
      <c r="B76" s="113"/>
      <c r="C76" s="108">
        <v>1</v>
      </c>
      <c r="D76" s="109" t="s">
        <v>972</v>
      </c>
      <c r="E76" s="109" t="s">
        <v>808</v>
      </c>
      <c r="F76" s="100"/>
      <c r="G76" s="100"/>
      <c r="H76" s="100"/>
      <c r="I76" s="100"/>
    </row>
    <row r="77" spans="1:9" ht="33.75" customHeight="1">
      <c r="A77" s="2" t="s">
        <v>973</v>
      </c>
      <c r="B77" s="102"/>
      <c r="C77" s="103">
        <v>1</v>
      </c>
      <c r="D77" s="10" t="s">
        <v>974</v>
      </c>
      <c r="E77" s="10" t="s">
        <v>889</v>
      </c>
      <c r="F77" s="100"/>
      <c r="G77" s="100"/>
      <c r="H77" s="100"/>
      <c r="I77" s="100"/>
    </row>
    <row r="78" spans="1:9" ht="33.75" customHeight="1">
      <c r="A78" s="106" t="s">
        <v>975</v>
      </c>
      <c r="B78" s="107"/>
      <c r="C78" s="108">
        <v>1</v>
      </c>
      <c r="D78" s="109" t="s">
        <v>976</v>
      </c>
      <c r="E78" s="109" t="s">
        <v>808</v>
      </c>
      <c r="F78" s="100"/>
      <c r="G78" s="100"/>
      <c r="H78" s="100"/>
      <c r="I78" s="100"/>
    </row>
    <row r="79" spans="1:9" ht="33.75" customHeight="1">
      <c r="A79" s="2" t="s">
        <v>977</v>
      </c>
      <c r="B79" s="102"/>
      <c r="C79" s="103">
        <v>1</v>
      </c>
      <c r="D79" s="10" t="s">
        <v>978</v>
      </c>
      <c r="E79" s="10" t="s">
        <v>979</v>
      </c>
      <c r="F79" s="100"/>
      <c r="G79" s="100"/>
      <c r="H79" s="100"/>
      <c r="I79" s="100"/>
    </row>
    <row r="80" spans="1:9" ht="33.75" customHeight="1">
      <c r="A80" s="106" t="s">
        <v>980</v>
      </c>
      <c r="B80" s="107"/>
      <c r="C80" s="108">
        <v>1</v>
      </c>
      <c r="D80" s="109" t="s">
        <v>981</v>
      </c>
      <c r="E80" s="109" t="s">
        <v>808</v>
      </c>
      <c r="F80" s="100"/>
      <c r="G80" s="100"/>
      <c r="H80" s="100"/>
      <c r="I80" s="100"/>
    </row>
    <row r="81" spans="1:9" ht="33.75" customHeight="1">
      <c r="A81" s="2" t="s">
        <v>982</v>
      </c>
      <c r="B81" s="102"/>
      <c r="C81" s="103">
        <v>1</v>
      </c>
      <c r="D81" s="10" t="s">
        <v>983</v>
      </c>
      <c r="E81" s="10" t="s">
        <v>808</v>
      </c>
      <c r="F81" s="100"/>
      <c r="G81" s="100"/>
      <c r="H81" s="100"/>
      <c r="I81" s="100"/>
    </row>
    <row r="82" spans="1:9" ht="33.75" customHeight="1">
      <c r="A82" s="106" t="s">
        <v>984</v>
      </c>
      <c r="B82" s="107"/>
      <c r="C82" s="108">
        <v>1</v>
      </c>
      <c r="D82" s="109" t="s">
        <v>985</v>
      </c>
      <c r="E82" s="109" t="s">
        <v>955</v>
      </c>
      <c r="F82" s="100"/>
      <c r="G82" s="100"/>
      <c r="H82" s="100"/>
      <c r="I82" s="100"/>
    </row>
    <row r="83" spans="1:9" ht="33.75" customHeight="1">
      <c r="A83" s="2" t="s">
        <v>986</v>
      </c>
      <c r="B83" s="114"/>
      <c r="C83" s="103">
        <v>1</v>
      </c>
      <c r="D83" s="10" t="s">
        <v>987</v>
      </c>
      <c r="E83" s="10" t="s">
        <v>808</v>
      </c>
      <c r="F83" s="100"/>
      <c r="G83" s="100"/>
      <c r="H83" s="100"/>
      <c r="I83" s="100"/>
    </row>
    <row r="84" spans="1:9" ht="33.75" customHeight="1">
      <c r="A84" s="106" t="s">
        <v>988</v>
      </c>
      <c r="B84" s="107"/>
      <c r="C84" s="108">
        <v>1</v>
      </c>
      <c r="D84" s="109" t="s">
        <v>989</v>
      </c>
      <c r="E84" s="109" t="s">
        <v>990</v>
      </c>
      <c r="F84" s="100"/>
      <c r="G84" s="100"/>
      <c r="H84" s="100"/>
      <c r="I84" s="100"/>
    </row>
    <row r="85" spans="1:9" ht="33.75" customHeight="1">
      <c r="A85" s="2" t="s">
        <v>991</v>
      </c>
      <c r="B85" s="102"/>
      <c r="C85" s="103">
        <v>1</v>
      </c>
      <c r="D85" s="10" t="s">
        <v>992</v>
      </c>
      <c r="E85" s="10" t="s">
        <v>808</v>
      </c>
      <c r="F85" s="100"/>
      <c r="G85" s="100"/>
      <c r="H85" s="100"/>
      <c r="I85" s="100"/>
    </row>
    <row r="86" spans="1:9" ht="33.75" customHeight="1">
      <c r="A86" s="106" t="s">
        <v>993</v>
      </c>
      <c r="B86" s="107"/>
      <c r="C86" s="108">
        <v>1</v>
      </c>
      <c r="D86" s="109" t="s">
        <v>994</v>
      </c>
      <c r="E86" s="109" t="s">
        <v>963</v>
      </c>
      <c r="F86" s="100"/>
      <c r="G86" s="100"/>
      <c r="H86" s="100"/>
      <c r="I86" s="100"/>
    </row>
    <row r="87" spans="1:9" ht="33.75" customHeight="1">
      <c r="A87" s="2" t="s">
        <v>995</v>
      </c>
      <c r="B87" s="102"/>
      <c r="C87" s="103">
        <v>2</v>
      </c>
      <c r="D87" s="10" t="s">
        <v>996</v>
      </c>
      <c r="E87" s="10" t="s">
        <v>808</v>
      </c>
      <c r="F87" s="100"/>
      <c r="G87" s="100"/>
    </row>
    <row r="88" spans="1:9" ht="33.75" customHeight="1">
      <c r="A88" s="106" t="s">
        <v>997</v>
      </c>
      <c r="B88" s="107"/>
      <c r="C88" s="108">
        <v>2</v>
      </c>
      <c r="D88" s="109" t="s">
        <v>998</v>
      </c>
      <c r="E88" s="109" t="s">
        <v>808</v>
      </c>
      <c r="F88" s="100"/>
      <c r="G88" s="100"/>
      <c r="H88" s="100"/>
      <c r="I88" s="100"/>
    </row>
    <row r="89" spans="1:9" ht="33.75" customHeight="1">
      <c r="A89" s="2" t="s">
        <v>239</v>
      </c>
      <c r="B89" s="115"/>
      <c r="C89" s="103">
        <v>2</v>
      </c>
      <c r="D89" s="10" t="s">
        <v>999</v>
      </c>
      <c r="E89" s="10" t="s">
        <v>1000</v>
      </c>
      <c r="F89" s="100"/>
      <c r="G89" s="100"/>
      <c r="H89" s="100"/>
      <c r="I89" s="100"/>
    </row>
    <row r="90" spans="1:9" ht="33.75" customHeight="1">
      <c r="A90" s="106" t="s">
        <v>1001</v>
      </c>
      <c r="B90" s="107"/>
      <c r="C90" s="108">
        <v>2</v>
      </c>
      <c r="D90" s="109" t="s">
        <v>1002</v>
      </c>
      <c r="E90" s="109" t="s">
        <v>808</v>
      </c>
      <c r="F90" s="100"/>
      <c r="G90" s="100"/>
      <c r="H90" s="100"/>
      <c r="I90" s="100"/>
    </row>
    <row r="91" spans="1:9" ht="33.75" customHeight="1">
      <c r="A91" s="2" t="s">
        <v>1003</v>
      </c>
      <c r="B91" s="102"/>
      <c r="C91" s="103">
        <v>2</v>
      </c>
      <c r="D91" s="10" t="s">
        <v>1004</v>
      </c>
      <c r="E91" s="10" t="s">
        <v>808</v>
      </c>
      <c r="F91" s="100"/>
      <c r="G91" s="100"/>
      <c r="H91" s="100"/>
      <c r="I91" s="100"/>
    </row>
    <row r="92" spans="1:9" ht="33.75" customHeight="1">
      <c r="A92" s="106" t="s">
        <v>1005</v>
      </c>
      <c r="B92" s="107"/>
      <c r="C92" s="108">
        <v>2</v>
      </c>
      <c r="D92" s="109" t="s">
        <v>1006</v>
      </c>
      <c r="E92" s="109" t="s">
        <v>808</v>
      </c>
      <c r="F92" s="100"/>
      <c r="G92" s="100"/>
      <c r="H92" s="100"/>
      <c r="I92" s="100"/>
    </row>
    <row r="93" spans="1:9" ht="33.75" customHeight="1">
      <c r="A93" s="2" t="s">
        <v>1007</v>
      </c>
      <c r="B93" s="102"/>
      <c r="C93" s="103">
        <v>2</v>
      </c>
      <c r="D93" s="10" t="s">
        <v>1008</v>
      </c>
      <c r="E93" s="10" t="s">
        <v>1009</v>
      </c>
      <c r="F93" s="100"/>
      <c r="G93" s="100"/>
      <c r="H93" s="100"/>
      <c r="I93" s="100"/>
    </row>
    <row r="94" spans="1:9" ht="33.75" customHeight="1">
      <c r="A94" s="106" t="s">
        <v>1010</v>
      </c>
      <c r="B94" s="107"/>
      <c r="C94" s="108">
        <v>2</v>
      </c>
      <c r="D94" s="109" t="s">
        <v>1011</v>
      </c>
      <c r="E94" s="109" t="s">
        <v>808</v>
      </c>
      <c r="F94" s="100"/>
      <c r="G94" s="100"/>
      <c r="H94" s="100"/>
      <c r="I94" s="100"/>
    </row>
    <row r="95" spans="1:9" ht="33.75" customHeight="1">
      <c r="A95" s="2" t="s">
        <v>227</v>
      </c>
      <c r="B95" s="102"/>
      <c r="C95" s="103">
        <v>2</v>
      </c>
      <c r="D95" s="10" t="s">
        <v>1012</v>
      </c>
      <c r="E95" s="10" t="s">
        <v>1013</v>
      </c>
      <c r="F95" s="100"/>
      <c r="G95" s="100"/>
      <c r="H95" s="100"/>
      <c r="I95" s="100"/>
    </row>
    <row r="96" spans="1:9" ht="33.75" customHeight="1">
      <c r="A96" s="106" t="s">
        <v>1014</v>
      </c>
      <c r="B96" s="107"/>
      <c r="C96" s="108">
        <v>2</v>
      </c>
      <c r="D96" s="109" t="s">
        <v>1015</v>
      </c>
      <c r="E96" s="109" t="s">
        <v>963</v>
      </c>
      <c r="F96" s="100"/>
      <c r="G96" s="100"/>
      <c r="H96" s="100"/>
      <c r="I96" s="100"/>
    </row>
    <row r="97" spans="1:9" ht="33.75" customHeight="1">
      <c r="A97" s="2" t="s">
        <v>1016</v>
      </c>
      <c r="B97" s="102"/>
      <c r="C97" s="103">
        <v>2</v>
      </c>
      <c r="D97" s="10" t="s">
        <v>1017</v>
      </c>
      <c r="E97" s="10" t="s">
        <v>808</v>
      </c>
      <c r="F97" s="100"/>
      <c r="G97" s="100"/>
      <c r="H97" s="100"/>
      <c r="I97" s="100"/>
    </row>
    <row r="98" spans="1:9" ht="33.75" customHeight="1">
      <c r="A98" s="106" t="s">
        <v>1018</v>
      </c>
      <c r="B98" s="107"/>
      <c r="C98" s="108">
        <v>2</v>
      </c>
      <c r="D98" s="109" t="s">
        <v>1019</v>
      </c>
      <c r="E98" s="109" t="s">
        <v>955</v>
      </c>
      <c r="F98" s="100"/>
      <c r="G98" s="100"/>
      <c r="H98" s="100"/>
      <c r="I98" s="100"/>
    </row>
    <row r="99" spans="1:9" ht="33.75" customHeight="1">
      <c r="A99" s="2" t="s">
        <v>1020</v>
      </c>
      <c r="B99" s="102"/>
      <c r="C99" s="103">
        <v>2</v>
      </c>
      <c r="D99" s="116" t="s">
        <v>1021</v>
      </c>
      <c r="E99" s="10" t="s">
        <v>1022</v>
      </c>
      <c r="F99" s="100"/>
      <c r="G99" s="100"/>
      <c r="H99" s="100"/>
      <c r="I99" s="100"/>
    </row>
    <row r="100" spans="1:9" ht="33.75" customHeight="1">
      <c r="A100" s="106" t="s">
        <v>1023</v>
      </c>
      <c r="B100" s="107"/>
      <c r="C100" s="108">
        <v>2</v>
      </c>
      <c r="D100" s="112" t="s">
        <v>1024</v>
      </c>
      <c r="E100" s="109" t="s">
        <v>1025</v>
      </c>
      <c r="F100" s="100"/>
      <c r="G100" s="100"/>
      <c r="H100" s="100"/>
      <c r="I100" s="100"/>
    </row>
    <row r="101" spans="1:9" ht="33.75" customHeight="1">
      <c r="A101" s="2" t="s">
        <v>1026</v>
      </c>
      <c r="B101" s="102"/>
      <c r="C101" s="103">
        <v>2</v>
      </c>
      <c r="D101" s="10" t="s">
        <v>1027</v>
      </c>
      <c r="E101" s="10" t="s">
        <v>808</v>
      </c>
      <c r="F101" s="100"/>
      <c r="G101" s="100"/>
      <c r="H101" s="100"/>
      <c r="I101" s="100"/>
    </row>
    <row r="102" spans="1:9" ht="33.75" customHeight="1">
      <c r="A102" s="106" t="s">
        <v>1028</v>
      </c>
      <c r="B102" s="107"/>
      <c r="C102" s="108">
        <v>2</v>
      </c>
      <c r="D102" s="109" t="s">
        <v>1029</v>
      </c>
      <c r="E102" s="109" t="s">
        <v>963</v>
      </c>
      <c r="F102" s="100"/>
      <c r="G102" s="100"/>
      <c r="H102" s="100"/>
      <c r="I102" s="100"/>
    </row>
    <row r="103" spans="1:9" ht="33.75" customHeight="1">
      <c r="A103" s="2" t="s">
        <v>1030</v>
      </c>
      <c r="B103" s="102"/>
      <c r="C103" s="103">
        <v>2</v>
      </c>
      <c r="D103" s="10" t="s">
        <v>1031</v>
      </c>
      <c r="E103" s="10" t="s">
        <v>808</v>
      </c>
      <c r="F103" s="100"/>
      <c r="G103" s="100"/>
      <c r="H103" s="100"/>
      <c r="I103" s="100"/>
    </row>
    <row r="104" spans="1:9" ht="33.75" customHeight="1">
      <c r="A104" s="106" t="s">
        <v>1032</v>
      </c>
      <c r="B104" s="107"/>
      <c r="C104" s="108">
        <v>2</v>
      </c>
      <c r="D104" s="109" t="s">
        <v>1033</v>
      </c>
      <c r="E104" s="109" t="s">
        <v>955</v>
      </c>
      <c r="F104" s="100"/>
      <c r="G104" s="100"/>
      <c r="H104" s="100"/>
      <c r="I104" s="100"/>
    </row>
    <row r="105" spans="1:9" ht="33.75" customHeight="1">
      <c r="A105" s="2" t="s">
        <v>1034</v>
      </c>
      <c r="B105" s="102"/>
      <c r="C105" s="103">
        <v>2</v>
      </c>
      <c r="D105" s="10" t="s">
        <v>1035</v>
      </c>
      <c r="E105" s="10" t="s">
        <v>963</v>
      </c>
      <c r="F105" s="100"/>
      <c r="G105" s="100"/>
      <c r="H105" s="100"/>
      <c r="I105" s="100"/>
    </row>
    <row r="106" spans="1:9" ht="33.75" customHeight="1">
      <c r="A106" s="106" t="s">
        <v>1036</v>
      </c>
      <c r="B106" s="107"/>
      <c r="C106" s="108">
        <v>2</v>
      </c>
      <c r="D106" s="109" t="s">
        <v>1037</v>
      </c>
      <c r="E106" s="109" t="s">
        <v>955</v>
      </c>
      <c r="F106" s="100"/>
      <c r="G106" s="100"/>
      <c r="H106" s="100"/>
      <c r="I106" s="100"/>
    </row>
    <row r="107" spans="1:9" ht="33.75" customHeight="1">
      <c r="A107" s="2" t="s">
        <v>1038</v>
      </c>
      <c r="B107" s="102"/>
      <c r="C107" s="103">
        <v>2</v>
      </c>
      <c r="D107" s="10" t="s">
        <v>1039</v>
      </c>
      <c r="E107" s="10" t="s">
        <v>808</v>
      </c>
      <c r="F107" s="100"/>
      <c r="G107" s="100"/>
      <c r="H107" s="100"/>
      <c r="I107" s="100"/>
    </row>
    <row r="108" spans="1:9" ht="33.75" customHeight="1">
      <c r="A108" s="106" t="s">
        <v>1040</v>
      </c>
      <c r="B108" s="107"/>
      <c r="C108" s="108">
        <v>2</v>
      </c>
      <c r="D108" s="109" t="s">
        <v>1041</v>
      </c>
      <c r="E108" s="109" t="s">
        <v>889</v>
      </c>
      <c r="F108" s="100"/>
      <c r="G108" s="100"/>
      <c r="H108" s="100"/>
      <c r="I108" s="100"/>
    </row>
    <row r="109" spans="1:9" ht="33.75" customHeight="1">
      <c r="A109" s="2" t="s">
        <v>1042</v>
      </c>
      <c r="B109" s="102"/>
      <c r="C109" s="103">
        <v>2</v>
      </c>
      <c r="D109" s="10" t="s">
        <v>1043</v>
      </c>
      <c r="E109" s="10" t="s">
        <v>963</v>
      </c>
      <c r="F109" s="100"/>
      <c r="G109" s="100"/>
      <c r="H109" s="100"/>
      <c r="I109" s="100"/>
    </row>
    <row r="110" spans="1:9" ht="33.75" customHeight="1">
      <c r="A110" s="106" t="s">
        <v>1044</v>
      </c>
      <c r="B110" s="107"/>
      <c r="C110" s="108">
        <v>2</v>
      </c>
      <c r="D110" s="109" t="s">
        <v>1045</v>
      </c>
      <c r="E110" s="109" t="s">
        <v>808</v>
      </c>
      <c r="F110" s="100"/>
      <c r="G110" s="100"/>
      <c r="H110" s="100"/>
      <c r="I110" s="100"/>
    </row>
    <row r="111" spans="1:9" ht="33.75" customHeight="1">
      <c r="A111" s="2" t="s">
        <v>1046</v>
      </c>
      <c r="B111" s="102"/>
      <c r="C111" s="103">
        <v>2</v>
      </c>
      <c r="D111" s="10" t="s">
        <v>1047</v>
      </c>
      <c r="E111" s="10" t="s">
        <v>889</v>
      </c>
      <c r="F111" s="100"/>
      <c r="G111" s="100"/>
      <c r="H111" s="100"/>
      <c r="I111" s="100"/>
    </row>
    <row r="112" spans="1:9" ht="33.75" customHeight="1">
      <c r="A112" s="106" t="s">
        <v>1048</v>
      </c>
      <c r="B112" s="107"/>
      <c r="C112" s="108">
        <v>2</v>
      </c>
      <c r="D112" s="109" t="s">
        <v>1049</v>
      </c>
      <c r="E112" s="109" t="s">
        <v>1050</v>
      </c>
      <c r="F112" s="100"/>
      <c r="G112" s="100"/>
      <c r="H112" s="100"/>
      <c r="I112" s="100"/>
    </row>
    <row r="113" spans="1:9" ht="33.75" customHeight="1">
      <c r="A113" s="2" t="s">
        <v>1051</v>
      </c>
      <c r="B113" s="102"/>
      <c r="C113" s="103">
        <v>2</v>
      </c>
      <c r="D113" s="10" t="s">
        <v>1052</v>
      </c>
      <c r="E113" s="10" t="s">
        <v>808</v>
      </c>
      <c r="F113" s="100"/>
      <c r="G113" s="100"/>
      <c r="H113" s="100"/>
      <c r="I113" s="100"/>
    </row>
    <row r="114" spans="1:9" ht="33.75" customHeight="1">
      <c r="A114" s="106" t="s">
        <v>1053</v>
      </c>
      <c r="B114" s="107"/>
      <c r="C114" s="108">
        <v>2</v>
      </c>
      <c r="D114" s="109" t="s">
        <v>1054</v>
      </c>
      <c r="E114" s="109" t="s">
        <v>808</v>
      </c>
      <c r="F114" s="100"/>
      <c r="G114" s="100"/>
      <c r="H114" s="100"/>
      <c r="I114" s="100"/>
    </row>
    <row r="115" spans="1:9" ht="33.75" customHeight="1">
      <c r="A115" s="2" t="s">
        <v>1055</v>
      </c>
      <c r="B115" s="102"/>
      <c r="C115" s="103">
        <v>2</v>
      </c>
      <c r="D115" s="10" t="s">
        <v>1056</v>
      </c>
      <c r="E115" s="10" t="s">
        <v>808</v>
      </c>
      <c r="F115" s="100"/>
      <c r="G115" s="100"/>
      <c r="H115" s="100"/>
      <c r="I115" s="100"/>
    </row>
    <row r="116" spans="1:9" ht="33.75" customHeight="1">
      <c r="A116" s="106" t="s">
        <v>1057</v>
      </c>
      <c r="B116" s="107"/>
      <c r="C116" s="108">
        <v>2</v>
      </c>
      <c r="D116" s="109" t="s">
        <v>1058</v>
      </c>
      <c r="E116" s="109" t="s">
        <v>1059</v>
      </c>
      <c r="F116" s="100"/>
      <c r="G116" s="100"/>
      <c r="H116" s="100"/>
      <c r="I116" s="100"/>
    </row>
    <row r="117" spans="1:9" ht="33.75" customHeight="1">
      <c r="A117" s="2" t="s">
        <v>1060</v>
      </c>
      <c r="B117" s="102"/>
      <c r="C117" s="103">
        <v>2</v>
      </c>
      <c r="D117" s="10" t="s">
        <v>1061</v>
      </c>
      <c r="E117" s="10" t="s">
        <v>808</v>
      </c>
      <c r="F117" s="100"/>
      <c r="G117" s="100"/>
      <c r="H117" s="100"/>
      <c r="I117" s="100"/>
    </row>
    <row r="118" spans="1:9" ht="33.75" customHeight="1">
      <c r="A118" s="106" t="s">
        <v>1062</v>
      </c>
      <c r="B118" s="107"/>
      <c r="C118" s="108">
        <v>2</v>
      </c>
      <c r="D118" s="109" t="s">
        <v>1063</v>
      </c>
      <c r="E118" s="109" t="s">
        <v>808</v>
      </c>
      <c r="F118" s="100"/>
      <c r="G118" s="100"/>
      <c r="H118" s="100"/>
      <c r="I118" s="100"/>
    </row>
    <row r="119" spans="1:9" ht="33.75" customHeight="1">
      <c r="A119" s="2" t="s">
        <v>1064</v>
      </c>
      <c r="B119" s="102"/>
      <c r="C119" s="103">
        <v>2</v>
      </c>
      <c r="D119" s="10" t="s">
        <v>1065</v>
      </c>
      <c r="E119" s="10" t="s">
        <v>808</v>
      </c>
      <c r="F119" s="100"/>
      <c r="G119" s="100"/>
      <c r="H119" s="100"/>
      <c r="I119" s="100"/>
    </row>
    <row r="120" spans="1:9" ht="33.75" customHeight="1">
      <c r="A120" s="106" t="s">
        <v>1066</v>
      </c>
      <c r="B120" s="107"/>
      <c r="C120" s="108">
        <v>2</v>
      </c>
      <c r="D120" s="109" t="s">
        <v>1067</v>
      </c>
      <c r="E120" s="109" t="s">
        <v>808</v>
      </c>
      <c r="F120" s="100"/>
      <c r="G120" s="100"/>
      <c r="H120" s="100"/>
      <c r="I120" s="100"/>
    </row>
    <row r="121" spans="1:9" ht="33.75" customHeight="1">
      <c r="A121" s="2" t="s">
        <v>1068</v>
      </c>
      <c r="B121" s="102"/>
      <c r="C121" s="103">
        <v>2</v>
      </c>
      <c r="D121" s="10" t="s">
        <v>1069</v>
      </c>
      <c r="E121" s="10" t="s">
        <v>1070</v>
      </c>
      <c r="F121" s="100"/>
      <c r="G121" s="100"/>
      <c r="H121" s="100"/>
      <c r="I121" s="100"/>
    </row>
    <row r="122" spans="1:9" ht="33.75" customHeight="1">
      <c r="A122" s="106" t="s">
        <v>1071</v>
      </c>
      <c r="B122" s="107"/>
      <c r="C122" s="108">
        <v>2</v>
      </c>
      <c r="D122" s="109" t="s">
        <v>1072</v>
      </c>
      <c r="E122" s="109" t="s">
        <v>889</v>
      </c>
      <c r="F122" s="100"/>
      <c r="G122" s="100"/>
      <c r="H122" s="100"/>
      <c r="I122" s="100"/>
    </row>
    <row r="123" spans="1:9" ht="33.75" customHeight="1">
      <c r="A123" s="2" t="s">
        <v>1073</v>
      </c>
      <c r="B123" s="102"/>
      <c r="C123" s="103">
        <v>2</v>
      </c>
      <c r="D123" s="10" t="s">
        <v>1074</v>
      </c>
      <c r="E123" s="10" t="s">
        <v>808</v>
      </c>
      <c r="F123" s="100"/>
      <c r="G123" s="100"/>
      <c r="H123" s="100"/>
      <c r="I123" s="100"/>
    </row>
    <row r="124" spans="1:9" ht="33.75" customHeight="1">
      <c r="A124" s="106" t="s">
        <v>1075</v>
      </c>
      <c r="B124" s="107"/>
      <c r="C124" s="108">
        <v>2</v>
      </c>
      <c r="D124" s="109" t="s">
        <v>1076</v>
      </c>
      <c r="E124" s="109" t="s">
        <v>808</v>
      </c>
      <c r="F124" s="100"/>
      <c r="G124" s="100"/>
      <c r="H124" s="100"/>
      <c r="I124" s="100"/>
    </row>
    <row r="125" spans="1:9" ht="33.75" customHeight="1">
      <c r="A125" s="2" t="s">
        <v>1077</v>
      </c>
      <c r="B125" s="102"/>
      <c r="C125" s="103">
        <v>2</v>
      </c>
      <c r="D125" s="10" t="s">
        <v>1078</v>
      </c>
      <c r="E125" s="10" t="s">
        <v>955</v>
      </c>
      <c r="F125" s="100"/>
      <c r="G125" s="100"/>
      <c r="H125" s="100"/>
      <c r="I125" s="100"/>
    </row>
    <row r="126" spans="1:9" ht="33.75" customHeight="1">
      <c r="A126" s="106" t="s">
        <v>1079</v>
      </c>
      <c r="B126" s="107"/>
      <c r="C126" s="108">
        <v>3</v>
      </c>
      <c r="D126" s="109" t="s">
        <v>1080</v>
      </c>
      <c r="E126" s="109" t="s">
        <v>963</v>
      </c>
      <c r="F126" s="100"/>
      <c r="G126" s="100"/>
      <c r="H126" s="100"/>
      <c r="I126" s="100"/>
    </row>
    <row r="127" spans="1:9" ht="33.75" customHeight="1">
      <c r="A127" s="2" t="s">
        <v>1081</v>
      </c>
      <c r="B127" s="102"/>
      <c r="C127" s="103">
        <v>3</v>
      </c>
      <c r="D127" s="10" t="s">
        <v>1082</v>
      </c>
      <c r="E127" s="10" t="s">
        <v>808</v>
      </c>
      <c r="F127" s="100"/>
      <c r="G127" s="100"/>
      <c r="H127" s="100"/>
      <c r="I127" s="100"/>
    </row>
    <row r="128" spans="1:9" ht="33.75" customHeight="1">
      <c r="A128" s="106" t="s">
        <v>1083</v>
      </c>
      <c r="B128" s="107"/>
      <c r="C128" s="108">
        <v>3</v>
      </c>
      <c r="D128" s="109" t="s">
        <v>1084</v>
      </c>
      <c r="E128" s="109" t="s">
        <v>808</v>
      </c>
      <c r="F128" s="100"/>
      <c r="G128" s="100"/>
      <c r="H128" s="100"/>
      <c r="I128" s="100"/>
    </row>
    <row r="129" spans="1:9" ht="33.75" customHeight="1">
      <c r="A129" s="2" t="s">
        <v>1085</v>
      </c>
      <c r="B129" s="102"/>
      <c r="C129" s="103">
        <v>3</v>
      </c>
      <c r="D129" s="10" t="s">
        <v>1086</v>
      </c>
      <c r="E129" s="10" t="s">
        <v>963</v>
      </c>
      <c r="F129" s="100"/>
      <c r="G129" s="100"/>
      <c r="H129" s="100"/>
      <c r="I129" s="100"/>
    </row>
    <row r="130" spans="1:9" ht="33.75" customHeight="1">
      <c r="A130" s="106" t="s">
        <v>1087</v>
      </c>
      <c r="B130" s="107"/>
      <c r="C130" s="108">
        <v>3</v>
      </c>
      <c r="D130" s="109" t="s">
        <v>1088</v>
      </c>
      <c r="E130" s="109" t="s">
        <v>955</v>
      </c>
      <c r="F130" s="100"/>
      <c r="G130" s="100"/>
      <c r="H130" s="100"/>
      <c r="I130" s="100"/>
    </row>
    <row r="131" spans="1:9" ht="33.75" customHeight="1">
      <c r="A131" s="2" t="s">
        <v>1089</v>
      </c>
      <c r="B131" s="102"/>
      <c r="C131" s="103">
        <v>3</v>
      </c>
      <c r="D131" s="116" t="s">
        <v>1090</v>
      </c>
      <c r="E131" s="10" t="s">
        <v>808</v>
      </c>
      <c r="F131" s="100"/>
      <c r="G131" s="100"/>
      <c r="H131" s="100"/>
      <c r="I131" s="100"/>
    </row>
    <row r="132" spans="1:9" ht="33.75" customHeight="1">
      <c r="A132" s="106" t="s">
        <v>1091</v>
      </c>
      <c r="B132" s="107"/>
      <c r="C132" s="108">
        <v>3</v>
      </c>
      <c r="D132" s="109" t="s">
        <v>1092</v>
      </c>
      <c r="E132" s="109" t="s">
        <v>808</v>
      </c>
      <c r="F132" s="100"/>
      <c r="G132" s="100"/>
      <c r="H132" s="100"/>
      <c r="I132" s="100"/>
    </row>
    <row r="133" spans="1:9" ht="33.75" customHeight="1">
      <c r="A133" s="2" t="s">
        <v>1093</v>
      </c>
      <c r="B133" s="102"/>
      <c r="C133" s="103">
        <v>3</v>
      </c>
      <c r="D133" s="10" t="s">
        <v>1094</v>
      </c>
      <c r="E133" s="10" t="s">
        <v>808</v>
      </c>
      <c r="F133" s="100"/>
      <c r="G133" s="100"/>
      <c r="H133" s="100"/>
      <c r="I133" s="100"/>
    </row>
    <row r="134" spans="1:9" ht="33.75" customHeight="1">
      <c r="A134" s="106" t="s">
        <v>1095</v>
      </c>
      <c r="B134" s="107"/>
      <c r="C134" s="108">
        <v>3</v>
      </c>
      <c r="D134" s="109" t="s">
        <v>1096</v>
      </c>
      <c r="E134" s="109" t="s">
        <v>955</v>
      </c>
      <c r="F134" s="100"/>
      <c r="G134" s="100"/>
      <c r="H134" s="100"/>
      <c r="I134" s="100"/>
    </row>
    <row r="135" spans="1:9" ht="33.75" customHeight="1">
      <c r="A135" s="2" t="s">
        <v>1097</v>
      </c>
      <c r="B135" s="102"/>
      <c r="C135" s="103">
        <v>3</v>
      </c>
      <c r="D135" s="10" t="s">
        <v>1098</v>
      </c>
      <c r="E135" s="10" t="s">
        <v>808</v>
      </c>
      <c r="F135" s="100"/>
      <c r="G135" s="100"/>
      <c r="H135" s="100"/>
      <c r="I135" s="100"/>
    </row>
    <row r="136" spans="1:9" ht="33.75" customHeight="1">
      <c r="A136" s="106" t="s">
        <v>1099</v>
      </c>
      <c r="B136" s="107"/>
      <c r="C136" s="108">
        <v>3</v>
      </c>
      <c r="D136" s="109" t="s">
        <v>1100</v>
      </c>
      <c r="E136" s="109" t="s">
        <v>808</v>
      </c>
      <c r="F136" s="100"/>
      <c r="G136" s="100"/>
      <c r="H136" s="100"/>
      <c r="I136" s="100"/>
    </row>
    <row r="137" spans="1:9" ht="33.75" customHeight="1">
      <c r="A137" s="2" t="s">
        <v>1101</v>
      </c>
      <c r="B137" s="102"/>
      <c r="C137" s="103">
        <v>3</v>
      </c>
      <c r="D137" s="10" t="s">
        <v>1102</v>
      </c>
      <c r="E137" s="10" t="s">
        <v>808</v>
      </c>
      <c r="F137" s="100"/>
      <c r="G137" s="100"/>
      <c r="H137" s="100"/>
      <c r="I137" s="100"/>
    </row>
    <row r="138" spans="1:9" ht="33.75" customHeight="1">
      <c r="A138" s="106" t="s">
        <v>1103</v>
      </c>
      <c r="B138" s="107"/>
      <c r="C138" s="108">
        <v>3</v>
      </c>
      <c r="D138" s="112" t="s">
        <v>1104</v>
      </c>
      <c r="E138" s="109" t="s">
        <v>1105</v>
      </c>
      <c r="F138" s="100"/>
      <c r="G138" s="100"/>
      <c r="H138" s="100"/>
      <c r="I138" s="100"/>
    </row>
    <row r="139" spans="1:9" ht="33.75" customHeight="1">
      <c r="A139" s="2" t="s">
        <v>1106</v>
      </c>
      <c r="B139" s="102"/>
      <c r="C139" s="103">
        <v>3</v>
      </c>
      <c r="D139" s="10" t="s">
        <v>1107</v>
      </c>
      <c r="E139" s="10" t="s">
        <v>1108</v>
      </c>
      <c r="F139" s="100"/>
      <c r="G139" s="100"/>
      <c r="H139" s="100"/>
      <c r="I139" s="100"/>
    </row>
    <row r="140" spans="1:9" ht="33.75" customHeight="1">
      <c r="A140" s="106" t="s">
        <v>1109</v>
      </c>
      <c r="B140" s="107"/>
      <c r="C140" s="108">
        <v>3</v>
      </c>
      <c r="D140" s="112" t="s">
        <v>1110</v>
      </c>
      <c r="E140" s="109" t="s">
        <v>808</v>
      </c>
      <c r="F140" s="100"/>
      <c r="G140" s="100"/>
      <c r="H140" s="100"/>
      <c r="I140" s="100"/>
    </row>
    <row r="141" spans="1:9" ht="33.75" customHeight="1">
      <c r="A141" s="2" t="s">
        <v>1111</v>
      </c>
      <c r="B141" s="102"/>
      <c r="C141" s="103">
        <v>3</v>
      </c>
      <c r="D141" s="10" t="s">
        <v>1112</v>
      </c>
      <c r="E141" s="10" t="s">
        <v>808</v>
      </c>
      <c r="F141" s="100"/>
      <c r="G141" s="100"/>
      <c r="H141" s="100"/>
      <c r="I141" s="100"/>
    </row>
    <row r="142" spans="1:9" ht="33.75" customHeight="1">
      <c r="A142" s="106" t="s">
        <v>1113</v>
      </c>
      <c r="B142" s="107"/>
      <c r="C142" s="108">
        <v>3</v>
      </c>
      <c r="D142" s="109" t="s">
        <v>1114</v>
      </c>
      <c r="E142" s="109" t="s">
        <v>808</v>
      </c>
      <c r="F142" s="100"/>
      <c r="G142" s="100"/>
      <c r="H142" s="100"/>
      <c r="I142" s="100"/>
    </row>
    <row r="143" spans="1:9" ht="33.75" customHeight="1">
      <c r="A143" s="2" t="s">
        <v>1115</v>
      </c>
      <c r="B143" s="102"/>
      <c r="C143" s="103">
        <v>3</v>
      </c>
      <c r="D143" s="10" t="s">
        <v>1116</v>
      </c>
      <c r="E143" s="10" t="s">
        <v>808</v>
      </c>
      <c r="F143" s="100"/>
      <c r="G143" s="100"/>
      <c r="H143" s="100"/>
      <c r="I143" s="100"/>
    </row>
    <row r="144" spans="1:9" ht="33.75" customHeight="1">
      <c r="A144" s="106" t="s">
        <v>1117</v>
      </c>
      <c r="B144" s="107"/>
      <c r="C144" s="108">
        <v>3</v>
      </c>
      <c r="D144" s="109" t="s">
        <v>1118</v>
      </c>
      <c r="E144" s="109" t="s">
        <v>808</v>
      </c>
      <c r="F144" s="100"/>
      <c r="G144" s="100"/>
      <c r="H144" s="100"/>
      <c r="I144" s="100"/>
    </row>
    <row r="145" spans="1:9" ht="33.75" customHeight="1">
      <c r="A145" s="2" t="s">
        <v>1119</v>
      </c>
      <c r="B145" s="102"/>
      <c r="C145" s="103">
        <v>3</v>
      </c>
      <c r="D145" s="10" t="s">
        <v>1120</v>
      </c>
      <c r="E145" s="10" t="s">
        <v>808</v>
      </c>
      <c r="F145" s="100"/>
      <c r="G145" s="100"/>
      <c r="H145" s="100"/>
      <c r="I145" s="100"/>
    </row>
    <row r="146" spans="1:9" ht="33.75" customHeight="1">
      <c r="A146" s="106" t="s">
        <v>1121</v>
      </c>
      <c r="B146" s="107"/>
      <c r="C146" s="108">
        <v>3</v>
      </c>
      <c r="D146" s="109" t="s">
        <v>1122</v>
      </c>
      <c r="E146" s="109" t="s">
        <v>808</v>
      </c>
      <c r="F146" s="100"/>
      <c r="G146" s="100"/>
      <c r="H146" s="100"/>
      <c r="I146" s="100"/>
    </row>
    <row r="147" spans="1:9" ht="33.75" customHeight="1">
      <c r="A147" s="2" t="s">
        <v>1123</v>
      </c>
      <c r="B147" s="102"/>
      <c r="C147" s="103">
        <v>3</v>
      </c>
      <c r="D147" s="10" t="s">
        <v>1124</v>
      </c>
      <c r="E147" s="10" t="s">
        <v>808</v>
      </c>
      <c r="F147" s="100"/>
      <c r="G147" s="100"/>
      <c r="H147" s="100"/>
      <c r="I147" s="100"/>
    </row>
    <row r="148" spans="1:9" ht="33.75" customHeight="1">
      <c r="A148" s="106" t="s">
        <v>1125</v>
      </c>
      <c r="B148" s="107"/>
      <c r="C148" s="108">
        <v>3</v>
      </c>
      <c r="D148" s="109" t="s">
        <v>1126</v>
      </c>
      <c r="E148" s="109" t="s">
        <v>808</v>
      </c>
      <c r="F148" s="100"/>
      <c r="G148" s="100"/>
      <c r="H148" s="100"/>
      <c r="I148" s="100"/>
    </row>
    <row r="149" spans="1:9">
      <c r="A149" s="2" t="s">
        <v>1127</v>
      </c>
      <c r="B149" s="102"/>
      <c r="C149" s="103">
        <v>3</v>
      </c>
      <c r="D149" s="10" t="s">
        <v>1128</v>
      </c>
      <c r="E149" s="10" t="s">
        <v>808</v>
      </c>
      <c r="F149" s="100"/>
      <c r="G149" s="100"/>
      <c r="H149" s="100"/>
      <c r="I149" s="100"/>
    </row>
    <row r="150" spans="1:9" ht="33.75" customHeight="1">
      <c r="A150" s="106" t="s">
        <v>1129</v>
      </c>
      <c r="B150" s="107"/>
      <c r="C150" s="108">
        <v>3</v>
      </c>
      <c r="D150" s="109" t="s">
        <v>1130</v>
      </c>
      <c r="E150" s="109" t="s">
        <v>1131</v>
      </c>
      <c r="F150" s="100"/>
      <c r="G150" s="100"/>
      <c r="H150" s="100"/>
      <c r="I150" s="100"/>
    </row>
    <row r="151" spans="1:9" ht="33.75" customHeight="1">
      <c r="A151" s="2" t="s">
        <v>1132</v>
      </c>
      <c r="B151" s="102"/>
      <c r="C151" s="103">
        <v>3</v>
      </c>
      <c r="D151" s="10" t="s">
        <v>1133</v>
      </c>
      <c r="E151" s="10" t="s">
        <v>808</v>
      </c>
      <c r="F151" s="100"/>
      <c r="G151" s="100"/>
      <c r="H151" s="100"/>
      <c r="I151" s="100"/>
    </row>
    <row r="152" spans="1:9" ht="33.75" customHeight="1">
      <c r="A152" s="106" t="s">
        <v>1134</v>
      </c>
      <c r="B152" s="107"/>
      <c r="C152" s="108">
        <v>4</v>
      </c>
      <c r="D152" s="109" t="s">
        <v>1135</v>
      </c>
      <c r="E152" s="109" t="s">
        <v>808</v>
      </c>
      <c r="F152" s="100"/>
      <c r="G152" s="100"/>
      <c r="H152" s="100"/>
      <c r="I152" s="100"/>
    </row>
    <row r="153" spans="1:9" ht="33.75" customHeight="1">
      <c r="A153" s="2" t="s">
        <v>1136</v>
      </c>
      <c r="B153" s="102"/>
      <c r="C153" s="103">
        <v>4</v>
      </c>
      <c r="D153" s="10" t="s">
        <v>1137</v>
      </c>
      <c r="E153" s="10" t="s">
        <v>808</v>
      </c>
      <c r="F153" s="100"/>
      <c r="G153" s="100"/>
      <c r="H153" s="100"/>
      <c r="I153" s="100"/>
    </row>
    <row r="154" spans="1:9" ht="33.75" customHeight="1">
      <c r="A154" s="106" t="s">
        <v>1138</v>
      </c>
      <c r="B154" s="107"/>
      <c r="C154" s="108">
        <v>4</v>
      </c>
      <c r="D154" s="109" t="s">
        <v>1139</v>
      </c>
      <c r="E154" s="109" t="s">
        <v>963</v>
      </c>
      <c r="F154" s="100"/>
      <c r="G154" s="100"/>
      <c r="H154" s="100"/>
      <c r="I154" s="100"/>
    </row>
    <row r="155" spans="1:9" ht="33.75" customHeight="1">
      <c r="A155" s="2" t="s">
        <v>1140</v>
      </c>
      <c r="B155" s="102"/>
      <c r="C155" s="103">
        <v>4</v>
      </c>
      <c r="D155" s="10" t="s">
        <v>1141</v>
      </c>
      <c r="E155" s="10" t="s">
        <v>808</v>
      </c>
      <c r="F155" s="100"/>
      <c r="G155" s="100"/>
      <c r="H155" s="100"/>
      <c r="I155" s="100"/>
    </row>
    <row r="156" spans="1:9" ht="33.75" customHeight="1">
      <c r="A156" s="106" t="s">
        <v>1142</v>
      </c>
      <c r="B156" s="107"/>
      <c r="C156" s="108">
        <v>4</v>
      </c>
      <c r="D156" s="109" t="s">
        <v>1143</v>
      </c>
      <c r="E156" s="109" t="s">
        <v>808</v>
      </c>
      <c r="F156" s="100"/>
      <c r="G156" s="100"/>
      <c r="H156" s="100"/>
      <c r="I156" s="100"/>
    </row>
    <row r="157" spans="1:9" ht="33.75" customHeight="1">
      <c r="A157" s="2" t="s">
        <v>1144</v>
      </c>
      <c r="B157" s="102"/>
      <c r="C157" s="103">
        <v>4</v>
      </c>
      <c r="D157" s="10" t="s">
        <v>1145</v>
      </c>
      <c r="E157" s="10" t="s">
        <v>808</v>
      </c>
      <c r="F157" s="100"/>
      <c r="G157" s="100"/>
      <c r="H157" s="100"/>
      <c r="I157" s="100"/>
    </row>
    <row r="158" spans="1:9" ht="33.75" customHeight="1">
      <c r="A158" s="106" t="s">
        <v>1146</v>
      </c>
      <c r="B158" s="107"/>
      <c r="C158" s="108">
        <v>4</v>
      </c>
      <c r="D158" s="109" t="s">
        <v>1147</v>
      </c>
      <c r="E158" s="109" t="s">
        <v>808</v>
      </c>
      <c r="F158" s="100"/>
      <c r="G158" s="100"/>
      <c r="H158" s="100"/>
      <c r="I158" s="100"/>
    </row>
    <row r="159" spans="1:9" ht="33.75" customHeight="1">
      <c r="A159" s="2" t="s">
        <v>1148</v>
      </c>
      <c r="B159" s="102"/>
      <c r="C159" s="103">
        <v>4</v>
      </c>
      <c r="D159" s="10" t="s">
        <v>1149</v>
      </c>
      <c r="E159" s="10" t="s">
        <v>808</v>
      </c>
      <c r="F159" s="100"/>
      <c r="G159" s="100"/>
      <c r="H159" s="100"/>
      <c r="I159" s="100"/>
    </row>
    <row r="160" spans="1:9" ht="33.75" customHeight="1">
      <c r="A160" s="106" t="s">
        <v>1150</v>
      </c>
      <c r="B160" s="107"/>
      <c r="C160" s="108">
        <v>4</v>
      </c>
      <c r="D160" s="109" t="s">
        <v>1151</v>
      </c>
      <c r="E160" s="109" t="s">
        <v>963</v>
      </c>
      <c r="F160" s="100"/>
      <c r="G160" s="100"/>
      <c r="H160" s="100"/>
      <c r="I160" s="100"/>
    </row>
    <row r="161" spans="1:9" ht="33.75" customHeight="1">
      <c r="A161" s="2" t="s">
        <v>1152</v>
      </c>
      <c r="B161" s="102"/>
      <c r="C161" s="103">
        <v>4</v>
      </c>
      <c r="D161" s="10" t="s">
        <v>1153</v>
      </c>
      <c r="E161" s="10" t="s">
        <v>808</v>
      </c>
      <c r="F161" s="100"/>
      <c r="G161" s="100"/>
      <c r="H161" s="100"/>
      <c r="I161" s="100"/>
    </row>
    <row r="162" spans="1:9" ht="33.75" customHeight="1">
      <c r="A162" s="106" t="s">
        <v>1154</v>
      </c>
      <c r="B162" s="107"/>
      <c r="C162" s="108">
        <v>4</v>
      </c>
      <c r="D162" s="109" t="s">
        <v>1155</v>
      </c>
      <c r="E162" s="109" t="s">
        <v>808</v>
      </c>
      <c r="F162" s="100"/>
      <c r="G162" s="100"/>
      <c r="H162" s="100"/>
      <c r="I162" s="100"/>
    </row>
    <row r="163" spans="1:9" ht="33.75" customHeight="1">
      <c r="A163" s="2" t="s">
        <v>1156</v>
      </c>
      <c r="B163" s="102"/>
      <c r="C163" s="103">
        <v>4</v>
      </c>
      <c r="D163" s="10" t="s">
        <v>1157</v>
      </c>
      <c r="E163" s="10" t="s">
        <v>963</v>
      </c>
      <c r="F163" s="100"/>
      <c r="G163" s="100"/>
      <c r="H163" s="100"/>
      <c r="I163" s="100"/>
    </row>
    <row r="164" spans="1:9" ht="33.75" customHeight="1">
      <c r="A164" s="106" t="s">
        <v>1158</v>
      </c>
      <c r="B164" s="107"/>
      <c r="C164" s="108">
        <v>4</v>
      </c>
      <c r="D164" s="109" t="s">
        <v>1159</v>
      </c>
      <c r="E164" s="109" t="s">
        <v>808</v>
      </c>
      <c r="F164" s="100"/>
      <c r="G164" s="100"/>
      <c r="H164" s="100"/>
      <c r="I164" s="100"/>
    </row>
    <row r="165" spans="1:9" ht="33.75" customHeight="1">
      <c r="A165" s="2" t="s">
        <v>1160</v>
      </c>
      <c r="B165" s="102"/>
      <c r="C165" s="103">
        <v>4</v>
      </c>
      <c r="D165" s="10" t="s">
        <v>1161</v>
      </c>
      <c r="E165" s="10" t="s">
        <v>808</v>
      </c>
      <c r="F165" s="100"/>
      <c r="G165" s="100"/>
      <c r="H165" s="100"/>
      <c r="I165" s="100"/>
    </row>
    <row r="166" spans="1:9" ht="33.75" customHeight="1">
      <c r="A166" s="106" t="s">
        <v>1162</v>
      </c>
      <c r="B166" s="107"/>
      <c r="C166" s="108">
        <v>4</v>
      </c>
      <c r="D166" s="109" t="s">
        <v>1163</v>
      </c>
      <c r="E166" s="109" t="s">
        <v>1164</v>
      </c>
      <c r="F166" s="100"/>
      <c r="G166" s="100"/>
      <c r="H166" s="100"/>
      <c r="I166" s="100"/>
    </row>
    <row r="167" spans="1:9" ht="33.75" customHeight="1">
      <c r="A167" s="2" t="s">
        <v>1165</v>
      </c>
      <c r="B167" s="102"/>
      <c r="C167" s="103">
        <v>4</v>
      </c>
      <c r="D167" s="10" t="s">
        <v>1166</v>
      </c>
      <c r="E167" s="10" t="s">
        <v>1167</v>
      </c>
      <c r="F167" s="100"/>
      <c r="G167" s="100"/>
      <c r="H167" s="100"/>
      <c r="I167" s="100"/>
    </row>
    <row r="168" spans="1:9" ht="33.75" customHeight="1">
      <c r="A168" s="106" t="s">
        <v>1168</v>
      </c>
      <c r="B168" s="107"/>
      <c r="C168" s="108">
        <v>4</v>
      </c>
      <c r="D168" s="109" t="s">
        <v>1169</v>
      </c>
      <c r="E168" s="109" t="s">
        <v>808</v>
      </c>
      <c r="F168" s="100"/>
      <c r="G168" s="100"/>
      <c r="H168" s="100"/>
      <c r="I168" s="100"/>
    </row>
    <row r="169" spans="1:9" ht="33.75" customHeight="1">
      <c r="A169" s="2" t="s">
        <v>1170</v>
      </c>
      <c r="B169" s="102"/>
      <c r="C169" s="103">
        <v>4</v>
      </c>
      <c r="D169" s="10" t="s">
        <v>1171</v>
      </c>
      <c r="E169" s="10" t="s">
        <v>808</v>
      </c>
      <c r="F169" s="100"/>
      <c r="G169" s="100"/>
      <c r="H169" s="100"/>
      <c r="I169" s="100"/>
    </row>
    <row r="170" spans="1:9" ht="33.75" customHeight="1">
      <c r="A170" s="106" t="s">
        <v>1172</v>
      </c>
      <c r="B170" s="107"/>
      <c r="C170" s="108">
        <v>4</v>
      </c>
      <c r="D170" s="109" t="s">
        <v>1173</v>
      </c>
      <c r="E170" s="109" t="s">
        <v>808</v>
      </c>
      <c r="F170" s="100"/>
      <c r="G170" s="100"/>
      <c r="H170" s="100"/>
      <c r="I170" s="100"/>
    </row>
    <row r="171" spans="1:9" ht="33.75" customHeight="1">
      <c r="A171" s="2" t="s">
        <v>1174</v>
      </c>
      <c r="B171" s="102"/>
      <c r="C171" s="103">
        <v>4</v>
      </c>
      <c r="D171" s="10" t="s">
        <v>1175</v>
      </c>
      <c r="E171" s="10" t="s">
        <v>963</v>
      </c>
      <c r="F171" s="100"/>
      <c r="G171" s="100"/>
      <c r="H171" s="100"/>
      <c r="I171" s="100"/>
    </row>
    <row r="172" spans="1:9" ht="33.75" customHeight="1">
      <c r="A172" s="106" t="s">
        <v>1176</v>
      </c>
      <c r="B172" s="107"/>
      <c r="C172" s="108">
        <v>4</v>
      </c>
      <c r="D172" s="109" t="s">
        <v>1177</v>
      </c>
      <c r="E172" s="109" t="s">
        <v>1178</v>
      </c>
      <c r="F172" s="100"/>
      <c r="G172" s="100"/>
      <c r="H172" s="100"/>
      <c r="I172" s="100"/>
    </row>
    <row r="173" spans="1:9" ht="33.75" customHeight="1">
      <c r="A173" s="2" t="s">
        <v>1179</v>
      </c>
      <c r="B173" s="102"/>
      <c r="C173" s="103">
        <v>4</v>
      </c>
      <c r="D173" s="10" t="s">
        <v>1180</v>
      </c>
      <c r="E173" s="10" t="s">
        <v>808</v>
      </c>
      <c r="F173" s="100"/>
      <c r="G173" s="100"/>
      <c r="H173" s="100"/>
      <c r="I173" s="100"/>
    </row>
    <row r="174" spans="1:9" ht="33.75" customHeight="1">
      <c r="A174" s="106" t="s">
        <v>1181</v>
      </c>
      <c r="B174" s="107"/>
      <c r="C174" s="108">
        <v>4</v>
      </c>
      <c r="D174" s="109" t="s">
        <v>1182</v>
      </c>
      <c r="E174" s="109" t="s">
        <v>808</v>
      </c>
      <c r="F174" s="100"/>
      <c r="G174" s="100"/>
      <c r="H174" s="100"/>
      <c r="I174" s="100"/>
    </row>
    <row r="175" spans="1:9" ht="33.75" customHeight="1">
      <c r="A175" s="2" t="s">
        <v>1183</v>
      </c>
      <c r="B175" s="102"/>
      <c r="C175" s="103">
        <v>4</v>
      </c>
      <c r="D175" s="10" t="s">
        <v>1184</v>
      </c>
      <c r="E175" s="10" t="s">
        <v>808</v>
      </c>
      <c r="F175" s="100"/>
      <c r="G175" s="100"/>
      <c r="H175" s="100"/>
      <c r="I175" s="100"/>
    </row>
    <row r="176" spans="1:9" ht="33.75" customHeight="1">
      <c r="A176" s="106" t="s">
        <v>1185</v>
      </c>
      <c r="B176" s="107"/>
      <c r="C176" s="108">
        <v>4</v>
      </c>
      <c r="D176" s="109" t="s">
        <v>1186</v>
      </c>
      <c r="E176" s="109" t="s">
        <v>963</v>
      </c>
      <c r="F176" s="100"/>
      <c r="G176" s="100"/>
      <c r="H176" s="100"/>
      <c r="I176" s="100"/>
    </row>
    <row r="177" spans="1:9" ht="33.75" customHeight="1">
      <c r="A177" s="2" t="s">
        <v>1187</v>
      </c>
      <c r="B177" s="102"/>
      <c r="C177" s="103">
        <v>4</v>
      </c>
      <c r="D177" s="10" t="s">
        <v>1188</v>
      </c>
      <c r="E177" s="10" t="s">
        <v>1189</v>
      </c>
      <c r="F177" s="100"/>
      <c r="G177" s="100"/>
      <c r="H177" s="100"/>
      <c r="I177" s="100"/>
    </row>
    <row r="178" spans="1:9" ht="33.75" customHeight="1">
      <c r="A178" s="106" t="s">
        <v>1190</v>
      </c>
      <c r="B178" s="107"/>
      <c r="C178" s="108">
        <v>4</v>
      </c>
      <c r="D178" s="109" t="s">
        <v>1191</v>
      </c>
      <c r="E178" s="109" t="s">
        <v>1192</v>
      </c>
      <c r="F178" s="100"/>
      <c r="G178" s="100"/>
      <c r="H178" s="100"/>
      <c r="I178" s="100"/>
    </row>
    <row r="179" spans="1:9" ht="33.75" customHeight="1">
      <c r="A179" s="2" t="s">
        <v>1193</v>
      </c>
      <c r="B179" s="102"/>
      <c r="C179" s="103">
        <v>4</v>
      </c>
      <c r="D179" s="10" t="s">
        <v>1194</v>
      </c>
      <c r="E179" s="10" t="s">
        <v>1195</v>
      </c>
      <c r="F179" s="100"/>
      <c r="G179" s="100"/>
      <c r="H179" s="100"/>
      <c r="I179" s="100"/>
    </row>
    <row r="180" spans="1:9" ht="33.75" customHeight="1">
      <c r="A180" s="106" t="s">
        <v>1196</v>
      </c>
      <c r="B180" s="107"/>
      <c r="C180" s="108">
        <v>4</v>
      </c>
      <c r="D180" s="109" t="s">
        <v>1197</v>
      </c>
      <c r="E180" s="109" t="s">
        <v>1198</v>
      </c>
      <c r="F180" s="100"/>
      <c r="G180" s="100"/>
      <c r="H180" s="100"/>
      <c r="I180" s="100"/>
    </row>
    <row r="181" spans="1:9" ht="33.75" customHeight="1">
      <c r="A181" s="2" t="s">
        <v>1199</v>
      </c>
      <c r="B181" s="114"/>
      <c r="C181" s="103">
        <v>4</v>
      </c>
      <c r="D181" s="10" t="s">
        <v>1200</v>
      </c>
      <c r="E181" s="10" t="s">
        <v>808</v>
      </c>
      <c r="F181" s="100"/>
      <c r="G181" s="100"/>
      <c r="H181" s="100"/>
      <c r="I181" s="100"/>
    </row>
    <row r="182" spans="1:9" ht="33.75" customHeight="1">
      <c r="A182" s="106" t="s">
        <v>1201</v>
      </c>
      <c r="B182" s="107"/>
      <c r="C182" s="108">
        <v>4</v>
      </c>
      <c r="D182" s="109" t="s">
        <v>1202</v>
      </c>
      <c r="E182" s="109" t="s">
        <v>808</v>
      </c>
      <c r="F182" s="100"/>
      <c r="G182" s="100"/>
      <c r="H182" s="100"/>
      <c r="I182" s="100"/>
    </row>
    <row r="183" spans="1:9" ht="33.75" customHeight="1">
      <c r="A183" s="2" t="s">
        <v>1203</v>
      </c>
      <c r="B183" s="102"/>
      <c r="C183" s="103">
        <v>4</v>
      </c>
      <c r="D183" s="10" t="s">
        <v>1204</v>
      </c>
      <c r="E183" s="10" t="s">
        <v>808</v>
      </c>
      <c r="F183" s="100"/>
      <c r="G183" s="100"/>
      <c r="H183" s="100"/>
      <c r="I183" s="100"/>
    </row>
    <row r="184" spans="1:9" ht="33.75" customHeight="1">
      <c r="A184" s="106" t="s">
        <v>1205</v>
      </c>
      <c r="B184" s="107"/>
      <c r="C184" s="108">
        <v>4</v>
      </c>
      <c r="D184" s="109" t="s">
        <v>1206</v>
      </c>
      <c r="E184" s="109" t="s">
        <v>808</v>
      </c>
      <c r="F184" s="100"/>
      <c r="G184" s="100"/>
      <c r="H184" s="100"/>
      <c r="I184" s="100"/>
    </row>
    <row r="185" spans="1:9" ht="33.75" customHeight="1">
      <c r="A185" s="2" t="s">
        <v>1207</v>
      </c>
      <c r="B185" s="102"/>
      <c r="C185" s="103">
        <v>4</v>
      </c>
      <c r="D185" s="10" t="s">
        <v>1208</v>
      </c>
      <c r="E185" s="10" t="s">
        <v>808</v>
      </c>
      <c r="F185" s="100"/>
      <c r="G185" s="100"/>
      <c r="H185" s="100"/>
      <c r="I185" s="100"/>
    </row>
    <row r="186" spans="1:9" ht="33.75" customHeight="1">
      <c r="A186" s="106" t="s">
        <v>1209</v>
      </c>
      <c r="B186" s="107"/>
      <c r="C186" s="108">
        <v>4</v>
      </c>
      <c r="D186" s="109" t="s">
        <v>1210</v>
      </c>
      <c r="E186" s="109" t="s">
        <v>808</v>
      </c>
      <c r="F186" s="100"/>
      <c r="G186" s="100"/>
      <c r="H186" s="100"/>
      <c r="I186" s="100"/>
    </row>
    <row r="187" spans="1:9" ht="33.75" customHeight="1">
      <c r="A187" s="2" t="s">
        <v>1211</v>
      </c>
      <c r="B187" s="102"/>
      <c r="C187" s="103">
        <v>4</v>
      </c>
      <c r="D187" s="10" t="s">
        <v>1212</v>
      </c>
      <c r="E187" s="117" t="s">
        <v>1213</v>
      </c>
      <c r="F187" s="100"/>
      <c r="G187" s="100"/>
      <c r="H187" s="100"/>
      <c r="I187" s="100"/>
    </row>
    <row r="188" spans="1:9" ht="33.75" customHeight="1">
      <c r="A188" s="106" t="s">
        <v>1214</v>
      </c>
      <c r="B188" s="107"/>
      <c r="C188" s="108">
        <v>4</v>
      </c>
      <c r="D188" s="109" t="s">
        <v>1215</v>
      </c>
      <c r="E188" s="109" t="s">
        <v>1216</v>
      </c>
      <c r="F188" s="100"/>
      <c r="G188" s="100"/>
      <c r="H188" s="100"/>
      <c r="I188" s="100"/>
    </row>
    <row r="189" spans="1:9" ht="33.75" customHeight="1">
      <c r="A189" s="2" t="s">
        <v>1217</v>
      </c>
      <c r="B189" s="102"/>
      <c r="C189" s="103">
        <v>5</v>
      </c>
      <c r="D189" s="10" t="s">
        <v>1218</v>
      </c>
      <c r="E189" s="10" t="s">
        <v>808</v>
      </c>
      <c r="F189" s="100"/>
      <c r="G189" s="100"/>
      <c r="H189" s="100"/>
      <c r="I189" s="100"/>
    </row>
    <row r="190" spans="1:9" ht="33.75" customHeight="1">
      <c r="A190" s="106" t="s">
        <v>1219</v>
      </c>
      <c r="B190" s="107"/>
      <c r="C190" s="108">
        <v>5</v>
      </c>
      <c r="D190" s="109" t="s">
        <v>1220</v>
      </c>
      <c r="E190" s="109" t="s">
        <v>1221</v>
      </c>
      <c r="F190" s="100"/>
      <c r="G190" s="100"/>
      <c r="H190" s="100"/>
      <c r="I190" s="100"/>
    </row>
    <row r="191" spans="1:9" ht="33.75" customHeight="1">
      <c r="A191" s="2" t="s">
        <v>1222</v>
      </c>
      <c r="B191" s="102"/>
      <c r="C191" s="103">
        <v>5</v>
      </c>
      <c r="D191" s="10" t="s">
        <v>1223</v>
      </c>
      <c r="E191" s="10" t="s">
        <v>963</v>
      </c>
      <c r="F191" s="100"/>
      <c r="G191" s="100"/>
      <c r="H191" s="100"/>
      <c r="I191" s="100"/>
    </row>
    <row r="192" spans="1:9" ht="33.75" customHeight="1">
      <c r="A192" s="106" t="s">
        <v>1224</v>
      </c>
      <c r="B192" s="107"/>
      <c r="C192" s="108">
        <v>5</v>
      </c>
      <c r="D192" s="109" t="s">
        <v>1225</v>
      </c>
      <c r="E192" s="109" t="s">
        <v>808</v>
      </c>
      <c r="F192" s="100"/>
      <c r="G192" s="100"/>
      <c r="H192" s="100"/>
      <c r="I192" s="100"/>
    </row>
    <row r="193" spans="1:9" ht="33.75" customHeight="1">
      <c r="A193" s="2" t="s">
        <v>1226</v>
      </c>
      <c r="B193" s="102"/>
      <c r="C193" s="103">
        <v>5</v>
      </c>
      <c r="D193" s="10" t="s">
        <v>1227</v>
      </c>
      <c r="E193" s="10" t="s">
        <v>808</v>
      </c>
      <c r="F193" s="100"/>
      <c r="G193" s="100"/>
      <c r="H193" s="100"/>
      <c r="I193" s="100"/>
    </row>
    <row r="194" spans="1:9" ht="33.75" customHeight="1">
      <c r="A194" s="106" t="s">
        <v>1228</v>
      </c>
      <c r="B194" s="107"/>
      <c r="C194" s="108">
        <v>5</v>
      </c>
      <c r="D194" s="109" t="s">
        <v>1229</v>
      </c>
      <c r="E194" s="109" t="s">
        <v>963</v>
      </c>
      <c r="F194" s="100"/>
      <c r="G194" s="100"/>
      <c r="H194" s="100"/>
      <c r="I194" s="100"/>
    </row>
    <row r="195" spans="1:9" ht="33.75" customHeight="1">
      <c r="A195" s="2" t="s">
        <v>1230</v>
      </c>
      <c r="B195" s="102"/>
      <c r="C195" s="103">
        <v>5</v>
      </c>
      <c r="D195" s="10" t="s">
        <v>1231</v>
      </c>
      <c r="E195" s="10" t="s">
        <v>1232</v>
      </c>
      <c r="F195" s="100"/>
      <c r="G195" s="100"/>
      <c r="H195" s="100"/>
      <c r="I195" s="100"/>
    </row>
    <row r="196" spans="1:9" ht="33.75" customHeight="1">
      <c r="A196" s="106" t="s">
        <v>1233</v>
      </c>
      <c r="B196" s="107"/>
      <c r="C196" s="108">
        <v>5</v>
      </c>
      <c r="D196" s="109" t="s">
        <v>1234</v>
      </c>
      <c r="E196" s="109" t="s">
        <v>808</v>
      </c>
      <c r="F196" s="100"/>
      <c r="G196" s="100"/>
      <c r="H196" s="100"/>
      <c r="I196" s="100"/>
    </row>
    <row r="197" spans="1:9" ht="33.75" customHeight="1">
      <c r="A197" s="2" t="s">
        <v>1235</v>
      </c>
      <c r="B197" s="102"/>
      <c r="C197" s="103">
        <v>5</v>
      </c>
      <c r="D197" s="10" t="s">
        <v>1236</v>
      </c>
      <c r="E197" s="10" t="s">
        <v>808</v>
      </c>
      <c r="F197" s="100"/>
      <c r="G197" s="100"/>
      <c r="H197" s="100"/>
      <c r="I197" s="100"/>
    </row>
    <row r="198" spans="1:9" ht="33.75" customHeight="1">
      <c r="A198" s="106" t="s">
        <v>1237</v>
      </c>
      <c r="B198" s="107"/>
      <c r="C198" s="108">
        <v>5</v>
      </c>
      <c r="D198" s="109" t="s">
        <v>1238</v>
      </c>
      <c r="E198" s="109" t="s">
        <v>808</v>
      </c>
      <c r="F198" s="100"/>
      <c r="G198" s="100"/>
      <c r="H198" s="100"/>
      <c r="I198" s="100"/>
    </row>
    <row r="199" spans="1:9" ht="33.75" customHeight="1">
      <c r="A199" s="2" t="s">
        <v>1239</v>
      </c>
      <c r="B199" s="102"/>
      <c r="C199" s="103">
        <v>5</v>
      </c>
      <c r="D199" s="10" t="s">
        <v>1240</v>
      </c>
      <c r="E199" s="10" t="s">
        <v>1241</v>
      </c>
      <c r="F199" s="100"/>
      <c r="G199" s="100"/>
      <c r="H199" s="100"/>
      <c r="I199" s="100"/>
    </row>
    <row r="200" spans="1:9" ht="33.75" customHeight="1">
      <c r="A200" s="106" t="s">
        <v>1242</v>
      </c>
      <c r="B200" s="107"/>
      <c r="C200" s="108">
        <v>5</v>
      </c>
      <c r="D200" s="109" t="s">
        <v>1243</v>
      </c>
      <c r="E200" s="109" t="s">
        <v>808</v>
      </c>
      <c r="F200" s="100"/>
      <c r="G200" s="100"/>
      <c r="H200" s="100"/>
      <c r="I200" s="100"/>
    </row>
    <row r="201" spans="1:9" ht="33.75" customHeight="1">
      <c r="A201" s="2" t="s">
        <v>1244</v>
      </c>
      <c r="B201" s="102"/>
      <c r="C201" s="103">
        <v>5</v>
      </c>
      <c r="D201" s="10" t="s">
        <v>1245</v>
      </c>
      <c r="E201" s="10" t="s">
        <v>808</v>
      </c>
      <c r="F201" s="100"/>
      <c r="G201" s="100"/>
      <c r="H201" s="100"/>
      <c r="I201" s="100"/>
    </row>
    <row r="202" spans="1:9" ht="33.75" customHeight="1">
      <c r="A202" s="106" t="s">
        <v>1246</v>
      </c>
      <c r="B202" s="107"/>
      <c r="C202" s="108">
        <v>5</v>
      </c>
      <c r="D202" s="109" t="s">
        <v>1247</v>
      </c>
      <c r="E202" s="109" t="s">
        <v>808</v>
      </c>
      <c r="F202" s="100"/>
      <c r="G202" s="100"/>
      <c r="H202" s="100"/>
      <c r="I202" s="100"/>
    </row>
    <row r="203" spans="1:9" ht="33.75" customHeight="1">
      <c r="A203" s="2" t="s">
        <v>1248</v>
      </c>
      <c r="B203" s="102"/>
      <c r="C203" s="103">
        <v>5</v>
      </c>
      <c r="D203" s="116" t="s">
        <v>1249</v>
      </c>
      <c r="E203" s="10" t="s">
        <v>808</v>
      </c>
      <c r="F203" s="100"/>
      <c r="G203" s="100"/>
      <c r="H203" s="100"/>
      <c r="I203" s="100"/>
    </row>
    <row r="204" spans="1:9" ht="33.75" customHeight="1">
      <c r="A204" s="106" t="s">
        <v>1250</v>
      </c>
      <c r="B204" s="107"/>
      <c r="C204" s="108">
        <v>5</v>
      </c>
      <c r="D204" s="109" t="s">
        <v>1251</v>
      </c>
      <c r="E204" s="109" t="s">
        <v>808</v>
      </c>
      <c r="F204" s="100"/>
      <c r="G204" s="100"/>
      <c r="H204" s="100"/>
      <c r="I204" s="100"/>
    </row>
    <row r="205" spans="1:9" ht="33.75" customHeight="1">
      <c r="A205" s="2" t="s">
        <v>1252</v>
      </c>
      <c r="B205" s="102"/>
      <c r="C205" s="103">
        <v>5</v>
      </c>
      <c r="D205" s="10" t="s">
        <v>1253</v>
      </c>
      <c r="E205" s="10" t="s">
        <v>808</v>
      </c>
      <c r="F205" s="100"/>
      <c r="G205" s="100"/>
      <c r="H205" s="100"/>
      <c r="I205" s="100"/>
    </row>
    <row r="206" spans="1:9" ht="33.75" customHeight="1">
      <c r="A206" s="106" t="s">
        <v>1254</v>
      </c>
      <c r="B206" s="107"/>
      <c r="C206" s="108">
        <v>5</v>
      </c>
      <c r="D206" s="109" t="s">
        <v>1255</v>
      </c>
      <c r="E206" s="109" t="s">
        <v>963</v>
      </c>
      <c r="F206" s="100"/>
      <c r="G206" s="100"/>
      <c r="H206" s="100"/>
      <c r="I206" s="100"/>
    </row>
    <row r="207" spans="1:9" ht="33.75" customHeight="1">
      <c r="A207" s="2" t="s">
        <v>1256</v>
      </c>
      <c r="B207" s="102"/>
      <c r="C207" s="103">
        <v>5</v>
      </c>
      <c r="D207" s="10" t="s">
        <v>1257</v>
      </c>
      <c r="E207" s="10" t="s">
        <v>808</v>
      </c>
      <c r="F207" s="100"/>
      <c r="G207" s="100"/>
      <c r="H207" s="100"/>
      <c r="I207" s="100"/>
    </row>
    <row r="208" spans="1:9" ht="33.75" customHeight="1">
      <c r="A208" s="106" t="s">
        <v>1258</v>
      </c>
      <c r="B208" s="107"/>
      <c r="C208" s="108">
        <v>5</v>
      </c>
      <c r="D208" s="109" t="s">
        <v>1259</v>
      </c>
      <c r="E208" s="109" t="s">
        <v>1260</v>
      </c>
      <c r="F208" s="100"/>
      <c r="G208" s="100"/>
      <c r="H208" s="100"/>
      <c r="I208" s="100"/>
    </row>
    <row r="209" spans="1:9" ht="33.75" customHeight="1">
      <c r="A209" s="2" t="s">
        <v>1261</v>
      </c>
      <c r="B209" s="102"/>
      <c r="C209" s="103">
        <v>5</v>
      </c>
      <c r="D209" s="10" t="s">
        <v>1262</v>
      </c>
      <c r="E209" s="10" t="s">
        <v>808</v>
      </c>
      <c r="F209" s="100"/>
      <c r="G209" s="100"/>
      <c r="H209" s="100"/>
      <c r="I209" s="100"/>
    </row>
    <row r="210" spans="1:9" ht="33.75" customHeight="1">
      <c r="A210" s="106" t="s">
        <v>1263</v>
      </c>
      <c r="B210" s="107"/>
      <c r="C210" s="108">
        <v>5</v>
      </c>
      <c r="D210" s="112" t="s">
        <v>1264</v>
      </c>
      <c r="E210" s="109" t="s">
        <v>808</v>
      </c>
      <c r="F210" s="100"/>
      <c r="G210" s="100"/>
      <c r="H210" s="100"/>
      <c r="I210" s="100"/>
    </row>
    <row r="211" spans="1:9" ht="33.75" customHeight="1">
      <c r="A211" s="2" t="s">
        <v>1265</v>
      </c>
      <c r="B211" s="102"/>
      <c r="C211" s="103">
        <v>5</v>
      </c>
      <c r="D211" s="10" t="s">
        <v>1266</v>
      </c>
      <c r="E211" s="10" t="s">
        <v>1267</v>
      </c>
      <c r="F211" s="100"/>
      <c r="G211" s="100"/>
      <c r="H211" s="100"/>
      <c r="I211" s="100"/>
    </row>
    <row r="212" spans="1:9" ht="33.75" customHeight="1">
      <c r="A212" s="106" t="s">
        <v>1268</v>
      </c>
      <c r="B212" s="107"/>
      <c r="C212" s="108">
        <v>5</v>
      </c>
      <c r="D212" s="112" t="s">
        <v>1269</v>
      </c>
      <c r="E212" s="109" t="s">
        <v>1270</v>
      </c>
      <c r="F212" s="100"/>
      <c r="G212" s="100"/>
      <c r="H212" s="100"/>
      <c r="I212" s="100"/>
    </row>
    <row r="213" spans="1:9" ht="33.75" customHeight="1">
      <c r="A213" s="2" t="s">
        <v>1271</v>
      </c>
      <c r="B213" s="102"/>
      <c r="C213" s="103">
        <v>5</v>
      </c>
      <c r="D213" s="116" t="s">
        <v>1272</v>
      </c>
      <c r="E213" s="10" t="s">
        <v>808</v>
      </c>
      <c r="F213" s="100"/>
      <c r="G213" s="100"/>
      <c r="H213" s="100"/>
      <c r="I213" s="100"/>
    </row>
    <row r="214" spans="1:9" ht="33.75" customHeight="1">
      <c r="A214" s="106" t="s">
        <v>1273</v>
      </c>
      <c r="B214" s="107"/>
      <c r="C214" s="108">
        <v>5</v>
      </c>
      <c r="D214" s="109" t="s">
        <v>1274</v>
      </c>
      <c r="E214" s="109" t="s">
        <v>808</v>
      </c>
      <c r="F214" s="100"/>
      <c r="G214" s="100"/>
      <c r="H214" s="100"/>
      <c r="I214" s="100"/>
    </row>
    <row r="215" spans="1:9" ht="33.75" customHeight="1">
      <c r="A215" s="2" t="s">
        <v>1275</v>
      </c>
      <c r="B215" s="102"/>
      <c r="C215" s="103">
        <v>5</v>
      </c>
      <c r="D215" s="10" t="s">
        <v>1276</v>
      </c>
      <c r="E215" s="10" t="s">
        <v>808</v>
      </c>
      <c r="F215" s="100"/>
      <c r="G215" s="100"/>
      <c r="H215" s="100"/>
      <c r="I215" s="100"/>
    </row>
    <row r="216" spans="1:9" ht="33.75" customHeight="1">
      <c r="A216" s="106" t="s">
        <v>1277</v>
      </c>
      <c r="B216" s="107"/>
      <c r="C216" s="108">
        <v>5</v>
      </c>
      <c r="D216" s="109" t="s">
        <v>1278</v>
      </c>
      <c r="E216" s="109" t="s">
        <v>808</v>
      </c>
      <c r="F216" s="100"/>
      <c r="G216" s="100"/>
      <c r="H216" s="100"/>
      <c r="I216" s="100"/>
    </row>
    <row r="217" spans="1:9" ht="33.75" customHeight="1">
      <c r="A217" s="2" t="s">
        <v>1279</v>
      </c>
      <c r="B217" s="102"/>
      <c r="C217" s="103">
        <v>5</v>
      </c>
      <c r="D217" s="10" t="s">
        <v>1280</v>
      </c>
      <c r="E217" s="10" t="s">
        <v>808</v>
      </c>
      <c r="F217" s="100"/>
      <c r="G217" s="100"/>
      <c r="H217" s="100"/>
      <c r="I217" s="100"/>
    </row>
    <row r="218" spans="1:9" ht="33.75" customHeight="1">
      <c r="A218" s="106" t="s">
        <v>1281</v>
      </c>
      <c r="B218" s="107"/>
      <c r="C218" s="108">
        <v>5</v>
      </c>
      <c r="D218" s="109" t="s">
        <v>1282</v>
      </c>
      <c r="E218" s="109" t="s">
        <v>808</v>
      </c>
      <c r="F218" s="100"/>
      <c r="G218" s="100"/>
      <c r="H218" s="100"/>
      <c r="I218" s="100"/>
    </row>
    <row r="219" spans="1:9" ht="33.75" customHeight="1">
      <c r="A219" s="2" t="s">
        <v>1283</v>
      </c>
      <c r="B219" s="102"/>
      <c r="C219" s="103">
        <v>5</v>
      </c>
      <c r="D219" s="10" t="s">
        <v>1284</v>
      </c>
      <c r="E219" s="10" t="s">
        <v>808</v>
      </c>
      <c r="F219" s="100"/>
      <c r="G219" s="100"/>
      <c r="H219" s="100"/>
      <c r="I219" s="100"/>
    </row>
    <row r="220" spans="1:9" ht="33.75" customHeight="1">
      <c r="A220" s="106" t="s">
        <v>1285</v>
      </c>
      <c r="B220" s="107"/>
      <c r="C220" s="108">
        <v>5</v>
      </c>
      <c r="D220" s="109" t="s">
        <v>1286</v>
      </c>
      <c r="E220" s="109" t="s">
        <v>808</v>
      </c>
      <c r="F220" s="100"/>
      <c r="G220" s="100"/>
      <c r="H220" s="100"/>
      <c r="I220" s="100"/>
    </row>
    <row r="221" spans="1:9" ht="33.75" customHeight="1">
      <c r="A221" s="2" t="s">
        <v>1287</v>
      </c>
      <c r="B221" s="102"/>
      <c r="C221" s="103">
        <v>5</v>
      </c>
      <c r="D221" s="10" t="s">
        <v>1288</v>
      </c>
      <c r="E221" s="10" t="s">
        <v>963</v>
      </c>
      <c r="F221" s="100"/>
      <c r="G221" s="100"/>
      <c r="H221" s="100"/>
      <c r="I221" s="100"/>
    </row>
    <row r="222" spans="1:9" ht="33.75" customHeight="1">
      <c r="A222" s="106" t="s">
        <v>1289</v>
      </c>
      <c r="B222" s="107"/>
      <c r="C222" s="108">
        <v>5</v>
      </c>
      <c r="D222" s="109" t="s">
        <v>1290</v>
      </c>
      <c r="E222" s="109" t="s">
        <v>808</v>
      </c>
      <c r="F222" s="100"/>
      <c r="G222" s="100"/>
      <c r="H222" s="100"/>
      <c r="I222" s="100"/>
    </row>
    <row r="223" spans="1:9" ht="33.75" customHeight="1">
      <c r="A223" s="2" t="s">
        <v>1291</v>
      </c>
      <c r="B223" s="102"/>
      <c r="C223" s="103">
        <v>5</v>
      </c>
      <c r="D223" s="10" t="s">
        <v>1292</v>
      </c>
      <c r="E223" s="10" t="s">
        <v>808</v>
      </c>
      <c r="F223" s="100"/>
      <c r="G223" s="100"/>
      <c r="H223" s="100"/>
      <c r="I223" s="100"/>
    </row>
    <row r="224" spans="1:9" ht="33.75" customHeight="1">
      <c r="A224" s="106" t="s">
        <v>1293</v>
      </c>
      <c r="B224" s="107"/>
      <c r="C224" s="108">
        <v>5</v>
      </c>
      <c r="D224" s="109" t="s">
        <v>1294</v>
      </c>
      <c r="E224" s="109" t="s">
        <v>1295</v>
      </c>
      <c r="F224" s="100"/>
      <c r="G224" s="100"/>
      <c r="H224" s="100"/>
      <c r="I224" s="100"/>
    </row>
    <row r="225" spans="1:9" ht="33.75" customHeight="1">
      <c r="A225" s="2" t="s">
        <v>1296</v>
      </c>
      <c r="B225" s="102"/>
      <c r="C225" s="103">
        <v>5</v>
      </c>
      <c r="D225" s="10" t="s">
        <v>1297</v>
      </c>
      <c r="E225" s="10" t="s">
        <v>1298</v>
      </c>
      <c r="F225" s="100"/>
      <c r="G225" s="100"/>
      <c r="H225" s="100"/>
      <c r="I225" s="100"/>
    </row>
    <row r="226" spans="1:9" ht="33.75" customHeight="1">
      <c r="A226" s="106" t="s">
        <v>1299</v>
      </c>
      <c r="B226" s="107"/>
      <c r="C226" s="108">
        <v>5</v>
      </c>
      <c r="D226" s="112" t="s">
        <v>1300</v>
      </c>
      <c r="E226" s="109" t="s">
        <v>808</v>
      </c>
      <c r="F226" s="100"/>
      <c r="G226" s="100"/>
      <c r="H226" s="100"/>
      <c r="I226" s="100"/>
    </row>
    <row r="227" spans="1:9" ht="33.75" customHeight="1">
      <c r="A227" s="2" t="s">
        <v>1301</v>
      </c>
      <c r="B227" s="102"/>
      <c r="C227" s="103">
        <v>6</v>
      </c>
      <c r="D227" s="10" t="s">
        <v>1302</v>
      </c>
      <c r="E227" s="10" t="s">
        <v>808</v>
      </c>
      <c r="F227" s="100"/>
      <c r="G227" s="100"/>
      <c r="H227" s="100"/>
      <c r="I227" s="100"/>
    </row>
    <row r="228" spans="1:9" ht="33.75" customHeight="1">
      <c r="A228" s="106" t="s">
        <v>1303</v>
      </c>
      <c r="B228" s="107"/>
      <c r="C228" s="108">
        <v>6</v>
      </c>
      <c r="D228" s="109" t="s">
        <v>1304</v>
      </c>
      <c r="E228" s="109" t="s">
        <v>808</v>
      </c>
      <c r="F228" s="100"/>
      <c r="G228" s="100"/>
      <c r="H228" s="100"/>
      <c r="I228" s="100"/>
    </row>
    <row r="229" spans="1:9" ht="33.75" customHeight="1">
      <c r="A229" s="2" t="s">
        <v>1305</v>
      </c>
      <c r="B229" s="102"/>
      <c r="C229" s="103">
        <v>6</v>
      </c>
      <c r="D229" s="10" t="s">
        <v>1306</v>
      </c>
      <c r="E229" s="10" t="s">
        <v>1307</v>
      </c>
      <c r="F229" s="100"/>
      <c r="G229" s="100"/>
      <c r="H229" s="100"/>
      <c r="I229" s="100"/>
    </row>
    <row r="230" spans="1:9" ht="33.75" customHeight="1">
      <c r="A230" s="106" t="s">
        <v>1308</v>
      </c>
      <c r="B230" s="107"/>
      <c r="C230" s="108">
        <v>6</v>
      </c>
      <c r="D230" s="109" t="s">
        <v>1309</v>
      </c>
      <c r="E230" s="109" t="s">
        <v>808</v>
      </c>
      <c r="F230" s="100"/>
      <c r="G230" s="100"/>
      <c r="H230" s="100"/>
      <c r="I230" s="100"/>
    </row>
    <row r="231" spans="1:9" ht="33.75" customHeight="1">
      <c r="A231" s="2" t="s">
        <v>1310</v>
      </c>
      <c r="B231" s="102"/>
      <c r="C231" s="103">
        <v>6</v>
      </c>
      <c r="D231" s="10" t="s">
        <v>1311</v>
      </c>
      <c r="E231" s="10" t="s">
        <v>808</v>
      </c>
      <c r="F231" s="100"/>
      <c r="G231" s="100"/>
      <c r="H231" s="100"/>
      <c r="I231" s="100"/>
    </row>
    <row r="232" spans="1:9" ht="33.75" customHeight="1">
      <c r="A232" s="106" t="s">
        <v>1312</v>
      </c>
      <c r="B232" s="107"/>
      <c r="C232" s="108">
        <v>6</v>
      </c>
      <c r="D232" s="109" t="s">
        <v>1313</v>
      </c>
      <c r="E232" s="109" t="s">
        <v>1314</v>
      </c>
      <c r="F232" s="100"/>
      <c r="G232" s="100"/>
      <c r="H232" s="100"/>
      <c r="I232" s="100"/>
    </row>
    <row r="233" spans="1:9" ht="33.75" customHeight="1">
      <c r="A233" s="2" t="s">
        <v>1315</v>
      </c>
      <c r="B233" s="102"/>
      <c r="C233" s="103">
        <v>6</v>
      </c>
      <c r="D233" s="10" t="s">
        <v>1316</v>
      </c>
      <c r="E233" s="10" t="s">
        <v>808</v>
      </c>
      <c r="F233" s="100"/>
      <c r="G233" s="100"/>
      <c r="H233" s="100"/>
      <c r="I233" s="100"/>
    </row>
    <row r="234" spans="1:9" ht="33.75" customHeight="1">
      <c r="A234" s="106" t="s">
        <v>1317</v>
      </c>
      <c r="B234" s="107"/>
      <c r="C234" s="108">
        <v>6</v>
      </c>
      <c r="D234" s="109" t="s">
        <v>1318</v>
      </c>
      <c r="E234" s="109" t="s">
        <v>808</v>
      </c>
      <c r="F234" s="100"/>
      <c r="G234" s="100"/>
      <c r="H234" s="100"/>
      <c r="I234" s="100"/>
    </row>
    <row r="235" spans="1:9" ht="33.75" customHeight="1">
      <c r="A235" s="2" t="s">
        <v>1319</v>
      </c>
      <c r="B235" s="102"/>
      <c r="C235" s="103">
        <v>6</v>
      </c>
      <c r="D235" s="10" t="s">
        <v>1320</v>
      </c>
      <c r="E235" s="10" t="s">
        <v>1321</v>
      </c>
      <c r="F235" s="100"/>
      <c r="G235" s="100"/>
      <c r="H235" s="100"/>
      <c r="I235" s="100"/>
    </row>
    <row r="236" spans="1:9" ht="33.75" customHeight="1">
      <c r="A236" s="106" t="s">
        <v>1322</v>
      </c>
      <c r="B236" s="107"/>
      <c r="C236" s="108">
        <v>6</v>
      </c>
      <c r="D236" s="109" t="s">
        <v>1323</v>
      </c>
      <c r="E236" s="109" t="s">
        <v>808</v>
      </c>
      <c r="F236" s="100"/>
      <c r="G236" s="100"/>
      <c r="H236" s="100"/>
      <c r="I236" s="100"/>
    </row>
    <row r="237" spans="1:9" ht="33.75" customHeight="1">
      <c r="A237" s="2" t="s">
        <v>1324</v>
      </c>
      <c r="B237" s="102"/>
      <c r="C237" s="103">
        <v>6</v>
      </c>
      <c r="D237" s="10" t="s">
        <v>1325</v>
      </c>
      <c r="E237" s="10" t="s">
        <v>808</v>
      </c>
      <c r="F237" s="100"/>
      <c r="G237" s="100"/>
      <c r="H237" s="100"/>
      <c r="I237" s="100"/>
    </row>
    <row r="238" spans="1:9" ht="33.75" customHeight="1">
      <c r="A238" s="106" t="s">
        <v>1326</v>
      </c>
      <c r="B238" s="107"/>
      <c r="C238" s="108">
        <v>6</v>
      </c>
      <c r="D238" s="109" t="s">
        <v>1327</v>
      </c>
      <c r="E238" s="109" t="s">
        <v>808</v>
      </c>
      <c r="F238" s="100"/>
      <c r="G238" s="100"/>
      <c r="H238" s="100"/>
      <c r="I238" s="100"/>
    </row>
    <row r="239" spans="1:9" ht="33.75" customHeight="1">
      <c r="A239" s="2" t="s">
        <v>1328</v>
      </c>
      <c r="B239" s="102"/>
      <c r="C239" s="103">
        <v>6</v>
      </c>
      <c r="D239" s="10" t="s">
        <v>1329</v>
      </c>
      <c r="E239" s="10" t="s">
        <v>1330</v>
      </c>
      <c r="F239" s="100"/>
      <c r="G239" s="100"/>
      <c r="H239" s="100"/>
      <c r="I239" s="100"/>
    </row>
    <row r="240" spans="1:9" ht="33.75" customHeight="1">
      <c r="A240" s="106" t="s">
        <v>1331</v>
      </c>
      <c r="B240" s="107"/>
      <c r="C240" s="108">
        <v>6</v>
      </c>
      <c r="D240" s="109" t="s">
        <v>1332</v>
      </c>
      <c r="E240" s="109" t="s">
        <v>808</v>
      </c>
      <c r="F240" s="100"/>
      <c r="G240" s="100"/>
      <c r="H240" s="100"/>
      <c r="I240" s="100"/>
    </row>
    <row r="241" spans="1:9" ht="33.75" customHeight="1">
      <c r="A241" s="2" t="s">
        <v>1333</v>
      </c>
      <c r="B241" s="102"/>
      <c r="C241" s="103">
        <v>6</v>
      </c>
      <c r="D241" s="10" t="s">
        <v>1334</v>
      </c>
      <c r="E241" s="10" t="s">
        <v>808</v>
      </c>
      <c r="F241" s="100"/>
      <c r="G241" s="100"/>
      <c r="H241" s="100"/>
      <c r="I241" s="100"/>
    </row>
    <row r="242" spans="1:9">
      <c r="A242" s="106" t="s">
        <v>1335</v>
      </c>
      <c r="B242" s="107"/>
      <c r="C242" s="108">
        <v>6</v>
      </c>
      <c r="D242" s="109" t="s">
        <v>1336</v>
      </c>
      <c r="E242" s="109" t="s">
        <v>963</v>
      </c>
      <c r="F242" s="100"/>
      <c r="G242" s="100"/>
      <c r="H242" s="100"/>
      <c r="I242" s="100"/>
    </row>
    <row r="243" spans="1:9" ht="33.75" customHeight="1">
      <c r="A243" s="2" t="s">
        <v>1337</v>
      </c>
      <c r="B243" s="102"/>
      <c r="C243" s="103">
        <v>6</v>
      </c>
      <c r="D243" s="10" t="s">
        <v>1338</v>
      </c>
      <c r="E243" s="10" t="s">
        <v>808</v>
      </c>
      <c r="F243" s="100"/>
      <c r="G243" s="100"/>
      <c r="H243" s="100"/>
      <c r="I243" s="100"/>
    </row>
    <row r="244" spans="1:9" ht="33.75" customHeight="1">
      <c r="A244" s="106" t="s">
        <v>1339</v>
      </c>
      <c r="B244" s="107"/>
      <c r="C244" s="108">
        <v>6</v>
      </c>
      <c r="D244" s="109" t="s">
        <v>1340</v>
      </c>
      <c r="E244" s="109" t="s">
        <v>808</v>
      </c>
      <c r="F244" s="100"/>
      <c r="G244" s="100"/>
      <c r="H244" s="100"/>
      <c r="I244" s="100"/>
    </row>
    <row r="245" spans="1:9" ht="33.75" customHeight="1">
      <c r="A245" s="2" t="s">
        <v>1341</v>
      </c>
      <c r="B245" s="102"/>
      <c r="C245" s="103">
        <v>6</v>
      </c>
      <c r="D245" s="10" t="s">
        <v>1342</v>
      </c>
      <c r="E245" s="10" t="s">
        <v>963</v>
      </c>
      <c r="F245" s="100"/>
      <c r="G245" s="100"/>
      <c r="H245" s="100"/>
      <c r="I245" s="100"/>
    </row>
    <row r="246" spans="1:9" ht="33.75" customHeight="1">
      <c r="A246" s="106" t="s">
        <v>1343</v>
      </c>
      <c r="B246" s="107"/>
      <c r="C246" s="108">
        <v>6</v>
      </c>
      <c r="D246" s="109" t="s">
        <v>1344</v>
      </c>
      <c r="E246" s="109" t="s">
        <v>808</v>
      </c>
      <c r="F246" s="100"/>
      <c r="G246" s="100"/>
      <c r="H246" s="100"/>
      <c r="I246" s="100"/>
    </row>
    <row r="247" spans="1:9" ht="33.75" customHeight="1">
      <c r="A247" s="2" t="s">
        <v>1345</v>
      </c>
      <c r="B247" s="102"/>
      <c r="C247" s="103">
        <v>6</v>
      </c>
      <c r="D247" s="10" t="s">
        <v>1346</v>
      </c>
      <c r="E247" s="10" t="s">
        <v>808</v>
      </c>
      <c r="F247" s="100"/>
      <c r="G247" s="100"/>
      <c r="H247" s="100"/>
      <c r="I247" s="100"/>
    </row>
    <row r="248" spans="1:9" ht="33.75" customHeight="1">
      <c r="A248" s="106" t="s">
        <v>1347</v>
      </c>
      <c r="B248" s="107"/>
      <c r="C248" s="108">
        <v>6</v>
      </c>
      <c r="D248" s="109" t="s">
        <v>1348</v>
      </c>
      <c r="E248" s="109" t="s">
        <v>1349</v>
      </c>
      <c r="F248" s="100"/>
      <c r="G248" s="100"/>
      <c r="H248" s="100"/>
      <c r="I248" s="100"/>
    </row>
    <row r="249" spans="1:9" ht="33.75" customHeight="1">
      <c r="A249" s="2" t="s">
        <v>1350</v>
      </c>
      <c r="B249" s="102"/>
      <c r="C249" s="103">
        <v>6</v>
      </c>
      <c r="D249" s="10" t="s">
        <v>1351</v>
      </c>
      <c r="E249" s="10" t="s">
        <v>1352</v>
      </c>
      <c r="F249" s="100"/>
      <c r="G249" s="100"/>
      <c r="H249" s="100"/>
      <c r="I249" s="100"/>
    </row>
    <row r="250" spans="1:9" ht="33.75" customHeight="1">
      <c r="A250" s="106" t="s">
        <v>1353</v>
      </c>
      <c r="B250" s="107"/>
      <c r="C250" s="108">
        <v>6</v>
      </c>
      <c r="D250" s="109" t="s">
        <v>1354</v>
      </c>
      <c r="E250" s="109" t="s">
        <v>808</v>
      </c>
      <c r="F250" s="100"/>
      <c r="G250" s="100"/>
      <c r="H250" s="100"/>
      <c r="I250" s="100"/>
    </row>
    <row r="251" spans="1:9" ht="33.75" customHeight="1">
      <c r="A251" s="2" t="s">
        <v>1355</v>
      </c>
      <c r="B251" s="102"/>
      <c r="C251" s="103">
        <v>6</v>
      </c>
      <c r="D251" s="10" t="s">
        <v>1356</v>
      </c>
      <c r="E251" s="10" t="s">
        <v>1357</v>
      </c>
      <c r="F251" s="100"/>
      <c r="G251" s="100"/>
      <c r="H251" s="100"/>
      <c r="I251" s="100"/>
    </row>
    <row r="252" spans="1:9" ht="33.75" customHeight="1">
      <c r="A252" s="106" t="s">
        <v>1358</v>
      </c>
      <c r="B252" s="107"/>
      <c r="C252" s="108">
        <v>6</v>
      </c>
      <c r="D252" s="109" t="s">
        <v>1359</v>
      </c>
      <c r="E252" s="109" t="s">
        <v>808</v>
      </c>
      <c r="F252" s="100"/>
      <c r="G252" s="100"/>
      <c r="H252" s="100"/>
      <c r="I252" s="100"/>
    </row>
    <row r="253" spans="1:9" ht="33.75" customHeight="1">
      <c r="A253" s="2" t="s">
        <v>1360</v>
      </c>
      <c r="B253" s="102"/>
      <c r="C253" s="103">
        <v>6</v>
      </c>
      <c r="D253" s="10" t="s">
        <v>1361</v>
      </c>
      <c r="E253" s="10" t="s">
        <v>808</v>
      </c>
      <c r="F253" s="100"/>
      <c r="G253" s="100"/>
      <c r="H253" s="100"/>
      <c r="I253" s="100"/>
    </row>
    <row r="254" spans="1:9" ht="33.75" customHeight="1">
      <c r="A254" s="106" t="s">
        <v>1362</v>
      </c>
      <c r="B254" s="107"/>
      <c r="C254" s="108">
        <v>6</v>
      </c>
      <c r="D254" s="109" t="s">
        <v>1363</v>
      </c>
      <c r="E254" s="109" t="s">
        <v>808</v>
      </c>
      <c r="F254" s="100"/>
      <c r="G254" s="100"/>
      <c r="H254" s="100"/>
      <c r="I254" s="100"/>
    </row>
    <row r="255" spans="1:9" ht="33.75" customHeight="1">
      <c r="A255" s="2" t="s">
        <v>1364</v>
      </c>
      <c r="B255" s="102"/>
      <c r="C255" s="103">
        <v>6</v>
      </c>
      <c r="D255" s="10" t="s">
        <v>1365</v>
      </c>
      <c r="E255" s="10" t="s">
        <v>808</v>
      </c>
      <c r="F255" s="100"/>
      <c r="G255" s="100"/>
      <c r="H255" s="100"/>
      <c r="I255" s="100"/>
    </row>
    <row r="256" spans="1:9" ht="33.75" customHeight="1">
      <c r="A256" s="106" t="s">
        <v>1366</v>
      </c>
      <c r="B256" s="113"/>
      <c r="C256" s="108">
        <v>6</v>
      </c>
      <c r="D256" s="109" t="s">
        <v>1367</v>
      </c>
      <c r="E256" s="109" t="s">
        <v>1368</v>
      </c>
      <c r="F256" s="100"/>
      <c r="G256" s="100"/>
      <c r="H256" s="100"/>
      <c r="I256" s="100"/>
    </row>
    <row r="257" spans="1:9" ht="33.75" customHeight="1">
      <c r="A257" s="2" t="s">
        <v>1369</v>
      </c>
      <c r="B257" s="102"/>
      <c r="C257" s="103">
        <v>6</v>
      </c>
      <c r="D257" s="10" t="s">
        <v>1370</v>
      </c>
      <c r="E257" s="10" t="s">
        <v>808</v>
      </c>
      <c r="F257" s="100"/>
      <c r="G257" s="100"/>
      <c r="H257" s="100"/>
      <c r="I257" s="100"/>
    </row>
    <row r="258" spans="1:9" ht="33.75" customHeight="1">
      <c r="A258" s="106" t="s">
        <v>1371</v>
      </c>
      <c r="B258" s="107"/>
      <c r="C258" s="108">
        <v>6</v>
      </c>
      <c r="D258" s="109" t="s">
        <v>1372</v>
      </c>
      <c r="E258" s="109" t="s">
        <v>808</v>
      </c>
      <c r="F258" s="100"/>
      <c r="G258" s="100"/>
      <c r="H258" s="100"/>
      <c r="I258" s="100"/>
    </row>
    <row r="259" spans="1:9" ht="33.75" customHeight="1">
      <c r="A259" s="2" t="s">
        <v>1373</v>
      </c>
      <c r="B259" s="102"/>
      <c r="C259" s="103">
        <v>6</v>
      </c>
      <c r="D259" s="10" t="s">
        <v>1374</v>
      </c>
      <c r="E259" s="10" t="s">
        <v>808</v>
      </c>
      <c r="F259" s="100"/>
      <c r="G259" s="100"/>
      <c r="H259" s="100"/>
      <c r="I259" s="100"/>
    </row>
    <row r="260" spans="1:9" ht="33.75" customHeight="1">
      <c r="A260" s="106" t="s">
        <v>1375</v>
      </c>
      <c r="B260" s="107"/>
      <c r="C260" s="108">
        <v>6</v>
      </c>
      <c r="D260" s="112" t="s">
        <v>1376</v>
      </c>
      <c r="E260" s="109" t="s">
        <v>808</v>
      </c>
      <c r="F260" s="100"/>
      <c r="G260" s="100"/>
      <c r="H260" s="100"/>
      <c r="I260" s="100"/>
    </row>
    <row r="261" spans="1:9" ht="33.75" customHeight="1">
      <c r="A261" s="2" t="s">
        <v>1377</v>
      </c>
      <c r="B261" s="102"/>
      <c r="C261" s="103">
        <v>6</v>
      </c>
      <c r="D261" s="10" t="s">
        <v>1378</v>
      </c>
      <c r="E261" s="10" t="s">
        <v>808</v>
      </c>
      <c r="F261" s="100"/>
      <c r="G261" s="100"/>
      <c r="H261" s="100"/>
      <c r="I261" s="100"/>
    </row>
    <row r="262" spans="1:9" ht="33.75" customHeight="1">
      <c r="A262" s="106" t="s">
        <v>1379</v>
      </c>
      <c r="B262" s="107"/>
      <c r="C262" s="108">
        <v>6</v>
      </c>
      <c r="D262" s="112" t="s">
        <v>1380</v>
      </c>
      <c r="E262" s="109" t="s">
        <v>808</v>
      </c>
      <c r="F262" s="100"/>
      <c r="G262" s="100"/>
      <c r="H262" s="100"/>
      <c r="I262" s="100"/>
    </row>
    <row r="263" spans="1:9" ht="33.75" customHeight="1">
      <c r="A263" s="2" t="s">
        <v>1381</v>
      </c>
      <c r="B263" s="102"/>
      <c r="C263" s="103">
        <v>6</v>
      </c>
      <c r="D263" s="10" t="s">
        <v>1382</v>
      </c>
      <c r="E263" s="10" t="s">
        <v>808</v>
      </c>
      <c r="F263" s="100"/>
      <c r="G263" s="100"/>
      <c r="H263" s="100"/>
      <c r="I263" s="100"/>
    </row>
    <row r="264" spans="1:9" ht="33.75" customHeight="1">
      <c r="A264" s="106" t="s">
        <v>1383</v>
      </c>
      <c r="B264" s="107"/>
      <c r="C264" s="108">
        <v>7</v>
      </c>
      <c r="D264" s="109" t="s">
        <v>1384</v>
      </c>
      <c r="E264" s="109" t="s">
        <v>808</v>
      </c>
      <c r="F264" s="100"/>
      <c r="G264" s="100"/>
      <c r="H264" s="100"/>
      <c r="I264" s="100"/>
    </row>
    <row r="265" spans="1:9" ht="33.75" customHeight="1">
      <c r="A265" s="2" t="s">
        <v>1385</v>
      </c>
      <c r="B265" s="102"/>
      <c r="C265" s="103">
        <v>7</v>
      </c>
      <c r="D265" s="116" t="s">
        <v>1386</v>
      </c>
      <c r="E265" s="10" t="s">
        <v>808</v>
      </c>
      <c r="F265" s="100"/>
      <c r="G265" s="100"/>
      <c r="H265" s="100"/>
      <c r="I265" s="100"/>
    </row>
    <row r="266" spans="1:9" ht="33.75" customHeight="1">
      <c r="A266" s="106" t="s">
        <v>1387</v>
      </c>
      <c r="B266" s="107"/>
      <c r="C266" s="108">
        <v>7</v>
      </c>
      <c r="D266" s="109" t="s">
        <v>1388</v>
      </c>
      <c r="E266" s="109" t="s">
        <v>808</v>
      </c>
      <c r="F266" s="100"/>
      <c r="G266" s="100"/>
      <c r="H266" s="100"/>
      <c r="I266" s="100"/>
    </row>
    <row r="267" spans="1:9" ht="33.75" customHeight="1">
      <c r="A267" s="2" t="s">
        <v>1389</v>
      </c>
      <c r="B267" s="102"/>
      <c r="C267" s="103">
        <v>7</v>
      </c>
      <c r="D267" s="10" t="s">
        <v>1390</v>
      </c>
      <c r="E267" s="10" t="s">
        <v>808</v>
      </c>
      <c r="F267" s="100"/>
      <c r="G267" s="100"/>
      <c r="H267" s="100"/>
      <c r="I267" s="100"/>
    </row>
    <row r="268" spans="1:9" ht="33.75" customHeight="1">
      <c r="A268" s="106" t="s">
        <v>1391</v>
      </c>
      <c r="B268" s="107"/>
      <c r="C268" s="108">
        <v>7</v>
      </c>
      <c r="D268" s="109" t="s">
        <v>1392</v>
      </c>
      <c r="E268" s="109" t="s">
        <v>808</v>
      </c>
      <c r="F268" s="100"/>
      <c r="G268" s="100"/>
      <c r="H268" s="100"/>
      <c r="I268" s="100"/>
    </row>
    <row r="269" spans="1:9" ht="33.75" customHeight="1">
      <c r="A269" s="2" t="s">
        <v>1393</v>
      </c>
      <c r="B269" s="102"/>
      <c r="C269" s="103">
        <v>7</v>
      </c>
      <c r="D269" s="10" t="s">
        <v>1394</v>
      </c>
      <c r="E269" s="10" t="s">
        <v>808</v>
      </c>
      <c r="F269" s="100"/>
      <c r="G269" s="100"/>
      <c r="H269" s="100"/>
      <c r="I269" s="100"/>
    </row>
    <row r="270" spans="1:9" ht="33.75" customHeight="1">
      <c r="A270" s="106" t="s">
        <v>1395</v>
      </c>
      <c r="B270" s="107"/>
      <c r="C270" s="108">
        <v>7</v>
      </c>
      <c r="D270" s="109" t="s">
        <v>1396</v>
      </c>
      <c r="E270" s="109" t="s">
        <v>808</v>
      </c>
      <c r="F270" s="100"/>
      <c r="G270" s="100"/>
      <c r="H270" s="100"/>
      <c r="I270" s="100"/>
    </row>
    <row r="271" spans="1:9" ht="33.75" customHeight="1">
      <c r="A271" s="2" t="s">
        <v>1397</v>
      </c>
      <c r="B271" s="102"/>
      <c r="C271" s="103">
        <v>7</v>
      </c>
      <c r="D271" s="10" t="s">
        <v>1398</v>
      </c>
      <c r="E271" s="10" t="s">
        <v>808</v>
      </c>
      <c r="F271" s="100"/>
      <c r="G271" s="100"/>
      <c r="H271" s="100"/>
      <c r="I271" s="100"/>
    </row>
    <row r="272" spans="1:9" ht="33.75" customHeight="1">
      <c r="A272" s="106" t="s">
        <v>1399</v>
      </c>
      <c r="B272" s="107"/>
      <c r="C272" s="108">
        <v>7</v>
      </c>
      <c r="D272" s="109" t="s">
        <v>1400</v>
      </c>
      <c r="E272" s="109" t="s">
        <v>808</v>
      </c>
      <c r="F272" s="100"/>
      <c r="G272" s="100"/>
      <c r="H272" s="100"/>
      <c r="I272" s="100"/>
    </row>
    <row r="273" spans="1:9" ht="33.75" customHeight="1">
      <c r="A273" s="2" t="s">
        <v>1401</v>
      </c>
      <c r="B273" s="102"/>
      <c r="C273" s="103">
        <v>7</v>
      </c>
      <c r="D273" s="10" t="s">
        <v>1402</v>
      </c>
      <c r="E273" s="10" t="s">
        <v>808</v>
      </c>
      <c r="F273" s="100"/>
      <c r="G273" s="100"/>
      <c r="H273" s="100"/>
      <c r="I273" s="100"/>
    </row>
    <row r="274" spans="1:9" ht="33.75" customHeight="1">
      <c r="A274" s="106" t="s">
        <v>1403</v>
      </c>
      <c r="B274" s="107"/>
      <c r="C274" s="108">
        <v>7</v>
      </c>
      <c r="D274" s="109" t="s">
        <v>1404</v>
      </c>
      <c r="E274" s="109" t="s">
        <v>1405</v>
      </c>
      <c r="F274" s="100"/>
      <c r="G274" s="100"/>
      <c r="H274" s="100"/>
      <c r="I274" s="100"/>
    </row>
    <row r="275" spans="1:9" ht="33.75" customHeight="1">
      <c r="A275" s="2" t="s">
        <v>1406</v>
      </c>
      <c r="B275" s="102"/>
      <c r="C275" s="103">
        <v>7</v>
      </c>
      <c r="D275" s="10" t="s">
        <v>1407</v>
      </c>
      <c r="E275" s="10" t="s">
        <v>808</v>
      </c>
      <c r="F275" s="100"/>
      <c r="G275" s="100"/>
      <c r="H275" s="100"/>
      <c r="I275" s="100"/>
    </row>
    <row r="276" spans="1:9" ht="33.75" customHeight="1">
      <c r="A276" s="106" t="s">
        <v>1408</v>
      </c>
      <c r="B276" s="107"/>
      <c r="C276" s="108">
        <v>7</v>
      </c>
      <c r="D276" s="109" t="s">
        <v>1409</v>
      </c>
      <c r="E276" s="109" t="s">
        <v>808</v>
      </c>
      <c r="F276" s="100"/>
      <c r="G276" s="100"/>
      <c r="H276" s="100"/>
      <c r="I276" s="100"/>
    </row>
    <row r="277" spans="1:9" ht="33.75" customHeight="1">
      <c r="A277" s="2" t="s">
        <v>1410</v>
      </c>
      <c r="B277" s="102"/>
      <c r="C277" s="103">
        <v>7</v>
      </c>
      <c r="D277" s="10" t="s">
        <v>1411</v>
      </c>
      <c r="E277" s="10" t="s">
        <v>808</v>
      </c>
      <c r="F277" s="100"/>
      <c r="G277" s="100"/>
      <c r="H277" s="100"/>
      <c r="I277" s="100"/>
    </row>
    <row r="278" spans="1:9" ht="33.75" customHeight="1">
      <c r="A278" s="106" t="s">
        <v>1412</v>
      </c>
      <c r="B278" s="107"/>
      <c r="C278" s="108">
        <v>7</v>
      </c>
      <c r="D278" s="109" t="s">
        <v>1413</v>
      </c>
      <c r="E278" s="109" t="s">
        <v>808</v>
      </c>
      <c r="F278" s="100"/>
      <c r="G278" s="100"/>
      <c r="H278" s="100"/>
      <c r="I278" s="100"/>
    </row>
    <row r="279" spans="1:9" ht="33.75" customHeight="1">
      <c r="A279" s="2" t="s">
        <v>1414</v>
      </c>
      <c r="B279" s="102"/>
      <c r="C279" s="103">
        <v>7</v>
      </c>
      <c r="D279" s="10" t="s">
        <v>1415</v>
      </c>
      <c r="E279" s="10" t="s">
        <v>808</v>
      </c>
      <c r="F279" s="100"/>
      <c r="G279" s="100"/>
      <c r="H279" s="100"/>
      <c r="I279" s="100"/>
    </row>
    <row r="280" spans="1:9" ht="33.75" customHeight="1">
      <c r="A280" s="106" t="s">
        <v>1416</v>
      </c>
      <c r="B280" s="107"/>
      <c r="C280" s="108">
        <v>7</v>
      </c>
      <c r="D280" s="109" t="s">
        <v>1417</v>
      </c>
      <c r="E280" s="109" t="s">
        <v>808</v>
      </c>
      <c r="F280" s="100"/>
      <c r="G280" s="100"/>
      <c r="H280" s="100"/>
      <c r="I280" s="100"/>
    </row>
    <row r="281" spans="1:9" ht="33.75" customHeight="1">
      <c r="A281" s="2" t="s">
        <v>1418</v>
      </c>
      <c r="B281" s="102"/>
      <c r="C281" s="103">
        <v>7</v>
      </c>
      <c r="D281" s="10" t="s">
        <v>1419</v>
      </c>
      <c r="E281" s="10" t="s">
        <v>808</v>
      </c>
      <c r="F281" s="100"/>
      <c r="G281" s="100"/>
      <c r="H281" s="100"/>
      <c r="I281" s="100"/>
    </row>
    <row r="282" spans="1:9" ht="33.75" customHeight="1">
      <c r="A282" s="106" t="s">
        <v>1420</v>
      </c>
      <c r="B282" s="107"/>
      <c r="C282" s="108">
        <v>7</v>
      </c>
      <c r="D282" s="109" t="s">
        <v>1421</v>
      </c>
      <c r="E282" s="109" t="s">
        <v>808</v>
      </c>
      <c r="F282" s="100"/>
      <c r="G282" s="100"/>
      <c r="H282" s="100"/>
      <c r="I282" s="100"/>
    </row>
    <row r="283" spans="1:9" ht="33.75" customHeight="1">
      <c r="A283" s="2" t="s">
        <v>1422</v>
      </c>
      <c r="B283" s="102"/>
      <c r="C283" s="103">
        <v>7</v>
      </c>
      <c r="D283" s="10" t="s">
        <v>1423</v>
      </c>
      <c r="E283" s="10" t="s">
        <v>808</v>
      </c>
      <c r="F283" s="100"/>
      <c r="G283" s="100"/>
      <c r="H283" s="100"/>
      <c r="I283" s="100"/>
    </row>
    <row r="284" spans="1:9" ht="33.75" customHeight="1">
      <c r="A284" s="106" t="s">
        <v>1424</v>
      </c>
      <c r="B284" s="107"/>
      <c r="C284" s="108">
        <v>7</v>
      </c>
      <c r="D284" s="109" t="s">
        <v>1425</v>
      </c>
      <c r="E284" s="109" t="s">
        <v>808</v>
      </c>
      <c r="F284" s="100"/>
      <c r="G284" s="100"/>
      <c r="H284" s="100"/>
      <c r="I284" s="100"/>
    </row>
    <row r="285" spans="1:9" ht="33.75" customHeight="1">
      <c r="A285" s="2" t="s">
        <v>1426</v>
      </c>
      <c r="B285" s="102"/>
      <c r="C285" s="103">
        <v>7</v>
      </c>
      <c r="D285" s="10" t="s">
        <v>1427</v>
      </c>
      <c r="E285" s="10" t="s">
        <v>808</v>
      </c>
      <c r="F285" s="100"/>
      <c r="G285" s="100"/>
      <c r="H285" s="100"/>
      <c r="I285" s="100"/>
    </row>
    <row r="286" spans="1:9" ht="33.75" customHeight="1">
      <c r="A286" s="106" t="s">
        <v>1428</v>
      </c>
      <c r="B286" s="107"/>
      <c r="C286" s="108">
        <v>7</v>
      </c>
      <c r="D286" s="109" t="s">
        <v>1429</v>
      </c>
      <c r="E286" s="109" t="s">
        <v>808</v>
      </c>
      <c r="F286" s="100"/>
      <c r="G286" s="100"/>
      <c r="H286" s="100"/>
      <c r="I286" s="100"/>
    </row>
    <row r="287" spans="1:9" ht="33.75" customHeight="1">
      <c r="A287" s="2" t="s">
        <v>1430</v>
      </c>
      <c r="B287" s="102"/>
      <c r="C287" s="103">
        <v>7</v>
      </c>
      <c r="D287" s="10" t="s">
        <v>1431</v>
      </c>
      <c r="E287" s="10" t="s">
        <v>808</v>
      </c>
      <c r="F287" s="100"/>
      <c r="G287" s="100"/>
      <c r="H287" s="100"/>
      <c r="I287" s="100"/>
    </row>
    <row r="288" spans="1:9" ht="33.75" customHeight="1">
      <c r="A288" s="106" t="s">
        <v>1432</v>
      </c>
      <c r="B288" s="107"/>
      <c r="C288" s="108">
        <v>7</v>
      </c>
      <c r="D288" s="109" t="s">
        <v>1433</v>
      </c>
      <c r="E288" s="109" t="s">
        <v>963</v>
      </c>
      <c r="F288" s="100"/>
      <c r="G288" s="100"/>
      <c r="H288" s="100"/>
      <c r="I288" s="100"/>
    </row>
    <row r="289" spans="1:9" ht="33.75" customHeight="1">
      <c r="A289" s="2" t="s">
        <v>1434</v>
      </c>
      <c r="B289" s="102"/>
      <c r="C289" s="103">
        <v>7</v>
      </c>
      <c r="D289" s="10" t="s">
        <v>1435</v>
      </c>
      <c r="E289" s="10" t="s">
        <v>808</v>
      </c>
      <c r="F289" s="100"/>
      <c r="G289" s="100"/>
      <c r="H289" s="100"/>
      <c r="I289" s="100"/>
    </row>
    <row r="290" spans="1:9" ht="33.75" customHeight="1">
      <c r="A290" s="106" t="s">
        <v>1436</v>
      </c>
      <c r="B290" s="107"/>
      <c r="C290" s="108">
        <v>7</v>
      </c>
      <c r="D290" s="109" t="s">
        <v>1437</v>
      </c>
      <c r="E290" s="109" t="s">
        <v>808</v>
      </c>
      <c r="F290" s="100"/>
      <c r="G290" s="100"/>
      <c r="H290" s="100"/>
      <c r="I290" s="100"/>
    </row>
    <row r="291" spans="1:9" ht="33.75" customHeight="1">
      <c r="A291" s="2" t="s">
        <v>1438</v>
      </c>
      <c r="B291" s="102"/>
      <c r="C291" s="103">
        <v>7</v>
      </c>
      <c r="D291" s="10" t="s">
        <v>1439</v>
      </c>
      <c r="E291" s="117" t="s">
        <v>1440</v>
      </c>
      <c r="F291" s="100"/>
      <c r="G291" s="100"/>
      <c r="H291" s="100"/>
      <c r="I291" s="100"/>
    </row>
    <row r="292" spans="1:9" ht="33.75" customHeight="1">
      <c r="A292" s="106" t="s">
        <v>1441</v>
      </c>
      <c r="B292" s="107"/>
      <c r="C292" s="108">
        <v>7</v>
      </c>
      <c r="D292" s="112" t="s">
        <v>1442</v>
      </c>
      <c r="E292" s="109" t="s">
        <v>808</v>
      </c>
      <c r="F292" s="100"/>
      <c r="G292" s="100"/>
      <c r="H292" s="100"/>
      <c r="I292" s="100"/>
    </row>
    <row r="293" spans="1:9" ht="33.75" customHeight="1">
      <c r="A293" s="2" t="s">
        <v>1443</v>
      </c>
      <c r="B293" s="102"/>
      <c r="C293" s="103">
        <v>7</v>
      </c>
      <c r="D293" s="10" t="s">
        <v>1444</v>
      </c>
      <c r="E293" s="10" t="s">
        <v>1445</v>
      </c>
      <c r="F293" s="100"/>
      <c r="G293" s="100"/>
      <c r="H293" s="100"/>
      <c r="I293" s="100"/>
    </row>
    <row r="294" spans="1:9" ht="33.75" customHeight="1">
      <c r="A294" s="106" t="s">
        <v>1446</v>
      </c>
      <c r="B294" s="107"/>
      <c r="C294" s="108">
        <v>7</v>
      </c>
      <c r="D294" s="109" t="s">
        <v>1447</v>
      </c>
      <c r="E294" s="109" t="s">
        <v>963</v>
      </c>
      <c r="F294" s="100"/>
      <c r="G294" s="100"/>
      <c r="H294" s="100"/>
      <c r="I294" s="100"/>
    </row>
    <row r="295" spans="1:9" ht="33.75" customHeight="1">
      <c r="A295" s="2" t="s">
        <v>1448</v>
      </c>
      <c r="B295" s="102"/>
      <c r="C295" s="103">
        <v>7</v>
      </c>
      <c r="D295" s="10" t="s">
        <v>1449</v>
      </c>
      <c r="E295" s="10" t="s">
        <v>808</v>
      </c>
      <c r="F295" s="100"/>
      <c r="G295" s="100"/>
      <c r="H295" s="100"/>
      <c r="I295" s="100"/>
    </row>
    <row r="296" spans="1:9" ht="33.75" customHeight="1">
      <c r="A296" s="106" t="s">
        <v>1450</v>
      </c>
      <c r="B296" s="107"/>
      <c r="C296" s="108">
        <v>8</v>
      </c>
      <c r="D296" s="109" t="s">
        <v>1451</v>
      </c>
      <c r="E296" s="109" t="s">
        <v>808</v>
      </c>
      <c r="F296" s="100"/>
      <c r="G296" s="100"/>
      <c r="H296" s="100"/>
      <c r="I296" s="100"/>
    </row>
    <row r="297" spans="1:9" ht="33.75" customHeight="1">
      <c r="A297" s="2" t="s">
        <v>1452</v>
      </c>
      <c r="B297" s="102"/>
      <c r="C297" s="103">
        <v>8</v>
      </c>
      <c r="D297" s="10" t="s">
        <v>1453</v>
      </c>
      <c r="E297" s="10" t="s">
        <v>808</v>
      </c>
      <c r="F297" s="100"/>
      <c r="G297" s="100"/>
      <c r="H297" s="100"/>
      <c r="I297" s="100"/>
    </row>
    <row r="298" spans="1:9" ht="33.75" customHeight="1">
      <c r="A298" s="106" t="s">
        <v>1454</v>
      </c>
      <c r="B298" s="107"/>
      <c r="C298" s="108">
        <v>8</v>
      </c>
      <c r="D298" s="109" t="s">
        <v>1455</v>
      </c>
      <c r="E298" s="109" t="s">
        <v>808</v>
      </c>
      <c r="F298" s="100"/>
      <c r="G298" s="100"/>
      <c r="H298" s="100"/>
      <c r="I298" s="100"/>
    </row>
    <row r="299" spans="1:9" ht="33.75" customHeight="1">
      <c r="A299" s="2" t="s">
        <v>1456</v>
      </c>
      <c r="B299" s="102"/>
      <c r="C299" s="103">
        <v>8</v>
      </c>
      <c r="D299" s="10" t="s">
        <v>1457</v>
      </c>
      <c r="E299" s="10" t="s">
        <v>808</v>
      </c>
      <c r="F299" s="100"/>
      <c r="G299" s="100"/>
      <c r="H299" s="100"/>
      <c r="I299" s="100"/>
    </row>
    <row r="300" spans="1:9" ht="33.75" customHeight="1">
      <c r="A300" s="106" t="s">
        <v>1458</v>
      </c>
      <c r="B300" s="107"/>
      <c r="C300" s="108">
        <v>8</v>
      </c>
      <c r="D300" s="109" t="s">
        <v>1459</v>
      </c>
      <c r="E300" s="109" t="s">
        <v>1460</v>
      </c>
      <c r="F300" s="100"/>
      <c r="G300" s="100"/>
      <c r="H300" s="100"/>
      <c r="I300" s="100"/>
    </row>
    <row r="301" spans="1:9" ht="33.75" customHeight="1">
      <c r="A301" s="2" t="s">
        <v>1461</v>
      </c>
      <c r="B301" s="102"/>
      <c r="C301" s="103">
        <v>8</v>
      </c>
      <c r="D301" s="10" t="s">
        <v>1462</v>
      </c>
      <c r="E301" s="10" t="s">
        <v>808</v>
      </c>
      <c r="F301" s="100"/>
      <c r="G301" s="100"/>
      <c r="H301" s="100"/>
      <c r="I301" s="100"/>
    </row>
    <row r="302" spans="1:9" ht="33.75" customHeight="1">
      <c r="A302" s="106" t="s">
        <v>1463</v>
      </c>
      <c r="B302" s="107"/>
      <c r="C302" s="108">
        <v>8</v>
      </c>
      <c r="D302" s="109" t="s">
        <v>1464</v>
      </c>
      <c r="E302" s="109" t="s">
        <v>808</v>
      </c>
      <c r="F302" s="100"/>
      <c r="G302" s="100"/>
      <c r="H302" s="100"/>
      <c r="I302" s="100"/>
    </row>
    <row r="303" spans="1:9" ht="33.75" customHeight="1">
      <c r="A303" s="2" t="s">
        <v>1465</v>
      </c>
      <c r="B303" s="102"/>
      <c r="C303" s="103">
        <v>8</v>
      </c>
      <c r="D303" s="10" t="s">
        <v>1466</v>
      </c>
      <c r="E303" s="10" t="s">
        <v>808</v>
      </c>
      <c r="F303" s="100"/>
      <c r="G303" s="100"/>
      <c r="H303" s="100"/>
      <c r="I303" s="100"/>
    </row>
    <row r="304" spans="1:9" ht="33.75" customHeight="1">
      <c r="A304" s="106" t="s">
        <v>1467</v>
      </c>
      <c r="B304" s="107"/>
      <c r="C304" s="108">
        <v>8</v>
      </c>
      <c r="D304" s="109" t="s">
        <v>1468</v>
      </c>
      <c r="E304" s="109" t="s">
        <v>808</v>
      </c>
      <c r="F304" s="100"/>
      <c r="G304" s="100"/>
      <c r="H304" s="100"/>
      <c r="I304" s="100"/>
    </row>
    <row r="305" spans="1:9" ht="33.75" customHeight="1">
      <c r="A305" s="2" t="s">
        <v>1469</v>
      </c>
      <c r="B305" s="102"/>
      <c r="C305" s="103">
        <v>8</v>
      </c>
      <c r="D305" s="10" t="s">
        <v>1470</v>
      </c>
      <c r="E305" s="10" t="s">
        <v>808</v>
      </c>
      <c r="F305" s="100"/>
      <c r="G305" s="100"/>
      <c r="H305" s="100"/>
      <c r="I305" s="100"/>
    </row>
    <row r="306" spans="1:9" ht="33.75" customHeight="1">
      <c r="A306" s="106" t="s">
        <v>1471</v>
      </c>
      <c r="B306" s="107"/>
      <c r="C306" s="108">
        <v>8</v>
      </c>
      <c r="D306" s="109" t="s">
        <v>1472</v>
      </c>
      <c r="E306" s="109" t="s">
        <v>808</v>
      </c>
      <c r="F306" s="100"/>
      <c r="G306" s="100"/>
      <c r="H306" s="100"/>
      <c r="I306" s="100"/>
    </row>
    <row r="307" spans="1:9" ht="33.75" customHeight="1">
      <c r="A307" s="2" t="s">
        <v>1473</v>
      </c>
      <c r="B307" s="102"/>
      <c r="C307" s="103">
        <v>8</v>
      </c>
      <c r="D307" s="10" t="s">
        <v>1474</v>
      </c>
      <c r="E307" s="10" t="s">
        <v>808</v>
      </c>
      <c r="F307" s="100"/>
      <c r="G307" s="100"/>
      <c r="H307" s="100"/>
      <c r="I307" s="100"/>
    </row>
    <row r="308" spans="1:9" ht="33.75" customHeight="1">
      <c r="A308" s="106" t="s">
        <v>1475</v>
      </c>
      <c r="B308" s="107"/>
      <c r="C308" s="108">
        <v>8</v>
      </c>
      <c r="D308" s="109" t="s">
        <v>1476</v>
      </c>
      <c r="E308" s="109" t="s">
        <v>808</v>
      </c>
      <c r="F308" s="100"/>
      <c r="G308" s="100"/>
      <c r="H308" s="100"/>
      <c r="I308" s="100"/>
    </row>
    <row r="309" spans="1:9" ht="33.75" customHeight="1">
      <c r="A309" s="2" t="s">
        <v>1477</v>
      </c>
      <c r="B309" s="102"/>
      <c r="C309" s="103">
        <v>8</v>
      </c>
      <c r="D309" s="10" t="s">
        <v>1478</v>
      </c>
      <c r="E309" s="10" t="s">
        <v>808</v>
      </c>
      <c r="F309" s="100"/>
      <c r="G309" s="100"/>
      <c r="H309" s="100"/>
      <c r="I309" s="100"/>
    </row>
    <row r="310" spans="1:9" ht="33.75" customHeight="1">
      <c r="A310" s="106" t="s">
        <v>1479</v>
      </c>
      <c r="B310" s="107"/>
      <c r="C310" s="108">
        <v>8</v>
      </c>
      <c r="D310" s="109" t="s">
        <v>1480</v>
      </c>
      <c r="E310" s="109" t="s">
        <v>808</v>
      </c>
      <c r="F310" s="100"/>
      <c r="G310" s="100"/>
      <c r="H310" s="100"/>
      <c r="I310" s="100"/>
    </row>
    <row r="311" spans="1:9" ht="33.75" customHeight="1">
      <c r="A311" s="2" t="s">
        <v>1481</v>
      </c>
      <c r="B311" s="102"/>
      <c r="C311" s="103">
        <v>8</v>
      </c>
      <c r="D311" s="10" t="s">
        <v>1482</v>
      </c>
      <c r="E311" s="10" t="s">
        <v>808</v>
      </c>
      <c r="F311" s="100"/>
      <c r="G311" s="100"/>
      <c r="H311" s="100"/>
      <c r="I311" s="100"/>
    </row>
    <row r="312" spans="1:9" ht="33.75" customHeight="1">
      <c r="A312" s="106" t="s">
        <v>1483</v>
      </c>
      <c r="B312" s="107"/>
      <c r="C312" s="108">
        <v>8</v>
      </c>
      <c r="D312" s="112" t="s">
        <v>1484</v>
      </c>
      <c r="E312" s="109" t="s">
        <v>808</v>
      </c>
      <c r="F312" s="100"/>
      <c r="G312" s="100"/>
      <c r="H312" s="100"/>
      <c r="I312" s="100"/>
    </row>
    <row r="313" spans="1:9" ht="33.75" customHeight="1">
      <c r="A313" s="2" t="s">
        <v>1485</v>
      </c>
      <c r="B313" s="102"/>
      <c r="C313" s="103">
        <v>8</v>
      </c>
      <c r="D313" s="10" t="s">
        <v>1486</v>
      </c>
      <c r="E313" s="10" t="s">
        <v>1487</v>
      </c>
      <c r="F313" s="100"/>
      <c r="G313" s="100"/>
      <c r="H313" s="100"/>
      <c r="I313" s="100"/>
    </row>
    <row r="314" spans="1:9" ht="33.75" customHeight="1">
      <c r="A314" s="106" t="s">
        <v>1488</v>
      </c>
      <c r="B314" s="107"/>
      <c r="C314" s="108">
        <v>8</v>
      </c>
      <c r="D314" s="109" t="s">
        <v>1489</v>
      </c>
      <c r="E314" s="109" t="s">
        <v>808</v>
      </c>
      <c r="F314" s="100"/>
      <c r="G314" s="100"/>
      <c r="H314" s="100"/>
      <c r="I314" s="100"/>
    </row>
    <row r="315" spans="1:9" ht="33.75" customHeight="1">
      <c r="A315" s="2" t="s">
        <v>1490</v>
      </c>
      <c r="B315" s="102"/>
      <c r="C315" s="103">
        <v>8</v>
      </c>
      <c r="D315" s="10" t="s">
        <v>1491</v>
      </c>
      <c r="E315" s="10" t="s">
        <v>808</v>
      </c>
      <c r="F315" s="100"/>
      <c r="G315" s="100"/>
      <c r="H315" s="100"/>
      <c r="I315" s="100"/>
    </row>
    <row r="316" spans="1:9" ht="33.75" customHeight="1">
      <c r="A316" s="106" t="s">
        <v>1492</v>
      </c>
      <c r="B316" s="107"/>
      <c r="C316" s="108">
        <v>8</v>
      </c>
      <c r="D316" s="109" t="s">
        <v>1493</v>
      </c>
      <c r="E316" s="109" t="s">
        <v>808</v>
      </c>
      <c r="F316" s="100"/>
      <c r="G316" s="100"/>
      <c r="H316" s="100"/>
      <c r="I316" s="100"/>
    </row>
    <row r="317" spans="1:9" ht="33.75" customHeight="1">
      <c r="A317" s="2" t="s">
        <v>1494</v>
      </c>
      <c r="B317" s="102"/>
      <c r="C317" s="103">
        <v>9</v>
      </c>
      <c r="D317" s="10" t="s">
        <v>1495</v>
      </c>
      <c r="E317" s="10" t="s">
        <v>808</v>
      </c>
      <c r="F317" s="100"/>
      <c r="G317" s="100"/>
      <c r="H317" s="100"/>
      <c r="I317" s="100"/>
    </row>
    <row r="318" spans="1:9" ht="33.75" customHeight="1">
      <c r="A318" s="106" t="s">
        <v>1496</v>
      </c>
      <c r="B318" s="107"/>
      <c r="C318" s="108">
        <v>9</v>
      </c>
      <c r="D318" s="112" t="s">
        <v>1497</v>
      </c>
      <c r="E318" s="109" t="s">
        <v>808</v>
      </c>
      <c r="F318" s="100"/>
      <c r="G318" s="100"/>
      <c r="H318" s="100"/>
      <c r="I318" s="100"/>
    </row>
    <row r="319" spans="1:9" ht="33.75" customHeight="1">
      <c r="A319" s="2" t="s">
        <v>1498</v>
      </c>
      <c r="B319" s="102"/>
      <c r="C319" s="103">
        <v>9</v>
      </c>
      <c r="D319" s="10" t="s">
        <v>1499</v>
      </c>
      <c r="E319" s="10" t="s">
        <v>808</v>
      </c>
      <c r="F319" s="100"/>
      <c r="G319" s="100"/>
      <c r="H319" s="100"/>
      <c r="I319" s="100"/>
    </row>
    <row r="320" spans="1:9" ht="33.75" customHeight="1">
      <c r="A320" s="106" t="s">
        <v>1500</v>
      </c>
      <c r="B320" s="107"/>
      <c r="C320" s="108">
        <v>9</v>
      </c>
      <c r="D320" s="109" t="s">
        <v>1501</v>
      </c>
      <c r="E320" s="109" t="s">
        <v>1502</v>
      </c>
      <c r="F320" s="100"/>
      <c r="G320" s="100"/>
      <c r="H320" s="100"/>
      <c r="I320" s="100"/>
    </row>
    <row r="321" spans="1:9" ht="33.75" customHeight="1">
      <c r="A321" s="2" t="s">
        <v>1503</v>
      </c>
      <c r="B321" s="102"/>
      <c r="C321" s="103">
        <v>9</v>
      </c>
      <c r="D321" s="10" t="s">
        <v>1504</v>
      </c>
      <c r="E321" s="10" t="s">
        <v>808</v>
      </c>
      <c r="F321" s="100"/>
      <c r="G321" s="100"/>
      <c r="H321" s="100"/>
      <c r="I321" s="100"/>
    </row>
    <row r="322" spans="1:9" ht="33.75" customHeight="1">
      <c r="A322" s="106" t="s">
        <v>1505</v>
      </c>
      <c r="B322" s="107"/>
      <c r="C322" s="108">
        <v>9</v>
      </c>
      <c r="D322" s="109" t="s">
        <v>1506</v>
      </c>
      <c r="E322" s="109" t="s">
        <v>808</v>
      </c>
      <c r="F322" s="100"/>
      <c r="G322" s="100"/>
      <c r="H322" s="100"/>
      <c r="I322" s="100"/>
    </row>
    <row r="323" spans="1:9" ht="33.75" customHeight="1">
      <c r="A323" s="2" t="s">
        <v>1507</v>
      </c>
      <c r="B323" s="102"/>
      <c r="C323" s="103">
        <v>9</v>
      </c>
      <c r="D323" s="10" t="s">
        <v>1508</v>
      </c>
      <c r="E323" s="10" t="s">
        <v>808</v>
      </c>
      <c r="F323" s="100"/>
      <c r="G323" s="100"/>
      <c r="H323" s="100"/>
      <c r="I323" s="100"/>
    </row>
    <row r="324" spans="1:9" ht="33.75" customHeight="1">
      <c r="A324" s="106" t="s">
        <v>1509</v>
      </c>
      <c r="B324" s="107"/>
      <c r="C324" s="108">
        <v>9</v>
      </c>
      <c r="D324" s="109" t="s">
        <v>1510</v>
      </c>
      <c r="E324" s="109" t="s">
        <v>808</v>
      </c>
      <c r="F324" s="100"/>
      <c r="G324" s="100"/>
      <c r="H324" s="100"/>
      <c r="I324" s="100"/>
    </row>
    <row r="325" spans="1:9" ht="33.75" customHeight="1">
      <c r="A325" s="2" t="s">
        <v>1511</v>
      </c>
      <c r="B325" s="102"/>
      <c r="C325" s="103">
        <v>9</v>
      </c>
      <c r="D325" s="10" t="s">
        <v>1512</v>
      </c>
      <c r="E325" s="10" t="s">
        <v>1513</v>
      </c>
      <c r="F325" s="100"/>
      <c r="G325" s="100"/>
      <c r="H325" s="100"/>
      <c r="I325" s="100"/>
    </row>
    <row r="326" spans="1:9" ht="33.75" customHeight="1">
      <c r="A326" s="106" t="s">
        <v>1514</v>
      </c>
      <c r="B326" s="107"/>
      <c r="C326" s="108">
        <v>9</v>
      </c>
      <c r="D326" s="109" t="s">
        <v>1515</v>
      </c>
      <c r="E326" s="109" t="s">
        <v>808</v>
      </c>
      <c r="F326" s="100"/>
      <c r="G326" s="100"/>
      <c r="H326" s="100"/>
      <c r="I326" s="100"/>
    </row>
    <row r="327" spans="1:9" ht="33.75" customHeight="1">
      <c r="A327" s="2" t="s">
        <v>1516</v>
      </c>
      <c r="B327" s="102"/>
      <c r="C327" s="103">
        <v>9</v>
      </c>
      <c r="D327" s="10" t="s">
        <v>1517</v>
      </c>
      <c r="E327" s="10" t="s">
        <v>808</v>
      </c>
      <c r="F327" s="100"/>
      <c r="G327" s="100"/>
      <c r="H327" s="100"/>
      <c r="I327" s="100"/>
    </row>
    <row r="328" spans="1:9" ht="33.75" customHeight="1">
      <c r="A328" s="106" t="s">
        <v>1518</v>
      </c>
      <c r="B328" s="107"/>
      <c r="C328" s="108">
        <v>9</v>
      </c>
      <c r="D328" s="109" t="s">
        <v>1519</v>
      </c>
      <c r="E328" s="109" t="s">
        <v>808</v>
      </c>
      <c r="F328" s="100"/>
      <c r="G328" s="100"/>
      <c r="H328" s="100"/>
      <c r="I328" s="100"/>
    </row>
    <row r="329" spans="1:9" ht="33.75" customHeight="1">
      <c r="A329" s="2" t="s">
        <v>1520</v>
      </c>
      <c r="B329" s="102"/>
      <c r="C329" s="103">
        <v>9</v>
      </c>
      <c r="D329" s="10" t="s">
        <v>1521</v>
      </c>
      <c r="E329" s="10" t="s">
        <v>1522</v>
      </c>
      <c r="F329" s="100"/>
      <c r="G329" s="100"/>
      <c r="H329" s="100"/>
      <c r="I329" s="100"/>
    </row>
    <row r="330" spans="1:9" ht="33.75" customHeight="1">
      <c r="A330" s="106" t="s">
        <v>1523</v>
      </c>
      <c r="B330" s="107"/>
      <c r="C330" s="108">
        <v>9</v>
      </c>
      <c r="D330" s="109" t="s">
        <v>1524</v>
      </c>
      <c r="E330" s="109" t="s">
        <v>808</v>
      </c>
      <c r="F330" s="100"/>
      <c r="G330" s="100"/>
      <c r="H330" s="100"/>
      <c r="I330" s="100"/>
    </row>
    <row r="331" spans="1:9" ht="33.75" customHeight="1">
      <c r="A331" s="2" t="s">
        <v>1525</v>
      </c>
      <c r="B331" s="102"/>
      <c r="C331" s="103">
        <v>9</v>
      </c>
      <c r="D331" s="10" t="s">
        <v>1526</v>
      </c>
      <c r="E331" s="10" t="s">
        <v>808</v>
      </c>
      <c r="F331" s="100"/>
      <c r="G331" s="100"/>
      <c r="H331" s="100"/>
      <c r="I331" s="100"/>
    </row>
    <row r="332" spans="1:9" ht="33.75" customHeight="1">
      <c r="A332" s="106" t="s">
        <v>1527</v>
      </c>
      <c r="B332" s="107"/>
      <c r="C332" s="108">
        <v>9</v>
      </c>
      <c r="D332" s="109" t="s">
        <v>1528</v>
      </c>
      <c r="E332" s="109" t="s">
        <v>808</v>
      </c>
      <c r="F332" s="100"/>
      <c r="G332" s="100"/>
      <c r="H332" s="100"/>
      <c r="I332" s="100"/>
    </row>
    <row r="333" spans="1:9" ht="33.75" customHeight="1">
      <c r="A333" s="2" t="s">
        <v>1529</v>
      </c>
      <c r="B333" s="102"/>
      <c r="C333" s="103">
        <v>9</v>
      </c>
      <c r="D333" s="10" t="s">
        <v>1530</v>
      </c>
      <c r="E333" s="10" t="s">
        <v>808</v>
      </c>
      <c r="F333" s="100"/>
      <c r="G333" s="100"/>
      <c r="H333" s="100"/>
      <c r="I333" s="100"/>
    </row>
    <row r="334" spans="1:9" ht="33.75" customHeight="1">
      <c r="A334" s="106" t="s">
        <v>1531</v>
      </c>
      <c r="B334" s="107"/>
      <c r="C334" s="108">
        <v>10</v>
      </c>
      <c r="D334" s="112" t="s">
        <v>1532</v>
      </c>
      <c r="E334" s="109" t="s">
        <v>808</v>
      </c>
      <c r="F334" s="100"/>
      <c r="G334" s="100"/>
      <c r="H334" s="100"/>
      <c r="I334" s="100"/>
    </row>
    <row r="335" spans="1:9" ht="33.75" customHeight="1">
      <c r="A335" s="2" t="s">
        <v>1533</v>
      </c>
      <c r="B335" s="102"/>
      <c r="C335" s="103">
        <v>10</v>
      </c>
      <c r="D335" s="116" t="s">
        <v>1534</v>
      </c>
      <c r="E335" s="10" t="s">
        <v>808</v>
      </c>
      <c r="F335" s="100"/>
      <c r="G335" s="100"/>
      <c r="H335" s="100"/>
      <c r="I335" s="100"/>
    </row>
    <row r="336" spans="1:9" ht="33.75" customHeight="1">
      <c r="A336" s="106" t="s">
        <v>1535</v>
      </c>
      <c r="B336" s="107"/>
      <c r="C336" s="108">
        <v>10</v>
      </c>
      <c r="D336" s="109" t="s">
        <v>1536</v>
      </c>
      <c r="E336" s="109" t="s">
        <v>808</v>
      </c>
      <c r="F336" s="100"/>
      <c r="G336" s="100"/>
      <c r="H336" s="100"/>
      <c r="I336" s="100"/>
    </row>
    <row r="337" spans="1:9" ht="33.75" customHeight="1">
      <c r="A337" s="2" t="s">
        <v>1537</v>
      </c>
      <c r="B337" s="102"/>
      <c r="C337" s="103">
        <v>10</v>
      </c>
      <c r="D337" s="10" t="s">
        <v>1538</v>
      </c>
      <c r="E337" s="10" t="s">
        <v>808</v>
      </c>
      <c r="F337" s="100"/>
      <c r="G337" s="100"/>
      <c r="H337" s="100"/>
      <c r="I337" s="100"/>
    </row>
    <row r="338" spans="1:9" ht="33.75" customHeight="1">
      <c r="A338" s="106" t="s">
        <v>1539</v>
      </c>
      <c r="B338" s="107"/>
      <c r="C338" s="108">
        <v>10</v>
      </c>
      <c r="D338" s="109" t="s">
        <v>1540</v>
      </c>
      <c r="E338" s="109" t="s">
        <v>808</v>
      </c>
      <c r="F338" s="100"/>
      <c r="G338" s="100"/>
      <c r="H338" s="100"/>
      <c r="I338" s="100"/>
    </row>
    <row r="339" spans="1:9" ht="33.75" customHeight="1">
      <c r="A339" s="2" t="s">
        <v>1541</v>
      </c>
      <c r="B339" s="102"/>
      <c r="C339" s="103">
        <v>10</v>
      </c>
      <c r="D339" s="10" t="s">
        <v>1542</v>
      </c>
      <c r="E339" s="10" t="s">
        <v>1543</v>
      </c>
      <c r="F339" s="100"/>
      <c r="G339" s="100"/>
      <c r="H339" s="100"/>
      <c r="I339" s="100"/>
    </row>
    <row r="340" spans="1:9" ht="33.75" customHeight="1">
      <c r="A340" s="106" t="s">
        <v>1544</v>
      </c>
      <c r="B340" s="107"/>
      <c r="C340" s="108">
        <v>10</v>
      </c>
      <c r="D340" s="109" t="s">
        <v>1545</v>
      </c>
      <c r="E340" s="109" t="s">
        <v>808</v>
      </c>
      <c r="F340" s="100"/>
      <c r="G340" s="100"/>
      <c r="H340" s="100"/>
      <c r="I340" s="100"/>
    </row>
    <row r="341" spans="1:9" ht="33.75" customHeight="1">
      <c r="A341" s="2" t="s">
        <v>1546</v>
      </c>
      <c r="B341" s="102"/>
      <c r="C341" s="103">
        <v>11</v>
      </c>
      <c r="D341" s="10" t="s">
        <v>1547</v>
      </c>
      <c r="E341" s="10" t="s">
        <v>808</v>
      </c>
      <c r="F341" s="100"/>
      <c r="G341" s="100"/>
      <c r="H341" s="100"/>
      <c r="I341" s="100"/>
    </row>
    <row r="342" spans="1:9" ht="33.75" customHeight="1">
      <c r="A342" s="106" t="s">
        <v>1548</v>
      </c>
      <c r="B342" s="107"/>
      <c r="C342" s="108">
        <v>11</v>
      </c>
      <c r="D342" s="109" t="s">
        <v>1549</v>
      </c>
      <c r="E342" s="109" t="s">
        <v>808</v>
      </c>
      <c r="F342" s="100"/>
      <c r="G342" s="100"/>
      <c r="H342" s="100"/>
      <c r="I342" s="100"/>
    </row>
    <row r="343" spans="1:9" ht="33.75" customHeight="1">
      <c r="A343" s="2" t="s">
        <v>1550</v>
      </c>
      <c r="B343" s="102"/>
      <c r="C343" s="103">
        <v>11</v>
      </c>
      <c r="D343" s="10" t="s">
        <v>1551</v>
      </c>
      <c r="E343" s="10" t="s">
        <v>808</v>
      </c>
      <c r="F343" s="100"/>
      <c r="G343" s="100"/>
      <c r="H343" s="100"/>
      <c r="I343" s="100"/>
    </row>
    <row r="344" spans="1:9" ht="33.75" customHeight="1">
      <c r="A344" s="106" t="s">
        <v>1552</v>
      </c>
      <c r="B344" s="107"/>
      <c r="C344" s="108">
        <v>11</v>
      </c>
      <c r="D344" s="109" t="s">
        <v>1553</v>
      </c>
      <c r="E344" s="109" t="s">
        <v>808</v>
      </c>
      <c r="F344" s="100"/>
      <c r="G344" s="100"/>
      <c r="H344" s="100"/>
      <c r="I344" s="100"/>
    </row>
    <row r="345" spans="1:9" ht="33.75" customHeight="1">
      <c r="A345" s="2" t="s">
        <v>1554</v>
      </c>
      <c r="B345" s="102"/>
      <c r="C345" s="103">
        <v>11</v>
      </c>
      <c r="D345" s="10" t="s">
        <v>1555</v>
      </c>
      <c r="E345" s="10" t="s">
        <v>808</v>
      </c>
      <c r="F345" s="100"/>
      <c r="G345" s="100"/>
      <c r="H345" s="100"/>
      <c r="I345" s="100"/>
    </row>
    <row r="346" spans="1:9" ht="33.75" customHeight="1">
      <c r="A346" s="106" t="s">
        <v>1556</v>
      </c>
      <c r="B346" s="107"/>
      <c r="C346" s="108">
        <v>12</v>
      </c>
      <c r="D346" s="109" t="s">
        <v>1557</v>
      </c>
      <c r="E346" s="109" t="s">
        <v>808</v>
      </c>
      <c r="F346" s="100"/>
      <c r="G346" s="100"/>
      <c r="H346" s="100"/>
      <c r="I346" s="100"/>
    </row>
    <row r="347" spans="1:9" ht="33.75" customHeight="1">
      <c r="A347" s="2" t="s">
        <v>1558</v>
      </c>
      <c r="B347" s="102"/>
      <c r="C347" s="103">
        <v>12</v>
      </c>
      <c r="D347" s="10" t="s">
        <v>1559</v>
      </c>
      <c r="E347" s="10" t="s">
        <v>808</v>
      </c>
      <c r="F347" s="100"/>
      <c r="G347" s="100"/>
      <c r="H347" s="100"/>
      <c r="I347" s="100"/>
    </row>
    <row r="348" spans="1:9" ht="33.75" customHeight="1">
      <c r="A348" s="106" t="s">
        <v>1560</v>
      </c>
      <c r="B348" s="107"/>
      <c r="C348" s="108">
        <v>12</v>
      </c>
      <c r="D348" s="109" t="s">
        <v>1561</v>
      </c>
      <c r="E348" s="109" t="s">
        <v>808</v>
      </c>
      <c r="F348" s="100"/>
      <c r="G348" s="100"/>
      <c r="H348" s="100"/>
      <c r="I348" s="100"/>
    </row>
    <row r="349" spans="1:9" ht="33.75" customHeight="1">
      <c r="A349" s="2" t="s">
        <v>1562</v>
      </c>
      <c r="B349" s="102"/>
      <c r="C349" s="103">
        <v>12</v>
      </c>
      <c r="D349" s="10" t="s">
        <v>1563</v>
      </c>
      <c r="E349" s="10" t="s">
        <v>1564</v>
      </c>
      <c r="F349" s="100"/>
      <c r="G349" s="100"/>
      <c r="H349" s="100"/>
      <c r="I349" s="100"/>
    </row>
    <row r="350" spans="1:9" ht="33.75" customHeight="1">
      <c r="A350" s="106" t="s">
        <v>1565</v>
      </c>
      <c r="B350" s="107"/>
      <c r="C350" s="108">
        <v>13</v>
      </c>
      <c r="D350" s="109" t="s">
        <v>1566</v>
      </c>
      <c r="E350" s="109" t="s">
        <v>808</v>
      </c>
      <c r="F350" s="100"/>
      <c r="G350" s="100"/>
      <c r="H350" s="100"/>
      <c r="I350" s="100"/>
    </row>
    <row r="351" spans="1:9" ht="33.75" customHeight="1">
      <c r="A351" s="2" t="s">
        <v>1567</v>
      </c>
      <c r="B351" s="102"/>
      <c r="C351" s="103">
        <v>13</v>
      </c>
      <c r="D351" s="10" t="s">
        <v>1568</v>
      </c>
      <c r="E351" s="10" t="s">
        <v>808</v>
      </c>
      <c r="F351" s="100"/>
      <c r="G351" s="100"/>
      <c r="H351" s="100"/>
      <c r="I351" s="100"/>
    </row>
    <row r="352" spans="1:9" ht="33.75" customHeight="1">
      <c r="A352" s="106" t="s">
        <v>1569</v>
      </c>
      <c r="B352" s="107"/>
      <c r="C352" s="108">
        <v>13</v>
      </c>
      <c r="D352" s="109" t="s">
        <v>1570</v>
      </c>
      <c r="E352" s="109" t="s">
        <v>808</v>
      </c>
      <c r="F352" s="100"/>
      <c r="G352" s="100"/>
      <c r="H352" s="100"/>
      <c r="I352" s="100"/>
    </row>
    <row r="353" spans="1:9" ht="33.75" customHeight="1">
      <c r="A353" s="2" t="s">
        <v>1571</v>
      </c>
      <c r="B353" s="102"/>
      <c r="C353" s="103">
        <v>13</v>
      </c>
      <c r="D353" s="10" t="s">
        <v>1572</v>
      </c>
      <c r="E353" s="10" t="s">
        <v>808</v>
      </c>
      <c r="F353" s="100"/>
      <c r="G353" s="100"/>
      <c r="H353" s="100"/>
      <c r="I353" s="100"/>
    </row>
    <row r="354" spans="1:9" ht="33.75" customHeight="1">
      <c r="A354" s="106" t="s">
        <v>1573</v>
      </c>
      <c r="B354" s="107"/>
      <c r="C354" s="108">
        <v>13</v>
      </c>
      <c r="D354" s="109" t="s">
        <v>1574</v>
      </c>
      <c r="E354" s="109" t="s">
        <v>808</v>
      </c>
      <c r="F354" s="100"/>
      <c r="G354" s="100"/>
      <c r="H354" s="100"/>
      <c r="I354" s="100"/>
    </row>
    <row r="355" spans="1:9" ht="33.75" customHeight="1">
      <c r="A355" s="2" t="s">
        <v>1575</v>
      </c>
      <c r="B355" s="102"/>
      <c r="C355" s="103">
        <v>14</v>
      </c>
      <c r="D355" s="10" t="s">
        <v>1576</v>
      </c>
      <c r="E355" s="10" t="s">
        <v>808</v>
      </c>
      <c r="F355" s="100"/>
      <c r="G355" s="100"/>
      <c r="H355" s="100"/>
      <c r="I355" s="100"/>
    </row>
    <row r="356" spans="1:9" ht="33.75" customHeight="1">
      <c r="A356" s="106" t="s">
        <v>1577</v>
      </c>
      <c r="B356" s="107"/>
      <c r="C356" s="108">
        <v>20</v>
      </c>
      <c r="D356" s="109" t="s">
        <v>1578</v>
      </c>
      <c r="E356" s="109" t="s">
        <v>808</v>
      </c>
      <c r="F356" s="100"/>
      <c r="G356" s="100"/>
      <c r="H356" s="100"/>
      <c r="I356" s="100"/>
    </row>
    <row r="357" spans="1:9" ht="12.75">
      <c r="A357" s="101"/>
      <c r="B357" s="101"/>
      <c r="C357" s="101"/>
      <c r="D357" s="101"/>
      <c r="E357" s="100"/>
      <c r="F357" s="100"/>
      <c r="G357" s="100"/>
      <c r="H357" s="100"/>
      <c r="I357" s="100"/>
    </row>
    <row r="358" spans="1:9">
      <c r="A358" s="118" t="s">
        <v>1579</v>
      </c>
      <c r="B358" s="119"/>
      <c r="C358" s="119"/>
      <c r="D358" s="120"/>
      <c r="E358" s="120"/>
      <c r="F358" s="100"/>
      <c r="G358" s="100"/>
      <c r="H358" s="100"/>
      <c r="I358" s="100"/>
    </row>
    <row r="359" spans="1:9" ht="33.75" customHeight="1">
      <c r="A359" s="118" t="s">
        <v>1580</v>
      </c>
      <c r="B359" s="121"/>
      <c r="C359" s="121">
        <v>-50</v>
      </c>
      <c r="D359" s="122" t="s">
        <v>1581</v>
      </c>
      <c r="E359" s="37" t="s">
        <v>808</v>
      </c>
      <c r="F359" s="100"/>
      <c r="G359" s="100"/>
      <c r="H359" s="100"/>
      <c r="I359" s="100"/>
    </row>
    <row r="360" spans="1:9" ht="22.5" customHeight="1">
      <c r="A360" s="1"/>
      <c r="B360" s="123"/>
      <c r="C360" s="123"/>
      <c r="D360" s="5"/>
      <c r="E360" s="5"/>
      <c r="F360" s="13"/>
      <c r="G360" s="13"/>
      <c r="H360" s="13"/>
      <c r="I360" s="13"/>
    </row>
  </sheetData>
  <autoFilter ref="A2:D356" xr:uid="{00000000-0009-0000-0000-000003000000}">
    <sortState xmlns:xlrd2="http://schemas.microsoft.com/office/spreadsheetml/2017/richdata2" ref="A2:D356">
      <sortCondition ref="C2:C356"/>
      <sortCondition ref="A2:A356"/>
    </sortState>
  </autoFilter>
  <mergeCells count="1">
    <mergeCell ref="A1:H1"/>
  </mergeCells>
  <conditionalFormatting sqref="B3:B88 C3:C356 G4:G21 B90:B356">
    <cfRule type="colorScale" priority="1">
      <colorScale>
        <cfvo type="min"/>
        <cfvo type="formula" val="0"/>
        <cfvo type="formula" val="13"/>
        <color rgb="FFE67C73"/>
        <color rgb="FFFFFFFF"/>
        <color rgb="FF57BB8A"/>
      </colorScale>
    </cfRule>
  </conditionalFormatting>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H89"/>
  <sheetViews>
    <sheetView workbookViewId="0">
      <pane ySplit="3" topLeftCell="A4" activePane="bottomLeft" state="frozen"/>
      <selection pane="bottomLeft" activeCell="B5" sqref="B5"/>
    </sheetView>
  </sheetViews>
  <sheetFormatPr defaultColWidth="12.5703125" defaultRowHeight="15.75" customHeight="1"/>
  <cols>
    <col min="1" max="1" width="15.28515625" customWidth="1"/>
    <col min="2" max="2" width="30.42578125" customWidth="1"/>
    <col min="3" max="3" width="33.140625" customWidth="1"/>
    <col min="4" max="4" width="13" customWidth="1"/>
    <col min="5" max="5" width="19.42578125" customWidth="1"/>
    <col min="6" max="6" width="35" customWidth="1"/>
    <col min="7" max="7" width="23" customWidth="1"/>
    <col min="8" max="8" width="6.42578125" customWidth="1"/>
  </cols>
  <sheetData>
    <row r="1" spans="1:8">
      <c r="A1" s="327" t="str">
        <f>COUNTIF(A4:A85,"&lt;&gt;")&amp;" keywords (not including unused)"</f>
        <v>82 keywords (not including unused)</v>
      </c>
      <c r="B1" s="305"/>
      <c r="C1" s="305"/>
      <c r="D1" s="305"/>
      <c r="E1" s="305"/>
      <c r="F1" s="305"/>
      <c r="G1" s="306"/>
      <c r="H1" s="124"/>
    </row>
    <row r="2" spans="1:8">
      <c r="A2" s="328" t="s">
        <v>1582</v>
      </c>
      <c r="B2" s="329" t="s">
        <v>804</v>
      </c>
      <c r="C2" s="331" t="s">
        <v>1583</v>
      </c>
      <c r="D2" s="332"/>
      <c r="E2" s="332"/>
      <c r="F2" s="332"/>
      <c r="G2" s="330"/>
      <c r="H2" s="124"/>
    </row>
    <row r="3" spans="1:8">
      <c r="A3" s="311"/>
      <c r="B3" s="330"/>
      <c r="C3" s="125" t="s">
        <v>1584</v>
      </c>
      <c r="D3" s="125" t="s">
        <v>1585</v>
      </c>
      <c r="E3" s="125" t="s">
        <v>1586</v>
      </c>
      <c r="F3" s="125" t="s">
        <v>20</v>
      </c>
      <c r="G3" s="125" t="s">
        <v>1587</v>
      </c>
      <c r="H3" s="124"/>
    </row>
    <row r="4" spans="1:8">
      <c r="A4" s="126" t="s">
        <v>1588</v>
      </c>
      <c r="B4" s="127" t="s">
        <v>1589</v>
      </c>
      <c r="C4" s="128"/>
      <c r="D4" s="128"/>
      <c r="E4" s="128"/>
      <c r="F4" s="127" t="s">
        <v>185</v>
      </c>
      <c r="G4" s="128"/>
      <c r="H4" s="129"/>
    </row>
    <row r="5" spans="1:8">
      <c r="A5" s="130" t="s">
        <v>1590</v>
      </c>
      <c r="B5" s="131" t="s">
        <v>1591</v>
      </c>
      <c r="C5" s="131" t="s">
        <v>1592</v>
      </c>
      <c r="D5" s="131"/>
      <c r="E5" s="132"/>
      <c r="F5" s="131" t="s">
        <v>1593</v>
      </c>
      <c r="G5" s="131" t="s">
        <v>1594</v>
      </c>
      <c r="H5" s="133"/>
    </row>
    <row r="6" spans="1:8">
      <c r="A6" s="126" t="s">
        <v>1595</v>
      </c>
      <c r="B6" s="127" t="s">
        <v>1596</v>
      </c>
      <c r="C6" s="127" t="s">
        <v>1597</v>
      </c>
      <c r="D6" s="127" t="s">
        <v>1598</v>
      </c>
      <c r="E6" s="128"/>
      <c r="F6" s="127" t="s">
        <v>1599</v>
      </c>
      <c r="G6" s="128"/>
      <c r="H6" s="129"/>
    </row>
    <row r="7" spans="1:8">
      <c r="A7" s="130" t="s">
        <v>1600</v>
      </c>
      <c r="B7" s="131" t="s">
        <v>1601</v>
      </c>
      <c r="C7" s="131" t="s">
        <v>1602</v>
      </c>
      <c r="D7" s="132"/>
      <c r="E7" s="132"/>
      <c r="F7" s="131" t="s">
        <v>1603</v>
      </c>
      <c r="G7" s="131" t="s">
        <v>1604</v>
      </c>
      <c r="H7" s="133"/>
    </row>
    <row r="8" spans="1:8">
      <c r="A8" s="126" t="s">
        <v>1605</v>
      </c>
      <c r="B8" s="127" t="s">
        <v>1606</v>
      </c>
      <c r="C8" s="127" t="s">
        <v>1607</v>
      </c>
      <c r="D8" s="128"/>
      <c r="E8" s="128"/>
      <c r="F8" s="127" t="s">
        <v>1608</v>
      </c>
      <c r="G8" s="128"/>
      <c r="H8" s="129"/>
    </row>
    <row r="9" spans="1:8">
      <c r="A9" s="130" t="s">
        <v>1609</v>
      </c>
      <c r="B9" s="131" t="s">
        <v>1610</v>
      </c>
      <c r="C9" s="132"/>
      <c r="D9" s="131" t="s">
        <v>1611</v>
      </c>
      <c r="E9" s="132"/>
      <c r="F9" s="131" t="s">
        <v>1612</v>
      </c>
      <c r="G9" s="132"/>
      <c r="H9" s="129"/>
    </row>
    <row r="10" spans="1:8">
      <c r="A10" s="126" t="s">
        <v>1613</v>
      </c>
      <c r="B10" s="127" t="s">
        <v>1614</v>
      </c>
      <c r="C10" s="127" t="s">
        <v>1615</v>
      </c>
      <c r="D10" s="128"/>
      <c r="E10" s="128"/>
      <c r="F10" s="127" t="s">
        <v>1616</v>
      </c>
      <c r="G10" s="127" t="s">
        <v>1617</v>
      </c>
      <c r="H10" s="133"/>
    </row>
    <row r="11" spans="1:8" ht="126">
      <c r="A11" s="130" t="s">
        <v>1618</v>
      </c>
      <c r="B11" s="134" t="s">
        <v>1619</v>
      </c>
      <c r="C11" s="131" t="s">
        <v>1620</v>
      </c>
      <c r="D11" s="131" t="s">
        <v>1621</v>
      </c>
      <c r="E11" s="132"/>
      <c r="F11" s="131" t="s">
        <v>1622</v>
      </c>
      <c r="G11" s="131" t="s">
        <v>1623</v>
      </c>
      <c r="H11" s="133"/>
    </row>
    <row r="12" spans="1:8">
      <c r="A12" s="126" t="s">
        <v>1624</v>
      </c>
      <c r="B12" s="127" t="s">
        <v>1625</v>
      </c>
      <c r="C12" s="127" t="s">
        <v>1626</v>
      </c>
      <c r="D12" s="127" t="s">
        <v>1627</v>
      </c>
      <c r="E12" s="127" t="s">
        <v>1628</v>
      </c>
      <c r="F12" s="127" t="s">
        <v>1629</v>
      </c>
      <c r="G12" s="127" t="s">
        <v>1630</v>
      </c>
      <c r="H12" s="133"/>
    </row>
    <row r="13" spans="1:8">
      <c r="A13" s="130" t="s">
        <v>1631</v>
      </c>
      <c r="B13" s="131" t="s">
        <v>1632</v>
      </c>
      <c r="C13" s="132"/>
      <c r="D13" s="131" t="s">
        <v>1633</v>
      </c>
      <c r="E13" s="131"/>
      <c r="F13" s="131" t="s">
        <v>1634</v>
      </c>
      <c r="G13" s="131" t="s">
        <v>1635</v>
      </c>
      <c r="H13" s="133"/>
    </row>
    <row r="14" spans="1:8">
      <c r="A14" s="126" t="s">
        <v>1636</v>
      </c>
      <c r="B14" s="127" t="s">
        <v>1637</v>
      </c>
      <c r="C14" s="127" t="s">
        <v>1638</v>
      </c>
      <c r="D14" s="128"/>
      <c r="E14" s="128"/>
      <c r="F14" s="127" t="s">
        <v>1639</v>
      </c>
      <c r="G14" s="127" t="s">
        <v>1640</v>
      </c>
      <c r="H14" s="133"/>
    </row>
    <row r="15" spans="1:8">
      <c r="A15" s="130" t="s">
        <v>1641</v>
      </c>
      <c r="B15" s="131" t="s">
        <v>1642</v>
      </c>
      <c r="C15" s="131" t="s">
        <v>1643</v>
      </c>
      <c r="D15" s="132"/>
      <c r="E15" s="132"/>
      <c r="F15" s="131" t="s">
        <v>1644</v>
      </c>
      <c r="G15" s="131" t="s">
        <v>1645</v>
      </c>
      <c r="H15" s="133"/>
    </row>
    <row r="16" spans="1:8">
      <c r="A16" s="126" t="s">
        <v>1646</v>
      </c>
      <c r="B16" s="127" t="s">
        <v>1647</v>
      </c>
      <c r="C16" s="127" t="s">
        <v>1648</v>
      </c>
      <c r="D16" s="128"/>
      <c r="E16" s="127" t="s">
        <v>1649</v>
      </c>
      <c r="F16" s="127" t="s">
        <v>1650</v>
      </c>
      <c r="G16" s="127" t="s">
        <v>1651</v>
      </c>
      <c r="H16" s="133"/>
    </row>
    <row r="17" spans="1:8">
      <c r="A17" s="130" t="s">
        <v>1652</v>
      </c>
      <c r="B17" s="131" t="s">
        <v>1653</v>
      </c>
      <c r="C17" s="131" t="s">
        <v>1654</v>
      </c>
      <c r="D17" s="132"/>
      <c r="E17" s="132"/>
      <c r="F17" s="131" t="s">
        <v>1655</v>
      </c>
      <c r="G17" s="131" t="s">
        <v>1656</v>
      </c>
      <c r="H17" s="133"/>
    </row>
    <row r="18" spans="1:8">
      <c r="A18" s="126" t="s">
        <v>1657</v>
      </c>
      <c r="B18" s="127" t="s">
        <v>1658</v>
      </c>
      <c r="C18" s="127" t="s">
        <v>1659</v>
      </c>
      <c r="D18" s="127" t="s">
        <v>1660</v>
      </c>
      <c r="E18" s="128"/>
      <c r="F18" s="127" t="s">
        <v>1661</v>
      </c>
      <c r="G18" s="127" t="s">
        <v>1662</v>
      </c>
      <c r="H18" s="133"/>
    </row>
    <row r="19" spans="1:8">
      <c r="A19" s="130" t="s">
        <v>1663</v>
      </c>
      <c r="B19" s="131" t="s">
        <v>1664</v>
      </c>
      <c r="C19" s="132"/>
      <c r="D19" s="131" t="s">
        <v>1665</v>
      </c>
      <c r="E19" s="132"/>
      <c r="F19" s="131" t="s">
        <v>1666</v>
      </c>
      <c r="G19" s="131" t="s">
        <v>1667</v>
      </c>
      <c r="H19" s="133"/>
    </row>
    <row r="20" spans="1:8">
      <c r="A20" s="126" t="s">
        <v>1668</v>
      </c>
      <c r="B20" s="127" t="s">
        <v>1669</v>
      </c>
      <c r="C20" s="127" t="s">
        <v>1670</v>
      </c>
      <c r="D20" s="128"/>
      <c r="E20" s="127" t="s">
        <v>1671</v>
      </c>
      <c r="F20" s="128"/>
      <c r="G20" s="128"/>
      <c r="H20" s="129"/>
    </row>
    <row r="21" spans="1:8">
      <c r="A21" s="130" t="s">
        <v>1672</v>
      </c>
      <c r="B21" s="131" t="s">
        <v>1673</v>
      </c>
      <c r="C21" s="132"/>
      <c r="D21" s="132"/>
      <c r="E21" s="132"/>
      <c r="F21" s="131" t="s">
        <v>1674</v>
      </c>
      <c r="G21" s="131" t="s">
        <v>1675</v>
      </c>
      <c r="H21" s="133"/>
    </row>
    <row r="22" spans="1:8">
      <c r="A22" s="126" t="s">
        <v>1676</v>
      </c>
      <c r="B22" s="127" t="s">
        <v>1677</v>
      </c>
      <c r="C22" s="128"/>
      <c r="D22" s="128"/>
      <c r="E22" s="128"/>
      <c r="F22" s="127" t="s">
        <v>210</v>
      </c>
      <c r="G22" s="127" t="s">
        <v>1678</v>
      </c>
      <c r="H22" s="133"/>
    </row>
    <row r="23" spans="1:8">
      <c r="A23" s="130" t="s">
        <v>1679</v>
      </c>
      <c r="B23" s="131" t="s">
        <v>1680</v>
      </c>
      <c r="C23" s="131" t="s">
        <v>1681</v>
      </c>
      <c r="D23" s="132"/>
      <c r="E23" s="132"/>
      <c r="F23" s="131" t="s">
        <v>1682</v>
      </c>
      <c r="G23" s="132"/>
      <c r="H23" s="129"/>
    </row>
    <row r="24" spans="1:8">
      <c r="A24" s="126" t="s">
        <v>1683</v>
      </c>
      <c r="B24" s="127" t="s">
        <v>1684</v>
      </c>
      <c r="C24" s="128"/>
      <c r="D24" s="128"/>
      <c r="E24" s="128"/>
      <c r="F24" s="135" t="s">
        <v>1685</v>
      </c>
      <c r="G24" s="128"/>
      <c r="H24" s="129"/>
    </row>
    <row r="25" spans="1:8">
      <c r="A25" s="130" t="s">
        <v>1686</v>
      </c>
      <c r="B25" s="131" t="s">
        <v>1687</v>
      </c>
      <c r="C25" s="132"/>
      <c r="D25" s="132"/>
      <c r="E25" s="132"/>
      <c r="F25" s="131" t="s">
        <v>1688</v>
      </c>
      <c r="G25" s="131" t="s">
        <v>1689</v>
      </c>
      <c r="H25" s="133"/>
    </row>
    <row r="26" spans="1:8">
      <c r="A26" s="126" t="s">
        <v>1690</v>
      </c>
      <c r="B26" s="127" t="s">
        <v>1691</v>
      </c>
      <c r="C26" s="127" t="s">
        <v>1692</v>
      </c>
      <c r="D26" s="128"/>
      <c r="E26" s="128"/>
      <c r="F26" s="127" t="s">
        <v>1693</v>
      </c>
      <c r="G26" s="128"/>
      <c r="H26" s="129"/>
    </row>
    <row r="27" spans="1:8">
      <c r="A27" s="130" t="s">
        <v>1694</v>
      </c>
      <c r="B27" s="131" t="s">
        <v>1695</v>
      </c>
      <c r="C27" s="132"/>
      <c r="D27" s="132"/>
      <c r="E27" s="132"/>
      <c r="F27" s="131" t="s">
        <v>1696</v>
      </c>
      <c r="G27" s="125" t="s">
        <v>1697</v>
      </c>
      <c r="H27" s="124"/>
    </row>
    <row r="28" spans="1:8">
      <c r="A28" s="126" t="s">
        <v>1698</v>
      </c>
      <c r="B28" s="127" t="s">
        <v>1699</v>
      </c>
      <c r="C28" s="128"/>
      <c r="D28" s="128"/>
      <c r="E28" s="128"/>
      <c r="F28" s="127" t="s">
        <v>1700</v>
      </c>
      <c r="G28" s="127" t="s">
        <v>1701</v>
      </c>
      <c r="H28" s="133"/>
    </row>
    <row r="29" spans="1:8">
      <c r="A29" s="130" t="s">
        <v>1702</v>
      </c>
      <c r="B29" s="131" t="s">
        <v>1703</v>
      </c>
      <c r="C29" s="132"/>
      <c r="D29" s="132"/>
      <c r="E29" s="131" t="s">
        <v>1704</v>
      </c>
      <c r="F29" s="131" t="s">
        <v>1705</v>
      </c>
      <c r="G29" s="131" t="s">
        <v>1706</v>
      </c>
      <c r="H29" s="133"/>
    </row>
    <row r="30" spans="1:8">
      <c r="A30" s="126" t="s">
        <v>1707</v>
      </c>
      <c r="B30" s="127" t="s">
        <v>1708</v>
      </c>
      <c r="C30" s="128"/>
      <c r="D30" s="128"/>
      <c r="E30" s="128"/>
      <c r="F30" s="127" t="s">
        <v>1709</v>
      </c>
      <c r="G30" s="127" t="s">
        <v>1710</v>
      </c>
      <c r="H30" s="133"/>
    </row>
    <row r="31" spans="1:8">
      <c r="A31" s="130" t="s">
        <v>1711</v>
      </c>
      <c r="B31" s="131" t="s">
        <v>1712</v>
      </c>
      <c r="C31" s="131" t="s">
        <v>1713</v>
      </c>
      <c r="D31" s="131" t="s">
        <v>1714</v>
      </c>
      <c r="E31" s="132"/>
      <c r="F31" s="131" t="s">
        <v>1715</v>
      </c>
      <c r="G31" s="131" t="s">
        <v>1716</v>
      </c>
      <c r="H31" s="133"/>
    </row>
    <row r="32" spans="1:8">
      <c r="A32" s="126" t="s">
        <v>1717</v>
      </c>
      <c r="B32" s="136" t="s">
        <v>1718</v>
      </c>
      <c r="C32" s="127" t="s">
        <v>1719</v>
      </c>
      <c r="D32" s="128"/>
      <c r="E32" s="128"/>
      <c r="F32" s="127" t="s">
        <v>1720</v>
      </c>
      <c r="G32" s="127" t="s">
        <v>1721</v>
      </c>
      <c r="H32" s="133"/>
    </row>
    <row r="33" spans="1:8">
      <c r="A33" s="130" t="s">
        <v>1722</v>
      </c>
      <c r="B33" s="131" t="s">
        <v>1723</v>
      </c>
      <c r="C33" s="131" t="s">
        <v>1724</v>
      </c>
      <c r="D33" s="132"/>
      <c r="E33" s="131" t="s">
        <v>1725</v>
      </c>
      <c r="F33" s="131" t="s">
        <v>1726</v>
      </c>
      <c r="G33" s="131" t="s">
        <v>1727</v>
      </c>
      <c r="H33" s="133"/>
    </row>
    <row r="34" spans="1:8">
      <c r="A34" s="126" t="s">
        <v>1728</v>
      </c>
      <c r="B34" s="127" t="s">
        <v>1729</v>
      </c>
      <c r="C34" s="128"/>
      <c r="D34" s="127" t="s">
        <v>1730</v>
      </c>
      <c r="E34" s="127" t="s">
        <v>1731</v>
      </c>
      <c r="F34" s="128"/>
      <c r="G34" s="128"/>
      <c r="H34" s="129"/>
    </row>
    <row r="35" spans="1:8">
      <c r="A35" s="130" t="s">
        <v>1732</v>
      </c>
      <c r="B35" s="131" t="s">
        <v>1733</v>
      </c>
      <c r="C35" s="132"/>
      <c r="D35" s="132"/>
      <c r="E35" s="132"/>
      <c r="F35" s="131" t="s">
        <v>1734</v>
      </c>
      <c r="G35" s="132"/>
      <c r="H35" s="129"/>
    </row>
    <row r="36" spans="1:8">
      <c r="A36" s="126" t="s">
        <v>1735</v>
      </c>
      <c r="B36" s="127" t="s">
        <v>1736</v>
      </c>
      <c r="C36" s="127" t="s">
        <v>1737</v>
      </c>
      <c r="D36" s="128"/>
      <c r="E36" s="128"/>
      <c r="F36" s="127" t="s">
        <v>1738</v>
      </c>
      <c r="G36" s="127" t="s">
        <v>1739</v>
      </c>
      <c r="H36" s="133"/>
    </row>
    <row r="37" spans="1:8">
      <c r="A37" s="130" t="s">
        <v>1740</v>
      </c>
      <c r="B37" s="131" t="s">
        <v>1741</v>
      </c>
      <c r="C37" s="132"/>
      <c r="D37" s="131" t="s">
        <v>1742</v>
      </c>
      <c r="E37" s="132"/>
      <c r="F37" s="131" t="s">
        <v>1634</v>
      </c>
      <c r="G37" s="132"/>
      <c r="H37" s="129"/>
    </row>
    <row r="38" spans="1:8">
      <c r="A38" s="126" t="s">
        <v>1743</v>
      </c>
      <c r="B38" s="127" t="s">
        <v>1744</v>
      </c>
      <c r="C38" s="127" t="s">
        <v>1745</v>
      </c>
      <c r="D38" s="128"/>
      <c r="E38" s="128"/>
      <c r="F38" s="127" t="s">
        <v>1746</v>
      </c>
      <c r="G38" s="127" t="s">
        <v>1747</v>
      </c>
      <c r="H38" s="133"/>
    </row>
    <row r="39" spans="1:8">
      <c r="A39" s="130" t="s">
        <v>1748</v>
      </c>
      <c r="B39" s="131" t="s">
        <v>1749</v>
      </c>
      <c r="C39" s="131" t="s">
        <v>1750</v>
      </c>
      <c r="D39" s="132"/>
      <c r="E39" s="131" t="s">
        <v>1751</v>
      </c>
      <c r="F39" s="131" t="s">
        <v>1752</v>
      </c>
      <c r="G39" s="131" t="s">
        <v>1753</v>
      </c>
      <c r="H39" s="133"/>
    </row>
    <row r="40" spans="1:8">
      <c r="A40" s="126" t="s">
        <v>448</v>
      </c>
      <c r="B40" s="127" t="s">
        <v>1754</v>
      </c>
      <c r="C40" s="128"/>
      <c r="D40" s="128"/>
      <c r="E40" s="128"/>
      <c r="F40" s="127" t="s">
        <v>62</v>
      </c>
      <c r="G40" s="128"/>
      <c r="H40" s="129"/>
    </row>
    <row r="41" spans="1:8" ht="94.5">
      <c r="A41" s="130" t="s">
        <v>1755</v>
      </c>
      <c r="B41" s="134" t="s">
        <v>1756</v>
      </c>
      <c r="C41" s="132"/>
      <c r="D41" s="132"/>
      <c r="E41" s="131" t="s">
        <v>124</v>
      </c>
      <c r="F41" s="132"/>
      <c r="G41" s="131" t="s">
        <v>1757</v>
      </c>
      <c r="H41" s="133"/>
    </row>
    <row r="42" spans="1:8" ht="94.5">
      <c r="A42" s="126" t="s">
        <v>1758</v>
      </c>
      <c r="B42" s="137" t="s">
        <v>1759</v>
      </c>
      <c r="C42" s="127" t="s">
        <v>1760</v>
      </c>
      <c r="D42" s="128"/>
      <c r="E42" s="127" t="s">
        <v>1761</v>
      </c>
      <c r="F42" s="127" t="s">
        <v>1762</v>
      </c>
      <c r="G42" s="128"/>
      <c r="H42" s="129"/>
    </row>
    <row r="43" spans="1:8" ht="110.25">
      <c r="A43" s="130" t="s">
        <v>1763</v>
      </c>
      <c r="B43" s="134" t="s">
        <v>1764</v>
      </c>
      <c r="C43" s="132"/>
      <c r="D43" s="132"/>
      <c r="E43" s="131" t="s">
        <v>121</v>
      </c>
      <c r="F43" s="131" t="s">
        <v>281</v>
      </c>
      <c r="G43" s="132"/>
      <c r="H43" s="129"/>
    </row>
    <row r="44" spans="1:8">
      <c r="A44" s="126" t="s">
        <v>1765</v>
      </c>
      <c r="B44" s="127" t="s">
        <v>1766</v>
      </c>
      <c r="C44" s="128"/>
      <c r="D44" s="128"/>
      <c r="E44" s="128"/>
      <c r="F44" s="127" t="s">
        <v>1767</v>
      </c>
      <c r="G44" s="127" t="s">
        <v>1768</v>
      </c>
      <c r="H44" s="133"/>
    </row>
    <row r="45" spans="1:8">
      <c r="A45" s="130" t="s">
        <v>1769</v>
      </c>
      <c r="B45" s="138" t="s">
        <v>1770</v>
      </c>
      <c r="C45" s="132"/>
      <c r="D45" s="132"/>
      <c r="E45" s="132"/>
      <c r="F45" s="131" t="s">
        <v>1771</v>
      </c>
      <c r="G45" s="131" t="s">
        <v>1772</v>
      </c>
      <c r="H45" s="133"/>
    </row>
    <row r="46" spans="1:8">
      <c r="A46" s="126" t="s">
        <v>1773</v>
      </c>
      <c r="B46" s="127" t="s">
        <v>1774</v>
      </c>
      <c r="C46" s="128"/>
      <c r="D46" s="128"/>
      <c r="E46" s="128"/>
      <c r="F46" s="127" t="s">
        <v>1775</v>
      </c>
      <c r="G46" s="128"/>
      <c r="H46" s="129"/>
    </row>
    <row r="47" spans="1:8">
      <c r="A47" s="130" t="s">
        <v>1776</v>
      </c>
      <c r="B47" s="131" t="s">
        <v>1777</v>
      </c>
      <c r="C47" s="131" t="s">
        <v>1778</v>
      </c>
      <c r="D47" s="131" t="s">
        <v>1779</v>
      </c>
      <c r="E47" s="132"/>
      <c r="F47" s="131" t="s">
        <v>1780</v>
      </c>
      <c r="G47" s="131" t="s">
        <v>1781</v>
      </c>
      <c r="H47" s="133"/>
    </row>
    <row r="48" spans="1:8">
      <c r="A48" s="126" t="s">
        <v>1782</v>
      </c>
      <c r="B48" s="127" t="s">
        <v>1783</v>
      </c>
      <c r="C48" s="127" t="s">
        <v>84</v>
      </c>
      <c r="D48" s="128"/>
      <c r="E48" s="128"/>
      <c r="F48" s="128"/>
      <c r="G48" s="128"/>
      <c r="H48" s="129"/>
    </row>
    <row r="49" spans="1:8">
      <c r="A49" s="130" t="s">
        <v>1784</v>
      </c>
      <c r="B49" s="131" t="s">
        <v>1785</v>
      </c>
      <c r="C49" s="132"/>
      <c r="D49" s="132"/>
      <c r="E49" s="132"/>
      <c r="F49" s="131" t="s">
        <v>1786</v>
      </c>
      <c r="G49" s="132"/>
      <c r="H49" s="129"/>
    </row>
    <row r="50" spans="1:8">
      <c r="A50" s="126" t="s">
        <v>1787</v>
      </c>
      <c r="B50" s="127" t="s">
        <v>1788</v>
      </c>
      <c r="C50" s="128"/>
      <c r="D50" s="128"/>
      <c r="E50" s="128"/>
      <c r="F50" s="127" t="s">
        <v>207</v>
      </c>
      <c r="G50" s="127" t="s">
        <v>1789</v>
      </c>
      <c r="H50" s="133"/>
    </row>
    <row r="51" spans="1:8">
      <c r="A51" s="130" t="s">
        <v>1790</v>
      </c>
      <c r="B51" s="131" t="s">
        <v>1791</v>
      </c>
      <c r="C51" s="131" t="s">
        <v>1792</v>
      </c>
      <c r="D51" s="132"/>
      <c r="E51" s="131" t="s">
        <v>707</v>
      </c>
      <c r="F51" s="131" t="s">
        <v>1793</v>
      </c>
      <c r="G51" s="131" t="s">
        <v>1794</v>
      </c>
      <c r="H51" s="133"/>
    </row>
    <row r="52" spans="1:8">
      <c r="A52" s="126" t="s">
        <v>1795</v>
      </c>
      <c r="B52" s="127" t="s">
        <v>1796</v>
      </c>
      <c r="C52" s="127" t="s">
        <v>204</v>
      </c>
      <c r="D52" s="128"/>
      <c r="E52" s="128"/>
      <c r="F52" s="127" t="s">
        <v>1797</v>
      </c>
      <c r="G52" s="127" t="s">
        <v>1798</v>
      </c>
      <c r="H52" s="133"/>
    </row>
    <row r="53" spans="1:8">
      <c r="A53" s="130" t="s">
        <v>1799</v>
      </c>
      <c r="B53" s="131" t="s">
        <v>1800</v>
      </c>
      <c r="C53" s="132"/>
      <c r="D53" s="132"/>
      <c r="E53" s="132"/>
      <c r="F53" s="131" t="s">
        <v>1801</v>
      </c>
      <c r="G53" s="131" t="s">
        <v>1802</v>
      </c>
      <c r="H53" s="133"/>
    </row>
    <row r="54" spans="1:8">
      <c r="A54" s="126" t="s">
        <v>1803</v>
      </c>
      <c r="B54" s="127" t="s">
        <v>1804</v>
      </c>
      <c r="C54" s="127" t="s">
        <v>1805</v>
      </c>
      <c r="D54" s="128"/>
      <c r="E54" s="128"/>
      <c r="F54" s="127" t="s">
        <v>1806</v>
      </c>
      <c r="G54" s="128"/>
      <c r="H54" s="129"/>
    </row>
    <row r="55" spans="1:8" ht="110.25">
      <c r="A55" s="130" t="s">
        <v>1807</v>
      </c>
      <c r="B55" s="134" t="s">
        <v>1808</v>
      </c>
      <c r="C55" s="132"/>
      <c r="D55" s="132"/>
      <c r="E55" s="131" t="s">
        <v>1809</v>
      </c>
      <c r="F55" s="132"/>
      <c r="G55" s="132"/>
      <c r="H55" s="129"/>
    </row>
    <row r="56" spans="1:8">
      <c r="A56" s="126" t="s">
        <v>1810</v>
      </c>
      <c r="B56" s="127" t="s">
        <v>1811</v>
      </c>
      <c r="C56" s="127" t="s">
        <v>1812</v>
      </c>
      <c r="D56" s="128"/>
      <c r="E56" s="128"/>
      <c r="F56" s="128"/>
      <c r="G56" s="128"/>
      <c r="H56" s="129"/>
    </row>
    <row r="57" spans="1:8" ht="141.75">
      <c r="A57" s="130" t="s">
        <v>1813</v>
      </c>
      <c r="B57" s="134" t="s">
        <v>1814</v>
      </c>
      <c r="C57" s="131" t="s">
        <v>1815</v>
      </c>
      <c r="D57" s="131" t="s">
        <v>1816</v>
      </c>
      <c r="E57" s="131" t="s">
        <v>1817</v>
      </c>
      <c r="F57" s="131" t="s">
        <v>1818</v>
      </c>
      <c r="G57" s="131" t="s">
        <v>1819</v>
      </c>
      <c r="H57" s="133"/>
    </row>
    <row r="58" spans="1:8">
      <c r="A58" s="126" t="s">
        <v>1820</v>
      </c>
      <c r="B58" s="127" t="s">
        <v>1821</v>
      </c>
      <c r="C58" s="127" t="s">
        <v>1822</v>
      </c>
      <c r="D58" s="128"/>
      <c r="E58" s="128"/>
      <c r="F58" s="127" t="s">
        <v>1823</v>
      </c>
      <c r="G58" s="127" t="s">
        <v>1824</v>
      </c>
      <c r="H58" s="133"/>
    </row>
    <row r="59" spans="1:8">
      <c r="A59" s="130" t="s">
        <v>1825</v>
      </c>
      <c r="B59" s="131" t="s">
        <v>1826</v>
      </c>
      <c r="C59" s="131" t="s">
        <v>1760</v>
      </c>
      <c r="D59" s="132"/>
      <c r="E59" s="132"/>
      <c r="F59" s="132"/>
      <c r="G59" s="132"/>
      <c r="H59" s="129"/>
    </row>
    <row r="60" spans="1:8">
      <c r="A60" s="126" t="s">
        <v>1827</v>
      </c>
      <c r="B60" s="127" t="s">
        <v>1828</v>
      </c>
      <c r="C60" s="128"/>
      <c r="D60" s="128"/>
      <c r="E60" s="128"/>
      <c r="F60" s="127" t="s">
        <v>182</v>
      </c>
      <c r="G60" s="128"/>
      <c r="H60" s="129"/>
    </row>
    <row r="61" spans="1:8">
      <c r="A61" s="130" t="s">
        <v>1829</v>
      </c>
      <c r="B61" s="131" t="s">
        <v>1830</v>
      </c>
      <c r="C61" s="132"/>
      <c r="D61" s="132"/>
      <c r="E61" s="132"/>
      <c r="F61" s="131" t="s">
        <v>1831</v>
      </c>
      <c r="G61" s="132"/>
      <c r="H61" s="129"/>
    </row>
    <row r="62" spans="1:8">
      <c r="A62" s="126" t="s">
        <v>1832</v>
      </c>
      <c r="B62" s="127" t="s">
        <v>1833</v>
      </c>
      <c r="C62" s="127" t="s">
        <v>1834</v>
      </c>
      <c r="D62" s="128"/>
      <c r="E62" s="128"/>
      <c r="F62" s="127" t="s">
        <v>1835</v>
      </c>
      <c r="G62" s="128"/>
      <c r="H62" s="129"/>
    </row>
    <row r="63" spans="1:8">
      <c r="A63" s="130" t="s">
        <v>1836</v>
      </c>
      <c r="B63" s="131" t="s">
        <v>1837</v>
      </c>
      <c r="C63" s="131" t="s">
        <v>1838</v>
      </c>
      <c r="D63" s="131" t="s">
        <v>1839</v>
      </c>
      <c r="E63" s="132"/>
      <c r="F63" s="131" t="s">
        <v>1840</v>
      </c>
      <c r="G63" s="131" t="s">
        <v>1841</v>
      </c>
      <c r="H63" s="133"/>
    </row>
    <row r="64" spans="1:8">
      <c r="A64" s="126" t="s">
        <v>1842</v>
      </c>
      <c r="B64" s="127" t="s">
        <v>1843</v>
      </c>
      <c r="C64" s="127" t="s">
        <v>1844</v>
      </c>
      <c r="D64" s="127" t="s">
        <v>1845</v>
      </c>
      <c r="E64" s="128"/>
      <c r="F64" s="127" t="s">
        <v>1846</v>
      </c>
      <c r="G64" s="127" t="s">
        <v>1847</v>
      </c>
      <c r="H64" s="133"/>
    </row>
    <row r="65" spans="1:8">
      <c r="A65" s="130" t="s">
        <v>1848</v>
      </c>
      <c r="B65" s="131" t="s">
        <v>1849</v>
      </c>
      <c r="C65" s="131" t="s">
        <v>1850</v>
      </c>
      <c r="D65" s="132"/>
      <c r="E65" s="132"/>
      <c r="F65" s="131" t="s">
        <v>1851</v>
      </c>
      <c r="G65" s="131" t="s">
        <v>1852</v>
      </c>
      <c r="H65" s="133"/>
    </row>
    <row r="66" spans="1:8">
      <c r="A66" s="126" t="s">
        <v>1853</v>
      </c>
      <c r="B66" s="127" t="s">
        <v>1854</v>
      </c>
      <c r="C66" s="127" t="s">
        <v>1855</v>
      </c>
      <c r="D66" s="128"/>
      <c r="E66" s="128"/>
      <c r="F66" s="127" t="s">
        <v>1856</v>
      </c>
      <c r="G66" s="128"/>
      <c r="H66" s="129"/>
    </row>
    <row r="67" spans="1:8">
      <c r="A67" s="130" t="s">
        <v>1857</v>
      </c>
      <c r="B67" s="138" t="s">
        <v>1858</v>
      </c>
      <c r="C67" s="132"/>
      <c r="D67" s="132"/>
      <c r="E67" s="132"/>
      <c r="F67" s="131" t="s">
        <v>1859</v>
      </c>
      <c r="G67" s="131" t="s">
        <v>1860</v>
      </c>
      <c r="H67" s="133"/>
    </row>
    <row r="68" spans="1:8">
      <c r="A68" s="126" t="s">
        <v>1861</v>
      </c>
      <c r="B68" s="127" t="s">
        <v>1862</v>
      </c>
      <c r="C68" s="127" t="s">
        <v>1863</v>
      </c>
      <c r="D68" s="127" t="s">
        <v>1864</v>
      </c>
      <c r="E68" s="128"/>
      <c r="F68" s="127" t="s">
        <v>1865</v>
      </c>
      <c r="G68" s="127" t="s">
        <v>1866</v>
      </c>
      <c r="H68" s="133"/>
    </row>
    <row r="69" spans="1:8">
      <c r="A69" s="130" t="s">
        <v>1867</v>
      </c>
      <c r="B69" s="131" t="s">
        <v>1868</v>
      </c>
      <c r="C69" s="131" t="s">
        <v>1869</v>
      </c>
      <c r="D69" s="132"/>
      <c r="E69" s="132"/>
      <c r="F69" s="131" t="s">
        <v>1870</v>
      </c>
      <c r="G69" s="131" t="s">
        <v>1871</v>
      </c>
      <c r="H69" s="133"/>
    </row>
    <row r="70" spans="1:8">
      <c r="A70" s="126" t="s">
        <v>1872</v>
      </c>
      <c r="B70" s="127" t="s">
        <v>1873</v>
      </c>
      <c r="C70" s="128"/>
      <c r="D70" s="128"/>
      <c r="E70" s="128"/>
      <c r="F70" s="128"/>
      <c r="G70" s="127" t="s">
        <v>1874</v>
      </c>
      <c r="H70" s="133"/>
    </row>
    <row r="71" spans="1:8">
      <c r="A71" s="130" t="s">
        <v>1875</v>
      </c>
      <c r="B71" s="131" t="s">
        <v>1876</v>
      </c>
      <c r="C71" s="132"/>
      <c r="D71" s="132"/>
      <c r="E71" s="132"/>
      <c r="F71" s="131" t="s">
        <v>1877</v>
      </c>
      <c r="G71" s="132"/>
      <c r="H71" s="129"/>
    </row>
    <row r="72" spans="1:8">
      <c r="A72" s="126" t="s">
        <v>1878</v>
      </c>
      <c r="B72" s="127" t="s">
        <v>1879</v>
      </c>
      <c r="C72" s="128"/>
      <c r="D72" s="127" t="s">
        <v>1880</v>
      </c>
      <c r="E72" s="128"/>
      <c r="F72" s="127" t="s">
        <v>1881</v>
      </c>
      <c r="G72" s="127" t="s">
        <v>1882</v>
      </c>
      <c r="H72" s="133"/>
    </row>
    <row r="73" spans="1:8">
      <c r="A73" s="130" t="s">
        <v>1883</v>
      </c>
      <c r="B73" s="131" t="s">
        <v>1884</v>
      </c>
      <c r="C73" s="131" t="s">
        <v>1885</v>
      </c>
      <c r="D73" s="132"/>
      <c r="E73" s="132"/>
      <c r="F73" s="131" t="s">
        <v>1886</v>
      </c>
      <c r="G73" s="131" t="s">
        <v>1887</v>
      </c>
      <c r="H73" s="133"/>
    </row>
    <row r="74" spans="1:8">
      <c r="A74" s="126" t="s">
        <v>1888</v>
      </c>
      <c r="B74" s="127" t="s">
        <v>1889</v>
      </c>
      <c r="C74" s="128"/>
      <c r="D74" s="128"/>
      <c r="E74" s="128"/>
      <c r="F74" s="127" t="s">
        <v>1890</v>
      </c>
      <c r="G74" s="128"/>
      <c r="H74" s="129"/>
    </row>
    <row r="75" spans="1:8">
      <c r="A75" s="130" t="s">
        <v>1891</v>
      </c>
      <c r="B75" s="131" t="s">
        <v>1892</v>
      </c>
      <c r="C75" s="131" t="s">
        <v>1893</v>
      </c>
      <c r="D75" s="132"/>
      <c r="E75" s="132"/>
      <c r="F75" s="132"/>
      <c r="G75" s="132"/>
      <c r="H75" s="129"/>
    </row>
    <row r="76" spans="1:8">
      <c r="A76" s="126" t="s">
        <v>1894</v>
      </c>
      <c r="B76" s="127" t="s">
        <v>1895</v>
      </c>
      <c r="C76" s="128"/>
      <c r="D76" s="127" t="s">
        <v>1896</v>
      </c>
      <c r="E76" s="128"/>
      <c r="F76" s="128"/>
      <c r="G76" s="128"/>
      <c r="H76" s="129"/>
    </row>
    <row r="77" spans="1:8">
      <c r="A77" s="130" t="s">
        <v>1897</v>
      </c>
      <c r="B77" s="131" t="s">
        <v>1898</v>
      </c>
      <c r="C77" s="131" t="s">
        <v>1899</v>
      </c>
      <c r="D77" s="132"/>
      <c r="E77" s="132"/>
      <c r="F77" s="131" t="s">
        <v>1900</v>
      </c>
      <c r="G77" s="131" t="s">
        <v>1901</v>
      </c>
      <c r="H77" s="133"/>
    </row>
    <row r="78" spans="1:8">
      <c r="A78" s="126" t="s">
        <v>1902</v>
      </c>
      <c r="B78" s="127" t="s">
        <v>1903</v>
      </c>
      <c r="C78" s="127" t="s">
        <v>84</v>
      </c>
      <c r="D78" s="128"/>
      <c r="E78" s="128"/>
      <c r="F78" s="128"/>
      <c r="G78" s="127" t="s">
        <v>1904</v>
      </c>
      <c r="H78" s="133"/>
    </row>
    <row r="79" spans="1:8">
      <c r="A79" s="130" t="s">
        <v>1905</v>
      </c>
      <c r="B79" s="131" t="s">
        <v>1906</v>
      </c>
      <c r="C79" s="132"/>
      <c r="D79" s="132"/>
      <c r="E79" s="132"/>
      <c r="F79" s="131" t="s">
        <v>1907</v>
      </c>
      <c r="G79" s="131" t="s">
        <v>1908</v>
      </c>
      <c r="H79" s="133"/>
    </row>
    <row r="80" spans="1:8">
      <c r="A80" s="126" t="s">
        <v>1909</v>
      </c>
      <c r="B80" s="127" t="s">
        <v>1910</v>
      </c>
      <c r="C80" s="127" t="s">
        <v>204</v>
      </c>
      <c r="D80" s="128"/>
      <c r="E80" s="128"/>
      <c r="F80" s="127" t="s">
        <v>1911</v>
      </c>
      <c r="G80" s="128"/>
      <c r="H80" s="129"/>
    </row>
    <row r="81" spans="1:8">
      <c r="A81" s="130" t="s">
        <v>1912</v>
      </c>
      <c r="B81" s="131" t="s">
        <v>1913</v>
      </c>
      <c r="C81" s="132"/>
      <c r="D81" s="132"/>
      <c r="E81" s="132"/>
      <c r="F81" s="131" t="s">
        <v>1914</v>
      </c>
      <c r="G81" s="131" t="s">
        <v>1915</v>
      </c>
      <c r="H81" s="133"/>
    </row>
    <row r="82" spans="1:8">
      <c r="A82" s="126" t="s">
        <v>1916</v>
      </c>
      <c r="B82" s="136" t="s">
        <v>1917</v>
      </c>
      <c r="C82" s="128"/>
      <c r="D82" s="128"/>
      <c r="E82" s="128"/>
      <c r="F82" s="127" t="s">
        <v>301</v>
      </c>
      <c r="G82" s="128"/>
      <c r="H82" s="129"/>
    </row>
    <row r="83" spans="1:8">
      <c r="A83" s="130" t="s">
        <v>1918</v>
      </c>
      <c r="B83" s="131" t="s">
        <v>1919</v>
      </c>
      <c r="C83" s="131" t="s">
        <v>1920</v>
      </c>
      <c r="D83" s="132"/>
      <c r="E83" s="132"/>
      <c r="F83" s="131" t="s">
        <v>1921</v>
      </c>
      <c r="G83" s="132"/>
      <c r="H83" s="129"/>
    </row>
    <row r="84" spans="1:8">
      <c r="A84" s="126" t="s">
        <v>1922</v>
      </c>
      <c r="B84" s="127" t="s">
        <v>1923</v>
      </c>
      <c r="C84" s="127" t="s">
        <v>1924</v>
      </c>
      <c r="D84" s="127" t="s">
        <v>1925</v>
      </c>
      <c r="E84" s="128"/>
      <c r="F84" s="127" t="s">
        <v>1926</v>
      </c>
      <c r="G84" s="127" t="s">
        <v>1927</v>
      </c>
      <c r="H84" s="133"/>
    </row>
    <row r="85" spans="1:8" ht="94.5">
      <c r="A85" s="130" t="s">
        <v>1928</v>
      </c>
      <c r="B85" s="134" t="s">
        <v>1929</v>
      </c>
      <c r="C85" s="131" t="s">
        <v>1930</v>
      </c>
      <c r="D85" s="131" t="s">
        <v>1931</v>
      </c>
      <c r="E85" s="131" t="s">
        <v>1932</v>
      </c>
      <c r="F85" s="131" t="s">
        <v>1933</v>
      </c>
      <c r="G85" s="132"/>
      <c r="H85" s="129"/>
    </row>
    <row r="86" spans="1:8" ht="12.75">
      <c r="A86" s="139"/>
      <c r="B86" s="139"/>
      <c r="C86" s="139"/>
      <c r="D86" s="139"/>
      <c r="E86" s="139"/>
      <c r="F86" s="139"/>
      <c r="G86" s="139"/>
      <c r="H86" s="129"/>
    </row>
    <row r="87" spans="1:8">
      <c r="A87" s="140" t="s">
        <v>1934</v>
      </c>
      <c r="B87" s="139"/>
      <c r="C87" s="139"/>
      <c r="D87" s="139"/>
      <c r="E87" s="139"/>
      <c r="F87" s="139"/>
      <c r="G87" s="139"/>
      <c r="H87" s="129"/>
    </row>
    <row r="88" spans="1:8" ht="94.5">
      <c r="A88" s="141" t="s">
        <v>1935</v>
      </c>
      <c r="B88" s="142" t="s">
        <v>1936</v>
      </c>
      <c r="C88" s="143"/>
      <c r="D88" s="143"/>
      <c r="E88" s="143"/>
      <c r="F88" s="143"/>
      <c r="G88" s="143"/>
      <c r="H88" s="129"/>
    </row>
    <row r="89" spans="1:8" ht="22.5" customHeight="1">
      <c r="A89" s="140"/>
      <c r="B89" s="144"/>
      <c r="C89" s="139"/>
      <c r="D89" s="139"/>
      <c r="E89" s="139"/>
      <c r="F89" s="139"/>
      <c r="G89" s="139"/>
      <c r="H89" s="129"/>
    </row>
  </sheetData>
  <mergeCells count="4">
    <mergeCell ref="A1:G1"/>
    <mergeCell ref="A2:A3"/>
    <mergeCell ref="B2:B3"/>
    <mergeCell ref="C2:G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86"/>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2.5703125" defaultRowHeight="15.75" customHeight="1"/>
  <cols>
    <col min="1" max="1" width="13.140625" customWidth="1"/>
    <col min="2" max="2" width="11.140625" customWidth="1"/>
    <col min="3" max="30" width="5.28515625" customWidth="1"/>
    <col min="31" max="31" width="6.42578125" customWidth="1"/>
  </cols>
  <sheetData>
    <row r="1" spans="1:31" ht="32.25" customHeight="1">
      <c r="A1" s="145"/>
      <c r="B1" s="146"/>
      <c r="C1" s="333" t="s">
        <v>1937</v>
      </c>
      <c r="D1" s="302"/>
      <c r="E1" s="302"/>
      <c r="F1" s="302"/>
      <c r="G1" s="302"/>
      <c r="H1" s="302"/>
      <c r="I1" s="302"/>
      <c r="J1" s="302"/>
      <c r="K1" s="302"/>
      <c r="L1" s="302"/>
      <c r="M1" s="302"/>
      <c r="N1" s="302"/>
      <c r="O1" s="302"/>
      <c r="P1" s="302"/>
      <c r="Q1" s="302"/>
      <c r="R1" s="302"/>
      <c r="S1" s="302"/>
      <c r="T1" s="302"/>
      <c r="U1" s="302"/>
      <c r="V1" s="302"/>
      <c r="W1" s="302"/>
      <c r="X1" s="302"/>
      <c r="Y1" s="302"/>
      <c r="Z1" s="302"/>
      <c r="AA1" s="302"/>
      <c r="AB1" s="302"/>
      <c r="AC1" s="302"/>
      <c r="AD1" s="302"/>
      <c r="AE1" s="66"/>
    </row>
    <row r="2" spans="1:31" ht="32.25" customHeight="1">
      <c r="A2" s="145" t="s">
        <v>1938</v>
      </c>
      <c r="B2" s="146" t="s">
        <v>1939</v>
      </c>
      <c r="C2" s="147"/>
      <c r="D2" s="147"/>
      <c r="E2" s="147"/>
      <c r="F2" s="147"/>
      <c r="G2" s="147"/>
      <c r="H2" s="147"/>
      <c r="I2" s="147"/>
      <c r="J2" s="147"/>
      <c r="K2" s="147"/>
      <c r="L2" s="147"/>
      <c r="M2" s="147"/>
      <c r="N2" s="147"/>
      <c r="O2" s="147"/>
      <c r="P2" s="147"/>
      <c r="Q2" s="147"/>
      <c r="R2" s="145"/>
      <c r="S2" s="147"/>
      <c r="T2" s="147"/>
      <c r="U2" s="147"/>
      <c r="V2" s="147"/>
      <c r="W2" s="147"/>
      <c r="X2" s="147"/>
      <c r="Y2" s="147"/>
      <c r="Z2" s="147"/>
      <c r="AA2" s="147"/>
      <c r="AB2" s="147"/>
      <c r="AC2" s="145"/>
      <c r="AD2" s="145"/>
      <c r="AE2" s="145"/>
    </row>
    <row r="3" spans="1:31" ht="15">
      <c r="A3" s="145"/>
      <c r="B3" s="146"/>
      <c r="C3" s="147"/>
      <c r="D3" s="147"/>
      <c r="E3" s="147"/>
      <c r="F3" s="147"/>
      <c r="G3" s="147"/>
      <c r="H3" s="147"/>
      <c r="I3" s="147"/>
      <c r="J3" s="147"/>
      <c r="K3" s="147"/>
      <c r="L3" s="147"/>
      <c r="M3" s="147"/>
      <c r="N3" s="147"/>
      <c r="O3" s="147"/>
      <c r="P3" s="147"/>
      <c r="Q3" s="147"/>
      <c r="R3" s="145"/>
      <c r="S3" s="147"/>
      <c r="T3" s="147"/>
      <c r="U3" s="147"/>
      <c r="V3" s="147"/>
      <c r="W3" s="147"/>
      <c r="X3" s="147"/>
      <c r="Y3" s="147"/>
      <c r="Z3" s="147"/>
      <c r="AA3" s="147"/>
      <c r="AB3" s="147"/>
      <c r="AC3" s="145"/>
      <c r="AD3" s="145"/>
      <c r="AE3" s="145"/>
    </row>
    <row r="4" spans="1:31" ht="15">
      <c r="A4" s="148" t="s">
        <v>1702</v>
      </c>
      <c r="B4" s="148" t="s">
        <v>1940</v>
      </c>
      <c r="C4" s="148">
        <v>0</v>
      </c>
      <c r="D4" s="148">
        <v>1</v>
      </c>
      <c r="E4" s="148">
        <v>1</v>
      </c>
      <c r="F4" s="148">
        <v>1</v>
      </c>
      <c r="G4" s="148">
        <v>1</v>
      </c>
      <c r="H4" s="148">
        <v>0</v>
      </c>
      <c r="I4" s="148">
        <v>1</v>
      </c>
      <c r="J4" s="148">
        <v>1</v>
      </c>
      <c r="K4" s="148">
        <v>0</v>
      </c>
      <c r="L4" s="148">
        <v>0</v>
      </c>
      <c r="M4" s="148">
        <v>0</v>
      </c>
      <c r="N4" s="148">
        <v>0</v>
      </c>
      <c r="O4" s="148">
        <v>0</v>
      </c>
      <c r="P4" s="148">
        <v>0</v>
      </c>
      <c r="Q4" s="148">
        <v>0</v>
      </c>
      <c r="R4" s="148">
        <v>0</v>
      </c>
      <c r="S4" s="148">
        <v>1</v>
      </c>
      <c r="T4" s="148">
        <v>1</v>
      </c>
      <c r="U4" s="148">
        <v>1</v>
      </c>
      <c r="V4" s="148">
        <v>1</v>
      </c>
      <c r="W4" s="148">
        <v>0</v>
      </c>
      <c r="X4" s="148">
        <v>1</v>
      </c>
      <c r="Y4" s="148">
        <v>1</v>
      </c>
      <c r="Z4" s="148">
        <v>1</v>
      </c>
      <c r="AA4" s="148">
        <v>1</v>
      </c>
      <c r="AB4" s="148">
        <v>1</v>
      </c>
      <c r="AC4" s="148">
        <v>1</v>
      </c>
      <c r="AD4" s="148"/>
      <c r="AE4" s="148"/>
    </row>
    <row r="5" spans="1:31" ht="15">
      <c r="A5" s="149" t="s">
        <v>1728</v>
      </c>
      <c r="B5" s="149" t="s">
        <v>1940</v>
      </c>
      <c r="C5" s="149">
        <v>0</v>
      </c>
      <c r="D5" s="149">
        <v>0</v>
      </c>
      <c r="E5" s="149">
        <v>0</v>
      </c>
      <c r="F5" s="149">
        <v>0</v>
      </c>
      <c r="G5" s="149">
        <v>0</v>
      </c>
      <c r="H5" s="149">
        <v>0</v>
      </c>
      <c r="I5" s="149">
        <v>0</v>
      </c>
      <c r="J5" s="149">
        <v>0</v>
      </c>
      <c r="K5" s="149">
        <v>0</v>
      </c>
      <c r="L5" s="149">
        <v>0</v>
      </c>
      <c r="M5" s="149">
        <v>0</v>
      </c>
      <c r="N5" s="149">
        <v>0</v>
      </c>
      <c r="O5" s="149">
        <v>0</v>
      </c>
      <c r="P5" s="149">
        <v>0</v>
      </c>
      <c r="Q5" s="149">
        <v>0</v>
      </c>
      <c r="R5" s="149">
        <v>0</v>
      </c>
      <c r="S5" s="149">
        <v>0</v>
      </c>
      <c r="T5" s="149">
        <v>0</v>
      </c>
      <c r="U5" s="149">
        <v>0</v>
      </c>
      <c r="V5" s="149">
        <v>0</v>
      </c>
      <c r="W5" s="149">
        <v>0</v>
      </c>
      <c r="X5" s="149">
        <v>0</v>
      </c>
      <c r="Y5" s="149">
        <v>0</v>
      </c>
      <c r="Z5" s="149">
        <v>0</v>
      </c>
      <c r="AA5" s="149">
        <v>0</v>
      </c>
      <c r="AB5" s="149">
        <v>0</v>
      </c>
      <c r="AC5" s="149">
        <v>0</v>
      </c>
      <c r="AD5" s="149">
        <v>1</v>
      </c>
      <c r="AE5" s="149"/>
    </row>
    <row r="6" spans="1:31" ht="15">
      <c r="A6" s="148" t="s">
        <v>1748</v>
      </c>
      <c r="B6" s="148" t="s">
        <v>1940</v>
      </c>
      <c r="C6" s="148">
        <v>0</v>
      </c>
      <c r="D6" s="148">
        <v>1</v>
      </c>
      <c r="E6" s="148">
        <v>1</v>
      </c>
      <c r="F6" s="148">
        <v>1</v>
      </c>
      <c r="G6" s="148">
        <v>1</v>
      </c>
      <c r="H6" s="148">
        <v>0</v>
      </c>
      <c r="I6" s="148">
        <v>1</v>
      </c>
      <c r="J6" s="148">
        <v>1</v>
      </c>
      <c r="K6" s="148">
        <v>0</v>
      </c>
      <c r="L6" s="148">
        <v>0</v>
      </c>
      <c r="M6" s="148">
        <v>0</v>
      </c>
      <c r="N6" s="148">
        <v>0</v>
      </c>
      <c r="O6" s="148">
        <v>0</v>
      </c>
      <c r="P6" s="148">
        <v>0</v>
      </c>
      <c r="Q6" s="148">
        <v>0</v>
      </c>
      <c r="R6" s="148">
        <v>0</v>
      </c>
      <c r="S6" s="148">
        <v>1</v>
      </c>
      <c r="T6" s="148">
        <v>1</v>
      </c>
      <c r="U6" s="148">
        <v>1</v>
      </c>
      <c r="V6" s="148">
        <v>1</v>
      </c>
      <c r="W6" s="148">
        <v>0</v>
      </c>
      <c r="X6" s="148">
        <v>1</v>
      </c>
      <c r="Y6" s="148">
        <v>1</v>
      </c>
      <c r="Z6" s="148">
        <v>1</v>
      </c>
      <c r="AA6" s="148">
        <v>1</v>
      </c>
      <c r="AB6" s="148">
        <v>1</v>
      </c>
      <c r="AC6" s="148">
        <v>1</v>
      </c>
      <c r="AD6" s="148"/>
      <c r="AE6" s="148"/>
    </row>
    <row r="7" spans="1:31" ht="15">
      <c r="A7" s="149" t="s">
        <v>1836</v>
      </c>
      <c r="B7" s="149" t="s">
        <v>1940</v>
      </c>
      <c r="C7" s="149">
        <v>0</v>
      </c>
      <c r="D7" s="149">
        <v>1</v>
      </c>
      <c r="E7" s="149">
        <v>0</v>
      </c>
      <c r="F7" s="149">
        <v>0</v>
      </c>
      <c r="G7" s="149">
        <v>0</v>
      </c>
      <c r="H7" s="149">
        <v>0</v>
      </c>
      <c r="I7" s="149">
        <v>1</v>
      </c>
      <c r="J7" s="149">
        <v>0</v>
      </c>
      <c r="K7" s="149">
        <v>0</v>
      </c>
      <c r="L7" s="149">
        <v>0</v>
      </c>
      <c r="M7" s="149">
        <v>0</v>
      </c>
      <c r="N7" s="149">
        <v>0</v>
      </c>
      <c r="O7" s="149">
        <v>0</v>
      </c>
      <c r="P7" s="149">
        <v>0</v>
      </c>
      <c r="Q7" s="149">
        <v>0</v>
      </c>
      <c r="R7" s="149">
        <v>0</v>
      </c>
      <c r="S7" s="149">
        <v>0</v>
      </c>
      <c r="T7" s="149">
        <v>0</v>
      </c>
      <c r="U7" s="149">
        <v>1</v>
      </c>
      <c r="V7" s="149">
        <v>1</v>
      </c>
      <c r="W7" s="149">
        <v>0</v>
      </c>
      <c r="X7" s="149">
        <v>0</v>
      </c>
      <c r="Y7" s="149">
        <v>0</v>
      </c>
      <c r="Z7" s="149">
        <v>0</v>
      </c>
      <c r="AA7" s="149">
        <v>0</v>
      </c>
      <c r="AB7" s="149">
        <v>0</v>
      </c>
      <c r="AC7" s="149">
        <v>0</v>
      </c>
      <c r="AD7" s="149">
        <v>1</v>
      </c>
      <c r="AE7" s="149"/>
    </row>
    <row r="8" spans="1:31" ht="15">
      <c r="A8" s="148" t="s">
        <v>1872</v>
      </c>
      <c r="B8" s="148" t="s">
        <v>1940</v>
      </c>
      <c r="C8" s="148">
        <v>0</v>
      </c>
      <c r="D8" s="148">
        <v>0</v>
      </c>
      <c r="E8" s="148">
        <v>1</v>
      </c>
      <c r="F8" s="148">
        <v>1</v>
      </c>
      <c r="G8" s="148">
        <v>1</v>
      </c>
      <c r="H8" s="148">
        <v>0</v>
      </c>
      <c r="I8" s="148">
        <v>0</v>
      </c>
      <c r="J8" s="148">
        <v>1</v>
      </c>
      <c r="K8" s="148">
        <v>0</v>
      </c>
      <c r="L8" s="148">
        <v>0</v>
      </c>
      <c r="M8" s="148">
        <v>0</v>
      </c>
      <c r="N8" s="148">
        <v>0</v>
      </c>
      <c r="O8" s="148">
        <v>0</v>
      </c>
      <c r="P8" s="148">
        <v>0</v>
      </c>
      <c r="Q8" s="148">
        <v>0</v>
      </c>
      <c r="R8" s="148">
        <v>0</v>
      </c>
      <c r="S8" s="148">
        <v>1</v>
      </c>
      <c r="T8" s="148">
        <v>1</v>
      </c>
      <c r="U8" s="148">
        <v>0</v>
      </c>
      <c r="V8" s="148">
        <v>0</v>
      </c>
      <c r="W8" s="148">
        <v>0</v>
      </c>
      <c r="X8" s="148">
        <v>1</v>
      </c>
      <c r="Y8" s="148">
        <v>1</v>
      </c>
      <c r="Z8" s="148">
        <v>1</v>
      </c>
      <c r="AA8" s="148">
        <v>1</v>
      </c>
      <c r="AB8" s="148">
        <v>1</v>
      </c>
      <c r="AC8" s="148">
        <v>1</v>
      </c>
      <c r="AD8" s="148"/>
      <c r="AE8" s="148"/>
    </row>
    <row r="9" spans="1:31" ht="15">
      <c r="A9" s="149" t="s">
        <v>1624</v>
      </c>
      <c r="B9" s="149" t="s">
        <v>1941</v>
      </c>
      <c r="C9" s="149">
        <v>0</v>
      </c>
      <c r="D9" s="149">
        <v>1</v>
      </c>
      <c r="E9" s="149">
        <v>1</v>
      </c>
      <c r="F9" s="149">
        <v>1</v>
      </c>
      <c r="G9" s="149">
        <v>1</v>
      </c>
      <c r="H9" s="149">
        <v>0</v>
      </c>
      <c r="I9" s="149">
        <v>1</v>
      </c>
      <c r="J9" s="149">
        <v>1</v>
      </c>
      <c r="K9" s="149">
        <v>0</v>
      </c>
      <c r="L9" s="149">
        <v>0</v>
      </c>
      <c r="M9" s="149">
        <v>0</v>
      </c>
      <c r="N9" s="149">
        <v>0</v>
      </c>
      <c r="O9" s="149">
        <v>0</v>
      </c>
      <c r="P9" s="149">
        <v>0</v>
      </c>
      <c r="Q9" s="149">
        <v>0</v>
      </c>
      <c r="R9" s="149">
        <v>0</v>
      </c>
      <c r="S9" s="149">
        <v>1</v>
      </c>
      <c r="T9" s="149">
        <v>1</v>
      </c>
      <c r="U9" s="149">
        <v>1</v>
      </c>
      <c r="V9" s="149">
        <v>1</v>
      </c>
      <c r="W9" s="149">
        <v>0</v>
      </c>
      <c r="X9" s="149">
        <v>1</v>
      </c>
      <c r="Y9" s="149">
        <v>1</v>
      </c>
      <c r="Z9" s="149">
        <v>1</v>
      </c>
      <c r="AA9" s="149">
        <v>1</v>
      </c>
      <c r="AB9" s="149">
        <v>1</v>
      </c>
      <c r="AC9" s="149">
        <v>1</v>
      </c>
      <c r="AD9" s="149">
        <v>1</v>
      </c>
      <c r="AE9" s="149"/>
    </row>
    <row r="10" spans="1:31" ht="15">
      <c r="A10" s="148" t="s">
        <v>1668</v>
      </c>
      <c r="B10" s="148" t="s">
        <v>1941</v>
      </c>
      <c r="C10" s="148">
        <v>0</v>
      </c>
      <c r="D10" s="148">
        <v>1</v>
      </c>
      <c r="E10" s="148">
        <v>1</v>
      </c>
      <c r="F10" s="148">
        <v>1</v>
      </c>
      <c r="G10" s="148">
        <v>1</v>
      </c>
      <c r="H10" s="148">
        <v>0</v>
      </c>
      <c r="I10" s="148">
        <v>1</v>
      </c>
      <c r="J10" s="148">
        <v>1</v>
      </c>
      <c r="K10" s="148">
        <v>0</v>
      </c>
      <c r="L10" s="148">
        <v>0</v>
      </c>
      <c r="M10" s="148">
        <v>0</v>
      </c>
      <c r="N10" s="148">
        <v>0</v>
      </c>
      <c r="O10" s="148">
        <v>0</v>
      </c>
      <c r="P10" s="148">
        <v>0</v>
      </c>
      <c r="Q10" s="148">
        <v>0</v>
      </c>
      <c r="R10" s="148">
        <v>0</v>
      </c>
      <c r="S10" s="148">
        <v>1</v>
      </c>
      <c r="T10" s="148">
        <v>1</v>
      </c>
      <c r="U10" s="148">
        <v>1</v>
      </c>
      <c r="V10" s="148">
        <v>1</v>
      </c>
      <c r="W10" s="148">
        <v>0</v>
      </c>
      <c r="X10" s="148">
        <v>1</v>
      </c>
      <c r="Y10" s="148">
        <v>1</v>
      </c>
      <c r="Z10" s="148">
        <v>1</v>
      </c>
      <c r="AA10" s="148">
        <v>1</v>
      </c>
      <c r="AB10" s="148">
        <v>1</v>
      </c>
      <c r="AC10" s="148">
        <v>1</v>
      </c>
      <c r="AD10" s="148"/>
      <c r="AE10" s="148"/>
    </row>
    <row r="11" spans="1:31" ht="15">
      <c r="A11" s="149" t="s">
        <v>1595</v>
      </c>
      <c r="B11" s="149" t="s">
        <v>1942</v>
      </c>
      <c r="C11" s="149">
        <v>0</v>
      </c>
      <c r="D11" s="149">
        <v>0</v>
      </c>
      <c r="E11" s="149">
        <v>1</v>
      </c>
      <c r="F11" s="149">
        <v>1</v>
      </c>
      <c r="G11" s="149">
        <v>1</v>
      </c>
      <c r="H11" s="149">
        <v>0</v>
      </c>
      <c r="I11" s="149">
        <v>0</v>
      </c>
      <c r="J11" s="149">
        <v>1</v>
      </c>
      <c r="K11" s="149">
        <v>0</v>
      </c>
      <c r="L11" s="149">
        <v>0</v>
      </c>
      <c r="M11" s="149">
        <v>1</v>
      </c>
      <c r="N11" s="149">
        <v>1</v>
      </c>
      <c r="O11" s="149">
        <v>1</v>
      </c>
      <c r="P11" s="149">
        <v>0</v>
      </c>
      <c r="Q11" s="149">
        <v>0</v>
      </c>
      <c r="R11" s="149">
        <v>1</v>
      </c>
      <c r="S11" s="149">
        <v>0</v>
      </c>
      <c r="T11" s="149">
        <v>0</v>
      </c>
      <c r="U11" s="149">
        <v>0</v>
      </c>
      <c r="V11" s="149">
        <v>0</v>
      </c>
      <c r="W11" s="149">
        <v>0</v>
      </c>
      <c r="X11" s="149">
        <v>0</v>
      </c>
      <c r="Y11" s="149">
        <v>0</v>
      </c>
      <c r="Z11" s="149">
        <v>0</v>
      </c>
      <c r="AA11" s="149">
        <v>0</v>
      </c>
      <c r="AB11" s="149">
        <v>0</v>
      </c>
      <c r="AC11" s="149">
        <v>0</v>
      </c>
      <c r="AD11" s="149">
        <v>1</v>
      </c>
      <c r="AE11" s="149"/>
    </row>
    <row r="12" spans="1:31" ht="15">
      <c r="A12" s="148" t="s">
        <v>1618</v>
      </c>
      <c r="B12" s="148" t="s">
        <v>1942</v>
      </c>
      <c r="C12" s="148">
        <v>0</v>
      </c>
      <c r="D12" s="148">
        <v>0</v>
      </c>
      <c r="E12" s="148">
        <v>1</v>
      </c>
      <c r="F12" s="148">
        <v>1</v>
      </c>
      <c r="G12" s="148">
        <v>1</v>
      </c>
      <c r="H12" s="148">
        <v>0</v>
      </c>
      <c r="I12" s="148">
        <v>0</v>
      </c>
      <c r="J12" s="148">
        <v>1</v>
      </c>
      <c r="K12" s="148">
        <v>0</v>
      </c>
      <c r="L12" s="148">
        <v>0</v>
      </c>
      <c r="M12" s="148">
        <v>1</v>
      </c>
      <c r="N12" s="148">
        <v>1</v>
      </c>
      <c r="O12" s="148">
        <v>1</v>
      </c>
      <c r="P12" s="148">
        <v>0</v>
      </c>
      <c r="Q12" s="148">
        <v>0</v>
      </c>
      <c r="R12" s="148">
        <v>1</v>
      </c>
      <c r="S12" s="148">
        <v>0</v>
      </c>
      <c r="T12" s="148">
        <v>0</v>
      </c>
      <c r="U12" s="148">
        <v>0</v>
      </c>
      <c r="V12" s="148">
        <v>0</v>
      </c>
      <c r="W12" s="148">
        <v>0</v>
      </c>
      <c r="X12" s="148">
        <v>0</v>
      </c>
      <c r="Y12" s="148">
        <v>0</v>
      </c>
      <c r="Z12" s="148">
        <v>0</v>
      </c>
      <c r="AA12" s="148">
        <v>0</v>
      </c>
      <c r="AB12" s="148">
        <v>0</v>
      </c>
      <c r="AC12" s="148">
        <v>0</v>
      </c>
      <c r="AD12" s="148">
        <v>1</v>
      </c>
      <c r="AE12" s="148"/>
    </row>
    <row r="13" spans="1:31" ht="15">
      <c r="A13" s="149" t="s">
        <v>1803</v>
      </c>
      <c r="B13" s="149" t="s">
        <v>1942</v>
      </c>
      <c r="C13" s="149">
        <v>0</v>
      </c>
      <c r="D13" s="149">
        <v>0</v>
      </c>
      <c r="E13" s="149">
        <v>1</v>
      </c>
      <c r="F13" s="149">
        <v>1</v>
      </c>
      <c r="G13" s="149">
        <v>1</v>
      </c>
      <c r="H13" s="149">
        <v>0</v>
      </c>
      <c r="I13" s="149">
        <v>0</v>
      </c>
      <c r="J13" s="149">
        <v>1</v>
      </c>
      <c r="K13" s="149">
        <v>0</v>
      </c>
      <c r="L13" s="149">
        <v>0</v>
      </c>
      <c r="M13" s="149">
        <v>1</v>
      </c>
      <c r="N13" s="149">
        <v>1</v>
      </c>
      <c r="O13" s="149">
        <v>1</v>
      </c>
      <c r="P13" s="149">
        <v>0</v>
      </c>
      <c r="Q13" s="149">
        <v>0</v>
      </c>
      <c r="R13" s="149">
        <v>1</v>
      </c>
      <c r="S13" s="149">
        <v>0</v>
      </c>
      <c r="T13" s="149">
        <v>0</v>
      </c>
      <c r="U13" s="149">
        <v>0</v>
      </c>
      <c r="V13" s="149">
        <v>0</v>
      </c>
      <c r="W13" s="149">
        <v>0</v>
      </c>
      <c r="X13" s="149">
        <v>0</v>
      </c>
      <c r="Y13" s="149">
        <v>0</v>
      </c>
      <c r="Z13" s="149">
        <v>0</v>
      </c>
      <c r="AA13" s="149">
        <v>0</v>
      </c>
      <c r="AB13" s="149">
        <v>0</v>
      </c>
      <c r="AC13" s="149">
        <v>0</v>
      </c>
      <c r="AD13" s="149"/>
      <c r="AE13" s="149"/>
    </row>
    <row r="14" spans="1:31" ht="15">
      <c r="A14" s="148" t="s">
        <v>1842</v>
      </c>
      <c r="B14" s="148" t="s">
        <v>1942</v>
      </c>
      <c r="C14" s="148">
        <v>0</v>
      </c>
      <c r="D14" s="148">
        <v>0</v>
      </c>
      <c r="E14" s="148">
        <v>1</v>
      </c>
      <c r="F14" s="148">
        <v>1</v>
      </c>
      <c r="G14" s="148">
        <v>1</v>
      </c>
      <c r="H14" s="148">
        <v>0</v>
      </c>
      <c r="I14" s="148">
        <v>0</v>
      </c>
      <c r="J14" s="148">
        <v>1</v>
      </c>
      <c r="K14" s="148">
        <v>0</v>
      </c>
      <c r="L14" s="148">
        <v>0</v>
      </c>
      <c r="M14" s="148">
        <v>1</v>
      </c>
      <c r="N14" s="148">
        <v>1</v>
      </c>
      <c r="O14" s="148">
        <v>1</v>
      </c>
      <c r="P14" s="148">
        <v>0</v>
      </c>
      <c r="Q14" s="148">
        <v>0</v>
      </c>
      <c r="R14" s="148">
        <v>1</v>
      </c>
      <c r="S14" s="148">
        <v>0</v>
      </c>
      <c r="T14" s="148">
        <v>0</v>
      </c>
      <c r="U14" s="148">
        <v>0</v>
      </c>
      <c r="V14" s="148">
        <v>0</v>
      </c>
      <c r="W14" s="148">
        <v>0</v>
      </c>
      <c r="X14" s="148">
        <v>0</v>
      </c>
      <c r="Y14" s="148">
        <v>0</v>
      </c>
      <c r="Z14" s="148">
        <v>0</v>
      </c>
      <c r="AA14" s="148">
        <v>0</v>
      </c>
      <c r="AB14" s="148">
        <v>0</v>
      </c>
      <c r="AC14" s="148">
        <v>0</v>
      </c>
      <c r="AD14" s="148">
        <v>1</v>
      </c>
      <c r="AE14" s="148"/>
    </row>
    <row r="15" spans="1:31" ht="15">
      <c r="A15" s="149" t="s">
        <v>1848</v>
      </c>
      <c r="B15" s="149" t="s">
        <v>1942</v>
      </c>
      <c r="C15" s="149">
        <v>0</v>
      </c>
      <c r="D15" s="149">
        <v>0</v>
      </c>
      <c r="E15" s="149">
        <v>1</v>
      </c>
      <c r="F15" s="149">
        <v>1</v>
      </c>
      <c r="G15" s="149">
        <v>1</v>
      </c>
      <c r="H15" s="149">
        <v>0</v>
      </c>
      <c r="I15" s="149">
        <v>0</v>
      </c>
      <c r="J15" s="149">
        <v>1</v>
      </c>
      <c r="K15" s="149">
        <v>0</v>
      </c>
      <c r="L15" s="149">
        <v>0</v>
      </c>
      <c r="M15" s="149">
        <v>1</v>
      </c>
      <c r="N15" s="149">
        <v>1</v>
      </c>
      <c r="O15" s="149">
        <v>1</v>
      </c>
      <c r="P15" s="149">
        <v>0</v>
      </c>
      <c r="Q15" s="149">
        <v>0</v>
      </c>
      <c r="R15" s="149">
        <v>1</v>
      </c>
      <c r="S15" s="149">
        <v>0</v>
      </c>
      <c r="T15" s="149">
        <v>0</v>
      </c>
      <c r="U15" s="149">
        <v>0</v>
      </c>
      <c r="V15" s="149">
        <v>0</v>
      </c>
      <c r="W15" s="149">
        <v>0</v>
      </c>
      <c r="X15" s="149">
        <v>0</v>
      </c>
      <c r="Y15" s="149">
        <v>0</v>
      </c>
      <c r="Z15" s="149">
        <v>0</v>
      </c>
      <c r="AA15" s="149">
        <v>0</v>
      </c>
      <c r="AB15" s="149">
        <v>0</v>
      </c>
      <c r="AC15" s="149">
        <v>0</v>
      </c>
      <c r="AD15" s="149"/>
      <c r="AE15" s="149"/>
    </row>
    <row r="16" spans="1:31" ht="15">
      <c r="A16" s="148" t="s">
        <v>1891</v>
      </c>
      <c r="B16" s="148" t="s">
        <v>1942</v>
      </c>
      <c r="C16" s="148">
        <v>0</v>
      </c>
      <c r="D16" s="148">
        <v>0</v>
      </c>
      <c r="E16" s="148">
        <v>1</v>
      </c>
      <c r="F16" s="148">
        <v>1</v>
      </c>
      <c r="G16" s="148">
        <v>1</v>
      </c>
      <c r="H16" s="148">
        <v>0</v>
      </c>
      <c r="I16" s="148">
        <v>0</v>
      </c>
      <c r="J16" s="148">
        <v>1</v>
      </c>
      <c r="K16" s="148">
        <v>0</v>
      </c>
      <c r="L16" s="148">
        <v>0</v>
      </c>
      <c r="M16" s="148">
        <v>1</v>
      </c>
      <c r="N16" s="148">
        <v>1</v>
      </c>
      <c r="O16" s="148">
        <v>1</v>
      </c>
      <c r="P16" s="148">
        <v>0</v>
      </c>
      <c r="Q16" s="148">
        <v>0</v>
      </c>
      <c r="R16" s="148">
        <v>1</v>
      </c>
      <c r="S16" s="148">
        <v>0</v>
      </c>
      <c r="T16" s="148">
        <v>0</v>
      </c>
      <c r="U16" s="148">
        <v>0</v>
      </c>
      <c r="V16" s="148">
        <v>0</v>
      </c>
      <c r="W16" s="148">
        <v>0</v>
      </c>
      <c r="X16" s="148">
        <v>0</v>
      </c>
      <c r="Y16" s="148">
        <v>0</v>
      </c>
      <c r="Z16" s="148">
        <v>0</v>
      </c>
      <c r="AA16" s="148">
        <v>0</v>
      </c>
      <c r="AB16" s="148">
        <v>0</v>
      </c>
      <c r="AC16" s="148">
        <v>0</v>
      </c>
      <c r="AD16" s="148"/>
      <c r="AE16" s="148"/>
    </row>
    <row r="17" spans="1:31" ht="15">
      <c r="A17" s="149" t="s">
        <v>1918</v>
      </c>
      <c r="B17" s="149" t="s">
        <v>1942</v>
      </c>
      <c r="C17" s="149">
        <v>0</v>
      </c>
      <c r="D17" s="149">
        <v>0</v>
      </c>
      <c r="E17" s="149">
        <v>1</v>
      </c>
      <c r="F17" s="149">
        <v>1</v>
      </c>
      <c r="G17" s="149">
        <v>1</v>
      </c>
      <c r="H17" s="149">
        <v>0</v>
      </c>
      <c r="I17" s="149">
        <v>0</v>
      </c>
      <c r="J17" s="149">
        <v>1</v>
      </c>
      <c r="K17" s="149">
        <v>0</v>
      </c>
      <c r="L17" s="149">
        <v>0</v>
      </c>
      <c r="M17" s="149">
        <v>1</v>
      </c>
      <c r="N17" s="149">
        <v>1</v>
      </c>
      <c r="O17" s="149">
        <v>1</v>
      </c>
      <c r="P17" s="149">
        <v>0</v>
      </c>
      <c r="Q17" s="149">
        <v>0</v>
      </c>
      <c r="R17" s="149">
        <v>1</v>
      </c>
      <c r="S17" s="149">
        <v>0</v>
      </c>
      <c r="T17" s="149">
        <v>0</v>
      </c>
      <c r="U17" s="149">
        <v>0</v>
      </c>
      <c r="V17" s="149">
        <v>0</v>
      </c>
      <c r="W17" s="149">
        <v>0</v>
      </c>
      <c r="X17" s="149">
        <v>0</v>
      </c>
      <c r="Y17" s="149">
        <v>0</v>
      </c>
      <c r="Z17" s="149">
        <v>0</v>
      </c>
      <c r="AA17" s="149">
        <v>0</v>
      </c>
      <c r="AB17" s="149">
        <v>0</v>
      </c>
      <c r="AC17" s="149">
        <v>0</v>
      </c>
      <c r="AD17" s="149"/>
      <c r="AE17" s="149"/>
    </row>
    <row r="18" spans="1:31" ht="15">
      <c r="A18" s="148" t="s">
        <v>1636</v>
      </c>
      <c r="B18" s="148" t="s">
        <v>1943</v>
      </c>
      <c r="C18" s="148">
        <v>0</v>
      </c>
      <c r="D18" s="148">
        <v>1</v>
      </c>
      <c r="E18" s="148">
        <v>1</v>
      </c>
      <c r="F18" s="148">
        <v>1</v>
      </c>
      <c r="G18" s="148">
        <v>1</v>
      </c>
      <c r="H18" s="148">
        <v>1</v>
      </c>
      <c r="I18" s="148">
        <v>1</v>
      </c>
      <c r="J18" s="148">
        <v>1</v>
      </c>
      <c r="K18" s="148">
        <v>1</v>
      </c>
      <c r="L18" s="148">
        <v>1</v>
      </c>
      <c r="M18" s="148">
        <v>1</v>
      </c>
      <c r="N18" s="148">
        <v>1</v>
      </c>
      <c r="O18" s="148">
        <v>1</v>
      </c>
      <c r="P18" s="148">
        <v>1</v>
      </c>
      <c r="Q18" s="148">
        <v>1</v>
      </c>
      <c r="R18" s="148">
        <v>1</v>
      </c>
      <c r="S18" s="148">
        <v>1</v>
      </c>
      <c r="T18" s="148">
        <v>1</v>
      </c>
      <c r="U18" s="148">
        <v>1</v>
      </c>
      <c r="V18" s="148">
        <v>1</v>
      </c>
      <c r="W18" s="148">
        <v>1</v>
      </c>
      <c r="X18" s="148">
        <v>1</v>
      </c>
      <c r="Y18" s="148">
        <v>1</v>
      </c>
      <c r="Z18" s="148">
        <v>1</v>
      </c>
      <c r="AA18" s="148">
        <v>1</v>
      </c>
      <c r="AB18" s="148">
        <v>1</v>
      </c>
      <c r="AC18" s="148">
        <v>1</v>
      </c>
      <c r="AD18" s="148"/>
      <c r="AE18" s="148"/>
    </row>
    <row r="19" spans="1:31" ht="15">
      <c r="A19" s="149" t="s">
        <v>1646</v>
      </c>
      <c r="B19" s="149" t="s">
        <v>1943</v>
      </c>
      <c r="C19" s="149">
        <v>0</v>
      </c>
      <c r="D19" s="149">
        <v>1</v>
      </c>
      <c r="E19" s="149">
        <v>1</v>
      </c>
      <c r="F19" s="149">
        <v>1</v>
      </c>
      <c r="G19" s="149">
        <v>1</v>
      </c>
      <c r="H19" s="149">
        <v>1</v>
      </c>
      <c r="I19" s="149">
        <v>1</v>
      </c>
      <c r="J19" s="149">
        <v>1</v>
      </c>
      <c r="K19" s="149">
        <v>1</v>
      </c>
      <c r="L19" s="149">
        <v>1</v>
      </c>
      <c r="M19" s="149">
        <v>1</v>
      </c>
      <c r="N19" s="149">
        <v>1</v>
      </c>
      <c r="O19" s="149">
        <v>1</v>
      </c>
      <c r="P19" s="149">
        <v>1</v>
      </c>
      <c r="Q19" s="149">
        <v>1</v>
      </c>
      <c r="R19" s="149">
        <v>1</v>
      </c>
      <c r="S19" s="149">
        <v>1</v>
      </c>
      <c r="T19" s="149">
        <v>1</v>
      </c>
      <c r="U19" s="149">
        <v>1</v>
      </c>
      <c r="V19" s="149">
        <v>1</v>
      </c>
      <c r="W19" s="149">
        <v>1</v>
      </c>
      <c r="X19" s="149">
        <v>1</v>
      </c>
      <c r="Y19" s="149">
        <v>1</v>
      </c>
      <c r="Z19" s="149">
        <v>1</v>
      </c>
      <c r="AA19" s="149">
        <v>1</v>
      </c>
      <c r="AB19" s="149">
        <v>1</v>
      </c>
      <c r="AC19" s="149">
        <v>1</v>
      </c>
      <c r="AD19" s="149"/>
      <c r="AE19" s="149"/>
    </row>
    <row r="20" spans="1:31" ht="15">
      <c r="A20" s="148" t="s">
        <v>1679</v>
      </c>
      <c r="B20" s="148" t="s">
        <v>1943</v>
      </c>
      <c r="C20" s="148">
        <v>0</v>
      </c>
      <c r="D20" s="148">
        <v>1</v>
      </c>
      <c r="E20" s="148">
        <v>1</v>
      </c>
      <c r="F20" s="148">
        <v>1</v>
      </c>
      <c r="G20" s="148">
        <v>1</v>
      </c>
      <c r="H20" s="148">
        <v>1</v>
      </c>
      <c r="I20" s="148">
        <v>1</v>
      </c>
      <c r="J20" s="148">
        <v>1</v>
      </c>
      <c r="K20" s="148">
        <v>1</v>
      </c>
      <c r="L20" s="148">
        <v>1</v>
      </c>
      <c r="M20" s="148">
        <v>1</v>
      </c>
      <c r="N20" s="148">
        <v>1</v>
      </c>
      <c r="O20" s="148">
        <v>1</v>
      </c>
      <c r="P20" s="148">
        <v>1</v>
      </c>
      <c r="Q20" s="148">
        <v>1</v>
      </c>
      <c r="R20" s="148">
        <v>1</v>
      </c>
      <c r="S20" s="148">
        <v>1</v>
      </c>
      <c r="T20" s="148">
        <v>1</v>
      </c>
      <c r="U20" s="148">
        <v>1</v>
      </c>
      <c r="V20" s="148">
        <v>1</v>
      </c>
      <c r="W20" s="148">
        <v>1</v>
      </c>
      <c r="X20" s="148">
        <v>1</v>
      </c>
      <c r="Y20" s="148">
        <v>1</v>
      </c>
      <c r="Z20" s="148">
        <v>1</v>
      </c>
      <c r="AA20" s="148">
        <v>1</v>
      </c>
      <c r="AB20" s="148">
        <v>1</v>
      </c>
      <c r="AC20" s="148">
        <v>1</v>
      </c>
      <c r="AD20" s="148"/>
      <c r="AE20" s="148"/>
    </row>
    <row r="21" spans="1:31" ht="15">
      <c r="A21" s="149" t="s">
        <v>1683</v>
      </c>
      <c r="B21" s="149" t="s">
        <v>1943</v>
      </c>
      <c r="C21" s="149">
        <v>0</v>
      </c>
      <c r="D21" s="149">
        <v>1</v>
      </c>
      <c r="E21" s="149">
        <v>1</v>
      </c>
      <c r="F21" s="149">
        <v>1</v>
      </c>
      <c r="G21" s="149">
        <v>1</v>
      </c>
      <c r="H21" s="149">
        <v>1</v>
      </c>
      <c r="I21" s="149">
        <v>1</v>
      </c>
      <c r="J21" s="149">
        <v>1</v>
      </c>
      <c r="K21" s="149">
        <v>1</v>
      </c>
      <c r="L21" s="149">
        <v>1</v>
      </c>
      <c r="M21" s="149">
        <v>1</v>
      </c>
      <c r="N21" s="149">
        <v>1</v>
      </c>
      <c r="O21" s="149">
        <v>1</v>
      </c>
      <c r="P21" s="149">
        <v>1</v>
      </c>
      <c r="Q21" s="149">
        <v>1</v>
      </c>
      <c r="R21" s="149">
        <v>1</v>
      </c>
      <c r="S21" s="149">
        <v>1</v>
      </c>
      <c r="T21" s="149">
        <v>1</v>
      </c>
      <c r="U21" s="149">
        <v>1</v>
      </c>
      <c r="V21" s="149">
        <v>1</v>
      </c>
      <c r="W21" s="149">
        <v>1</v>
      </c>
      <c r="X21" s="149">
        <v>1</v>
      </c>
      <c r="Y21" s="149">
        <v>1</v>
      </c>
      <c r="Z21" s="149">
        <v>1</v>
      </c>
      <c r="AA21" s="149">
        <v>1</v>
      </c>
      <c r="AB21" s="149">
        <v>1</v>
      </c>
      <c r="AC21" s="149">
        <v>1</v>
      </c>
      <c r="AD21" s="149"/>
      <c r="AE21" s="149"/>
    </row>
    <row r="22" spans="1:31" ht="15">
      <c r="A22" s="148" t="s">
        <v>1690</v>
      </c>
      <c r="B22" s="148" t="s">
        <v>1943</v>
      </c>
      <c r="C22" s="148">
        <v>0</v>
      </c>
      <c r="D22" s="148">
        <v>1</v>
      </c>
      <c r="E22" s="148">
        <v>1</v>
      </c>
      <c r="F22" s="148">
        <v>1</v>
      </c>
      <c r="G22" s="148">
        <v>1</v>
      </c>
      <c r="H22" s="148">
        <v>1</v>
      </c>
      <c r="I22" s="148">
        <v>1</v>
      </c>
      <c r="J22" s="148">
        <v>1</v>
      </c>
      <c r="K22" s="148">
        <v>1</v>
      </c>
      <c r="L22" s="148">
        <v>1</v>
      </c>
      <c r="M22" s="148">
        <v>1</v>
      </c>
      <c r="N22" s="148">
        <v>1</v>
      </c>
      <c r="O22" s="148">
        <v>1</v>
      </c>
      <c r="P22" s="148">
        <v>1</v>
      </c>
      <c r="Q22" s="148">
        <v>1</v>
      </c>
      <c r="R22" s="148">
        <v>1</v>
      </c>
      <c r="S22" s="148">
        <v>1</v>
      </c>
      <c r="T22" s="148">
        <v>1</v>
      </c>
      <c r="U22" s="148">
        <v>1</v>
      </c>
      <c r="V22" s="148">
        <v>1</v>
      </c>
      <c r="W22" s="148">
        <v>1</v>
      </c>
      <c r="X22" s="148">
        <v>1</v>
      </c>
      <c r="Y22" s="148">
        <v>1</v>
      </c>
      <c r="Z22" s="148">
        <v>1</v>
      </c>
      <c r="AA22" s="148">
        <v>1</v>
      </c>
      <c r="AB22" s="148">
        <v>1</v>
      </c>
      <c r="AC22" s="148">
        <v>1</v>
      </c>
      <c r="AD22" s="148"/>
      <c r="AE22" s="148"/>
    </row>
    <row r="23" spans="1:31" ht="15">
      <c r="A23" s="149" t="s">
        <v>1707</v>
      </c>
      <c r="B23" s="149" t="s">
        <v>1943</v>
      </c>
      <c r="C23" s="149">
        <v>0</v>
      </c>
      <c r="D23" s="149">
        <v>1</v>
      </c>
      <c r="E23" s="149">
        <v>1</v>
      </c>
      <c r="F23" s="149">
        <v>1</v>
      </c>
      <c r="G23" s="149">
        <v>1</v>
      </c>
      <c r="H23" s="149">
        <v>1</v>
      </c>
      <c r="I23" s="149">
        <v>1</v>
      </c>
      <c r="J23" s="149">
        <v>1</v>
      </c>
      <c r="K23" s="149">
        <v>1</v>
      </c>
      <c r="L23" s="149">
        <v>1</v>
      </c>
      <c r="M23" s="149">
        <v>1</v>
      </c>
      <c r="N23" s="149">
        <v>1</v>
      </c>
      <c r="O23" s="149">
        <v>1</v>
      </c>
      <c r="P23" s="149">
        <v>1</v>
      </c>
      <c r="Q23" s="149">
        <v>1</v>
      </c>
      <c r="R23" s="149">
        <v>1</v>
      </c>
      <c r="S23" s="149">
        <v>1</v>
      </c>
      <c r="T23" s="149">
        <v>1</v>
      </c>
      <c r="U23" s="149">
        <v>1</v>
      </c>
      <c r="V23" s="149">
        <v>1</v>
      </c>
      <c r="W23" s="149">
        <v>1</v>
      </c>
      <c r="X23" s="149">
        <v>1</v>
      </c>
      <c r="Y23" s="149">
        <v>1</v>
      </c>
      <c r="Z23" s="149">
        <v>1</v>
      </c>
      <c r="AA23" s="149">
        <v>1</v>
      </c>
      <c r="AB23" s="149">
        <v>1</v>
      </c>
      <c r="AC23" s="149">
        <v>1</v>
      </c>
      <c r="AD23" s="149"/>
      <c r="AE23" s="149"/>
    </row>
    <row r="24" spans="1:31" ht="15">
      <c r="A24" s="148" t="s">
        <v>1722</v>
      </c>
      <c r="B24" s="148" t="s">
        <v>1943</v>
      </c>
      <c r="C24" s="148">
        <v>0</v>
      </c>
      <c r="D24" s="148">
        <v>1</v>
      </c>
      <c r="E24" s="148">
        <v>1</v>
      </c>
      <c r="F24" s="148">
        <v>1</v>
      </c>
      <c r="G24" s="148">
        <v>1</v>
      </c>
      <c r="H24" s="148">
        <v>1</v>
      </c>
      <c r="I24" s="148">
        <v>1</v>
      </c>
      <c r="J24" s="148">
        <v>1</v>
      </c>
      <c r="K24" s="148">
        <v>1</v>
      </c>
      <c r="L24" s="148">
        <v>1</v>
      </c>
      <c r="M24" s="148">
        <v>1</v>
      </c>
      <c r="N24" s="148">
        <v>1</v>
      </c>
      <c r="O24" s="148">
        <v>1</v>
      </c>
      <c r="P24" s="148">
        <v>1</v>
      </c>
      <c r="Q24" s="148">
        <v>1</v>
      </c>
      <c r="R24" s="148">
        <v>1</v>
      </c>
      <c r="S24" s="148">
        <v>1</v>
      </c>
      <c r="T24" s="148">
        <v>1</v>
      </c>
      <c r="U24" s="148">
        <v>1</v>
      </c>
      <c r="V24" s="148">
        <v>1</v>
      </c>
      <c r="W24" s="148">
        <v>1</v>
      </c>
      <c r="X24" s="148">
        <v>1</v>
      </c>
      <c r="Y24" s="148">
        <v>1</v>
      </c>
      <c r="Z24" s="148">
        <v>1</v>
      </c>
      <c r="AA24" s="148">
        <v>1</v>
      </c>
      <c r="AB24" s="148">
        <v>1</v>
      </c>
      <c r="AC24" s="148">
        <v>1</v>
      </c>
      <c r="AD24" s="148"/>
      <c r="AE24" s="148"/>
    </row>
    <row r="25" spans="1:31" ht="15">
      <c r="A25" s="149" t="s">
        <v>1782</v>
      </c>
      <c r="B25" s="149" t="s">
        <v>1943</v>
      </c>
      <c r="C25" s="149">
        <v>0</v>
      </c>
      <c r="D25" s="149">
        <v>1</v>
      </c>
      <c r="E25" s="149">
        <v>1</v>
      </c>
      <c r="F25" s="149">
        <v>1</v>
      </c>
      <c r="G25" s="149">
        <v>1</v>
      </c>
      <c r="H25" s="149">
        <v>1</v>
      </c>
      <c r="I25" s="149">
        <v>1</v>
      </c>
      <c r="J25" s="149">
        <v>1</v>
      </c>
      <c r="K25" s="149">
        <v>1</v>
      </c>
      <c r="L25" s="149">
        <v>1</v>
      </c>
      <c r="M25" s="149">
        <v>1</v>
      </c>
      <c r="N25" s="149">
        <v>1</v>
      </c>
      <c r="O25" s="149">
        <v>1</v>
      </c>
      <c r="P25" s="149">
        <v>1</v>
      </c>
      <c r="Q25" s="149">
        <v>1</v>
      </c>
      <c r="R25" s="149">
        <v>1</v>
      </c>
      <c r="S25" s="149">
        <v>1</v>
      </c>
      <c r="T25" s="149">
        <v>1</v>
      </c>
      <c r="U25" s="149">
        <v>1</v>
      </c>
      <c r="V25" s="149">
        <v>1</v>
      </c>
      <c r="W25" s="149">
        <v>1</v>
      </c>
      <c r="X25" s="149">
        <v>1</v>
      </c>
      <c r="Y25" s="149">
        <v>1</v>
      </c>
      <c r="Z25" s="149">
        <v>1</v>
      </c>
      <c r="AA25" s="149">
        <v>1</v>
      </c>
      <c r="AB25" s="149">
        <v>1</v>
      </c>
      <c r="AC25" s="149">
        <v>1</v>
      </c>
      <c r="AD25" s="149"/>
      <c r="AE25" s="149"/>
    </row>
    <row r="26" spans="1:31" ht="15">
      <c r="A26" s="148" t="s">
        <v>1784</v>
      </c>
      <c r="B26" s="148" t="s">
        <v>1943</v>
      </c>
      <c r="C26" s="148">
        <v>0</v>
      </c>
      <c r="D26" s="148">
        <v>1</v>
      </c>
      <c r="E26" s="148">
        <v>1</v>
      </c>
      <c r="F26" s="148">
        <v>1</v>
      </c>
      <c r="G26" s="148">
        <v>1</v>
      </c>
      <c r="H26" s="148">
        <v>1</v>
      </c>
      <c r="I26" s="148">
        <v>1</v>
      </c>
      <c r="J26" s="148">
        <v>1</v>
      </c>
      <c r="K26" s="148">
        <v>1</v>
      </c>
      <c r="L26" s="148">
        <v>1</v>
      </c>
      <c r="M26" s="148">
        <v>1</v>
      </c>
      <c r="N26" s="148">
        <v>1</v>
      </c>
      <c r="O26" s="148">
        <v>1</v>
      </c>
      <c r="P26" s="148">
        <v>1</v>
      </c>
      <c r="Q26" s="148">
        <v>1</v>
      </c>
      <c r="R26" s="148">
        <v>1</v>
      </c>
      <c r="S26" s="148">
        <v>1</v>
      </c>
      <c r="T26" s="148">
        <v>1</v>
      </c>
      <c r="U26" s="148">
        <v>1</v>
      </c>
      <c r="V26" s="148">
        <v>1</v>
      </c>
      <c r="W26" s="148">
        <v>1</v>
      </c>
      <c r="X26" s="148">
        <v>1</v>
      </c>
      <c r="Y26" s="148">
        <v>1</v>
      </c>
      <c r="Z26" s="148">
        <v>1</v>
      </c>
      <c r="AA26" s="148">
        <v>1</v>
      </c>
      <c r="AB26" s="148">
        <v>1</v>
      </c>
      <c r="AC26" s="148">
        <v>1</v>
      </c>
      <c r="AD26" s="148"/>
      <c r="AE26" s="148"/>
    </row>
    <row r="27" spans="1:31" ht="15">
      <c r="A27" s="149" t="s">
        <v>1825</v>
      </c>
      <c r="B27" s="149" t="s">
        <v>1943</v>
      </c>
      <c r="C27" s="149">
        <v>0</v>
      </c>
      <c r="D27" s="149">
        <v>1</v>
      </c>
      <c r="E27" s="149">
        <v>1</v>
      </c>
      <c r="F27" s="149">
        <v>1</v>
      </c>
      <c r="G27" s="149">
        <v>1</v>
      </c>
      <c r="H27" s="149">
        <v>1</v>
      </c>
      <c r="I27" s="149">
        <v>1</v>
      </c>
      <c r="J27" s="149">
        <v>1</v>
      </c>
      <c r="K27" s="149">
        <v>1</v>
      </c>
      <c r="L27" s="149">
        <v>1</v>
      </c>
      <c r="M27" s="149">
        <v>1</v>
      </c>
      <c r="N27" s="149">
        <v>1</v>
      </c>
      <c r="O27" s="149">
        <v>1</v>
      </c>
      <c r="P27" s="149">
        <v>1</v>
      </c>
      <c r="Q27" s="149">
        <v>1</v>
      </c>
      <c r="R27" s="149">
        <v>1</v>
      </c>
      <c r="S27" s="149">
        <v>1</v>
      </c>
      <c r="T27" s="149">
        <v>1</v>
      </c>
      <c r="U27" s="149">
        <v>1</v>
      </c>
      <c r="V27" s="149">
        <v>1</v>
      </c>
      <c r="W27" s="149">
        <v>1</v>
      </c>
      <c r="X27" s="149">
        <v>1</v>
      </c>
      <c r="Y27" s="149">
        <v>1</v>
      </c>
      <c r="Z27" s="149">
        <v>1</v>
      </c>
      <c r="AA27" s="149">
        <v>1</v>
      </c>
      <c r="AB27" s="149">
        <v>1</v>
      </c>
      <c r="AC27" s="149">
        <v>1</v>
      </c>
      <c r="AD27" s="149"/>
      <c r="AE27" s="149"/>
    </row>
    <row r="28" spans="1:31" ht="15">
      <c r="A28" s="148" t="s">
        <v>1832</v>
      </c>
      <c r="B28" s="148" t="s">
        <v>1943</v>
      </c>
      <c r="C28" s="148">
        <v>0</v>
      </c>
      <c r="D28" s="148">
        <v>1</v>
      </c>
      <c r="E28" s="148">
        <v>1</v>
      </c>
      <c r="F28" s="148">
        <v>1</v>
      </c>
      <c r="G28" s="148">
        <v>1</v>
      </c>
      <c r="H28" s="148">
        <v>1</v>
      </c>
      <c r="I28" s="148">
        <v>1</v>
      </c>
      <c r="J28" s="148">
        <v>1</v>
      </c>
      <c r="K28" s="148">
        <v>1</v>
      </c>
      <c r="L28" s="148">
        <v>1</v>
      </c>
      <c r="M28" s="148">
        <v>1</v>
      </c>
      <c r="N28" s="148">
        <v>1</v>
      </c>
      <c r="O28" s="148">
        <v>1</v>
      </c>
      <c r="P28" s="148">
        <v>1</v>
      </c>
      <c r="Q28" s="148">
        <v>0</v>
      </c>
      <c r="R28" s="148">
        <v>1</v>
      </c>
      <c r="S28" s="148">
        <v>1</v>
      </c>
      <c r="T28" s="148">
        <v>1</v>
      </c>
      <c r="U28" s="148">
        <v>1</v>
      </c>
      <c r="V28" s="148">
        <v>1</v>
      </c>
      <c r="W28" s="148">
        <v>1</v>
      </c>
      <c r="X28" s="148">
        <v>1</v>
      </c>
      <c r="Y28" s="148">
        <v>0</v>
      </c>
      <c r="Z28" s="148">
        <v>0</v>
      </c>
      <c r="AA28" s="148">
        <v>0</v>
      </c>
      <c r="AB28" s="148">
        <v>0</v>
      </c>
      <c r="AC28" s="148">
        <v>0</v>
      </c>
      <c r="AD28" s="148"/>
      <c r="AE28" s="148"/>
    </row>
    <row r="29" spans="1:31" ht="15">
      <c r="A29" s="149" t="s">
        <v>1853</v>
      </c>
      <c r="B29" s="149" t="s">
        <v>1943</v>
      </c>
      <c r="C29" s="149">
        <v>0</v>
      </c>
      <c r="D29" s="149">
        <v>1</v>
      </c>
      <c r="E29" s="149">
        <v>1</v>
      </c>
      <c r="F29" s="149">
        <v>1</v>
      </c>
      <c r="G29" s="149">
        <v>1</v>
      </c>
      <c r="H29" s="149">
        <v>1</v>
      </c>
      <c r="I29" s="149">
        <v>1</v>
      </c>
      <c r="J29" s="149">
        <v>1</v>
      </c>
      <c r="K29" s="149">
        <v>1</v>
      </c>
      <c r="L29" s="149">
        <v>1</v>
      </c>
      <c r="M29" s="149">
        <v>1</v>
      </c>
      <c r="N29" s="149">
        <v>1</v>
      </c>
      <c r="O29" s="149">
        <v>1</v>
      </c>
      <c r="P29" s="149">
        <v>1</v>
      </c>
      <c r="Q29" s="149">
        <v>0</v>
      </c>
      <c r="R29" s="149">
        <v>1</v>
      </c>
      <c r="S29" s="149">
        <v>1</v>
      </c>
      <c r="T29" s="149">
        <v>1</v>
      </c>
      <c r="U29" s="149">
        <v>1</v>
      </c>
      <c r="V29" s="149">
        <v>1</v>
      </c>
      <c r="W29" s="149">
        <v>1</v>
      </c>
      <c r="X29" s="149">
        <v>1</v>
      </c>
      <c r="Y29" s="149">
        <v>0</v>
      </c>
      <c r="Z29" s="149">
        <v>0</v>
      </c>
      <c r="AA29" s="149">
        <v>0</v>
      </c>
      <c r="AB29" s="149">
        <v>0</v>
      </c>
      <c r="AC29" s="149">
        <v>0</v>
      </c>
      <c r="AD29" s="149"/>
      <c r="AE29" s="149"/>
    </row>
    <row r="30" spans="1:31" ht="15">
      <c r="A30" s="148" t="s">
        <v>1883</v>
      </c>
      <c r="B30" s="148" t="s">
        <v>1943</v>
      </c>
      <c r="C30" s="148">
        <v>0</v>
      </c>
      <c r="D30" s="148">
        <v>1</v>
      </c>
      <c r="E30" s="148">
        <v>1</v>
      </c>
      <c r="F30" s="148">
        <v>1</v>
      </c>
      <c r="G30" s="148">
        <v>1</v>
      </c>
      <c r="H30" s="148">
        <v>1</v>
      </c>
      <c r="I30" s="148">
        <v>1</v>
      </c>
      <c r="J30" s="148">
        <v>1</v>
      </c>
      <c r="K30" s="148">
        <v>1</v>
      </c>
      <c r="L30" s="148">
        <v>1</v>
      </c>
      <c r="M30" s="148">
        <v>1</v>
      </c>
      <c r="N30" s="148">
        <v>1</v>
      </c>
      <c r="O30" s="148">
        <v>1</v>
      </c>
      <c r="P30" s="148">
        <v>1</v>
      </c>
      <c r="Q30" s="148">
        <v>1</v>
      </c>
      <c r="R30" s="148">
        <v>1</v>
      </c>
      <c r="S30" s="148">
        <v>1</v>
      </c>
      <c r="T30" s="148">
        <v>1</v>
      </c>
      <c r="U30" s="148">
        <v>1</v>
      </c>
      <c r="V30" s="148">
        <v>1</v>
      </c>
      <c r="W30" s="148">
        <v>1</v>
      </c>
      <c r="X30" s="148">
        <v>1</v>
      </c>
      <c r="Y30" s="148">
        <v>1</v>
      </c>
      <c r="Z30" s="148">
        <v>1</v>
      </c>
      <c r="AA30" s="148">
        <v>1</v>
      </c>
      <c r="AB30" s="148">
        <v>1</v>
      </c>
      <c r="AC30" s="148">
        <v>1</v>
      </c>
      <c r="AD30" s="148"/>
      <c r="AE30" s="148"/>
    </row>
    <row r="31" spans="1:31" ht="15">
      <c r="A31" s="149" t="s">
        <v>1902</v>
      </c>
      <c r="B31" s="149" t="s">
        <v>1943</v>
      </c>
      <c r="C31" s="149">
        <v>1</v>
      </c>
      <c r="D31" s="149">
        <v>1</v>
      </c>
      <c r="E31" s="149">
        <v>1</v>
      </c>
      <c r="F31" s="149">
        <v>1</v>
      </c>
      <c r="G31" s="149">
        <v>1</v>
      </c>
      <c r="H31" s="149">
        <v>1</v>
      </c>
      <c r="I31" s="149">
        <v>1</v>
      </c>
      <c r="J31" s="149">
        <v>1</v>
      </c>
      <c r="K31" s="149">
        <v>1</v>
      </c>
      <c r="L31" s="149">
        <v>1</v>
      </c>
      <c r="M31" s="149">
        <v>1</v>
      </c>
      <c r="N31" s="149">
        <v>1</v>
      </c>
      <c r="O31" s="149">
        <v>1</v>
      </c>
      <c r="P31" s="149">
        <v>1</v>
      </c>
      <c r="Q31" s="149">
        <v>1</v>
      </c>
      <c r="R31" s="149">
        <v>1</v>
      </c>
      <c r="S31" s="149">
        <v>1</v>
      </c>
      <c r="T31" s="149">
        <v>1</v>
      </c>
      <c r="U31" s="149">
        <v>1</v>
      </c>
      <c r="V31" s="149">
        <v>1</v>
      </c>
      <c r="W31" s="149">
        <v>1</v>
      </c>
      <c r="X31" s="149">
        <v>1</v>
      </c>
      <c r="Y31" s="149">
        <v>1</v>
      </c>
      <c r="Z31" s="149">
        <v>1</v>
      </c>
      <c r="AA31" s="149">
        <v>1</v>
      </c>
      <c r="AB31" s="149">
        <v>1</v>
      </c>
      <c r="AC31" s="149">
        <v>1</v>
      </c>
      <c r="AD31" s="149"/>
      <c r="AE31" s="149"/>
    </row>
    <row r="32" spans="1:31" ht="15">
      <c r="A32" s="148" t="s">
        <v>1590</v>
      </c>
      <c r="B32" s="148" t="s">
        <v>1595</v>
      </c>
      <c r="C32" s="148">
        <v>0</v>
      </c>
      <c r="D32" s="148">
        <v>1</v>
      </c>
      <c r="E32" s="148">
        <v>1</v>
      </c>
      <c r="F32" s="148">
        <v>1</v>
      </c>
      <c r="G32" s="148">
        <v>1</v>
      </c>
      <c r="H32" s="148">
        <v>1</v>
      </c>
      <c r="I32" s="148">
        <v>1</v>
      </c>
      <c r="J32" s="148">
        <v>1</v>
      </c>
      <c r="K32" s="148">
        <v>1</v>
      </c>
      <c r="L32" s="148">
        <v>1</v>
      </c>
      <c r="M32" s="148">
        <v>1</v>
      </c>
      <c r="N32" s="148">
        <v>1</v>
      </c>
      <c r="O32" s="148">
        <v>1</v>
      </c>
      <c r="P32" s="148">
        <v>1</v>
      </c>
      <c r="Q32" s="148">
        <v>1</v>
      </c>
      <c r="R32" s="148">
        <v>1</v>
      </c>
      <c r="S32" s="148">
        <v>0</v>
      </c>
      <c r="T32" s="148">
        <v>0</v>
      </c>
      <c r="U32" s="148">
        <v>0</v>
      </c>
      <c r="V32" s="148">
        <v>0</v>
      </c>
      <c r="W32" s="148">
        <v>0</v>
      </c>
      <c r="X32" s="148">
        <v>0</v>
      </c>
      <c r="Y32" s="148">
        <v>0</v>
      </c>
      <c r="Z32" s="148">
        <v>0</v>
      </c>
      <c r="AA32" s="148">
        <v>0</v>
      </c>
      <c r="AB32" s="148">
        <v>0</v>
      </c>
      <c r="AC32" s="148">
        <v>0</v>
      </c>
      <c r="AD32" s="148"/>
      <c r="AE32" s="148"/>
    </row>
    <row r="33" spans="1:31" ht="15">
      <c r="A33" s="149" t="s">
        <v>1605</v>
      </c>
      <c r="B33" s="149" t="s">
        <v>1595</v>
      </c>
      <c r="C33" s="149">
        <v>0</v>
      </c>
      <c r="D33" s="149">
        <v>1</v>
      </c>
      <c r="E33" s="149">
        <v>1</v>
      </c>
      <c r="F33" s="149">
        <v>1</v>
      </c>
      <c r="G33" s="149">
        <v>1</v>
      </c>
      <c r="H33" s="149">
        <v>1</v>
      </c>
      <c r="I33" s="149">
        <v>1</v>
      </c>
      <c r="J33" s="149">
        <v>1</v>
      </c>
      <c r="K33" s="149">
        <v>1</v>
      </c>
      <c r="L33" s="149">
        <v>1</v>
      </c>
      <c r="M33" s="149">
        <v>1</v>
      </c>
      <c r="N33" s="149">
        <v>1</v>
      </c>
      <c r="O33" s="149">
        <v>1</v>
      </c>
      <c r="P33" s="149">
        <v>1</v>
      </c>
      <c r="Q33" s="149">
        <v>1</v>
      </c>
      <c r="R33" s="149">
        <v>1</v>
      </c>
      <c r="S33" s="149">
        <v>0</v>
      </c>
      <c r="T33" s="149">
        <v>0</v>
      </c>
      <c r="U33" s="149">
        <v>0</v>
      </c>
      <c r="V33" s="149">
        <v>0</v>
      </c>
      <c r="W33" s="149">
        <v>0</v>
      </c>
      <c r="X33" s="149">
        <v>0</v>
      </c>
      <c r="Y33" s="149">
        <v>0</v>
      </c>
      <c r="Z33" s="149">
        <v>0</v>
      </c>
      <c r="AA33" s="149">
        <v>0</v>
      </c>
      <c r="AB33" s="149">
        <v>0</v>
      </c>
      <c r="AC33" s="149">
        <v>0</v>
      </c>
      <c r="AD33" s="149"/>
      <c r="AE33" s="149"/>
    </row>
    <row r="34" spans="1:31" ht="15">
      <c r="A34" s="148" t="s">
        <v>1613</v>
      </c>
      <c r="B34" s="148" t="s">
        <v>1595</v>
      </c>
      <c r="C34" s="148">
        <v>0</v>
      </c>
      <c r="D34" s="148">
        <v>1</v>
      </c>
      <c r="E34" s="148">
        <v>1</v>
      </c>
      <c r="F34" s="148">
        <v>1</v>
      </c>
      <c r="G34" s="148">
        <v>1</v>
      </c>
      <c r="H34" s="148">
        <v>1</v>
      </c>
      <c r="I34" s="148">
        <v>1</v>
      </c>
      <c r="J34" s="148">
        <v>1</v>
      </c>
      <c r="K34" s="148">
        <v>1</v>
      </c>
      <c r="L34" s="148">
        <v>1</v>
      </c>
      <c r="M34" s="148">
        <v>1</v>
      </c>
      <c r="N34" s="148">
        <v>1</v>
      </c>
      <c r="O34" s="148">
        <v>1</v>
      </c>
      <c r="P34" s="148">
        <v>1</v>
      </c>
      <c r="Q34" s="148">
        <v>1</v>
      </c>
      <c r="R34" s="148">
        <v>1</v>
      </c>
      <c r="S34" s="148">
        <v>0</v>
      </c>
      <c r="T34" s="148">
        <v>0</v>
      </c>
      <c r="U34" s="148">
        <v>0</v>
      </c>
      <c r="V34" s="148">
        <v>0</v>
      </c>
      <c r="W34" s="148">
        <v>0</v>
      </c>
      <c r="X34" s="148">
        <v>0</v>
      </c>
      <c r="Y34" s="148">
        <v>0</v>
      </c>
      <c r="Z34" s="148">
        <v>0</v>
      </c>
      <c r="AA34" s="148">
        <v>0</v>
      </c>
      <c r="AB34" s="148">
        <v>0</v>
      </c>
      <c r="AC34" s="148">
        <v>0</v>
      </c>
      <c r="AD34" s="148"/>
      <c r="AE34" s="148"/>
    </row>
    <row r="35" spans="1:31" ht="15">
      <c r="A35" s="149" t="s">
        <v>1652</v>
      </c>
      <c r="B35" s="149" t="s">
        <v>1595</v>
      </c>
      <c r="C35" s="149">
        <v>0</v>
      </c>
      <c r="D35" s="149">
        <v>1</v>
      </c>
      <c r="E35" s="149">
        <v>1</v>
      </c>
      <c r="F35" s="149">
        <v>1</v>
      </c>
      <c r="G35" s="149">
        <v>1</v>
      </c>
      <c r="H35" s="149">
        <v>1</v>
      </c>
      <c r="I35" s="149">
        <v>1</v>
      </c>
      <c r="J35" s="149">
        <v>1</v>
      </c>
      <c r="K35" s="149">
        <v>1</v>
      </c>
      <c r="L35" s="149">
        <v>1</v>
      </c>
      <c r="M35" s="149">
        <v>1</v>
      </c>
      <c r="N35" s="149">
        <v>1</v>
      </c>
      <c r="O35" s="149">
        <v>1</v>
      </c>
      <c r="P35" s="149">
        <v>1</v>
      </c>
      <c r="Q35" s="149">
        <v>1</v>
      </c>
      <c r="R35" s="149">
        <v>1</v>
      </c>
      <c r="S35" s="149">
        <v>0</v>
      </c>
      <c r="T35" s="149">
        <v>0</v>
      </c>
      <c r="U35" s="149">
        <v>0</v>
      </c>
      <c r="V35" s="149">
        <v>0</v>
      </c>
      <c r="W35" s="149">
        <v>0</v>
      </c>
      <c r="X35" s="149">
        <v>0</v>
      </c>
      <c r="Y35" s="149">
        <v>0</v>
      </c>
      <c r="Z35" s="149">
        <v>0</v>
      </c>
      <c r="AA35" s="149">
        <v>0</v>
      </c>
      <c r="AB35" s="149">
        <v>0</v>
      </c>
      <c r="AC35" s="149">
        <v>0</v>
      </c>
      <c r="AD35" s="149"/>
      <c r="AE35" s="149"/>
    </row>
    <row r="36" spans="1:31" ht="15">
      <c r="A36" s="148" t="s">
        <v>1717</v>
      </c>
      <c r="B36" s="148" t="s">
        <v>1595</v>
      </c>
      <c r="C36" s="148">
        <v>0</v>
      </c>
      <c r="D36" s="148">
        <v>1</v>
      </c>
      <c r="E36" s="148">
        <v>1</v>
      </c>
      <c r="F36" s="148">
        <v>1</v>
      </c>
      <c r="G36" s="148">
        <v>1</v>
      </c>
      <c r="H36" s="148">
        <v>1</v>
      </c>
      <c r="I36" s="148">
        <v>1</v>
      </c>
      <c r="J36" s="148">
        <v>1</v>
      </c>
      <c r="K36" s="148">
        <v>1</v>
      </c>
      <c r="L36" s="148">
        <v>1</v>
      </c>
      <c r="M36" s="148">
        <v>1</v>
      </c>
      <c r="N36" s="148">
        <v>1</v>
      </c>
      <c r="O36" s="148">
        <v>1</v>
      </c>
      <c r="P36" s="148">
        <v>1</v>
      </c>
      <c r="Q36" s="148">
        <v>1</v>
      </c>
      <c r="R36" s="148">
        <v>1</v>
      </c>
      <c r="S36" s="148">
        <v>0</v>
      </c>
      <c r="T36" s="148">
        <v>0</v>
      </c>
      <c r="U36" s="148">
        <v>0</v>
      </c>
      <c r="V36" s="148">
        <v>0</v>
      </c>
      <c r="W36" s="148">
        <v>0</v>
      </c>
      <c r="X36" s="148">
        <v>0</v>
      </c>
      <c r="Y36" s="148">
        <v>0</v>
      </c>
      <c r="Z36" s="148">
        <v>0</v>
      </c>
      <c r="AA36" s="148">
        <v>0</v>
      </c>
      <c r="AB36" s="148">
        <v>0</v>
      </c>
      <c r="AC36" s="148">
        <v>0</v>
      </c>
      <c r="AD36" s="148"/>
      <c r="AE36" s="148"/>
    </row>
    <row r="37" spans="1:31" ht="15">
      <c r="A37" s="149" t="s">
        <v>1732</v>
      </c>
      <c r="B37" s="149" t="s">
        <v>1595</v>
      </c>
      <c r="C37" s="149">
        <v>0</v>
      </c>
      <c r="D37" s="149">
        <v>1</v>
      </c>
      <c r="E37" s="149">
        <v>1</v>
      </c>
      <c r="F37" s="149">
        <v>1</v>
      </c>
      <c r="G37" s="149">
        <v>1</v>
      </c>
      <c r="H37" s="149">
        <v>1</v>
      </c>
      <c r="I37" s="149">
        <v>1</v>
      </c>
      <c r="J37" s="149">
        <v>1</v>
      </c>
      <c r="K37" s="149">
        <v>1</v>
      </c>
      <c r="L37" s="149">
        <v>1</v>
      </c>
      <c r="M37" s="149">
        <v>1</v>
      </c>
      <c r="N37" s="149">
        <v>1</v>
      </c>
      <c r="O37" s="149">
        <v>1</v>
      </c>
      <c r="P37" s="149">
        <v>1</v>
      </c>
      <c r="Q37" s="149">
        <v>1</v>
      </c>
      <c r="R37" s="149">
        <v>1</v>
      </c>
      <c r="S37" s="149">
        <v>0</v>
      </c>
      <c r="T37" s="149">
        <v>0</v>
      </c>
      <c r="U37" s="149">
        <v>0</v>
      </c>
      <c r="V37" s="149">
        <v>0</v>
      </c>
      <c r="W37" s="149">
        <v>0</v>
      </c>
      <c r="X37" s="149">
        <v>0</v>
      </c>
      <c r="Y37" s="149">
        <v>0</v>
      </c>
      <c r="Z37" s="149">
        <v>0</v>
      </c>
      <c r="AA37" s="149">
        <v>0</v>
      </c>
      <c r="AB37" s="149">
        <v>0</v>
      </c>
      <c r="AC37" s="149">
        <v>0</v>
      </c>
      <c r="AD37" s="149"/>
      <c r="AE37" s="149"/>
    </row>
    <row r="38" spans="1:31" ht="15">
      <c r="A38" s="148" t="s">
        <v>1743</v>
      </c>
      <c r="B38" s="148" t="s">
        <v>1595</v>
      </c>
      <c r="C38" s="148">
        <v>0</v>
      </c>
      <c r="D38" s="148">
        <v>1</v>
      </c>
      <c r="E38" s="148">
        <v>1</v>
      </c>
      <c r="F38" s="148">
        <v>1</v>
      </c>
      <c r="G38" s="148">
        <v>1</v>
      </c>
      <c r="H38" s="148">
        <v>1</v>
      </c>
      <c r="I38" s="148">
        <v>1</v>
      </c>
      <c r="J38" s="148">
        <v>1</v>
      </c>
      <c r="K38" s="148">
        <v>1</v>
      </c>
      <c r="L38" s="148">
        <v>1</v>
      </c>
      <c r="M38" s="148">
        <v>1</v>
      </c>
      <c r="N38" s="148">
        <v>1</v>
      </c>
      <c r="O38" s="148">
        <v>1</v>
      </c>
      <c r="P38" s="148">
        <v>1</v>
      </c>
      <c r="Q38" s="148">
        <v>1</v>
      </c>
      <c r="R38" s="148">
        <v>1</v>
      </c>
      <c r="S38" s="148">
        <v>0</v>
      </c>
      <c r="T38" s="148">
        <v>0</v>
      </c>
      <c r="U38" s="148">
        <v>0</v>
      </c>
      <c r="V38" s="148">
        <v>0</v>
      </c>
      <c r="W38" s="148">
        <v>0</v>
      </c>
      <c r="X38" s="148">
        <v>0</v>
      </c>
      <c r="Y38" s="148">
        <v>0</v>
      </c>
      <c r="Z38" s="148">
        <v>0</v>
      </c>
      <c r="AA38" s="148">
        <v>0</v>
      </c>
      <c r="AB38" s="148">
        <v>0</v>
      </c>
      <c r="AC38" s="148">
        <v>0</v>
      </c>
      <c r="AD38" s="148"/>
      <c r="AE38" s="148"/>
    </row>
    <row r="39" spans="1:31" ht="15">
      <c r="A39" s="149" t="s">
        <v>448</v>
      </c>
      <c r="B39" s="149" t="s">
        <v>1595</v>
      </c>
      <c r="C39" s="149">
        <v>0</v>
      </c>
      <c r="D39" s="149">
        <v>1</v>
      </c>
      <c r="E39" s="149">
        <v>1</v>
      </c>
      <c r="F39" s="149">
        <v>1</v>
      </c>
      <c r="G39" s="149">
        <v>1</v>
      </c>
      <c r="H39" s="149">
        <v>1</v>
      </c>
      <c r="I39" s="149">
        <v>1</v>
      </c>
      <c r="J39" s="149">
        <v>1</v>
      </c>
      <c r="K39" s="149">
        <v>1</v>
      </c>
      <c r="L39" s="149">
        <v>1</v>
      </c>
      <c r="M39" s="149">
        <v>1</v>
      </c>
      <c r="N39" s="149">
        <v>1</v>
      </c>
      <c r="O39" s="149">
        <v>1</v>
      </c>
      <c r="P39" s="149">
        <v>1</v>
      </c>
      <c r="Q39" s="149">
        <v>1</v>
      </c>
      <c r="R39" s="149">
        <v>1</v>
      </c>
      <c r="S39" s="149">
        <v>0</v>
      </c>
      <c r="T39" s="149">
        <v>0</v>
      </c>
      <c r="U39" s="149">
        <v>0</v>
      </c>
      <c r="V39" s="149">
        <v>0</v>
      </c>
      <c r="W39" s="149">
        <v>0</v>
      </c>
      <c r="X39" s="149">
        <v>0</v>
      </c>
      <c r="Y39" s="149">
        <v>0</v>
      </c>
      <c r="Z39" s="149">
        <v>0</v>
      </c>
      <c r="AA39" s="149">
        <v>0</v>
      </c>
      <c r="AB39" s="149">
        <v>0</v>
      </c>
      <c r="AC39" s="149">
        <v>0</v>
      </c>
      <c r="AD39" s="149"/>
      <c r="AE39" s="149"/>
    </row>
    <row r="40" spans="1:31" ht="15">
      <c r="A40" s="148" t="s">
        <v>1765</v>
      </c>
      <c r="B40" s="148" t="s">
        <v>1595</v>
      </c>
      <c r="C40" s="148">
        <v>0</v>
      </c>
      <c r="D40" s="148">
        <v>1</v>
      </c>
      <c r="E40" s="148">
        <v>1</v>
      </c>
      <c r="F40" s="148">
        <v>1</v>
      </c>
      <c r="G40" s="148">
        <v>1</v>
      </c>
      <c r="H40" s="148">
        <v>1</v>
      </c>
      <c r="I40" s="148">
        <v>1</v>
      </c>
      <c r="J40" s="148">
        <v>1</v>
      </c>
      <c r="K40" s="148">
        <v>1</v>
      </c>
      <c r="L40" s="148">
        <v>1</v>
      </c>
      <c r="M40" s="148">
        <v>1</v>
      </c>
      <c r="N40" s="148">
        <v>1</v>
      </c>
      <c r="O40" s="148">
        <v>1</v>
      </c>
      <c r="P40" s="148">
        <v>1</v>
      </c>
      <c r="Q40" s="148">
        <v>1</v>
      </c>
      <c r="R40" s="148">
        <v>1</v>
      </c>
      <c r="S40" s="148">
        <v>0</v>
      </c>
      <c r="T40" s="148">
        <v>0</v>
      </c>
      <c r="U40" s="148">
        <v>0</v>
      </c>
      <c r="V40" s="148">
        <v>0</v>
      </c>
      <c r="W40" s="148">
        <v>0</v>
      </c>
      <c r="X40" s="148">
        <v>0</v>
      </c>
      <c r="Y40" s="148">
        <v>0</v>
      </c>
      <c r="Z40" s="148">
        <v>0</v>
      </c>
      <c r="AA40" s="148">
        <v>0</v>
      </c>
      <c r="AB40" s="148">
        <v>0</v>
      </c>
      <c r="AC40" s="148">
        <v>0</v>
      </c>
      <c r="AD40" s="148"/>
      <c r="AE40" s="148"/>
    </row>
    <row r="41" spans="1:31" ht="15">
      <c r="A41" s="149" t="s">
        <v>1769</v>
      </c>
      <c r="B41" s="149" t="s">
        <v>1595</v>
      </c>
      <c r="C41" s="149">
        <v>0</v>
      </c>
      <c r="D41" s="149">
        <v>1</v>
      </c>
      <c r="E41" s="149">
        <v>1</v>
      </c>
      <c r="F41" s="149">
        <v>1</v>
      </c>
      <c r="G41" s="149">
        <v>1</v>
      </c>
      <c r="H41" s="149">
        <v>1</v>
      </c>
      <c r="I41" s="149">
        <v>1</v>
      </c>
      <c r="J41" s="149">
        <v>1</v>
      </c>
      <c r="K41" s="149">
        <v>1</v>
      </c>
      <c r="L41" s="149">
        <v>1</v>
      </c>
      <c r="M41" s="149">
        <v>1</v>
      </c>
      <c r="N41" s="149">
        <v>1</v>
      </c>
      <c r="O41" s="149">
        <v>1</v>
      </c>
      <c r="P41" s="149">
        <v>1</v>
      </c>
      <c r="Q41" s="149">
        <v>1</v>
      </c>
      <c r="R41" s="149">
        <v>1</v>
      </c>
      <c r="S41" s="149">
        <v>0</v>
      </c>
      <c r="T41" s="149">
        <v>0</v>
      </c>
      <c r="U41" s="149">
        <v>0</v>
      </c>
      <c r="V41" s="149">
        <v>0</v>
      </c>
      <c r="W41" s="149">
        <v>0</v>
      </c>
      <c r="X41" s="149">
        <v>0</v>
      </c>
      <c r="Y41" s="149">
        <v>0</v>
      </c>
      <c r="Z41" s="149">
        <v>0</v>
      </c>
      <c r="AA41" s="149">
        <v>0</v>
      </c>
      <c r="AB41" s="149">
        <v>0</v>
      </c>
      <c r="AC41" s="149">
        <v>0</v>
      </c>
      <c r="AD41" s="149"/>
      <c r="AE41" s="149"/>
    </row>
    <row r="42" spans="1:31" ht="15">
      <c r="A42" s="148" t="s">
        <v>1795</v>
      </c>
      <c r="B42" s="148" t="s">
        <v>1595</v>
      </c>
      <c r="C42" s="148">
        <v>0</v>
      </c>
      <c r="D42" s="148">
        <v>1</v>
      </c>
      <c r="E42" s="148">
        <v>1</v>
      </c>
      <c r="F42" s="148">
        <v>1</v>
      </c>
      <c r="G42" s="148">
        <v>1</v>
      </c>
      <c r="H42" s="148">
        <v>1</v>
      </c>
      <c r="I42" s="148">
        <v>1</v>
      </c>
      <c r="J42" s="148">
        <v>1</v>
      </c>
      <c r="K42" s="148">
        <v>1</v>
      </c>
      <c r="L42" s="148">
        <v>1</v>
      </c>
      <c r="M42" s="148">
        <v>1</v>
      </c>
      <c r="N42" s="148">
        <v>1</v>
      </c>
      <c r="O42" s="148">
        <v>1</v>
      </c>
      <c r="P42" s="148">
        <v>1</v>
      </c>
      <c r="Q42" s="148">
        <v>1</v>
      </c>
      <c r="R42" s="148">
        <v>1</v>
      </c>
      <c r="S42" s="148">
        <v>0</v>
      </c>
      <c r="T42" s="148">
        <v>0</v>
      </c>
      <c r="U42" s="148">
        <v>0</v>
      </c>
      <c r="V42" s="148">
        <v>0</v>
      </c>
      <c r="W42" s="148">
        <v>0</v>
      </c>
      <c r="X42" s="148">
        <v>0</v>
      </c>
      <c r="Y42" s="148">
        <v>0</v>
      </c>
      <c r="Z42" s="148">
        <v>0</v>
      </c>
      <c r="AA42" s="148">
        <v>0</v>
      </c>
      <c r="AB42" s="148">
        <v>0</v>
      </c>
      <c r="AC42" s="148">
        <v>0</v>
      </c>
      <c r="AD42" s="148"/>
      <c r="AE42" s="148"/>
    </row>
    <row r="43" spans="1:31" ht="15">
      <c r="A43" s="149" t="s">
        <v>1799</v>
      </c>
      <c r="B43" s="149" t="s">
        <v>1595</v>
      </c>
      <c r="C43" s="149">
        <v>0</v>
      </c>
      <c r="D43" s="149">
        <v>1</v>
      </c>
      <c r="E43" s="149">
        <v>1</v>
      </c>
      <c r="F43" s="149">
        <v>1</v>
      </c>
      <c r="G43" s="149">
        <v>1</v>
      </c>
      <c r="H43" s="149">
        <v>1</v>
      </c>
      <c r="I43" s="149">
        <v>1</v>
      </c>
      <c r="J43" s="149">
        <v>1</v>
      </c>
      <c r="K43" s="149">
        <v>1</v>
      </c>
      <c r="L43" s="149">
        <v>1</v>
      </c>
      <c r="M43" s="149">
        <v>1</v>
      </c>
      <c r="N43" s="149">
        <v>1</v>
      </c>
      <c r="O43" s="149">
        <v>1</v>
      </c>
      <c r="P43" s="149">
        <v>1</v>
      </c>
      <c r="Q43" s="149">
        <v>1</v>
      </c>
      <c r="R43" s="149">
        <v>1</v>
      </c>
      <c r="S43" s="149">
        <v>0</v>
      </c>
      <c r="T43" s="149">
        <v>0</v>
      </c>
      <c r="U43" s="149">
        <v>0</v>
      </c>
      <c r="V43" s="149">
        <v>0</v>
      </c>
      <c r="W43" s="149">
        <v>0</v>
      </c>
      <c r="X43" s="149">
        <v>0</v>
      </c>
      <c r="Y43" s="149">
        <v>0</v>
      </c>
      <c r="Z43" s="149">
        <v>0</v>
      </c>
      <c r="AA43" s="149">
        <v>0</v>
      </c>
      <c r="AB43" s="149">
        <v>0</v>
      </c>
      <c r="AC43" s="149">
        <v>0</v>
      </c>
      <c r="AD43" s="149"/>
      <c r="AE43" s="149"/>
    </row>
    <row r="44" spans="1:31" ht="15">
      <c r="A44" s="148" t="s">
        <v>1810</v>
      </c>
      <c r="B44" s="148" t="s">
        <v>1595</v>
      </c>
      <c r="C44" s="148">
        <v>0</v>
      </c>
      <c r="D44" s="148" t="s">
        <v>614</v>
      </c>
      <c r="E44" s="148">
        <v>0</v>
      </c>
      <c r="F44" s="148">
        <v>0</v>
      </c>
      <c r="G44" s="148">
        <v>0</v>
      </c>
      <c r="H44" s="148">
        <v>0</v>
      </c>
      <c r="I44" s="148">
        <v>0</v>
      </c>
      <c r="J44" s="148">
        <v>0</v>
      </c>
      <c r="K44" s="148">
        <v>0</v>
      </c>
      <c r="L44" s="148">
        <v>0</v>
      </c>
      <c r="M44" s="148">
        <v>0</v>
      </c>
      <c r="N44" s="148">
        <v>0</v>
      </c>
      <c r="O44" s="148">
        <v>0</v>
      </c>
      <c r="P44" s="148">
        <v>0</v>
      </c>
      <c r="Q44" s="148">
        <v>0</v>
      </c>
      <c r="R44" s="148">
        <v>0</v>
      </c>
      <c r="S44" s="148">
        <v>0</v>
      </c>
      <c r="T44" s="148">
        <v>0</v>
      </c>
      <c r="U44" s="148">
        <v>0</v>
      </c>
      <c r="V44" s="148">
        <v>0</v>
      </c>
      <c r="W44" s="148">
        <v>0</v>
      </c>
      <c r="X44" s="148">
        <v>0</v>
      </c>
      <c r="Y44" s="148">
        <v>0</v>
      </c>
      <c r="Z44" s="148">
        <v>0</v>
      </c>
      <c r="AA44" s="148">
        <v>0</v>
      </c>
      <c r="AB44" s="148">
        <v>0</v>
      </c>
      <c r="AC44" s="148">
        <v>0</v>
      </c>
      <c r="AD44" s="148"/>
      <c r="AE44" s="148"/>
    </row>
    <row r="45" spans="1:31" ht="15">
      <c r="A45" s="149" t="s">
        <v>1820</v>
      </c>
      <c r="B45" s="149" t="s">
        <v>1595</v>
      </c>
      <c r="C45" s="149">
        <v>0</v>
      </c>
      <c r="D45" s="149">
        <v>1</v>
      </c>
      <c r="E45" s="149">
        <v>1</v>
      </c>
      <c r="F45" s="149">
        <v>1</v>
      </c>
      <c r="G45" s="149">
        <v>1</v>
      </c>
      <c r="H45" s="149">
        <v>1</v>
      </c>
      <c r="I45" s="149">
        <v>1</v>
      </c>
      <c r="J45" s="149">
        <v>1</v>
      </c>
      <c r="K45" s="149">
        <v>1</v>
      </c>
      <c r="L45" s="149">
        <v>1</v>
      </c>
      <c r="M45" s="149">
        <v>1</v>
      </c>
      <c r="N45" s="149">
        <v>1</v>
      </c>
      <c r="O45" s="149">
        <v>1</v>
      </c>
      <c r="P45" s="149">
        <v>1</v>
      </c>
      <c r="Q45" s="149">
        <v>1</v>
      </c>
      <c r="R45" s="149">
        <v>1</v>
      </c>
      <c r="S45" s="149">
        <v>0</v>
      </c>
      <c r="T45" s="149">
        <v>0</v>
      </c>
      <c r="U45" s="149">
        <v>0</v>
      </c>
      <c r="V45" s="149">
        <v>0</v>
      </c>
      <c r="W45" s="149">
        <v>0</v>
      </c>
      <c r="X45" s="149">
        <v>0</v>
      </c>
      <c r="Y45" s="149">
        <v>0</v>
      </c>
      <c r="Z45" s="149">
        <v>0</v>
      </c>
      <c r="AA45" s="149">
        <v>0</v>
      </c>
      <c r="AB45" s="149">
        <v>0</v>
      </c>
      <c r="AC45" s="149">
        <v>0</v>
      </c>
      <c r="AD45" s="149"/>
      <c r="AE45" s="149"/>
    </row>
    <row r="46" spans="1:31" ht="15">
      <c r="A46" s="148" t="s">
        <v>1827</v>
      </c>
      <c r="B46" s="148" t="s">
        <v>1595</v>
      </c>
      <c r="C46" s="148">
        <v>0</v>
      </c>
      <c r="D46" s="148">
        <v>1</v>
      </c>
      <c r="E46" s="148">
        <v>1</v>
      </c>
      <c r="F46" s="148">
        <v>1</v>
      </c>
      <c r="G46" s="148">
        <v>1</v>
      </c>
      <c r="H46" s="148">
        <v>1</v>
      </c>
      <c r="I46" s="148">
        <v>1</v>
      </c>
      <c r="J46" s="148">
        <v>1</v>
      </c>
      <c r="K46" s="148">
        <v>1</v>
      </c>
      <c r="L46" s="148">
        <v>1</v>
      </c>
      <c r="M46" s="148">
        <v>1</v>
      </c>
      <c r="N46" s="148">
        <v>1</v>
      </c>
      <c r="O46" s="148">
        <v>1</v>
      </c>
      <c r="P46" s="148">
        <v>1</v>
      </c>
      <c r="Q46" s="148">
        <v>1</v>
      </c>
      <c r="R46" s="148">
        <v>1</v>
      </c>
      <c r="S46" s="148">
        <v>0</v>
      </c>
      <c r="T46" s="148">
        <v>0</v>
      </c>
      <c r="U46" s="148">
        <v>0</v>
      </c>
      <c r="V46" s="148">
        <v>0</v>
      </c>
      <c r="W46" s="148">
        <v>0</v>
      </c>
      <c r="X46" s="148">
        <v>0</v>
      </c>
      <c r="Y46" s="148">
        <v>0</v>
      </c>
      <c r="Z46" s="148">
        <v>0</v>
      </c>
      <c r="AA46" s="148">
        <v>0</v>
      </c>
      <c r="AB46" s="148">
        <v>0</v>
      </c>
      <c r="AC46" s="148">
        <v>0</v>
      </c>
      <c r="AD46" s="148"/>
      <c r="AE46" s="148"/>
    </row>
    <row r="47" spans="1:31" ht="15">
      <c r="A47" s="149" t="s">
        <v>1829</v>
      </c>
      <c r="B47" s="149" t="s">
        <v>1595</v>
      </c>
      <c r="C47" s="149">
        <v>0</v>
      </c>
      <c r="D47" s="149">
        <v>1</v>
      </c>
      <c r="E47" s="149">
        <v>1</v>
      </c>
      <c r="F47" s="149">
        <v>1</v>
      </c>
      <c r="G47" s="149">
        <v>1</v>
      </c>
      <c r="H47" s="149">
        <v>1</v>
      </c>
      <c r="I47" s="149">
        <v>1</v>
      </c>
      <c r="J47" s="149">
        <v>1</v>
      </c>
      <c r="K47" s="149">
        <v>1</v>
      </c>
      <c r="L47" s="149">
        <v>1</v>
      </c>
      <c r="M47" s="149">
        <v>1</v>
      </c>
      <c r="N47" s="149">
        <v>1</v>
      </c>
      <c r="O47" s="149">
        <v>1</v>
      </c>
      <c r="P47" s="149">
        <v>1</v>
      </c>
      <c r="Q47" s="149">
        <v>1</v>
      </c>
      <c r="R47" s="149">
        <v>1</v>
      </c>
      <c r="S47" s="149">
        <v>0</v>
      </c>
      <c r="T47" s="149">
        <v>0</v>
      </c>
      <c r="U47" s="149">
        <v>0</v>
      </c>
      <c r="V47" s="149">
        <v>0</v>
      </c>
      <c r="W47" s="149">
        <v>0</v>
      </c>
      <c r="X47" s="149">
        <v>0</v>
      </c>
      <c r="Y47" s="149">
        <v>0</v>
      </c>
      <c r="Z47" s="149">
        <v>0</v>
      </c>
      <c r="AA47" s="149">
        <v>0</v>
      </c>
      <c r="AB47" s="149">
        <v>0</v>
      </c>
      <c r="AC47" s="149">
        <v>0</v>
      </c>
      <c r="AD47" s="149"/>
      <c r="AE47" s="149"/>
    </row>
    <row r="48" spans="1:31" ht="15">
      <c r="A48" s="148" t="s">
        <v>1857</v>
      </c>
      <c r="B48" s="148" t="s">
        <v>1595</v>
      </c>
      <c r="C48" s="148">
        <v>0</v>
      </c>
      <c r="D48" s="148">
        <v>1</v>
      </c>
      <c r="E48" s="148">
        <v>1</v>
      </c>
      <c r="F48" s="148">
        <v>1</v>
      </c>
      <c r="G48" s="148">
        <v>1</v>
      </c>
      <c r="H48" s="148">
        <v>1</v>
      </c>
      <c r="I48" s="148">
        <v>1</v>
      </c>
      <c r="J48" s="148">
        <v>1</v>
      </c>
      <c r="K48" s="148">
        <v>1</v>
      </c>
      <c r="L48" s="148">
        <v>1</v>
      </c>
      <c r="M48" s="148">
        <v>1</v>
      </c>
      <c r="N48" s="148">
        <v>1</v>
      </c>
      <c r="O48" s="148">
        <v>1</v>
      </c>
      <c r="P48" s="148">
        <v>1</v>
      </c>
      <c r="Q48" s="148">
        <v>1</v>
      </c>
      <c r="R48" s="148">
        <v>1</v>
      </c>
      <c r="S48" s="148">
        <v>0</v>
      </c>
      <c r="T48" s="148">
        <v>0</v>
      </c>
      <c r="U48" s="148">
        <v>0</v>
      </c>
      <c r="V48" s="148">
        <v>0</v>
      </c>
      <c r="W48" s="148">
        <v>0</v>
      </c>
      <c r="X48" s="148">
        <v>0</v>
      </c>
      <c r="Y48" s="148">
        <v>0</v>
      </c>
      <c r="Z48" s="148">
        <v>0</v>
      </c>
      <c r="AA48" s="148">
        <v>0</v>
      </c>
      <c r="AB48" s="148">
        <v>0</v>
      </c>
      <c r="AC48" s="148">
        <v>0</v>
      </c>
      <c r="AD48" s="148"/>
      <c r="AE48" s="148"/>
    </row>
    <row r="49" spans="1:31" ht="15">
      <c r="A49" s="149" t="s">
        <v>1875</v>
      </c>
      <c r="B49" s="149" t="s">
        <v>1595</v>
      </c>
      <c r="C49" s="149">
        <v>0</v>
      </c>
      <c r="D49" s="149">
        <v>1</v>
      </c>
      <c r="E49" s="149">
        <v>1</v>
      </c>
      <c r="F49" s="149">
        <v>1</v>
      </c>
      <c r="G49" s="149">
        <v>1</v>
      </c>
      <c r="H49" s="149">
        <v>1</v>
      </c>
      <c r="I49" s="149">
        <v>1</v>
      </c>
      <c r="J49" s="149">
        <v>1</v>
      </c>
      <c r="K49" s="149">
        <v>1</v>
      </c>
      <c r="L49" s="149">
        <v>1</v>
      </c>
      <c r="M49" s="149">
        <v>1</v>
      </c>
      <c r="N49" s="149">
        <v>1</v>
      </c>
      <c r="O49" s="149">
        <v>1</v>
      </c>
      <c r="P49" s="149">
        <v>1</v>
      </c>
      <c r="Q49" s="149">
        <v>1</v>
      </c>
      <c r="R49" s="149">
        <v>1</v>
      </c>
      <c r="S49" s="149">
        <v>0</v>
      </c>
      <c r="T49" s="149">
        <v>0</v>
      </c>
      <c r="U49" s="149">
        <v>0</v>
      </c>
      <c r="V49" s="149">
        <v>0</v>
      </c>
      <c r="W49" s="149">
        <v>0</v>
      </c>
      <c r="X49" s="149">
        <v>0</v>
      </c>
      <c r="Y49" s="149">
        <v>0</v>
      </c>
      <c r="Z49" s="149">
        <v>0</v>
      </c>
      <c r="AA49" s="149">
        <v>0</v>
      </c>
      <c r="AB49" s="149">
        <v>0</v>
      </c>
      <c r="AC49" s="149">
        <v>0</v>
      </c>
      <c r="AD49" s="149"/>
      <c r="AE49" s="149"/>
    </row>
    <row r="50" spans="1:31" ht="15">
      <c r="A50" s="148" t="s">
        <v>1888</v>
      </c>
      <c r="B50" s="148" t="s">
        <v>1595</v>
      </c>
      <c r="C50" s="148">
        <v>0</v>
      </c>
      <c r="D50" s="148">
        <v>1</v>
      </c>
      <c r="E50" s="148">
        <v>1</v>
      </c>
      <c r="F50" s="148">
        <v>1</v>
      </c>
      <c r="G50" s="148">
        <v>1</v>
      </c>
      <c r="H50" s="148">
        <v>1</v>
      </c>
      <c r="I50" s="148">
        <v>1</v>
      </c>
      <c r="J50" s="148">
        <v>1</v>
      </c>
      <c r="K50" s="148">
        <v>1</v>
      </c>
      <c r="L50" s="148">
        <v>1</v>
      </c>
      <c r="M50" s="148">
        <v>1</v>
      </c>
      <c r="N50" s="148">
        <v>1</v>
      </c>
      <c r="O50" s="148">
        <v>1</v>
      </c>
      <c r="P50" s="148">
        <v>1</v>
      </c>
      <c r="Q50" s="148">
        <v>1</v>
      </c>
      <c r="R50" s="148">
        <v>1</v>
      </c>
      <c r="S50" s="148">
        <v>0</v>
      </c>
      <c r="T50" s="148">
        <v>0</v>
      </c>
      <c r="U50" s="148">
        <v>0</v>
      </c>
      <c r="V50" s="148">
        <v>0</v>
      </c>
      <c r="W50" s="148">
        <v>0</v>
      </c>
      <c r="X50" s="148">
        <v>0</v>
      </c>
      <c r="Y50" s="148">
        <v>0</v>
      </c>
      <c r="Z50" s="148">
        <v>0</v>
      </c>
      <c r="AA50" s="148">
        <v>0</v>
      </c>
      <c r="AB50" s="148">
        <v>0</v>
      </c>
      <c r="AC50" s="148">
        <v>0</v>
      </c>
      <c r="AD50" s="148"/>
      <c r="AE50" s="148"/>
    </row>
    <row r="51" spans="1:31" ht="15">
      <c r="A51" s="149" t="s">
        <v>1897</v>
      </c>
      <c r="B51" s="149" t="s">
        <v>1595</v>
      </c>
      <c r="C51" s="149">
        <v>0</v>
      </c>
      <c r="D51" s="149">
        <v>1</v>
      </c>
      <c r="E51" s="149">
        <v>1</v>
      </c>
      <c r="F51" s="149">
        <v>1</v>
      </c>
      <c r="G51" s="149">
        <v>1</v>
      </c>
      <c r="H51" s="149">
        <v>1</v>
      </c>
      <c r="I51" s="149">
        <v>1</v>
      </c>
      <c r="J51" s="149">
        <v>1</v>
      </c>
      <c r="K51" s="149">
        <v>1</v>
      </c>
      <c r="L51" s="149">
        <v>1</v>
      </c>
      <c r="M51" s="149">
        <v>1</v>
      </c>
      <c r="N51" s="149">
        <v>1</v>
      </c>
      <c r="O51" s="149">
        <v>1</v>
      </c>
      <c r="P51" s="149">
        <v>1</v>
      </c>
      <c r="Q51" s="149">
        <v>1</v>
      </c>
      <c r="R51" s="149">
        <v>1</v>
      </c>
      <c r="S51" s="149">
        <v>0</v>
      </c>
      <c r="T51" s="149">
        <v>0</v>
      </c>
      <c r="U51" s="149">
        <v>0</v>
      </c>
      <c r="V51" s="149">
        <v>0</v>
      </c>
      <c r="W51" s="149">
        <v>0</v>
      </c>
      <c r="X51" s="149">
        <v>0</v>
      </c>
      <c r="Y51" s="149">
        <v>0</v>
      </c>
      <c r="Z51" s="149">
        <v>0</v>
      </c>
      <c r="AA51" s="149">
        <v>0</v>
      </c>
      <c r="AB51" s="149">
        <v>0</v>
      </c>
      <c r="AC51" s="149">
        <v>0</v>
      </c>
      <c r="AD51" s="149"/>
      <c r="AE51" s="149"/>
    </row>
    <row r="52" spans="1:31" ht="15">
      <c r="A52" s="148" t="s">
        <v>1909</v>
      </c>
      <c r="B52" s="148" t="s">
        <v>1595</v>
      </c>
      <c r="C52" s="148">
        <v>0</v>
      </c>
      <c r="D52" s="148">
        <v>1</v>
      </c>
      <c r="E52" s="148">
        <v>1</v>
      </c>
      <c r="F52" s="148">
        <v>1</v>
      </c>
      <c r="G52" s="148">
        <v>1</v>
      </c>
      <c r="H52" s="148">
        <v>1</v>
      </c>
      <c r="I52" s="148">
        <v>1</v>
      </c>
      <c r="J52" s="148">
        <v>1</v>
      </c>
      <c r="K52" s="148">
        <v>1</v>
      </c>
      <c r="L52" s="148">
        <v>1</v>
      </c>
      <c r="M52" s="148">
        <v>1</v>
      </c>
      <c r="N52" s="148">
        <v>1</v>
      </c>
      <c r="O52" s="148">
        <v>1</v>
      </c>
      <c r="P52" s="148">
        <v>1</v>
      </c>
      <c r="Q52" s="148">
        <v>1</v>
      </c>
      <c r="R52" s="148">
        <v>1</v>
      </c>
      <c r="S52" s="148">
        <v>0</v>
      </c>
      <c r="T52" s="148">
        <v>0</v>
      </c>
      <c r="U52" s="148">
        <v>0</v>
      </c>
      <c r="V52" s="148">
        <v>0</v>
      </c>
      <c r="W52" s="148">
        <v>0</v>
      </c>
      <c r="X52" s="148">
        <v>0</v>
      </c>
      <c r="Y52" s="148">
        <v>0</v>
      </c>
      <c r="Z52" s="148">
        <v>0</v>
      </c>
      <c r="AA52" s="148">
        <v>0</v>
      </c>
      <c r="AB52" s="148">
        <v>0</v>
      </c>
      <c r="AC52" s="148">
        <v>0</v>
      </c>
      <c r="AD52" s="148"/>
      <c r="AE52" s="148"/>
    </row>
    <row r="53" spans="1:31" ht="15">
      <c r="A53" s="149" t="s">
        <v>1916</v>
      </c>
      <c r="B53" s="149" t="s">
        <v>1595</v>
      </c>
      <c r="C53" s="149">
        <v>0</v>
      </c>
      <c r="D53" s="149">
        <v>1</v>
      </c>
      <c r="E53" s="149">
        <v>1</v>
      </c>
      <c r="F53" s="149">
        <v>1</v>
      </c>
      <c r="G53" s="149">
        <v>1</v>
      </c>
      <c r="H53" s="149">
        <v>1</v>
      </c>
      <c r="I53" s="149">
        <v>1</v>
      </c>
      <c r="J53" s="149">
        <v>1</v>
      </c>
      <c r="K53" s="149">
        <v>1</v>
      </c>
      <c r="L53" s="149">
        <v>1</v>
      </c>
      <c r="M53" s="149">
        <v>1</v>
      </c>
      <c r="N53" s="149">
        <v>1</v>
      </c>
      <c r="O53" s="149">
        <v>1</v>
      </c>
      <c r="P53" s="149">
        <v>1</v>
      </c>
      <c r="Q53" s="149">
        <v>1</v>
      </c>
      <c r="R53" s="149">
        <v>1</v>
      </c>
      <c r="S53" s="149">
        <v>0</v>
      </c>
      <c r="T53" s="149">
        <v>0</v>
      </c>
      <c r="U53" s="149">
        <v>0</v>
      </c>
      <c r="V53" s="149">
        <v>0</v>
      </c>
      <c r="W53" s="149">
        <v>0</v>
      </c>
      <c r="X53" s="149">
        <v>0</v>
      </c>
      <c r="Y53" s="149">
        <v>0</v>
      </c>
      <c r="Z53" s="149">
        <v>0</v>
      </c>
      <c r="AA53" s="149">
        <v>0</v>
      </c>
      <c r="AB53" s="149">
        <v>0</v>
      </c>
      <c r="AC53" s="149">
        <v>0</v>
      </c>
      <c r="AD53" s="149"/>
      <c r="AE53" s="149"/>
    </row>
    <row r="54" spans="1:31" ht="15">
      <c r="A54" s="148" t="s">
        <v>1600</v>
      </c>
      <c r="B54" s="148" t="s">
        <v>1600</v>
      </c>
      <c r="C54" s="148">
        <v>0</v>
      </c>
      <c r="D54" s="148">
        <v>1</v>
      </c>
      <c r="E54" s="148">
        <v>1</v>
      </c>
      <c r="F54" s="148">
        <v>1</v>
      </c>
      <c r="G54" s="148">
        <v>1</v>
      </c>
      <c r="H54" s="148">
        <v>1</v>
      </c>
      <c r="I54" s="148">
        <v>1</v>
      </c>
      <c r="J54" s="148">
        <v>1</v>
      </c>
      <c r="K54" s="148">
        <v>1</v>
      </c>
      <c r="L54" s="148">
        <v>1</v>
      </c>
      <c r="M54" s="148">
        <v>1</v>
      </c>
      <c r="N54" s="148">
        <v>1</v>
      </c>
      <c r="O54" s="148">
        <v>1</v>
      </c>
      <c r="P54" s="148">
        <v>0</v>
      </c>
      <c r="Q54" s="148">
        <v>1</v>
      </c>
      <c r="R54" s="148">
        <v>1</v>
      </c>
      <c r="S54" s="148">
        <v>1</v>
      </c>
      <c r="T54" s="148">
        <v>1</v>
      </c>
      <c r="U54" s="148">
        <v>1</v>
      </c>
      <c r="V54" s="148">
        <v>1</v>
      </c>
      <c r="W54" s="148">
        <v>1</v>
      </c>
      <c r="X54" s="148">
        <v>1</v>
      </c>
      <c r="Y54" s="148">
        <v>1</v>
      </c>
      <c r="Z54" s="148">
        <v>1</v>
      </c>
      <c r="AA54" s="148">
        <v>1</v>
      </c>
      <c r="AB54" s="148">
        <v>1</v>
      </c>
      <c r="AC54" s="148">
        <v>1</v>
      </c>
      <c r="AD54" s="148"/>
      <c r="AE54" s="148"/>
    </row>
    <row r="55" spans="1:31" ht="15">
      <c r="A55" s="149" t="s">
        <v>1672</v>
      </c>
      <c r="B55" s="149" t="s">
        <v>1944</v>
      </c>
      <c r="C55" s="149">
        <v>0</v>
      </c>
      <c r="D55" s="149">
        <v>1</v>
      </c>
      <c r="E55" s="149">
        <v>0</v>
      </c>
      <c r="F55" s="149">
        <v>0</v>
      </c>
      <c r="G55" s="149">
        <v>0</v>
      </c>
      <c r="H55" s="149">
        <v>0</v>
      </c>
      <c r="I55" s="149">
        <v>0</v>
      </c>
      <c r="J55" s="149">
        <v>0</v>
      </c>
      <c r="K55" s="149">
        <v>1</v>
      </c>
      <c r="L55" s="149">
        <v>1</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c r="AE55" s="149"/>
    </row>
    <row r="56" spans="1:31" ht="15">
      <c r="A56" s="148" t="s">
        <v>1807</v>
      </c>
      <c r="B56" s="148" t="s">
        <v>1944</v>
      </c>
      <c r="C56" s="148">
        <v>0</v>
      </c>
      <c r="D56" s="148">
        <v>1</v>
      </c>
      <c r="E56" s="148" t="s">
        <v>1848</v>
      </c>
      <c r="F56" s="148" t="s">
        <v>1848</v>
      </c>
      <c r="G56" s="148" t="s">
        <v>1848</v>
      </c>
      <c r="H56" s="148">
        <v>0</v>
      </c>
      <c r="I56" s="148">
        <v>0</v>
      </c>
      <c r="J56" s="148" t="s">
        <v>1848</v>
      </c>
      <c r="K56" s="148">
        <v>1</v>
      </c>
      <c r="L56" s="148">
        <v>1</v>
      </c>
      <c r="M56" s="148" t="s">
        <v>1848</v>
      </c>
      <c r="N56" s="148" t="s">
        <v>1848</v>
      </c>
      <c r="O56" s="148" t="s">
        <v>1848</v>
      </c>
      <c r="P56" s="148">
        <v>0</v>
      </c>
      <c r="Q56" s="148">
        <v>0</v>
      </c>
      <c r="R56" s="148">
        <v>1</v>
      </c>
      <c r="S56" s="148">
        <v>0</v>
      </c>
      <c r="T56" s="148">
        <v>0</v>
      </c>
      <c r="U56" s="148">
        <v>0</v>
      </c>
      <c r="V56" s="148">
        <v>0</v>
      </c>
      <c r="W56" s="148">
        <v>0</v>
      </c>
      <c r="X56" s="148">
        <v>0</v>
      </c>
      <c r="Y56" s="148">
        <v>0</v>
      </c>
      <c r="Z56" s="148">
        <v>0</v>
      </c>
      <c r="AA56" s="148">
        <v>0</v>
      </c>
      <c r="AB56" s="148">
        <v>0</v>
      </c>
      <c r="AC56" s="148">
        <v>0</v>
      </c>
      <c r="AD56" s="148"/>
      <c r="AE56" s="148"/>
    </row>
    <row r="57" spans="1:31" ht="15">
      <c r="A57" s="149" t="s">
        <v>1813</v>
      </c>
      <c r="B57" s="149" t="s">
        <v>1944</v>
      </c>
      <c r="C57" s="149">
        <v>0</v>
      </c>
      <c r="D57" s="149">
        <v>1</v>
      </c>
      <c r="E57" s="149" t="s">
        <v>1848</v>
      </c>
      <c r="F57" s="149" t="s">
        <v>1848</v>
      </c>
      <c r="G57" s="149" t="s">
        <v>1848</v>
      </c>
      <c r="H57" s="149">
        <v>0</v>
      </c>
      <c r="I57" s="149">
        <v>0</v>
      </c>
      <c r="J57" s="149" t="s">
        <v>1848</v>
      </c>
      <c r="K57" s="149">
        <v>1</v>
      </c>
      <c r="L57" s="149">
        <v>1</v>
      </c>
      <c r="M57" s="149" t="s">
        <v>1848</v>
      </c>
      <c r="N57" s="149" t="s">
        <v>1848</v>
      </c>
      <c r="O57" s="149" t="s">
        <v>1848</v>
      </c>
      <c r="P57" s="149">
        <v>0</v>
      </c>
      <c r="Q57" s="149">
        <v>0</v>
      </c>
      <c r="R57" s="149">
        <v>1</v>
      </c>
      <c r="S57" s="149">
        <v>0</v>
      </c>
      <c r="T57" s="149">
        <v>0</v>
      </c>
      <c r="U57" s="149">
        <v>0</v>
      </c>
      <c r="V57" s="149">
        <v>0</v>
      </c>
      <c r="W57" s="149">
        <v>0</v>
      </c>
      <c r="X57" s="149">
        <v>0</v>
      </c>
      <c r="Y57" s="149">
        <v>0</v>
      </c>
      <c r="Z57" s="149">
        <v>0</v>
      </c>
      <c r="AA57" s="149">
        <v>0</v>
      </c>
      <c r="AB57" s="149">
        <v>0</v>
      </c>
      <c r="AC57" s="149">
        <v>0</v>
      </c>
      <c r="AD57" s="149">
        <v>1</v>
      </c>
      <c r="AE57" s="149"/>
    </row>
    <row r="58" spans="1:31" ht="15">
      <c r="A58" s="148" t="s">
        <v>1922</v>
      </c>
      <c r="B58" s="148" t="s">
        <v>1944</v>
      </c>
      <c r="C58" s="148">
        <v>0</v>
      </c>
      <c r="D58" s="148">
        <v>1</v>
      </c>
      <c r="E58" s="148">
        <v>0</v>
      </c>
      <c r="F58" s="148">
        <v>0</v>
      </c>
      <c r="G58" s="148">
        <v>0</v>
      </c>
      <c r="H58" s="148">
        <v>0</v>
      </c>
      <c r="I58" s="148">
        <v>0</v>
      </c>
      <c r="J58" s="148">
        <v>0</v>
      </c>
      <c r="K58" s="148">
        <v>0</v>
      </c>
      <c r="L58" s="148">
        <v>0</v>
      </c>
      <c r="M58" s="148">
        <v>0</v>
      </c>
      <c r="N58" s="148">
        <v>0</v>
      </c>
      <c r="O58" s="148">
        <v>0</v>
      </c>
      <c r="P58" s="148">
        <v>0</v>
      </c>
      <c r="Q58" s="148">
        <v>0</v>
      </c>
      <c r="R58" s="148">
        <v>0</v>
      </c>
      <c r="S58" s="148">
        <v>0</v>
      </c>
      <c r="T58" s="148">
        <v>0</v>
      </c>
      <c r="U58" s="148">
        <v>0</v>
      </c>
      <c r="V58" s="148">
        <v>0</v>
      </c>
      <c r="W58" s="148">
        <v>0</v>
      </c>
      <c r="X58" s="148">
        <v>0</v>
      </c>
      <c r="Y58" s="148">
        <v>0</v>
      </c>
      <c r="Z58" s="148">
        <v>0</v>
      </c>
      <c r="AA58" s="148">
        <v>0</v>
      </c>
      <c r="AB58" s="148">
        <v>0</v>
      </c>
      <c r="AC58" s="148">
        <v>0</v>
      </c>
      <c r="AD58" s="148">
        <v>1</v>
      </c>
      <c r="AE58" s="148"/>
    </row>
    <row r="59" spans="1:31" ht="15">
      <c r="A59" s="149" t="s">
        <v>1928</v>
      </c>
      <c r="B59" s="149" t="s">
        <v>1944</v>
      </c>
      <c r="C59" s="149">
        <v>0</v>
      </c>
      <c r="D59" s="149">
        <v>1</v>
      </c>
      <c r="E59" s="149">
        <v>0</v>
      </c>
      <c r="F59" s="149">
        <v>0</v>
      </c>
      <c r="G59" s="149">
        <v>0</v>
      </c>
      <c r="H59" s="149">
        <v>0</v>
      </c>
      <c r="I59" s="149">
        <v>0</v>
      </c>
      <c r="J59" s="149">
        <v>0</v>
      </c>
      <c r="K59" s="149">
        <v>1</v>
      </c>
      <c r="L59" s="149">
        <v>1</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1</v>
      </c>
      <c r="AE59" s="149"/>
    </row>
    <row r="60" spans="1:31" ht="15">
      <c r="A60" s="148" t="s">
        <v>1755</v>
      </c>
      <c r="B60" s="148" t="s">
        <v>1945</v>
      </c>
      <c r="C60" s="148">
        <v>0</v>
      </c>
      <c r="D60" s="148">
        <v>1</v>
      </c>
      <c r="E60" s="148">
        <v>1</v>
      </c>
      <c r="F60" s="148">
        <v>1</v>
      </c>
      <c r="G60" s="148">
        <v>1</v>
      </c>
      <c r="H60" s="148">
        <v>0</v>
      </c>
      <c r="I60" s="148">
        <v>1</v>
      </c>
      <c r="J60" s="148">
        <v>1</v>
      </c>
      <c r="K60" s="148">
        <v>1</v>
      </c>
      <c r="L60" s="148">
        <v>1</v>
      </c>
      <c r="M60" s="148">
        <v>1</v>
      </c>
      <c r="N60" s="148">
        <v>1</v>
      </c>
      <c r="O60" s="148">
        <v>1</v>
      </c>
      <c r="P60" s="148">
        <v>1</v>
      </c>
      <c r="Q60" s="148">
        <v>0</v>
      </c>
      <c r="R60" s="148">
        <v>1</v>
      </c>
      <c r="S60" s="148">
        <v>1</v>
      </c>
      <c r="T60" s="148">
        <v>1</v>
      </c>
      <c r="U60" s="148">
        <v>1</v>
      </c>
      <c r="V60" s="148">
        <v>1</v>
      </c>
      <c r="W60" s="148">
        <v>1</v>
      </c>
      <c r="X60" s="148">
        <v>1</v>
      </c>
      <c r="Y60" s="148">
        <v>1</v>
      </c>
      <c r="Z60" s="148">
        <v>1</v>
      </c>
      <c r="AA60" s="148">
        <v>1</v>
      </c>
      <c r="AB60" s="148">
        <v>1</v>
      </c>
      <c r="AC60" s="148">
        <v>1</v>
      </c>
      <c r="AD60" s="148"/>
      <c r="AE60" s="148"/>
    </row>
    <row r="61" spans="1:31" ht="15">
      <c r="A61" s="149" t="s">
        <v>1758</v>
      </c>
      <c r="B61" s="149" t="s">
        <v>1945</v>
      </c>
      <c r="C61" s="149">
        <v>0</v>
      </c>
      <c r="D61" s="149">
        <v>1</v>
      </c>
      <c r="E61" s="149">
        <v>1</v>
      </c>
      <c r="F61" s="149">
        <v>1</v>
      </c>
      <c r="G61" s="149">
        <v>1</v>
      </c>
      <c r="H61" s="149">
        <v>0</v>
      </c>
      <c r="I61" s="149">
        <v>1</v>
      </c>
      <c r="J61" s="149">
        <v>1</v>
      </c>
      <c r="K61" s="149">
        <v>1</v>
      </c>
      <c r="L61" s="149">
        <v>1</v>
      </c>
      <c r="M61" s="149">
        <v>1</v>
      </c>
      <c r="N61" s="149">
        <v>1</v>
      </c>
      <c r="O61" s="149">
        <v>1</v>
      </c>
      <c r="P61" s="149">
        <v>1</v>
      </c>
      <c r="Q61" s="149">
        <v>0</v>
      </c>
      <c r="R61" s="149">
        <v>1</v>
      </c>
      <c r="S61" s="149">
        <v>1</v>
      </c>
      <c r="T61" s="149">
        <v>1</v>
      </c>
      <c r="U61" s="149">
        <v>1</v>
      </c>
      <c r="V61" s="149">
        <v>1</v>
      </c>
      <c r="W61" s="149">
        <v>1</v>
      </c>
      <c r="X61" s="149">
        <v>1</v>
      </c>
      <c r="Y61" s="149">
        <v>1</v>
      </c>
      <c r="Z61" s="149">
        <v>1</v>
      </c>
      <c r="AA61" s="149">
        <v>1</v>
      </c>
      <c r="AB61" s="149">
        <v>1</v>
      </c>
      <c r="AC61" s="149">
        <v>1</v>
      </c>
      <c r="AD61" s="149"/>
      <c r="AE61" s="149"/>
    </row>
    <row r="62" spans="1:31" ht="15">
      <c r="A62" s="148" t="s">
        <v>1763</v>
      </c>
      <c r="B62" s="148" t="s">
        <v>1945</v>
      </c>
      <c r="C62" s="148">
        <v>0</v>
      </c>
      <c r="D62" s="148">
        <v>1</v>
      </c>
      <c r="E62" s="148">
        <v>1</v>
      </c>
      <c r="F62" s="148">
        <v>1</v>
      </c>
      <c r="G62" s="148">
        <v>1</v>
      </c>
      <c r="H62" s="148">
        <v>0</v>
      </c>
      <c r="I62" s="148">
        <v>1</v>
      </c>
      <c r="J62" s="148">
        <v>1</v>
      </c>
      <c r="K62" s="148">
        <v>1</v>
      </c>
      <c r="L62" s="148">
        <v>1</v>
      </c>
      <c r="M62" s="148">
        <v>1</v>
      </c>
      <c r="N62" s="148">
        <v>1</v>
      </c>
      <c r="O62" s="148">
        <v>1</v>
      </c>
      <c r="P62" s="148">
        <v>1</v>
      </c>
      <c r="Q62" s="148">
        <v>0</v>
      </c>
      <c r="R62" s="148">
        <v>1</v>
      </c>
      <c r="S62" s="148">
        <v>1</v>
      </c>
      <c r="T62" s="148">
        <v>1</v>
      </c>
      <c r="U62" s="148">
        <v>1</v>
      </c>
      <c r="V62" s="148">
        <v>1</v>
      </c>
      <c r="W62" s="148">
        <v>1</v>
      </c>
      <c r="X62" s="148">
        <v>1</v>
      </c>
      <c r="Y62" s="148">
        <v>1</v>
      </c>
      <c r="Z62" s="148">
        <v>1</v>
      </c>
      <c r="AA62" s="148">
        <v>1</v>
      </c>
      <c r="AB62" s="148">
        <v>1</v>
      </c>
      <c r="AC62" s="148">
        <v>1</v>
      </c>
      <c r="AD62" s="148"/>
      <c r="AE62" s="148"/>
    </row>
    <row r="63" spans="1:31" ht="15">
      <c r="A63" s="149" t="s">
        <v>1657</v>
      </c>
      <c r="B63" s="149" t="s">
        <v>1946</v>
      </c>
      <c r="C63" s="149">
        <v>0</v>
      </c>
      <c r="D63" s="149">
        <v>1</v>
      </c>
      <c r="E63" s="149">
        <v>1</v>
      </c>
      <c r="F63" s="149">
        <v>1</v>
      </c>
      <c r="G63" s="149">
        <v>1</v>
      </c>
      <c r="H63" s="149">
        <v>1</v>
      </c>
      <c r="I63" s="149">
        <v>1</v>
      </c>
      <c r="J63" s="149">
        <v>1</v>
      </c>
      <c r="K63" s="149">
        <v>1</v>
      </c>
      <c r="L63" s="149">
        <v>1</v>
      </c>
      <c r="M63" s="149">
        <v>1</v>
      </c>
      <c r="N63" s="149">
        <v>1</v>
      </c>
      <c r="O63" s="149">
        <v>1</v>
      </c>
      <c r="P63" s="149">
        <v>1</v>
      </c>
      <c r="Q63" s="149">
        <v>1</v>
      </c>
      <c r="R63" s="149">
        <v>1</v>
      </c>
      <c r="S63" s="149">
        <v>0</v>
      </c>
      <c r="T63" s="149">
        <v>0</v>
      </c>
      <c r="U63" s="149">
        <v>0</v>
      </c>
      <c r="V63" s="149">
        <v>0</v>
      </c>
      <c r="W63" s="149">
        <v>0</v>
      </c>
      <c r="X63" s="149">
        <v>0</v>
      </c>
      <c r="Y63" s="149">
        <v>0</v>
      </c>
      <c r="Z63" s="149">
        <v>0</v>
      </c>
      <c r="AA63" s="149">
        <v>0</v>
      </c>
      <c r="AB63" s="149">
        <v>0</v>
      </c>
      <c r="AC63" s="149">
        <v>0</v>
      </c>
      <c r="AD63" s="149"/>
      <c r="AE63" s="149"/>
    </row>
    <row r="64" spans="1:31" ht="15">
      <c r="A64" s="148" t="s">
        <v>1694</v>
      </c>
      <c r="B64" s="148" t="s">
        <v>1946</v>
      </c>
      <c r="C64" s="148">
        <v>0</v>
      </c>
      <c r="D64" s="148">
        <v>1</v>
      </c>
      <c r="E64" s="148">
        <v>1</v>
      </c>
      <c r="F64" s="148">
        <v>1</v>
      </c>
      <c r="G64" s="148">
        <v>1</v>
      </c>
      <c r="H64" s="148">
        <v>1</v>
      </c>
      <c r="I64" s="148">
        <v>1</v>
      </c>
      <c r="J64" s="148">
        <v>1</v>
      </c>
      <c r="K64" s="148">
        <v>1</v>
      </c>
      <c r="L64" s="148">
        <v>1</v>
      </c>
      <c r="M64" s="148">
        <v>1</v>
      </c>
      <c r="N64" s="148">
        <v>1</v>
      </c>
      <c r="O64" s="148">
        <v>1</v>
      </c>
      <c r="P64" s="148">
        <v>1</v>
      </c>
      <c r="Q64" s="148">
        <v>1</v>
      </c>
      <c r="R64" s="148">
        <v>1</v>
      </c>
      <c r="S64" s="148">
        <v>0</v>
      </c>
      <c r="T64" s="148">
        <v>0</v>
      </c>
      <c r="U64" s="148">
        <v>0</v>
      </c>
      <c r="V64" s="148">
        <v>0</v>
      </c>
      <c r="W64" s="148">
        <v>0</v>
      </c>
      <c r="X64" s="148">
        <v>0</v>
      </c>
      <c r="Y64" s="148">
        <v>0</v>
      </c>
      <c r="Z64" s="148">
        <v>0</v>
      </c>
      <c r="AA64" s="148">
        <v>0</v>
      </c>
      <c r="AB64" s="148">
        <v>0</v>
      </c>
      <c r="AC64" s="148">
        <v>0</v>
      </c>
      <c r="AD64" s="148"/>
      <c r="AE64" s="148"/>
    </row>
    <row r="65" spans="1:31" ht="15">
      <c r="A65" s="149" t="s">
        <v>1773</v>
      </c>
      <c r="B65" s="149" t="s">
        <v>1946</v>
      </c>
      <c r="C65" s="149">
        <v>0</v>
      </c>
      <c r="D65" s="149">
        <v>1</v>
      </c>
      <c r="E65" s="149">
        <v>1</v>
      </c>
      <c r="F65" s="149">
        <v>1</v>
      </c>
      <c r="G65" s="149">
        <v>1</v>
      </c>
      <c r="H65" s="149">
        <v>1</v>
      </c>
      <c r="I65" s="149">
        <v>1</v>
      </c>
      <c r="J65" s="149">
        <v>1</v>
      </c>
      <c r="K65" s="149">
        <v>1</v>
      </c>
      <c r="L65" s="149">
        <v>1</v>
      </c>
      <c r="M65" s="149">
        <v>1</v>
      </c>
      <c r="N65" s="149">
        <v>1</v>
      </c>
      <c r="O65" s="149">
        <v>1</v>
      </c>
      <c r="P65" s="149">
        <v>1</v>
      </c>
      <c r="Q65" s="149">
        <v>1</v>
      </c>
      <c r="R65" s="149">
        <v>1</v>
      </c>
      <c r="S65" s="149">
        <v>0</v>
      </c>
      <c r="T65" s="149">
        <v>0</v>
      </c>
      <c r="U65" s="149">
        <v>0</v>
      </c>
      <c r="V65" s="149">
        <v>0</v>
      </c>
      <c r="W65" s="149">
        <v>0</v>
      </c>
      <c r="X65" s="149">
        <v>0</v>
      </c>
      <c r="Y65" s="149">
        <v>0</v>
      </c>
      <c r="Z65" s="149">
        <v>0</v>
      </c>
      <c r="AA65" s="149">
        <v>0</v>
      </c>
      <c r="AB65" s="149">
        <v>0</v>
      </c>
      <c r="AC65" s="149">
        <v>0</v>
      </c>
      <c r="AD65" s="149"/>
      <c r="AE65" s="149"/>
    </row>
    <row r="66" spans="1:31" ht="15">
      <c r="A66" s="148" t="s">
        <v>1776</v>
      </c>
      <c r="B66" s="148" t="s">
        <v>1946</v>
      </c>
      <c r="C66" s="148">
        <v>0</v>
      </c>
      <c r="D66" s="148">
        <v>1</v>
      </c>
      <c r="E66" s="148">
        <v>1</v>
      </c>
      <c r="F66" s="148">
        <v>1</v>
      </c>
      <c r="G66" s="148">
        <v>1</v>
      </c>
      <c r="H66" s="148">
        <v>1</v>
      </c>
      <c r="I66" s="148">
        <v>1</v>
      </c>
      <c r="J66" s="148">
        <v>1</v>
      </c>
      <c r="K66" s="148">
        <v>1</v>
      </c>
      <c r="L66" s="148">
        <v>1</v>
      </c>
      <c r="M66" s="148">
        <v>1</v>
      </c>
      <c r="N66" s="148">
        <v>1</v>
      </c>
      <c r="O66" s="148">
        <v>1</v>
      </c>
      <c r="P66" s="148">
        <v>1</v>
      </c>
      <c r="Q66" s="148">
        <v>1</v>
      </c>
      <c r="R66" s="148">
        <v>1</v>
      </c>
      <c r="S66" s="148">
        <v>0</v>
      </c>
      <c r="T66" s="148">
        <v>0</v>
      </c>
      <c r="U66" s="148">
        <v>0</v>
      </c>
      <c r="V66" s="148">
        <v>0</v>
      </c>
      <c r="W66" s="148">
        <v>0</v>
      </c>
      <c r="X66" s="148">
        <v>0</v>
      </c>
      <c r="Y66" s="148">
        <v>0</v>
      </c>
      <c r="Z66" s="148">
        <v>0</v>
      </c>
      <c r="AA66" s="148">
        <v>0</v>
      </c>
      <c r="AB66" s="148">
        <v>0</v>
      </c>
      <c r="AC66" s="148">
        <v>0</v>
      </c>
      <c r="AD66" s="148"/>
      <c r="AE66" s="148"/>
    </row>
    <row r="67" spans="1:31" ht="15">
      <c r="A67" s="149" t="s">
        <v>1790</v>
      </c>
      <c r="B67" s="149" t="s">
        <v>1946</v>
      </c>
      <c r="C67" s="149">
        <v>0</v>
      </c>
      <c r="D67" s="149">
        <v>1</v>
      </c>
      <c r="E67" s="149">
        <v>1</v>
      </c>
      <c r="F67" s="149">
        <v>1</v>
      </c>
      <c r="G67" s="149">
        <v>1</v>
      </c>
      <c r="H67" s="149">
        <v>1</v>
      </c>
      <c r="I67" s="149">
        <v>1</v>
      </c>
      <c r="J67" s="149">
        <v>1</v>
      </c>
      <c r="K67" s="149">
        <v>1</v>
      </c>
      <c r="L67" s="149">
        <v>1</v>
      </c>
      <c r="M67" s="149">
        <v>1</v>
      </c>
      <c r="N67" s="149">
        <v>1</v>
      </c>
      <c r="O67" s="149">
        <v>1</v>
      </c>
      <c r="P67" s="149">
        <v>1</v>
      </c>
      <c r="Q67" s="149">
        <v>1</v>
      </c>
      <c r="R67" s="149">
        <v>1</v>
      </c>
      <c r="S67" s="149">
        <v>0</v>
      </c>
      <c r="T67" s="149">
        <v>0</v>
      </c>
      <c r="U67" s="149">
        <v>0</v>
      </c>
      <c r="V67" s="149">
        <v>0</v>
      </c>
      <c r="W67" s="149">
        <v>0</v>
      </c>
      <c r="X67" s="149">
        <v>0</v>
      </c>
      <c r="Y67" s="149">
        <v>0</v>
      </c>
      <c r="Z67" s="149">
        <v>0</v>
      </c>
      <c r="AA67" s="149">
        <v>0</v>
      </c>
      <c r="AB67" s="149">
        <v>0</v>
      </c>
      <c r="AC67" s="149">
        <v>0</v>
      </c>
      <c r="AD67" s="149"/>
      <c r="AE67" s="149"/>
    </row>
    <row r="68" spans="1:31" ht="15">
      <c r="A68" s="148" t="s">
        <v>1861</v>
      </c>
      <c r="B68" s="148" t="s">
        <v>1946</v>
      </c>
      <c r="C68" s="148">
        <v>0</v>
      </c>
      <c r="D68" s="148">
        <v>1</v>
      </c>
      <c r="E68" s="148">
        <v>1</v>
      </c>
      <c r="F68" s="148">
        <v>1</v>
      </c>
      <c r="G68" s="148">
        <v>1</v>
      </c>
      <c r="H68" s="148">
        <v>1</v>
      </c>
      <c r="I68" s="148">
        <v>1</v>
      </c>
      <c r="J68" s="148">
        <v>1</v>
      </c>
      <c r="K68" s="148">
        <v>1</v>
      </c>
      <c r="L68" s="148">
        <v>1</v>
      </c>
      <c r="M68" s="148">
        <v>1</v>
      </c>
      <c r="N68" s="148">
        <v>1</v>
      </c>
      <c r="O68" s="148">
        <v>1</v>
      </c>
      <c r="P68" s="148">
        <v>1</v>
      </c>
      <c r="Q68" s="148">
        <v>1</v>
      </c>
      <c r="R68" s="148">
        <v>1</v>
      </c>
      <c r="S68" s="148">
        <v>0</v>
      </c>
      <c r="T68" s="148">
        <v>0</v>
      </c>
      <c r="U68" s="148">
        <v>0</v>
      </c>
      <c r="V68" s="148">
        <v>0</v>
      </c>
      <c r="W68" s="148">
        <v>0</v>
      </c>
      <c r="X68" s="148">
        <v>0</v>
      </c>
      <c r="Y68" s="148">
        <v>0</v>
      </c>
      <c r="Z68" s="148">
        <v>0</v>
      </c>
      <c r="AA68" s="148">
        <v>0</v>
      </c>
      <c r="AB68" s="148">
        <v>0</v>
      </c>
      <c r="AC68" s="148">
        <v>0</v>
      </c>
      <c r="AD68" s="148"/>
      <c r="AE68" s="148"/>
    </row>
    <row r="69" spans="1:31" ht="15">
      <c r="A69" s="149" t="s">
        <v>1867</v>
      </c>
      <c r="B69" s="149" t="s">
        <v>1946</v>
      </c>
      <c r="C69" s="149">
        <v>0</v>
      </c>
      <c r="D69" s="149">
        <v>1</v>
      </c>
      <c r="E69" s="149">
        <v>1</v>
      </c>
      <c r="F69" s="149">
        <v>1</v>
      </c>
      <c r="G69" s="149">
        <v>1</v>
      </c>
      <c r="H69" s="149">
        <v>1</v>
      </c>
      <c r="I69" s="149">
        <v>1</v>
      </c>
      <c r="J69" s="149">
        <v>1</v>
      </c>
      <c r="K69" s="149">
        <v>1</v>
      </c>
      <c r="L69" s="149">
        <v>1</v>
      </c>
      <c r="M69" s="149">
        <v>1</v>
      </c>
      <c r="N69" s="149">
        <v>1</v>
      </c>
      <c r="O69" s="149">
        <v>1</v>
      </c>
      <c r="P69" s="149">
        <v>1</v>
      </c>
      <c r="Q69" s="149">
        <v>1</v>
      </c>
      <c r="R69" s="149">
        <v>1</v>
      </c>
      <c r="S69" s="149">
        <v>0</v>
      </c>
      <c r="T69" s="149">
        <v>0</v>
      </c>
      <c r="U69" s="149">
        <v>0</v>
      </c>
      <c r="V69" s="149">
        <v>0</v>
      </c>
      <c r="W69" s="149">
        <v>0</v>
      </c>
      <c r="X69" s="149">
        <v>0</v>
      </c>
      <c r="Y69" s="149">
        <v>0</v>
      </c>
      <c r="Z69" s="149">
        <v>0</v>
      </c>
      <c r="AA69" s="149">
        <v>0</v>
      </c>
      <c r="AB69" s="149">
        <v>0</v>
      </c>
      <c r="AC69" s="149">
        <v>0</v>
      </c>
      <c r="AD69" s="149"/>
      <c r="AE69" s="149"/>
    </row>
    <row r="70" spans="1:31" ht="15">
      <c r="A70" s="148" t="s">
        <v>1609</v>
      </c>
      <c r="B70" s="148" t="s">
        <v>1947</v>
      </c>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c r="AA70" s="148"/>
      <c r="AB70" s="148"/>
      <c r="AC70" s="148"/>
      <c r="AD70" s="148">
        <v>1</v>
      </c>
      <c r="AE70" s="148"/>
    </row>
    <row r="71" spans="1:31" ht="15">
      <c r="A71" s="149" t="s">
        <v>1631</v>
      </c>
      <c r="B71" s="149" t="s">
        <v>1947</v>
      </c>
      <c r="C71" s="149"/>
      <c r="D71" s="149"/>
      <c r="E71" s="149"/>
      <c r="F71" s="149"/>
      <c r="G71" s="149"/>
      <c r="H71" s="149"/>
      <c r="I71" s="149"/>
      <c r="J71" s="149"/>
      <c r="K71" s="149"/>
      <c r="L71" s="149"/>
      <c r="M71" s="149"/>
      <c r="N71" s="149"/>
      <c r="O71" s="149"/>
      <c r="P71" s="149"/>
      <c r="Q71" s="149"/>
      <c r="R71" s="149"/>
      <c r="S71" s="149"/>
      <c r="T71" s="149"/>
      <c r="U71" s="149"/>
      <c r="V71" s="149"/>
      <c r="W71" s="149"/>
      <c r="X71" s="149"/>
      <c r="Y71" s="149"/>
      <c r="Z71" s="149"/>
      <c r="AA71" s="149"/>
      <c r="AB71" s="149"/>
      <c r="AC71" s="149"/>
      <c r="AD71" s="149">
        <v>1</v>
      </c>
      <c r="AE71" s="149"/>
    </row>
    <row r="72" spans="1:31" ht="15">
      <c r="A72" s="148" t="s">
        <v>1663</v>
      </c>
      <c r="B72" s="148" t="s">
        <v>1947</v>
      </c>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c r="AA72" s="148"/>
      <c r="AB72" s="148"/>
      <c r="AC72" s="148"/>
      <c r="AD72" s="148">
        <v>1</v>
      </c>
      <c r="AE72" s="148"/>
    </row>
    <row r="73" spans="1:31" ht="15">
      <c r="A73" s="149" t="s">
        <v>1740</v>
      </c>
      <c r="B73" s="149" t="s">
        <v>1947</v>
      </c>
      <c r="C73" s="149"/>
      <c r="D73" s="149"/>
      <c r="E73" s="149"/>
      <c r="F73" s="149"/>
      <c r="G73" s="149"/>
      <c r="H73" s="149"/>
      <c r="I73" s="149"/>
      <c r="J73" s="149"/>
      <c r="K73" s="149"/>
      <c r="L73" s="149"/>
      <c r="M73" s="149"/>
      <c r="N73" s="149"/>
      <c r="O73" s="149"/>
      <c r="P73" s="149"/>
      <c r="Q73" s="149"/>
      <c r="R73" s="149"/>
      <c r="S73" s="149"/>
      <c r="T73" s="149"/>
      <c r="U73" s="149"/>
      <c r="V73" s="149"/>
      <c r="W73" s="149"/>
      <c r="X73" s="149"/>
      <c r="Y73" s="149"/>
      <c r="Z73" s="149"/>
      <c r="AA73" s="149"/>
      <c r="AB73" s="149"/>
      <c r="AC73" s="149"/>
      <c r="AD73" s="149">
        <v>1</v>
      </c>
      <c r="AE73" s="149"/>
    </row>
    <row r="74" spans="1:31" ht="15">
      <c r="A74" s="148" t="s">
        <v>1878</v>
      </c>
      <c r="B74" s="148" t="s">
        <v>1947</v>
      </c>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c r="AA74" s="148"/>
      <c r="AB74" s="148"/>
      <c r="AC74" s="148"/>
      <c r="AD74" s="148">
        <v>1</v>
      </c>
      <c r="AE74" s="148"/>
    </row>
    <row r="75" spans="1:31" ht="15">
      <c r="A75" s="149" t="s">
        <v>1894</v>
      </c>
      <c r="B75" s="149" t="s">
        <v>1947</v>
      </c>
      <c r="C75" s="149"/>
      <c r="D75" s="149"/>
      <c r="E75" s="149"/>
      <c r="F75" s="149"/>
      <c r="G75" s="149"/>
      <c r="H75" s="149"/>
      <c r="I75" s="149"/>
      <c r="J75" s="149"/>
      <c r="K75" s="149"/>
      <c r="L75" s="149"/>
      <c r="M75" s="149"/>
      <c r="N75" s="149"/>
      <c r="O75" s="149"/>
      <c r="P75" s="149"/>
      <c r="Q75" s="149"/>
      <c r="R75" s="149"/>
      <c r="S75" s="149"/>
      <c r="T75" s="149"/>
      <c r="U75" s="149"/>
      <c r="V75" s="149"/>
      <c r="W75" s="149"/>
      <c r="X75" s="149"/>
      <c r="Y75" s="149"/>
      <c r="Z75" s="149"/>
      <c r="AA75" s="149"/>
      <c r="AB75" s="149"/>
      <c r="AC75" s="149"/>
      <c r="AD75" s="149">
        <v>1</v>
      </c>
      <c r="AE75" s="149"/>
    </row>
    <row r="76" spans="1:31" ht="15">
      <c r="A76" s="148" t="s">
        <v>1588</v>
      </c>
      <c r="B76" s="148" t="s">
        <v>1948</v>
      </c>
      <c r="C76" s="148">
        <v>0</v>
      </c>
      <c r="D76" s="148">
        <v>1</v>
      </c>
      <c r="E76" s="148">
        <v>1</v>
      </c>
      <c r="F76" s="148">
        <v>1</v>
      </c>
      <c r="G76" s="148">
        <v>1</v>
      </c>
      <c r="H76" s="148">
        <v>0</v>
      </c>
      <c r="I76" s="148">
        <v>0</v>
      </c>
      <c r="J76" s="148">
        <v>1</v>
      </c>
      <c r="K76" s="148">
        <v>0</v>
      </c>
      <c r="L76" s="148">
        <v>0</v>
      </c>
      <c r="M76" s="148">
        <v>0</v>
      </c>
      <c r="N76" s="148">
        <v>0</v>
      </c>
      <c r="O76" s="148">
        <v>0</v>
      </c>
      <c r="P76" s="148">
        <v>0</v>
      </c>
      <c r="Q76" s="148">
        <v>0</v>
      </c>
      <c r="R76" s="148">
        <v>0</v>
      </c>
      <c r="S76" s="148">
        <v>0</v>
      </c>
      <c r="T76" s="148">
        <v>0</v>
      </c>
      <c r="U76" s="148">
        <v>0</v>
      </c>
      <c r="V76" s="148">
        <v>0</v>
      </c>
      <c r="W76" s="148">
        <v>0</v>
      </c>
      <c r="X76" s="148">
        <v>0</v>
      </c>
      <c r="Y76" s="148">
        <v>0</v>
      </c>
      <c r="Z76" s="148">
        <v>0</v>
      </c>
      <c r="AA76" s="148">
        <v>0</v>
      </c>
      <c r="AB76" s="148">
        <v>0</v>
      </c>
      <c r="AC76" s="148">
        <v>0</v>
      </c>
      <c r="AD76" s="148"/>
      <c r="AE76" s="148"/>
    </row>
    <row r="77" spans="1:31" ht="15">
      <c r="A77" s="149" t="s">
        <v>1641</v>
      </c>
      <c r="B77" s="149" t="s">
        <v>1948</v>
      </c>
      <c r="C77" s="149">
        <v>0</v>
      </c>
      <c r="D77" s="149">
        <v>1</v>
      </c>
      <c r="E77" s="149">
        <v>1</v>
      </c>
      <c r="F77" s="149">
        <v>1</v>
      </c>
      <c r="G77" s="149">
        <v>1</v>
      </c>
      <c r="H77" s="149">
        <v>0</v>
      </c>
      <c r="I77" s="149">
        <v>0</v>
      </c>
      <c r="J77" s="149">
        <v>1</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1</v>
      </c>
      <c r="AE77" s="149"/>
    </row>
    <row r="78" spans="1:31" ht="15">
      <c r="A78" s="148" t="s">
        <v>1676</v>
      </c>
      <c r="B78" s="148" t="s">
        <v>1948</v>
      </c>
      <c r="C78" s="148">
        <v>0</v>
      </c>
      <c r="D78" s="148">
        <v>1</v>
      </c>
      <c r="E78" s="148">
        <v>1</v>
      </c>
      <c r="F78" s="148">
        <v>1</v>
      </c>
      <c r="G78" s="148">
        <v>1</v>
      </c>
      <c r="H78" s="148">
        <v>0</v>
      </c>
      <c r="I78" s="148">
        <v>0</v>
      </c>
      <c r="J78" s="148">
        <v>1</v>
      </c>
      <c r="K78" s="148">
        <v>0</v>
      </c>
      <c r="L78" s="148">
        <v>0</v>
      </c>
      <c r="M78" s="148">
        <v>0</v>
      </c>
      <c r="N78" s="148">
        <v>0</v>
      </c>
      <c r="O78" s="148">
        <v>0</v>
      </c>
      <c r="P78" s="148">
        <v>0</v>
      </c>
      <c r="Q78" s="148">
        <v>0</v>
      </c>
      <c r="R78" s="148">
        <v>0</v>
      </c>
      <c r="S78" s="148">
        <v>0</v>
      </c>
      <c r="T78" s="148">
        <v>0</v>
      </c>
      <c r="U78" s="148">
        <v>0</v>
      </c>
      <c r="V78" s="148">
        <v>0</v>
      </c>
      <c r="W78" s="148">
        <v>0</v>
      </c>
      <c r="X78" s="148">
        <v>0</v>
      </c>
      <c r="Y78" s="148">
        <v>0</v>
      </c>
      <c r="Z78" s="148">
        <v>0</v>
      </c>
      <c r="AA78" s="148">
        <v>0</v>
      </c>
      <c r="AB78" s="148">
        <v>0</v>
      </c>
      <c r="AC78" s="148">
        <v>0</v>
      </c>
      <c r="AD78" s="148"/>
      <c r="AE78" s="148"/>
    </row>
    <row r="79" spans="1:31" ht="15">
      <c r="A79" s="149" t="s">
        <v>1686</v>
      </c>
      <c r="B79" s="149" t="s">
        <v>1948</v>
      </c>
      <c r="C79" s="149">
        <v>0</v>
      </c>
      <c r="D79" s="149">
        <v>1</v>
      </c>
      <c r="E79" s="149">
        <v>1</v>
      </c>
      <c r="F79" s="149">
        <v>1</v>
      </c>
      <c r="G79" s="149">
        <v>1</v>
      </c>
      <c r="H79" s="149">
        <v>0</v>
      </c>
      <c r="I79" s="149">
        <v>0</v>
      </c>
      <c r="J79" s="149">
        <v>1</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c r="AE79" s="149"/>
    </row>
    <row r="80" spans="1:31" ht="15">
      <c r="A80" s="148" t="s">
        <v>1698</v>
      </c>
      <c r="B80" s="148" t="s">
        <v>1948</v>
      </c>
      <c r="C80" s="148">
        <v>0</v>
      </c>
      <c r="D80" s="148">
        <v>1</v>
      </c>
      <c r="E80" s="148">
        <v>1</v>
      </c>
      <c r="F80" s="148">
        <v>1</v>
      </c>
      <c r="G80" s="148">
        <v>1</v>
      </c>
      <c r="H80" s="148">
        <v>0</v>
      </c>
      <c r="I80" s="148">
        <v>0</v>
      </c>
      <c r="J80" s="148">
        <v>1</v>
      </c>
      <c r="K80" s="148">
        <v>0</v>
      </c>
      <c r="L80" s="148">
        <v>0</v>
      </c>
      <c r="M80" s="148">
        <v>0</v>
      </c>
      <c r="N80" s="148">
        <v>0</v>
      </c>
      <c r="O80" s="148">
        <v>0</v>
      </c>
      <c r="P80" s="148">
        <v>0</v>
      </c>
      <c r="Q80" s="148">
        <v>0</v>
      </c>
      <c r="R80" s="148">
        <v>0</v>
      </c>
      <c r="S80" s="148">
        <v>0</v>
      </c>
      <c r="T80" s="148">
        <v>0</v>
      </c>
      <c r="U80" s="148">
        <v>0</v>
      </c>
      <c r="V80" s="148">
        <v>0</v>
      </c>
      <c r="W80" s="148">
        <v>0</v>
      </c>
      <c r="X80" s="148">
        <v>0</v>
      </c>
      <c r="Y80" s="148">
        <v>0</v>
      </c>
      <c r="Z80" s="148">
        <v>0</v>
      </c>
      <c r="AA80" s="148">
        <v>0</v>
      </c>
      <c r="AB80" s="148">
        <v>0</v>
      </c>
      <c r="AC80" s="148">
        <v>0</v>
      </c>
      <c r="AD80" s="148"/>
      <c r="AE80" s="148"/>
    </row>
    <row r="81" spans="1:31" ht="15">
      <c r="A81" s="149" t="s">
        <v>1711</v>
      </c>
      <c r="B81" s="149" t="s">
        <v>1948</v>
      </c>
      <c r="C81" s="149">
        <v>0</v>
      </c>
      <c r="D81" s="149">
        <v>1</v>
      </c>
      <c r="E81" s="149">
        <v>1</v>
      </c>
      <c r="F81" s="149">
        <v>1</v>
      </c>
      <c r="G81" s="149">
        <v>1</v>
      </c>
      <c r="H81" s="149">
        <v>0</v>
      </c>
      <c r="I81" s="149">
        <v>0</v>
      </c>
      <c r="J81" s="149">
        <v>1</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1</v>
      </c>
      <c r="AE81" s="149"/>
    </row>
    <row r="82" spans="1:31" ht="15">
      <c r="A82" s="148" t="s">
        <v>1735</v>
      </c>
      <c r="B82" s="148" t="s">
        <v>1948</v>
      </c>
      <c r="C82" s="148">
        <v>0</v>
      </c>
      <c r="D82" s="148">
        <v>1</v>
      </c>
      <c r="E82" s="148">
        <v>1</v>
      </c>
      <c r="F82" s="148">
        <v>1</v>
      </c>
      <c r="G82" s="148">
        <v>1</v>
      </c>
      <c r="H82" s="148">
        <v>0</v>
      </c>
      <c r="I82" s="148">
        <v>0</v>
      </c>
      <c r="J82" s="148">
        <v>1</v>
      </c>
      <c r="K82" s="148">
        <v>0</v>
      </c>
      <c r="L82" s="148">
        <v>0</v>
      </c>
      <c r="M82" s="148">
        <v>0</v>
      </c>
      <c r="N82" s="148">
        <v>0</v>
      </c>
      <c r="O82" s="148">
        <v>0</v>
      </c>
      <c r="P82" s="148">
        <v>0</v>
      </c>
      <c r="Q82" s="148">
        <v>0</v>
      </c>
      <c r="R82" s="148">
        <v>0</v>
      </c>
      <c r="S82" s="148">
        <v>0</v>
      </c>
      <c r="T82" s="148">
        <v>0</v>
      </c>
      <c r="U82" s="148">
        <v>0</v>
      </c>
      <c r="V82" s="148">
        <v>0</v>
      </c>
      <c r="W82" s="148">
        <v>0</v>
      </c>
      <c r="X82" s="148">
        <v>0</v>
      </c>
      <c r="Y82" s="148">
        <v>0</v>
      </c>
      <c r="Z82" s="148">
        <v>0</v>
      </c>
      <c r="AA82" s="148">
        <v>0</v>
      </c>
      <c r="AB82" s="148">
        <v>0</v>
      </c>
      <c r="AC82" s="148">
        <v>0</v>
      </c>
      <c r="AD82" s="148"/>
      <c r="AE82" s="148"/>
    </row>
    <row r="83" spans="1:31" ht="15">
      <c r="A83" s="149" t="s">
        <v>1787</v>
      </c>
      <c r="B83" s="149" t="s">
        <v>1948</v>
      </c>
      <c r="C83" s="149">
        <v>0</v>
      </c>
      <c r="D83" s="149">
        <v>1</v>
      </c>
      <c r="E83" s="149">
        <v>1</v>
      </c>
      <c r="F83" s="149">
        <v>1</v>
      </c>
      <c r="G83" s="149">
        <v>1</v>
      </c>
      <c r="H83" s="149">
        <v>0</v>
      </c>
      <c r="I83" s="149">
        <v>0</v>
      </c>
      <c r="J83" s="149">
        <v>1</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c r="AE83" s="149"/>
    </row>
    <row r="84" spans="1:31" ht="15">
      <c r="A84" s="148" t="s">
        <v>1905</v>
      </c>
      <c r="B84" s="148" t="s">
        <v>1948</v>
      </c>
      <c r="C84" s="148">
        <v>0</v>
      </c>
      <c r="D84" s="148">
        <v>1</v>
      </c>
      <c r="E84" s="148">
        <v>1</v>
      </c>
      <c r="F84" s="148">
        <v>1</v>
      </c>
      <c r="G84" s="148">
        <v>1</v>
      </c>
      <c r="H84" s="148">
        <v>0</v>
      </c>
      <c r="I84" s="148">
        <v>0</v>
      </c>
      <c r="J84" s="148">
        <v>1</v>
      </c>
      <c r="K84" s="148">
        <v>0</v>
      </c>
      <c r="L84" s="148">
        <v>0</v>
      </c>
      <c r="M84" s="148">
        <v>0</v>
      </c>
      <c r="N84" s="148">
        <v>0</v>
      </c>
      <c r="O84" s="148">
        <v>0</v>
      </c>
      <c r="P84" s="148">
        <v>0</v>
      </c>
      <c r="Q84" s="148">
        <v>0</v>
      </c>
      <c r="R84" s="148">
        <v>0</v>
      </c>
      <c r="S84" s="148">
        <v>0</v>
      </c>
      <c r="T84" s="148">
        <v>0</v>
      </c>
      <c r="U84" s="148">
        <v>0</v>
      </c>
      <c r="V84" s="148">
        <v>0</v>
      </c>
      <c r="W84" s="148">
        <v>0</v>
      </c>
      <c r="X84" s="148">
        <v>0</v>
      </c>
      <c r="Y84" s="148">
        <v>0</v>
      </c>
      <c r="Z84" s="148">
        <v>0</v>
      </c>
      <c r="AA84" s="148">
        <v>0</v>
      </c>
      <c r="AB84" s="148">
        <v>0</v>
      </c>
      <c r="AC84" s="148">
        <v>0</v>
      </c>
      <c r="AD84" s="148"/>
      <c r="AE84" s="148"/>
    </row>
    <row r="85" spans="1:31" ht="15">
      <c r="A85" s="149" t="s">
        <v>1912</v>
      </c>
      <c r="B85" s="149" t="s">
        <v>1948</v>
      </c>
      <c r="C85" s="149">
        <v>0</v>
      </c>
      <c r="D85" s="149">
        <v>1</v>
      </c>
      <c r="E85" s="149">
        <v>1</v>
      </c>
      <c r="F85" s="149">
        <v>1</v>
      </c>
      <c r="G85" s="149">
        <v>1</v>
      </c>
      <c r="H85" s="149">
        <v>0</v>
      </c>
      <c r="I85" s="149">
        <v>0</v>
      </c>
      <c r="J85" s="149">
        <v>1</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c r="AE85" s="149"/>
    </row>
    <row r="86" spans="1:31" ht="22.5" customHeight="1">
      <c r="A86" s="145"/>
      <c r="B86" s="145"/>
      <c r="C86" s="145"/>
      <c r="D86" s="145"/>
      <c r="E86" s="145"/>
      <c r="F86" s="145"/>
      <c r="G86" s="145"/>
      <c r="H86" s="145"/>
      <c r="I86" s="145"/>
      <c r="J86" s="145"/>
      <c r="K86" s="145"/>
      <c r="L86" s="145"/>
      <c r="M86" s="145"/>
      <c r="N86" s="145"/>
      <c r="O86" s="145"/>
      <c r="P86" s="145"/>
      <c r="Q86" s="145"/>
      <c r="R86" s="145"/>
      <c r="S86" s="145"/>
      <c r="T86" s="145"/>
      <c r="U86" s="145"/>
      <c r="V86" s="145"/>
      <c r="W86" s="145"/>
      <c r="X86" s="145"/>
      <c r="Y86" s="145"/>
      <c r="Z86" s="145"/>
      <c r="AA86" s="145"/>
      <c r="AB86" s="145"/>
      <c r="AC86" s="145"/>
      <c r="AD86" s="145"/>
      <c r="AE86" s="145"/>
    </row>
  </sheetData>
  <autoFilter ref="A3:AD85" xr:uid="{00000000-0009-0000-0000-000005000000}">
    <sortState xmlns:xlrd2="http://schemas.microsoft.com/office/spreadsheetml/2017/richdata2" ref="A3:AD85">
      <sortCondition ref="B3:B85"/>
      <sortCondition ref="A3:A85"/>
    </sortState>
  </autoFilter>
  <mergeCells count="1">
    <mergeCell ref="C1:AD1"/>
  </mergeCells>
  <conditionalFormatting sqref="C4:AE86">
    <cfRule type="cellIs" dxfId="8" priority="1" operator="equal">
      <formula>1</formula>
    </cfRule>
  </conditionalFormatting>
  <conditionalFormatting sqref="C4:AE86">
    <cfRule type="cellIs" dxfId="7" priority="2" operator="equal">
      <formula>"?"</formula>
    </cfRule>
  </conditionalFormatting>
  <conditionalFormatting sqref="C4:AE86">
    <cfRule type="expression" dxfId="6" priority="3">
      <formula>NOT(OR(ISNUMBER(C4),C4=""))</formula>
    </cfRule>
  </conditionalFormatting>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411"/>
  <sheetViews>
    <sheetView workbookViewId="0">
      <pane ySplit="2" topLeftCell="A3" activePane="bottomLeft" state="frozen"/>
      <selection pane="bottomLeft" activeCell="B4" sqref="B4"/>
    </sheetView>
  </sheetViews>
  <sheetFormatPr defaultColWidth="12.5703125" defaultRowHeight="15.75" customHeight="1"/>
  <cols>
    <col min="1" max="1" width="21.42578125" customWidth="1"/>
    <col min="2" max="2" width="6.140625" customWidth="1"/>
    <col min="3" max="3" width="63.28515625" customWidth="1"/>
    <col min="4" max="4" width="11.42578125" customWidth="1"/>
    <col min="5" max="5" width="18.42578125" customWidth="1"/>
    <col min="6" max="6" width="15.28515625" customWidth="1"/>
    <col min="7" max="8" width="13.42578125" hidden="1" customWidth="1"/>
    <col min="9" max="9" width="6.42578125" customWidth="1"/>
    <col min="10" max="10" width="10.42578125" customWidth="1"/>
    <col min="11" max="11" width="16.42578125" customWidth="1"/>
    <col min="12" max="12" width="6.42578125" customWidth="1"/>
  </cols>
  <sheetData>
    <row r="1" spans="1:12">
      <c r="A1" s="301" t="s">
        <v>1949</v>
      </c>
      <c r="B1" s="302"/>
      <c r="C1" s="302"/>
      <c r="D1" s="302"/>
      <c r="E1" s="302"/>
      <c r="F1" s="302"/>
      <c r="G1" s="302"/>
      <c r="H1" s="302"/>
      <c r="I1" s="302"/>
      <c r="J1" s="302"/>
      <c r="K1" s="302"/>
      <c r="L1" s="1"/>
    </row>
    <row r="2" spans="1:12">
      <c r="A2" s="47" t="s">
        <v>1950</v>
      </c>
      <c r="B2" s="150" t="s">
        <v>523</v>
      </c>
      <c r="C2" s="47" t="s">
        <v>804</v>
      </c>
      <c r="D2" s="151" t="s">
        <v>675</v>
      </c>
      <c r="E2" s="150" t="s">
        <v>1951</v>
      </c>
      <c r="F2" s="47" t="s">
        <v>1952</v>
      </c>
      <c r="G2" s="5" t="s">
        <v>1953</v>
      </c>
      <c r="H2" s="5" t="s">
        <v>1954</v>
      </c>
      <c r="I2" s="5"/>
      <c r="L2" s="89"/>
    </row>
    <row r="3" spans="1:12">
      <c r="A3" s="152" t="s">
        <v>1955</v>
      </c>
      <c r="B3" s="153">
        <v>1</v>
      </c>
      <c r="C3" s="10" t="s">
        <v>1956</v>
      </c>
      <c r="D3" s="154" t="s">
        <v>712</v>
      </c>
      <c r="E3" s="153" t="s">
        <v>1957</v>
      </c>
      <c r="F3" s="10"/>
      <c r="G3" s="5" t="s">
        <v>1955</v>
      </c>
      <c r="H3" s="152" t="s">
        <v>1955</v>
      </c>
      <c r="I3" s="5"/>
      <c r="J3" s="150" t="s">
        <v>523</v>
      </c>
      <c r="K3" s="47" t="s">
        <v>1958</v>
      </c>
      <c r="L3" s="1"/>
    </row>
    <row r="4" spans="1:12">
      <c r="A4" s="155" t="s">
        <v>1959</v>
      </c>
      <c r="B4" s="156">
        <v>1</v>
      </c>
      <c r="C4" s="157" t="s">
        <v>1960</v>
      </c>
      <c r="D4" s="158"/>
      <c r="E4" s="156" t="s">
        <v>1961</v>
      </c>
      <c r="F4" s="157"/>
      <c r="G4" s="159" t="s">
        <v>1959</v>
      </c>
      <c r="H4" s="155" t="s">
        <v>1959</v>
      </c>
      <c r="I4" s="5"/>
      <c r="J4" s="153">
        <v>1</v>
      </c>
      <c r="K4" s="10">
        <f t="shared" ref="K4:K40" si="0">COUNTIF($B$3:$B$407,J4)</f>
        <v>49</v>
      </c>
      <c r="L4" s="5"/>
    </row>
    <row r="5" spans="1:12">
      <c r="A5" s="152" t="s">
        <v>1962</v>
      </c>
      <c r="B5" s="153">
        <v>1</v>
      </c>
      <c r="C5" s="10" t="s">
        <v>1963</v>
      </c>
      <c r="D5" s="154"/>
      <c r="E5" s="153" t="s">
        <v>1964</v>
      </c>
      <c r="F5" s="10"/>
      <c r="G5" s="5" t="s">
        <v>1962</v>
      </c>
      <c r="H5" s="152" t="s">
        <v>1962</v>
      </c>
      <c r="I5" s="5"/>
      <c r="J5" s="153">
        <v>2</v>
      </c>
      <c r="K5" s="10">
        <f t="shared" si="0"/>
        <v>48</v>
      </c>
      <c r="L5" s="5"/>
    </row>
    <row r="6" spans="1:12">
      <c r="A6" s="155" t="s">
        <v>1965</v>
      </c>
      <c r="B6" s="156">
        <v>1</v>
      </c>
      <c r="C6" s="157" t="s">
        <v>1966</v>
      </c>
      <c r="D6" s="158"/>
      <c r="E6" s="156" t="s">
        <v>1967</v>
      </c>
      <c r="F6" s="157"/>
      <c r="G6" s="159" t="s">
        <v>1968</v>
      </c>
      <c r="H6" s="155" t="s">
        <v>1965</v>
      </c>
      <c r="I6" s="5"/>
      <c r="J6" s="153">
        <v>3</v>
      </c>
      <c r="K6" s="10">
        <f t="shared" si="0"/>
        <v>53</v>
      </c>
      <c r="L6" s="5"/>
    </row>
    <row r="7" spans="1:12">
      <c r="A7" s="152" t="s">
        <v>1969</v>
      </c>
      <c r="B7" s="153">
        <v>1</v>
      </c>
      <c r="C7" s="10" t="s">
        <v>1970</v>
      </c>
      <c r="D7" s="154"/>
      <c r="E7" s="153" t="s">
        <v>1971</v>
      </c>
      <c r="F7" s="10"/>
      <c r="G7" s="5" t="s">
        <v>1969</v>
      </c>
      <c r="H7" s="152" t="s">
        <v>1969</v>
      </c>
      <c r="I7" s="5"/>
      <c r="J7" s="153">
        <v>4</v>
      </c>
      <c r="K7" s="10">
        <f t="shared" si="0"/>
        <v>51</v>
      </c>
      <c r="L7" s="5"/>
    </row>
    <row r="8" spans="1:12">
      <c r="A8" s="155" t="s">
        <v>1972</v>
      </c>
      <c r="B8" s="156">
        <v>1</v>
      </c>
      <c r="C8" s="157" t="s">
        <v>1973</v>
      </c>
      <c r="D8" s="158"/>
      <c r="E8" s="156" t="s">
        <v>1974</v>
      </c>
      <c r="F8" s="157"/>
      <c r="G8" s="159" t="s">
        <v>1975</v>
      </c>
      <c r="H8" s="155" t="s">
        <v>1972</v>
      </c>
      <c r="I8" s="5"/>
      <c r="J8" s="153">
        <v>5</v>
      </c>
      <c r="K8" s="10">
        <f t="shared" si="0"/>
        <v>31</v>
      </c>
      <c r="L8" s="5"/>
    </row>
    <row r="9" spans="1:12">
      <c r="A9" s="152" t="s">
        <v>1976</v>
      </c>
      <c r="B9" s="153">
        <v>1</v>
      </c>
      <c r="C9" s="10" t="s">
        <v>1977</v>
      </c>
      <c r="D9" s="154" t="s">
        <v>712</v>
      </c>
      <c r="E9" s="153" t="s">
        <v>1978</v>
      </c>
      <c r="F9" s="10"/>
      <c r="G9" s="5" t="s">
        <v>1976</v>
      </c>
      <c r="H9" s="152" t="s">
        <v>1976</v>
      </c>
      <c r="I9" s="5"/>
      <c r="J9" s="153">
        <v>6</v>
      </c>
      <c r="K9" s="10">
        <f t="shared" si="0"/>
        <v>26</v>
      </c>
      <c r="L9" s="5"/>
    </row>
    <row r="10" spans="1:12">
      <c r="A10" s="155" t="s">
        <v>1979</v>
      </c>
      <c r="B10" s="156">
        <v>1</v>
      </c>
      <c r="C10" s="157" t="s">
        <v>1980</v>
      </c>
      <c r="D10" s="158" t="s">
        <v>682</v>
      </c>
      <c r="E10" s="156" t="s">
        <v>1981</v>
      </c>
      <c r="F10" s="157"/>
      <c r="G10" s="159" t="s">
        <v>1979</v>
      </c>
      <c r="H10" s="155" t="s">
        <v>1979</v>
      </c>
      <c r="I10" s="5"/>
      <c r="J10" s="153">
        <v>7</v>
      </c>
      <c r="K10" s="10">
        <f t="shared" si="0"/>
        <v>25</v>
      </c>
      <c r="L10" s="5"/>
    </row>
    <row r="11" spans="1:12">
      <c r="A11" s="152" t="s">
        <v>1982</v>
      </c>
      <c r="B11" s="153">
        <v>1</v>
      </c>
      <c r="C11" s="10" t="s">
        <v>1983</v>
      </c>
      <c r="D11" s="154" t="s">
        <v>712</v>
      </c>
      <c r="E11" s="153" t="s">
        <v>1984</v>
      </c>
      <c r="F11" s="10"/>
      <c r="G11" s="5" t="s">
        <v>1982</v>
      </c>
      <c r="H11" s="152" t="s">
        <v>1982</v>
      </c>
      <c r="I11" s="5"/>
      <c r="J11" s="153">
        <v>8</v>
      </c>
      <c r="K11" s="10">
        <f t="shared" si="0"/>
        <v>19</v>
      </c>
      <c r="L11" s="5"/>
    </row>
    <row r="12" spans="1:12">
      <c r="A12" s="155" t="s">
        <v>1985</v>
      </c>
      <c r="B12" s="156">
        <v>1</v>
      </c>
      <c r="C12" s="157" t="s">
        <v>1986</v>
      </c>
      <c r="D12" s="158" t="s">
        <v>712</v>
      </c>
      <c r="E12" s="156" t="s">
        <v>1987</v>
      </c>
      <c r="F12" s="157"/>
      <c r="G12" s="159" t="s">
        <v>1985</v>
      </c>
      <c r="H12" s="155" t="s">
        <v>1985</v>
      </c>
      <c r="I12" s="5"/>
      <c r="J12" s="153">
        <v>9</v>
      </c>
      <c r="K12" s="10">
        <f t="shared" si="0"/>
        <v>14</v>
      </c>
      <c r="L12" s="5"/>
    </row>
    <row r="13" spans="1:12">
      <c r="A13" s="152" t="s">
        <v>1988</v>
      </c>
      <c r="B13" s="153">
        <v>1</v>
      </c>
      <c r="C13" s="10" t="s">
        <v>1989</v>
      </c>
      <c r="D13" s="154"/>
      <c r="E13" s="153" t="s">
        <v>1990</v>
      </c>
      <c r="F13" s="10"/>
      <c r="G13" s="5" t="s">
        <v>1988</v>
      </c>
      <c r="H13" s="152" t="s">
        <v>1988</v>
      </c>
      <c r="I13" s="5"/>
      <c r="J13" s="153">
        <v>10</v>
      </c>
      <c r="K13" s="10">
        <f t="shared" si="0"/>
        <v>14</v>
      </c>
      <c r="L13" s="5"/>
    </row>
    <row r="14" spans="1:12">
      <c r="A14" s="155" t="s">
        <v>1991</v>
      </c>
      <c r="B14" s="156">
        <v>1</v>
      </c>
      <c r="C14" s="157" t="s">
        <v>1992</v>
      </c>
      <c r="D14" s="158"/>
      <c r="E14" s="156" t="s">
        <v>1993</v>
      </c>
      <c r="F14" s="157"/>
      <c r="G14" s="159" t="s">
        <v>1994</v>
      </c>
      <c r="H14" s="155" t="s">
        <v>1991</v>
      </c>
      <c r="I14" s="5"/>
      <c r="J14" s="153">
        <v>11</v>
      </c>
      <c r="K14" s="10">
        <f t="shared" si="0"/>
        <v>3</v>
      </c>
      <c r="L14" s="5"/>
    </row>
    <row r="15" spans="1:12">
      <c r="A15" s="152" t="s">
        <v>1995</v>
      </c>
      <c r="B15" s="153">
        <v>1</v>
      </c>
      <c r="C15" s="10" t="s">
        <v>1996</v>
      </c>
      <c r="D15" s="154"/>
      <c r="E15" s="153" t="s">
        <v>1997</v>
      </c>
      <c r="F15" s="10"/>
      <c r="G15" s="5" t="s">
        <v>1998</v>
      </c>
      <c r="H15" s="152" t="s">
        <v>1995</v>
      </c>
      <c r="I15" s="5"/>
      <c r="J15" s="153">
        <v>12</v>
      </c>
      <c r="K15" s="10">
        <f t="shared" si="0"/>
        <v>6</v>
      </c>
      <c r="L15" s="5"/>
    </row>
    <row r="16" spans="1:12">
      <c r="A16" s="155" t="s">
        <v>1999</v>
      </c>
      <c r="B16" s="156">
        <v>1</v>
      </c>
      <c r="C16" s="157" t="s">
        <v>2000</v>
      </c>
      <c r="D16" s="158"/>
      <c r="E16" s="156" t="s">
        <v>2001</v>
      </c>
      <c r="F16" s="157"/>
      <c r="G16" s="159" t="s">
        <v>2002</v>
      </c>
      <c r="H16" s="155" t="s">
        <v>1999</v>
      </c>
      <c r="I16" s="5"/>
      <c r="J16" s="153">
        <v>13</v>
      </c>
      <c r="K16" s="10">
        <f t="shared" si="0"/>
        <v>9</v>
      </c>
      <c r="L16" s="5"/>
    </row>
    <row r="17" spans="1:12">
      <c r="A17" s="152" t="s">
        <v>2003</v>
      </c>
      <c r="B17" s="153">
        <v>1</v>
      </c>
      <c r="C17" s="10" t="s">
        <v>2004</v>
      </c>
      <c r="D17" s="154"/>
      <c r="E17" s="153" t="s">
        <v>2005</v>
      </c>
      <c r="F17" s="10"/>
      <c r="G17" s="5" t="s">
        <v>2006</v>
      </c>
      <c r="H17" s="152" t="s">
        <v>2003</v>
      </c>
      <c r="I17" s="5"/>
      <c r="J17" s="153">
        <v>14</v>
      </c>
      <c r="K17" s="10">
        <f t="shared" si="0"/>
        <v>3</v>
      </c>
      <c r="L17" s="5"/>
    </row>
    <row r="18" spans="1:12">
      <c r="A18" s="155" t="s">
        <v>2007</v>
      </c>
      <c r="B18" s="156">
        <v>1</v>
      </c>
      <c r="C18" s="157" t="s">
        <v>2008</v>
      </c>
      <c r="D18" s="158"/>
      <c r="E18" s="156" t="s">
        <v>2009</v>
      </c>
      <c r="F18" s="157"/>
      <c r="G18" s="159" t="s">
        <v>678</v>
      </c>
      <c r="H18" s="155" t="s">
        <v>2007</v>
      </c>
      <c r="I18" s="5"/>
      <c r="J18" s="153">
        <v>15</v>
      </c>
      <c r="K18" s="10">
        <f t="shared" si="0"/>
        <v>10</v>
      </c>
      <c r="L18" s="5"/>
    </row>
    <row r="19" spans="1:12">
      <c r="A19" s="152" t="s">
        <v>2010</v>
      </c>
      <c r="B19" s="153">
        <v>1</v>
      </c>
      <c r="C19" s="10" t="s">
        <v>2011</v>
      </c>
      <c r="D19" s="154"/>
      <c r="E19" s="153" t="s">
        <v>2012</v>
      </c>
      <c r="F19" s="10"/>
      <c r="G19" s="5" t="s">
        <v>2013</v>
      </c>
      <c r="H19" s="152" t="s">
        <v>2010</v>
      </c>
      <c r="I19" s="5"/>
      <c r="J19" s="153">
        <v>16</v>
      </c>
      <c r="K19" s="10">
        <f t="shared" si="0"/>
        <v>3</v>
      </c>
      <c r="L19" s="5"/>
    </row>
    <row r="20" spans="1:12">
      <c r="A20" s="155" t="s">
        <v>2014</v>
      </c>
      <c r="B20" s="156">
        <v>1</v>
      </c>
      <c r="C20" s="157" t="s">
        <v>2015</v>
      </c>
      <c r="D20" s="158"/>
      <c r="E20" s="156" t="s">
        <v>2016</v>
      </c>
      <c r="F20" s="157"/>
      <c r="G20" s="159" t="s">
        <v>2014</v>
      </c>
      <c r="H20" s="155" t="s">
        <v>2014</v>
      </c>
      <c r="I20" s="5"/>
      <c r="J20" s="153">
        <v>17</v>
      </c>
      <c r="K20" s="10">
        <f t="shared" si="0"/>
        <v>2</v>
      </c>
      <c r="L20" s="5"/>
    </row>
    <row r="21" spans="1:12">
      <c r="A21" s="152" t="s">
        <v>2017</v>
      </c>
      <c r="B21" s="153">
        <v>1</v>
      </c>
      <c r="C21" s="10" t="s">
        <v>2018</v>
      </c>
      <c r="D21" s="154"/>
      <c r="E21" s="153" t="s">
        <v>2019</v>
      </c>
      <c r="F21" s="10"/>
      <c r="G21" s="5" t="s">
        <v>2020</v>
      </c>
      <c r="H21" s="152" t="s">
        <v>2017</v>
      </c>
      <c r="I21" s="5"/>
      <c r="J21" s="153">
        <v>18</v>
      </c>
      <c r="K21" s="10">
        <f t="shared" si="0"/>
        <v>3</v>
      </c>
      <c r="L21" s="5"/>
    </row>
    <row r="22" spans="1:12">
      <c r="A22" s="155" t="s">
        <v>2021</v>
      </c>
      <c r="B22" s="157">
        <v>1</v>
      </c>
      <c r="C22" s="157" t="s">
        <v>2022</v>
      </c>
      <c r="D22" s="158"/>
      <c r="E22" s="157" t="s">
        <v>2023</v>
      </c>
      <c r="F22" s="157"/>
      <c r="G22" s="159" t="s">
        <v>2024</v>
      </c>
      <c r="H22" s="155" t="s">
        <v>2021</v>
      </c>
      <c r="I22" s="5"/>
      <c r="J22" s="153">
        <v>19</v>
      </c>
      <c r="K22" s="10">
        <f t="shared" si="0"/>
        <v>3</v>
      </c>
      <c r="L22" s="5"/>
    </row>
    <row r="23" spans="1:12">
      <c r="A23" s="152" t="s">
        <v>2025</v>
      </c>
      <c r="B23" s="153">
        <v>1</v>
      </c>
      <c r="C23" s="10" t="s">
        <v>2026</v>
      </c>
      <c r="D23" s="154"/>
      <c r="E23" s="153" t="s">
        <v>2027</v>
      </c>
      <c r="F23" s="10"/>
      <c r="G23" s="5" t="s">
        <v>2025</v>
      </c>
      <c r="H23" s="152" t="s">
        <v>2025</v>
      </c>
      <c r="I23" s="5"/>
      <c r="J23" s="153">
        <v>20</v>
      </c>
      <c r="K23" s="10">
        <f t="shared" si="0"/>
        <v>2</v>
      </c>
      <c r="L23" s="5"/>
    </row>
    <row r="24" spans="1:12">
      <c r="A24" s="155" t="s">
        <v>2028</v>
      </c>
      <c r="B24" s="156">
        <v>1</v>
      </c>
      <c r="C24" s="157" t="s">
        <v>2029</v>
      </c>
      <c r="D24" s="158" t="s">
        <v>698</v>
      </c>
      <c r="E24" s="156"/>
      <c r="F24" s="157"/>
      <c r="G24" s="159" t="s">
        <v>2030</v>
      </c>
      <c r="H24" s="155" t="s">
        <v>2028</v>
      </c>
      <c r="I24" s="5"/>
      <c r="J24" s="153">
        <v>21</v>
      </c>
      <c r="K24" s="10">
        <f t="shared" si="0"/>
        <v>2</v>
      </c>
      <c r="L24" s="5"/>
    </row>
    <row r="25" spans="1:12">
      <c r="A25" s="152" t="s">
        <v>2031</v>
      </c>
      <c r="B25" s="153">
        <v>1</v>
      </c>
      <c r="C25" s="10" t="s">
        <v>2032</v>
      </c>
      <c r="D25" s="154"/>
      <c r="E25" s="153"/>
      <c r="F25" s="10"/>
      <c r="G25" s="5" t="s">
        <v>2031</v>
      </c>
      <c r="H25" s="152" t="s">
        <v>2031</v>
      </c>
      <c r="I25" s="5"/>
      <c r="J25" s="153">
        <v>23</v>
      </c>
      <c r="K25" s="10">
        <f t="shared" si="0"/>
        <v>3</v>
      </c>
      <c r="L25" s="5"/>
    </row>
    <row r="26" spans="1:12">
      <c r="A26" s="155" t="s">
        <v>2033</v>
      </c>
      <c r="B26" s="156">
        <v>1</v>
      </c>
      <c r="C26" s="157" t="s">
        <v>2034</v>
      </c>
      <c r="D26" s="158"/>
      <c r="E26" s="156"/>
      <c r="F26" s="157"/>
      <c r="G26" s="159" t="s">
        <v>2035</v>
      </c>
      <c r="H26" s="155" t="s">
        <v>2033</v>
      </c>
      <c r="I26" s="5"/>
      <c r="J26" s="153">
        <v>24</v>
      </c>
      <c r="K26" s="10">
        <f t="shared" si="0"/>
        <v>4</v>
      </c>
      <c r="L26" s="5"/>
    </row>
    <row r="27" spans="1:12">
      <c r="A27" s="152" t="s">
        <v>2036</v>
      </c>
      <c r="B27" s="153">
        <v>1</v>
      </c>
      <c r="C27" s="10" t="s">
        <v>2037</v>
      </c>
      <c r="D27" s="154"/>
      <c r="E27" s="153"/>
      <c r="F27" s="10"/>
      <c r="G27" s="5" t="s">
        <v>2036</v>
      </c>
      <c r="H27" s="152" t="s">
        <v>2036</v>
      </c>
      <c r="I27" s="5"/>
      <c r="J27" s="153">
        <v>25</v>
      </c>
      <c r="K27" s="10">
        <f t="shared" si="0"/>
        <v>6</v>
      </c>
      <c r="L27" s="5"/>
    </row>
    <row r="28" spans="1:12">
      <c r="A28" s="155" t="s">
        <v>2038</v>
      </c>
      <c r="B28" s="156">
        <v>1</v>
      </c>
      <c r="C28" s="157" t="s">
        <v>2039</v>
      </c>
      <c r="D28" s="158" t="s">
        <v>720</v>
      </c>
      <c r="E28" s="156"/>
      <c r="F28" s="157"/>
      <c r="G28" s="159" t="s">
        <v>2040</v>
      </c>
      <c r="H28" s="155" t="s">
        <v>2038</v>
      </c>
      <c r="I28" s="5"/>
      <c r="J28" s="153">
        <v>27</v>
      </c>
      <c r="K28" s="10">
        <f t="shared" si="0"/>
        <v>2</v>
      </c>
      <c r="L28" s="5"/>
    </row>
    <row r="29" spans="1:12">
      <c r="A29" s="152" t="s">
        <v>2041</v>
      </c>
      <c r="B29" s="153">
        <v>1</v>
      </c>
      <c r="C29" s="116" t="s">
        <v>2042</v>
      </c>
      <c r="D29" s="154" t="s">
        <v>698</v>
      </c>
      <c r="E29" s="153"/>
      <c r="F29" s="10"/>
      <c r="G29" s="5"/>
      <c r="H29" s="152" t="s">
        <v>2041</v>
      </c>
      <c r="I29" s="5"/>
      <c r="J29" s="153">
        <v>30</v>
      </c>
      <c r="K29" s="10">
        <f t="shared" si="0"/>
        <v>1</v>
      </c>
      <c r="L29" s="5"/>
    </row>
    <row r="30" spans="1:12">
      <c r="A30" s="155" t="s">
        <v>2043</v>
      </c>
      <c r="B30" s="156">
        <v>1</v>
      </c>
      <c r="C30" s="157" t="s">
        <v>2044</v>
      </c>
      <c r="D30" s="158"/>
      <c r="E30" s="156"/>
      <c r="F30" s="157"/>
      <c r="G30" s="159"/>
      <c r="H30" s="155" t="s">
        <v>2043</v>
      </c>
      <c r="I30" s="5"/>
      <c r="J30" s="153">
        <v>31</v>
      </c>
      <c r="K30" s="10">
        <f t="shared" si="0"/>
        <v>1</v>
      </c>
      <c r="L30" s="5"/>
    </row>
    <row r="31" spans="1:12">
      <c r="A31" s="152" t="s">
        <v>2045</v>
      </c>
      <c r="B31" s="153">
        <v>1</v>
      </c>
      <c r="C31" s="10" t="s">
        <v>2046</v>
      </c>
      <c r="D31" s="154"/>
      <c r="E31" s="153"/>
      <c r="F31" s="10"/>
      <c r="G31" s="5"/>
      <c r="H31" s="152" t="s">
        <v>2045</v>
      </c>
      <c r="I31" s="5"/>
      <c r="J31" s="153">
        <v>32</v>
      </c>
      <c r="K31" s="10">
        <f t="shared" si="0"/>
        <v>1</v>
      </c>
      <c r="L31" s="5"/>
    </row>
    <row r="32" spans="1:12">
      <c r="A32" s="155" t="s">
        <v>2047</v>
      </c>
      <c r="B32" s="156">
        <v>1</v>
      </c>
      <c r="C32" s="157" t="s">
        <v>2048</v>
      </c>
      <c r="D32" s="158"/>
      <c r="E32" s="156"/>
      <c r="F32" s="157"/>
      <c r="G32" s="159"/>
      <c r="H32" s="155" t="s">
        <v>2047</v>
      </c>
      <c r="I32" s="5"/>
      <c r="J32" s="153">
        <v>33</v>
      </c>
      <c r="K32" s="10">
        <f t="shared" si="0"/>
        <v>1</v>
      </c>
      <c r="L32" s="5"/>
    </row>
    <row r="33" spans="1:12">
      <c r="A33" s="152" t="s">
        <v>2049</v>
      </c>
      <c r="B33" s="153">
        <v>1</v>
      </c>
      <c r="C33" s="10" t="s">
        <v>2050</v>
      </c>
      <c r="D33" s="154"/>
      <c r="E33" s="153"/>
      <c r="F33" s="10"/>
      <c r="G33" s="5"/>
      <c r="H33" s="152" t="s">
        <v>2049</v>
      </c>
      <c r="I33" s="5"/>
      <c r="J33" s="153">
        <v>34</v>
      </c>
      <c r="K33" s="10">
        <f t="shared" si="0"/>
        <v>1</v>
      </c>
      <c r="L33" s="5"/>
    </row>
    <row r="34" spans="1:12">
      <c r="A34" s="155" t="s">
        <v>2051</v>
      </c>
      <c r="B34" s="156">
        <v>1</v>
      </c>
      <c r="C34" s="157" t="s">
        <v>2052</v>
      </c>
      <c r="D34" s="158"/>
      <c r="E34" s="156"/>
      <c r="F34" s="157"/>
      <c r="G34" s="159"/>
      <c r="H34" s="155" t="s">
        <v>2051</v>
      </c>
      <c r="I34" s="5"/>
      <c r="J34" s="153">
        <v>35</v>
      </c>
      <c r="K34" s="10">
        <f t="shared" si="0"/>
        <v>1</v>
      </c>
      <c r="L34" s="5"/>
    </row>
    <row r="35" spans="1:12">
      <c r="A35" s="152" t="s">
        <v>2053</v>
      </c>
      <c r="B35" s="153">
        <v>1</v>
      </c>
      <c r="C35" s="10" t="s">
        <v>2054</v>
      </c>
      <c r="D35" s="154" t="s">
        <v>712</v>
      </c>
      <c r="E35" s="153"/>
      <c r="F35" s="10"/>
      <c r="G35" s="5"/>
      <c r="H35" s="152" t="s">
        <v>2053</v>
      </c>
      <c r="I35" s="5"/>
      <c r="J35" s="153">
        <v>38</v>
      </c>
      <c r="K35" s="10">
        <f t="shared" si="0"/>
        <v>1</v>
      </c>
      <c r="L35" s="5"/>
    </row>
    <row r="36" spans="1:12">
      <c r="A36" s="155" t="s">
        <v>2055</v>
      </c>
      <c r="B36" s="156">
        <v>1</v>
      </c>
      <c r="C36" s="157" t="s">
        <v>2056</v>
      </c>
      <c r="D36" s="158" t="s">
        <v>712</v>
      </c>
      <c r="E36" s="156" t="s">
        <v>2057</v>
      </c>
      <c r="F36" s="157" t="b">
        <v>1</v>
      </c>
      <c r="G36" s="159" t="s">
        <v>2055</v>
      </c>
      <c r="H36" s="155" t="s">
        <v>2055</v>
      </c>
      <c r="I36" s="5"/>
      <c r="J36" s="153">
        <v>40</v>
      </c>
      <c r="K36" s="10">
        <f t="shared" si="0"/>
        <v>3</v>
      </c>
      <c r="L36" s="5"/>
    </row>
    <row r="37" spans="1:12">
      <c r="A37" s="152" t="s">
        <v>2058</v>
      </c>
      <c r="B37" s="153">
        <v>1</v>
      </c>
      <c r="C37" s="10" t="s">
        <v>2059</v>
      </c>
      <c r="D37" s="154" t="s">
        <v>712</v>
      </c>
      <c r="E37" s="153" t="s">
        <v>2060</v>
      </c>
      <c r="F37" s="10" t="b">
        <v>1</v>
      </c>
      <c r="G37" s="5" t="s">
        <v>2061</v>
      </c>
      <c r="H37" s="152" t="s">
        <v>2058</v>
      </c>
      <c r="I37" s="5"/>
      <c r="J37" s="153">
        <v>43</v>
      </c>
      <c r="K37" s="10">
        <f t="shared" si="0"/>
        <v>1</v>
      </c>
      <c r="L37" s="5"/>
    </row>
    <row r="38" spans="1:12">
      <c r="A38" s="155" t="s">
        <v>2062</v>
      </c>
      <c r="B38" s="156">
        <v>1</v>
      </c>
      <c r="C38" s="157" t="s">
        <v>2063</v>
      </c>
      <c r="D38" s="158" t="s">
        <v>2064</v>
      </c>
      <c r="E38" s="156"/>
      <c r="F38" s="157" t="b">
        <v>1</v>
      </c>
      <c r="G38" s="159" t="s">
        <v>2065</v>
      </c>
      <c r="H38" s="155" t="s">
        <v>2066</v>
      </c>
      <c r="I38" s="5"/>
      <c r="J38" s="153">
        <v>51</v>
      </c>
      <c r="K38" s="10">
        <f t="shared" si="0"/>
        <v>1</v>
      </c>
      <c r="L38" s="5"/>
    </row>
    <row r="39" spans="1:12">
      <c r="A39" s="152" t="s">
        <v>2067</v>
      </c>
      <c r="B39" s="153">
        <v>1</v>
      </c>
      <c r="C39" s="10" t="s">
        <v>2068</v>
      </c>
      <c r="D39" s="154" t="s">
        <v>2064</v>
      </c>
      <c r="E39" s="153"/>
      <c r="F39" s="10" t="b">
        <v>1</v>
      </c>
      <c r="G39" s="5" t="s">
        <v>2065</v>
      </c>
      <c r="H39" s="152" t="s">
        <v>2069</v>
      </c>
      <c r="I39" s="5"/>
      <c r="J39" s="153">
        <v>56</v>
      </c>
      <c r="K39" s="10">
        <f t="shared" si="0"/>
        <v>1</v>
      </c>
      <c r="L39" s="5"/>
    </row>
    <row r="40" spans="1:12">
      <c r="A40" s="155" t="s">
        <v>2070</v>
      </c>
      <c r="B40" s="156">
        <v>1</v>
      </c>
      <c r="C40" s="157" t="s">
        <v>2071</v>
      </c>
      <c r="D40" s="158" t="s">
        <v>2064</v>
      </c>
      <c r="E40" s="156"/>
      <c r="F40" s="157" t="b">
        <v>1</v>
      </c>
      <c r="G40" s="159" t="s">
        <v>2065</v>
      </c>
      <c r="H40" s="155" t="s">
        <v>2072</v>
      </c>
      <c r="I40" s="5"/>
      <c r="J40" s="153">
        <v>100</v>
      </c>
      <c r="K40" s="10">
        <f t="shared" si="0"/>
        <v>1</v>
      </c>
      <c r="L40" s="5"/>
    </row>
    <row r="41" spans="1:12">
      <c r="A41" s="152" t="s">
        <v>2073</v>
      </c>
      <c r="B41" s="153">
        <v>1</v>
      </c>
      <c r="C41" s="10" t="s">
        <v>2074</v>
      </c>
      <c r="D41" s="154" t="s">
        <v>2064</v>
      </c>
      <c r="E41" s="153"/>
      <c r="F41" s="10" t="b">
        <v>1</v>
      </c>
      <c r="G41" s="5" t="s">
        <v>2065</v>
      </c>
      <c r="H41" s="152" t="s">
        <v>2075</v>
      </c>
      <c r="I41" s="5"/>
      <c r="L41" s="89"/>
    </row>
    <row r="42" spans="1:12">
      <c r="A42" s="155" t="s">
        <v>2076</v>
      </c>
      <c r="B42" s="156">
        <v>1</v>
      </c>
      <c r="C42" s="157" t="s">
        <v>2077</v>
      </c>
      <c r="D42" s="158" t="s">
        <v>2064</v>
      </c>
      <c r="E42" s="156"/>
      <c r="F42" s="157" t="b">
        <v>1</v>
      </c>
      <c r="G42" s="159" t="s">
        <v>2065</v>
      </c>
      <c r="H42" s="155" t="s">
        <v>2078</v>
      </c>
      <c r="I42" s="5"/>
      <c r="J42" s="151" t="s">
        <v>675</v>
      </c>
      <c r="K42" s="47" t="s">
        <v>1958</v>
      </c>
      <c r="L42" s="1"/>
    </row>
    <row r="43" spans="1:12">
      <c r="A43" s="152" t="s">
        <v>2079</v>
      </c>
      <c r="B43" s="153">
        <v>1</v>
      </c>
      <c r="C43" s="10" t="s">
        <v>2080</v>
      </c>
      <c r="D43" s="154"/>
      <c r="E43" s="153"/>
      <c r="F43" s="10" t="b">
        <v>1</v>
      </c>
      <c r="G43" s="5" t="s">
        <v>2081</v>
      </c>
      <c r="H43" s="152" t="s">
        <v>2079</v>
      </c>
      <c r="I43" s="5"/>
      <c r="J43" s="160" t="s">
        <v>2082</v>
      </c>
      <c r="K43" s="10">
        <f>COUNTIF($D$3:$D$407,"")</f>
        <v>154</v>
      </c>
      <c r="L43" s="5"/>
    </row>
    <row r="44" spans="1:12">
      <c r="A44" s="155" t="s">
        <v>2083</v>
      </c>
      <c r="B44" s="156">
        <v>1</v>
      </c>
      <c r="C44" s="157" t="s">
        <v>2084</v>
      </c>
      <c r="D44" s="158"/>
      <c r="E44" s="156" t="s">
        <v>2085</v>
      </c>
      <c r="F44" s="157" t="b">
        <v>1</v>
      </c>
      <c r="G44" s="159" t="s">
        <v>2081</v>
      </c>
      <c r="H44" s="155" t="s">
        <v>2083</v>
      </c>
      <c r="I44" s="5"/>
      <c r="J44" s="160" t="s">
        <v>720</v>
      </c>
      <c r="K44" s="10">
        <f t="shared" ref="K44:K53" si="1">COUNTIF($D$3:$D$407,J44)</f>
        <v>41</v>
      </c>
      <c r="L44" s="5"/>
    </row>
    <row r="45" spans="1:12">
      <c r="A45" s="152" t="s">
        <v>2086</v>
      </c>
      <c r="B45" s="153">
        <v>1</v>
      </c>
      <c r="C45" s="10" t="s">
        <v>2087</v>
      </c>
      <c r="D45" s="154"/>
      <c r="E45" s="153" t="s">
        <v>2088</v>
      </c>
      <c r="F45" s="10" t="b">
        <v>1</v>
      </c>
      <c r="G45" s="5" t="s">
        <v>2081</v>
      </c>
      <c r="H45" s="152" t="s">
        <v>2086</v>
      </c>
      <c r="I45" s="5"/>
      <c r="J45" s="160" t="s">
        <v>712</v>
      </c>
      <c r="K45" s="10">
        <f t="shared" si="1"/>
        <v>38</v>
      </c>
      <c r="L45" s="5"/>
    </row>
    <row r="46" spans="1:12">
      <c r="A46" s="155" t="s">
        <v>2089</v>
      </c>
      <c r="B46" s="156">
        <v>1</v>
      </c>
      <c r="C46" s="157" t="s">
        <v>2090</v>
      </c>
      <c r="D46" s="158"/>
      <c r="E46" s="156"/>
      <c r="F46" s="157" t="b">
        <v>1</v>
      </c>
      <c r="G46" s="159" t="s">
        <v>2081</v>
      </c>
      <c r="H46" s="155" t="s">
        <v>2089</v>
      </c>
      <c r="I46" s="5"/>
      <c r="J46" s="160" t="s">
        <v>682</v>
      </c>
      <c r="K46" s="10">
        <f t="shared" si="1"/>
        <v>17</v>
      </c>
      <c r="L46" s="5"/>
    </row>
    <row r="47" spans="1:12">
      <c r="A47" s="152" t="s">
        <v>2091</v>
      </c>
      <c r="B47" s="153">
        <v>1</v>
      </c>
      <c r="C47" s="10" t="s">
        <v>2092</v>
      </c>
      <c r="D47" s="154"/>
      <c r="E47" s="153"/>
      <c r="F47" s="10" t="b">
        <v>1</v>
      </c>
      <c r="G47" s="5" t="s">
        <v>2081</v>
      </c>
      <c r="H47" s="152" t="s">
        <v>2091</v>
      </c>
      <c r="I47" s="5"/>
      <c r="J47" s="160" t="s">
        <v>698</v>
      </c>
      <c r="K47" s="10">
        <f t="shared" si="1"/>
        <v>17</v>
      </c>
      <c r="L47" s="5"/>
    </row>
    <row r="48" spans="1:12">
      <c r="A48" s="155" t="s">
        <v>2093</v>
      </c>
      <c r="B48" s="156">
        <v>1</v>
      </c>
      <c r="C48" s="157" t="s">
        <v>2094</v>
      </c>
      <c r="D48" s="158"/>
      <c r="E48" s="156"/>
      <c r="F48" s="157" t="b">
        <v>1</v>
      </c>
      <c r="G48" s="159" t="s">
        <v>2081</v>
      </c>
      <c r="H48" s="155" t="s">
        <v>2093</v>
      </c>
      <c r="I48" s="5"/>
      <c r="J48" s="160" t="s">
        <v>2064</v>
      </c>
      <c r="K48" s="10">
        <f t="shared" si="1"/>
        <v>80</v>
      </c>
      <c r="L48" s="5"/>
    </row>
    <row r="49" spans="1:12">
      <c r="A49" s="152" t="s">
        <v>2095</v>
      </c>
      <c r="B49" s="153">
        <v>1</v>
      </c>
      <c r="C49" s="10" t="s">
        <v>2096</v>
      </c>
      <c r="D49" s="154"/>
      <c r="E49" s="153"/>
      <c r="F49" s="10" t="b">
        <v>1</v>
      </c>
      <c r="G49" s="5" t="s">
        <v>2081</v>
      </c>
      <c r="H49" s="152" t="s">
        <v>2095</v>
      </c>
      <c r="I49" s="5"/>
      <c r="J49" s="160" t="s">
        <v>722</v>
      </c>
      <c r="K49" s="10">
        <f t="shared" si="1"/>
        <v>44</v>
      </c>
      <c r="L49" s="5"/>
    </row>
    <row r="50" spans="1:12">
      <c r="A50" s="155" t="s">
        <v>2097</v>
      </c>
      <c r="B50" s="156">
        <v>1</v>
      </c>
      <c r="C50" s="157" t="s">
        <v>2098</v>
      </c>
      <c r="D50" s="158"/>
      <c r="E50" s="156"/>
      <c r="F50" s="157" t="b">
        <v>1</v>
      </c>
      <c r="G50" s="159" t="s">
        <v>2081</v>
      </c>
      <c r="H50" s="155" t="s">
        <v>2097</v>
      </c>
      <c r="I50" s="5"/>
      <c r="J50" s="160" t="s">
        <v>2099</v>
      </c>
      <c r="K50" s="10">
        <f t="shared" si="1"/>
        <v>4</v>
      </c>
      <c r="L50" s="5"/>
    </row>
    <row r="51" spans="1:12">
      <c r="A51" s="152" t="s">
        <v>2100</v>
      </c>
      <c r="B51" s="153">
        <v>1</v>
      </c>
      <c r="C51" s="10" t="s">
        <v>2101</v>
      </c>
      <c r="D51" s="154"/>
      <c r="E51" s="153"/>
      <c r="F51" s="10" t="b">
        <v>1</v>
      </c>
      <c r="G51" s="5" t="s">
        <v>2081</v>
      </c>
      <c r="H51" s="152" t="s">
        <v>2100</v>
      </c>
      <c r="I51" s="5"/>
      <c r="J51" s="160" t="s">
        <v>727</v>
      </c>
      <c r="K51" s="10">
        <f t="shared" si="1"/>
        <v>5</v>
      </c>
      <c r="L51" s="5"/>
    </row>
    <row r="52" spans="1:12">
      <c r="A52" s="155" t="s">
        <v>1957</v>
      </c>
      <c r="B52" s="156">
        <v>2</v>
      </c>
      <c r="C52" s="157" t="s">
        <v>2102</v>
      </c>
      <c r="D52" s="158" t="s">
        <v>712</v>
      </c>
      <c r="E52" s="156" t="s">
        <v>2103</v>
      </c>
      <c r="F52" s="157"/>
      <c r="G52" s="159" t="s">
        <v>1955</v>
      </c>
      <c r="H52" s="155" t="s">
        <v>1957</v>
      </c>
      <c r="I52" s="5"/>
      <c r="J52" s="160" t="s">
        <v>800</v>
      </c>
      <c r="K52" s="10">
        <f t="shared" si="1"/>
        <v>1</v>
      </c>
      <c r="L52" s="5"/>
    </row>
    <row r="53" spans="1:12">
      <c r="A53" s="152" t="s">
        <v>1961</v>
      </c>
      <c r="B53" s="153">
        <v>2</v>
      </c>
      <c r="C53" s="10" t="s">
        <v>2104</v>
      </c>
      <c r="D53" s="154"/>
      <c r="E53" s="153" t="s">
        <v>2105</v>
      </c>
      <c r="F53" s="10"/>
      <c r="G53" s="5" t="s">
        <v>1959</v>
      </c>
      <c r="H53" s="152" t="s">
        <v>1961</v>
      </c>
      <c r="I53" s="5"/>
      <c r="J53" s="160" t="s">
        <v>2106</v>
      </c>
      <c r="K53" s="10">
        <f t="shared" si="1"/>
        <v>4</v>
      </c>
      <c r="L53" s="5"/>
    </row>
    <row r="54" spans="1:12">
      <c r="A54" s="155" t="s">
        <v>1964</v>
      </c>
      <c r="B54" s="156">
        <v>2</v>
      </c>
      <c r="C54" s="157" t="s">
        <v>2107</v>
      </c>
      <c r="D54" s="158"/>
      <c r="E54" s="156" t="s">
        <v>2108</v>
      </c>
      <c r="F54" s="157"/>
      <c r="G54" s="159" t="s">
        <v>1962</v>
      </c>
      <c r="H54" s="155" t="s">
        <v>1964</v>
      </c>
      <c r="I54" s="5"/>
      <c r="L54" s="89"/>
    </row>
    <row r="55" spans="1:12">
      <c r="A55" s="152" t="s">
        <v>1967</v>
      </c>
      <c r="B55" s="153">
        <v>2</v>
      </c>
      <c r="C55" s="10" t="s">
        <v>2109</v>
      </c>
      <c r="D55" s="154"/>
      <c r="E55" s="153" t="s">
        <v>2110</v>
      </c>
      <c r="F55" s="10"/>
      <c r="G55" s="5" t="s">
        <v>1968</v>
      </c>
      <c r="H55" s="152" t="s">
        <v>1967</v>
      </c>
      <c r="I55" s="5"/>
      <c r="J55" s="161"/>
      <c r="K55" s="5"/>
      <c r="L55" s="5"/>
    </row>
    <row r="56" spans="1:12">
      <c r="A56" s="155" t="s">
        <v>1971</v>
      </c>
      <c r="B56" s="156">
        <v>2</v>
      </c>
      <c r="C56" s="157" t="s">
        <v>2111</v>
      </c>
      <c r="D56" s="158"/>
      <c r="E56" s="156" t="s">
        <v>2112</v>
      </c>
      <c r="F56" s="157"/>
      <c r="G56" s="159" t="s">
        <v>1969</v>
      </c>
      <c r="H56" s="155" t="s">
        <v>1971</v>
      </c>
      <c r="I56" s="5"/>
      <c r="J56" s="161"/>
      <c r="K56" s="5"/>
      <c r="L56" s="5"/>
    </row>
    <row r="57" spans="1:12">
      <c r="A57" s="152" t="s">
        <v>1974</v>
      </c>
      <c r="B57" s="153">
        <v>2</v>
      </c>
      <c r="C57" s="10" t="s">
        <v>2113</v>
      </c>
      <c r="D57" s="154"/>
      <c r="E57" s="153" t="s">
        <v>2114</v>
      </c>
      <c r="F57" s="10"/>
      <c r="G57" s="5" t="s">
        <v>1975</v>
      </c>
      <c r="H57" s="152" t="s">
        <v>1974</v>
      </c>
      <c r="I57" s="5"/>
      <c r="J57" s="161"/>
      <c r="K57" s="5"/>
      <c r="L57" s="5"/>
    </row>
    <row r="58" spans="1:12">
      <c r="A58" s="155" t="s">
        <v>1978</v>
      </c>
      <c r="B58" s="156">
        <v>2</v>
      </c>
      <c r="C58" s="157" t="s">
        <v>2115</v>
      </c>
      <c r="D58" s="158" t="s">
        <v>712</v>
      </c>
      <c r="E58" s="156" t="s">
        <v>2116</v>
      </c>
      <c r="F58" s="157"/>
      <c r="G58" s="159" t="s">
        <v>1976</v>
      </c>
      <c r="H58" s="155" t="s">
        <v>1978</v>
      </c>
      <c r="I58" s="5"/>
      <c r="J58" s="161"/>
      <c r="K58" s="5"/>
      <c r="L58" s="5"/>
    </row>
    <row r="59" spans="1:12">
      <c r="A59" s="152" t="s">
        <v>1981</v>
      </c>
      <c r="B59" s="153">
        <v>2</v>
      </c>
      <c r="C59" s="10" t="s">
        <v>2117</v>
      </c>
      <c r="D59" s="154" t="s">
        <v>682</v>
      </c>
      <c r="E59" s="153" t="s">
        <v>2118</v>
      </c>
      <c r="F59" s="10"/>
      <c r="G59" s="5" t="s">
        <v>1979</v>
      </c>
      <c r="H59" s="152" t="s">
        <v>1981</v>
      </c>
      <c r="I59" s="5"/>
      <c r="J59" s="161"/>
      <c r="K59" s="5"/>
      <c r="L59" s="5"/>
    </row>
    <row r="60" spans="1:12">
      <c r="A60" s="155" t="s">
        <v>1984</v>
      </c>
      <c r="B60" s="156">
        <v>2</v>
      </c>
      <c r="C60" s="157" t="s">
        <v>2119</v>
      </c>
      <c r="D60" s="158" t="s">
        <v>698</v>
      </c>
      <c r="E60" s="156" t="s">
        <v>2120</v>
      </c>
      <c r="F60" s="157"/>
      <c r="G60" s="159" t="s">
        <v>1982</v>
      </c>
      <c r="H60" s="155" t="s">
        <v>1984</v>
      </c>
      <c r="I60" s="5"/>
      <c r="J60" s="161"/>
      <c r="K60" s="5"/>
      <c r="L60" s="5"/>
    </row>
    <row r="61" spans="1:12">
      <c r="A61" s="152" t="s">
        <v>1987</v>
      </c>
      <c r="B61" s="153">
        <v>2</v>
      </c>
      <c r="C61" s="10" t="s">
        <v>2121</v>
      </c>
      <c r="D61" s="154" t="s">
        <v>698</v>
      </c>
      <c r="E61" s="153" t="s">
        <v>2122</v>
      </c>
      <c r="F61" s="10"/>
      <c r="G61" s="5" t="s">
        <v>1985</v>
      </c>
      <c r="H61" s="152" t="s">
        <v>1987</v>
      </c>
      <c r="I61" s="5"/>
      <c r="J61" s="161"/>
      <c r="K61" s="5"/>
      <c r="L61" s="5"/>
    </row>
    <row r="62" spans="1:12">
      <c r="A62" s="155" t="s">
        <v>1990</v>
      </c>
      <c r="B62" s="156">
        <v>2</v>
      </c>
      <c r="C62" s="157" t="s">
        <v>2123</v>
      </c>
      <c r="D62" s="158"/>
      <c r="E62" s="156" t="s">
        <v>2124</v>
      </c>
      <c r="F62" s="157"/>
      <c r="G62" s="159" t="s">
        <v>1988</v>
      </c>
      <c r="H62" s="155" t="s">
        <v>1990</v>
      </c>
      <c r="I62" s="5"/>
      <c r="L62" s="89"/>
    </row>
    <row r="63" spans="1:12">
      <c r="A63" s="152" t="s">
        <v>1993</v>
      </c>
      <c r="B63" s="153">
        <v>2</v>
      </c>
      <c r="C63" s="10" t="s">
        <v>2125</v>
      </c>
      <c r="D63" s="154"/>
      <c r="E63" s="153" t="s">
        <v>2126</v>
      </c>
      <c r="F63" s="10"/>
      <c r="G63" s="5" t="s">
        <v>1994</v>
      </c>
      <c r="H63" s="152" t="s">
        <v>1993</v>
      </c>
      <c r="I63" s="5"/>
      <c r="L63" s="89"/>
    </row>
    <row r="64" spans="1:12">
      <c r="A64" s="155" t="s">
        <v>1997</v>
      </c>
      <c r="B64" s="156">
        <v>2</v>
      </c>
      <c r="C64" s="157" t="s">
        <v>2127</v>
      </c>
      <c r="D64" s="158"/>
      <c r="E64" s="156" t="s">
        <v>2128</v>
      </c>
      <c r="F64" s="157"/>
      <c r="G64" s="159" t="s">
        <v>1998</v>
      </c>
      <c r="H64" s="155" t="s">
        <v>1997</v>
      </c>
      <c r="I64" s="5"/>
      <c r="L64" s="89"/>
    </row>
    <row r="65" spans="1:12">
      <c r="A65" s="152" t="s">
        <v>2001</v>
      </c>
      <c r="B65" s="153">
        <v>2</v>
      </c>
      <c r="C65" s="10" t="s">
        <v>2129</v>
      </c>
      <c r="D65" s="154"/>
      <c r="E65" s="153" t="s">
        <v>2130</v>
      </c>
      <c r="F65" s="10"/>
      <c r="G65" s="5" t="s">
        <v>2002</v>
      </c>
      <c r="H65" s="152" t="s">
        <v>2001</v>
      </c>
      <c r="I65" s="5"/>
      <c r="L65" s="89"/>
    </row>
    <row r="66" spans="1:12">
      <c r="A66" s="155" t="s">
        <v>2005</v>
      </c>
      <c r="B66" s="156">
        <v>2</v>
      </c>
      <c r="C66" s="157" t="s">
        <v>2131</v>
      </c>
      <c r="D66" s="158"/>
      <c r="E66" s="156" t="s">
        <v>2132</v>
      </c>
      <c r="F66" s="157"/>
      <c r="G66" s="159" t="s">
        <v>2006</v>
      </c>
      <c r="H66" s="155" t="s">
        <v>2005</v>
      </c>
      <c r="I66" s="5"/>
      <c r="L66" s="89"/>
    </row>
    <row r="67" spans="1:12">
      <c r="A67" s="152" t="s">
        <v>2009</v>
      </c>
      <c r="B67" s="153">
        <v>2</v>
      </c>
      <c r="C67" s="10" t="s">
        <v>2133</v>
      </c>
      <c r="D67" s="154"/>
      <c r="E67" s="153" t="s">
        <v>2134</v>
      </c>
      <c r="F67" s="10"/>
      <c r="G67" s="5" t="s">
        <v>678</v>
      </c>
      <c r="H67" s="152" t="s">
        <v>2009</v>
      </c>
      <c r="I67" s="5"/>
      <c r="L67" s="89"/>
    </row>
    <row r="68" spans="1:12">
      <c r="A68" s="155" t="s">
        <v>2012</v>
      </c>
      <c r="B68" s="156">
        <v>2</v>
      </c>
      <c r="C68" s="157" t="s">
        <v>2135</v>
      </c>
      <c r="D68" s="158"/>
      <c r="E68" s="156" t="s">
        <v>2136</v>
      </c>
      <c r="F68" s="157"/>
      <c r="G68" s="159" t="s">
        <v>2013</v>
      </c>
      <c r="H68" s="155" t="s">
        <v>2012</v>
      </c>
      <c r="I68" s="5"/>
      <c r="L68" s="89"/>
    </row>
    <row r="69" spans="1:12">
      <c r="A69" s="152" t="s">
        <v>2016</v>
      </c>
      <c r="B69" s="153">
        <v>2</v>
      </c>
      <c r="C69" s="10" t="s">
        <v>2137</v>
      </c>
      <c r="D69" s="154"/>
      <c r="E69" s="153" t="s">
        <v>2138</v>
      </c>
      <c r="F69" s="10"/>
      <c r="G69" s="5" t="s">
        <v>2014</v>
      </c>
      <c r="H69" s="152" t="s">
        <v>2016</v>
      </c>
      <c r="I69" s="5"/>
      <c r="L69" s="89"/>
    </row>
    <row r="70" spans="1:12">
      <c r="A70" s="155" t="s">
        <v>2019</v>
      </c>
      <c r="B70" s="156">
        <v>2</v>
      </c>
      <c r="C70" s="157" t="s">
        <v>2139</v>
      </c>
      <c r="D70" s="158"/>
      <c r="E70" s="156"/>
      <c r="F70" s="157"/>
      <c r="G70" s="159" t="s">
        <v>2020</v>
      </c>
      <c r="H70" s="155" t="s">
        <v>2019</v>
      </c>
      <c r="I70" s="5"/>
      <c r="J70" s="161"/>
      <c r="K70" s="5"/>
      <c r="L70" s="5"/>
    </row>
    <row r="71" spans="1:12">
      <c r="A71" s="152" t="s">
        <v>2023</v>
      </c>
      <c r="B71" s="10">
        <v>2</v>
      </c>
      <c r="C71" s="10" t="s">
        <v>2140</v>
      </c>
      <c r="D71" s="154"/>
      <c r="E71" s="10"/>
      <c r="F71" s="10"/>
      <c r="G71" s="5" t="s">
        <v>2024</v>
      </c>
      <c r="H71" s="152" t="s">
        <v>2023</v>
      </c>
      <c r="I71" s="5"/>
      <c r="J71" s="161"/>
      <c r="K71" s="5"/>
      <c r="L71" s="5"/>
    </row>
    <row r="72" spans="1:12">
      <c r="A72" s="155" t="s">
        <v>2141</v>
      </c>
      <c r="B72" s="156">
        <v>2</v>
      </c>
      <c r="C72" s="157" t="s">
        <v>2142</v>
      </c>
      <c r="D72" s="158" t="s">
        <v>698</v>
      </c>
      <c r="E72" s="156"/>
      <c r="F72" s="157"/>
      <c r="G72" s="159" t="s">
        <v>2030</v>
      </c>
      <c r="H72" s="155" t="s">
        <v>2141</v>
      </c>
      <c r="I72" s="5"/>
      <c r="J72" s="161"/>
      <c r="K72" s="5"/>
      <c r="L72" s="5"/>
    </row>
    <row r="73" spans="1:12">
      <c r="A73" s="152" t="s">
        <v>2027</v>
      </c>
      <c r="B73" s="153">
        <v>2</v>
      </c>
      <c r="C73" s="10" t="s">
        <v>2143</v>
      </c>
      <c r="D73" s="154"/>
      <c r="E73" s="153"/>
      <c r="F73" s="10"/>
      <c r="G73" s="5" t="s">
        <v>2025</v>
      </c>
      <c r="H73" s="152" t="s">
        <v>2027</v>
      </c>
      <c r="I73" s="5"/>
      <c r="J73" s="161"/>
      <c r="K73" s="5"/>
      <c r="L73" s="5"/>
    </row>
    <row r="74" spans="1:12">
      <c r="A74" s="155" t="s">
        <v>2144</v>
      </c>
      <c r="B74" s="156">
        <v>2</v>
      </c>
      <c r="C74" s="157" t="s">
        <v>2145</v>
      </c>
      <c r="D74" s="158"/>
      <c r="E74" s="156"/>
      <c r="F74" s="157"/>
      <c r="G74" s="159" t="s">
        <v>2144</v>
      </c>
      <c r="H74" s="155" t="s">
        <v>2144</v>
      </c>
      <c r="I74" s="5"/>
      <c r="J74" s="161"/>
      <c r="K74" s="5"/>
      <c r="L74" s="5"/>
    </row>
    <row r="75" spans="1:12">
      <c r="A75" s="152" t="s">
        <v>2146</v>
      </c>
      <c r="B75" s="153">
        <v>2</v>
      </c>
      <c r="C75" s="10" t="s">
        <v>2147</v>
      </c>
      <c r="D75" s="154" t="s">
        <v>698</v>
      </c>
      <c r="E75" s="153"/>
      <c r="F75" s="10"/>
      <c r="G75" s="5" t="s">
        <v>2148</v>
      </c>
      <c r="H75" s="152" t="s">
        <v>2146</v>
      </c>
      <c r="I75" s="5"/>
      <c r="J75" s="161"/>
      <c r="K75" s="5"/>
      <c r="L75" s="5"/>
    </row>
    <row r="76" spans="1:12">
      <c r="A76" s="155" t="s">
        <v>2149</v>
      </c>
      <c r="B76" s="156">
        <v>2</v>
      </c>
      <c r="C76" s="157" t="s">
        <v>2150</v>
      </c>
      <c r="D76" s="158"/>
      <c r="E76" s="156"/>
      <c r="F76" s="157"/>
      <c r="G76" s="159"/>
      <c r="H76" s="155" t="s">
        <v>2149</v>
      </c>
      <c r="I76" s="5"/>
      <c r="J76" s="161"/>
      <c r="K76" s="5"/>
      <c r="L76" s="5"/>
    </row>
    <row r="77" spans="1:12">
      <c r="A77" s="152" t="s">
        <v>2151</v>
      </c>
      <c r="B77" s="153">
        <v>2</v>
      </c>
      <c r="C77" s="10" t="s">
        <v>2152</v>
      </c>
      <c r="D77" s="154"/>
      <c r="E77" s="162"/>
      <c r="F77" s="10"/>
      <c r="G77" s="5"/>
      <c r="H77" s="152" t="s">
        <v>2151</v>
      </c>
      <c r="I77" s="5"/>
      <c r="J77" s="161"/>
      <c r="K77" s="5"/>
      <c r="L77" s="5"/>
    </row>
    <row r="78" spans="1:12">
      <c r="A78" s="155" t="s">
        <v>2153</v>
      </c>
      <c r="B78" s="156">
        <v>2</v>
      </c>
      <c r="C78" s="157" t="s">
        <v>2154</v>
      </c>
      <c r="D78" s="158"/>
      <c r="E78" s="163"/>
      <c r="F78" s="157"/>
      <c r="G78" s="159"/>
      <c r="H78" s="155" t="s">
        <v>2153</v>
      </c>
      <c r="I78" s="5"/>
      <c r="J78" s="161"/>
      <c r="K78" s="5"/>
      <c r="L78" s="5"/>
    </row>
    <row r="79" spans="1:12">
      <c r="A79" s="152" t="s">
        <v>2155</v>
      </c>
      <c r="B79" s="153">
        <v>2</v>
      </c>
      <c r="C79" s="10" t="s">
        <v>2156</v>
      </c>
      <c r="D79" s="154"/>
      <c r="E79" s="153"/>
      <c r="F79" s="10"/>
      <c r="G79" s="5"/>
      <c r="H79" s="152" t="s">
        <v>2155</v>
      </c>
      <c r="I79" s="5"/>
      <c r="J79" s="161"/>
      <c r="K79" s="5"/>
      <c r="L79" s="5"/>
    </row>
    <row r="80" spans="1:12">
      <c r="A80" s="155" t="s">
        <v>2057</v>
      </c>
      <c r="B80" s="156">
        <v>2</v>
      </c>
      <c r="C80" s="157" t="s">
        <v>2157</v>
      </c>
      <c r="D80" s="158" t="s">
        <v>712</v>
      </c>
      <c r="E80" s="156" t="s">
        <v>2158</v>
      </c>
      <c r="F80" s="157" t="b">
        <v>1</v>
      </c>
      <c r="G80" s="159" t="s">
        <v>2055</v>
      </c>
      <c r="H80" s="155" t="s">
        <v>2057</v>
      </c>
      <c r="I80" s="5"/>
      <c r="J80" s="161"/>
      <c r="K80" s="5"/>
      <c r="L80" s="5"/>
    </row>
    <row r="81" spans="1:12">
      <c r="A81" s="152" t="s">
        <v>2060</v>
      </c>
      <c r="B81" s="153">
        <v>2</v>
      </c>
      <c r="C81" s="10" t="s">
        <v>2159</v>
      </c>
      <c r="D81" s="154" t="s">
        <v>712</v>
      </c>
      <c r="E81" s="153" t="s">
        <v>2160</v>
      </c>
      <c r="F81" s="10" t="b">
        <v>1</v>
      </c>
      <c r="G81" s="5" t="s">
        <v>2061</v>
      </c>
      <c r="H81" s="152" t="s">
        <v>2060</v>
      </c>
      <c r="I81" s="5"/>
      <c r="J81" s="161"/>
      <c r="K81" s="5"/>
      <c r="L81" s="5"/>
    </row>
    <row r="82" spans="1:12">
      <c r="A82" s="155" t="s">
        <v>2161</v>
      </c>
      <c r="B82" s="156">
        <v>2</v>
      </c>
      <c r="C82" s="157" t="s">
        <v>2162</v>
      </c>
      <c r="D82" s="158" t="s">
        <v>712</v>
      </c>
      <c r="E82" s="163"/>
      <c r="F82" s="157" t="b">
        <v>1</v>
      </c>
      <c r="G82" s="159" t="s">
        <v>2163</v>
      </c>
      <c r="H82" s="155" t="s">
        <v>2161</v>
      </c>
      <c r="I82" s="5"/>
      <c r="J82" s="161"/>
      <c r="K82" s="5"/>
      <c r="L82" s="5"/>
    </row>
    <row r="83" spans="1:12">
      <c r="A83" s="152" t="s">
        <v>2164</v>
      </c>
      <c r="B83" s="153">
        <v>2</v>
      </c>
      <c r="C83" s="10" t="s">
        <v>2165</v>
      </c>
      <c r="D83" s="154" t="s">
        <v>720</v>
      </c>
      <c r="E83" s="153"/>
      <c r="F83" s="10" t="b">
        <v>1</v>
      </c>
      <c r="G83" s="5" t="s">
        <v>2166</v>
      </c>
      <c r="H83" s="152" t="s">
        <v>2167</v>
      </c>
      <c r="I83" s="5"/>
      <c r="J83" s="161"/>
      <c r="K83" s="5"/>
      <c r="L83" s="5"/>
    </row>
    <row r="84" spans="1:12">
      <c r="A84" s="155" t="s">
        <v>2168</v>
      </c>
      <c r="B84" s="156">
        <v>2</v>
      </c>
      <c r="C84" s="157" t="s">
        <v>2169</v>
      </c>
      <c r="D84" s="158" t="s">
        <v>698</v>
      </c>
      <c r="E84" s="156"/>
      <c r="F84" s="157" t="b">
        <v>1</v>
      </c>
      <c r="G84" s="159" t="s">
        <v>2166</v>
      </c>
      <c r="H84" s="155" t="s">
        <v>2170</v>
      </c>
      <c r="I84" s="5"/>
      <c r="J84" s="161"/>
      <c r="K84" s="5"/>
      <c r="L84" s="5"/>
    </row>
    <row r="85" spans="1:12">
      <c r="A85" s="152" t="s">
        <v>2171</v>
      </c>
      <c r="B85" s="153">
        <v>2</v>
      </c>
      <c r="C85" s="10" t="s">
        <v>2172</v>
      </c>
      <c r="D85" s="154" t="s">
        <v>720</v>
      </c>
      <c r="E85" s="153"/>
      <c r="F85" s="10" t="b">
        <v>1</v>
      </c>
      <c r="G85" s="5" t="s">
        <v>2166</v>
      </c>
      <c r="H85" s="152" t="s">
        <v>2173</v>
      </c>
      <c r="I85" s="5"/>
      <c r="J85" s="161"/>
      <c r="K85" s="5"/>
      <c r="L85" s="5"/>
    </row>
    <row r="86" spans="1:12">
      <c r="A86" s="164" t="s">
        <v>2174</v>
      </c>
      <c r="B86" s="156">
        <v>2</v>
      </c>
      <c r="C86" s="157" t="s">
        <v>2175</v>
      </c>
      <c r="D86" s="158" t="s">
        <v>720</v>
      </c>
      <c r="E86" s="156"/>
      <c r="F86" s="157" t="b">
        <v>1</v>
      </c>
      <c r="G86" s="159" t="s">
        <v>2166</v>
      </c>
      <c r="H86" s="164" t="s">
        <v>2176</v>
      </c>
      <c r="I86" s="5"/>
      <c r="J86" s="161"/>
      <c r="K86" s="5"/>
      <c r="L86" s="5"/>
    </row>
    <row r="87" spans="1:12">
      <c r="A87" s="152" t="s">
        <v>2177</v>
      </c>
      <c r="B87" s="153">
        <v>2</v>
      </c>
      <c r="C87" s="10" t="s">
        <v>2178</v>
      </c>
      <c r="D87" s="154" t="s">
        <v>2064</v>
      </c>
      <c r="E87" s="153"/>
      <c r="F87" s="10" t="b">
        <v>1</v>
      </c>
      <c r="G87" s="5" t="s">
        <v>2065</v>
      </c>
      <c r="H87" s="152" t="s">
        <v>2179</v>
      </c>
      <c r="I87" s="5"/>
      <c r="J87" s="161"/>
      <c r="K87" s="5"/>
      <c r="L87" s="5"/>
    </row>
    <row r="88" spans="1:12">
      <c r="A88" s="155" t="s">
        <v>2180</v>
      </c>
      <c r="B88" s="156">
        <v>2</v>
      </c>
      <c r="C88" s="157" t="s">
        <v>2181</v>
      </c>
      <c r="D88" s="158" t="s">
        <v>2064</v>
      </c>
      <c r="E88" s="156"/>
      <c r="F88" s="157" t="b">
        <v>1</v>
      </c>
      <c r="G88" s="159" t="s">
        <v>2065</v>
      </c>
      <c r="H88" s="155" t="s">
        <v>2182</v>
      </c>
      <c r="I88" s="5"/>
      <c r="J88" s="161"/>
      <c r="K88" s="5"/>
      <c r="L88" s="5"/>
    </row>
    <row r="89" spans="1:12">
      <c r="A89" s="152" t="s">
        <v>2183</v>
      </c>
      <c r="B89" s="153">
        <v>2</v>
      </c>
      <c r="C89" s="10" t="s">
        <v>2184</v>
      </c>
      <c r="D89" s="154" t="s">
        <v>2064</v>
      </c>
      <c r="E89" s="153"/>
      <c r="F89" s="10" t="b">
        <v>1</v>
      </c>
      <c r="G89" s="5" t="s">
        <v>2065</v>
      </c>
      <c r="H89" s="152" t="s">
        <v>2185</v>
      </c>
      <c r="I89" s="5"/>
      <c r="J89" s="161"/>
      <c r="K89" s="5"/>
      <c r="L89" s="5"/>
    </row>
    <row r="90" spans="1:12">
      <c r="A90" s="155" t="s">
        <v>2186</v>
      </c>
      <c r="B90" s="156">
        <v>2</v>
      </c>
      <c r="C90" s="157" t="s">
        <v>2187</v>
      </c>
      <c r="D90" s="158" t="s">
        <v>2064</v>
      </c>
      <c r="E90" s="156"/>
      <c r="F90" s="157" t="b">
        <v>1</v>
      </c>
      <c r="G90" s="159" t="s">
        <v>2188</v>
      </c>
      <c r="H90" s="155" t="s">
        <v>2186</v>
      </c>
      <c r="I90" s="5"/>
      <c r="J90" s="161"/>
      <c r="K90" s="5"/>
      <c r="L90" s="5"/>
    </row>
    <row r="91" spans="1:12">
      <c r="A91" s="152" t="s">
        <v>2189</v>
      </c>
      <c r="B91" s="153">
        <v>2</v>
      </c>
      <c r="C91" s="10" t="s">
        <v>2190</v>
      </c>
      <c r="D91" s="154" t="s">
        <v>722</v>
      </c>
      <c r="E91" s="153"/>
      <c r="F91" s="10" t="b">
        <v>1</v>
      </c>
      <c r="G91" s="5" t="s">
        <v>2188</v>
      </c>
      <c r="H91" s="152" t="s">
        <v>2189</v>
      </c>
      <c r="I91" s="5"/>
      <c r="J91" s="161"/>
      <c r="K91" s="5"/>
      <c r="L91" s="5"/>
    </row>
    <row r="92" spans="1:12">
      <c r="A92" s="155" t="s">
        <v>2191</v>
      </c>
      <c r="B92" s="156">
        <v>2</v>
      </c>
      <c r="C92" s="157" t="s">
        <v>2192</v>
      </c>
      <c r="D92" s="158" t="s">
        <v>2064</v>
      </c>
      <c r="E92" s="156"/>
      <c r="F92" s="157" t="b">
        <v>1</v>
      </c>
      <c r="G92" s="159" t="s">
        <v>2188</v>
      </c>
      <c r="H92" s="155" t="s">
        <v>2191</v>
      </c>
      <c r="I92" s="5"/>
      <c r="J92" s="161"/>
      <c r="K92" s="5"/>
      <c r="L92" s="5"/>
    </row>
    <row r="93" spans="1:12">
      <c r="A93" s="2" t="s">
        <v>2193</v>
      </c>
      <c r="B93" s="153">
        <v>2</v>
      </c>
      <c r="C93" s="10" t="s">
        <v>2194</v>
      </c>
      <c r="D93" s="154" t="s">
        <v>2064</v>
      </c>
      <c r="E93" s="153"/>
      <c r="F93" s="10" t="b">
        <v>1</v>
      </c>
      <c r="G93" s="5" t="s">
        <v>2188</v>
      </c>
      <c r="H93" s="2" t="s">
        <v>2193</v>
      </c>
      <c r="I93" s="5"/>
      <c r="J93" s="161"/>
      <c r="K93" s="5"/>
      <c r="L93" s="5"/>
    </row>
    <row r="94" spans="1:12">
      <c r="A94" s="155" t="s">
        <v>2085</v>
      </c>
      <c r="B94" s="156">
        <v>2</v>
      </c>
      <c r="C94" s="157" t="s">
        <v>2195</v>
      </c>
      <c r="D94" s="158"/>
      <c r="E94" s="156"/>
      <c r="F94" s="157" t="b">
        <v>1</v>
      </c>
      <c r="G94" s="159" t="s">
        <v>2081</v>
      </c>
      <c r="H94" s="155" t="s">
        <v>2085</v>
      </c>
      <c r="I94" s="5"/>
      <c r="J94" s="161"/>
      <c r="K94" s="5"/>
      <c r="L94" s="5"/>
    </row>
    <row r="95" spans="1:12">
      <c r="A95" s="152" t="s">
        <v>2088</v>
      </c>
      <c r="B95" s="153">
        <v>2</v>
      </c>
      <c r="C95" s="10" t="s">
        <v>2196</v>
      </c>
      <c r="D95" s="154"/>
      <c r="E95" s="153"/>
      <c r="F95" s="10" t="b">
        <v>1</v>
      </c>
      <c r="G95" s="5" t="s">
        <v>2081</v>
      </c>
      <c r="H95" s="152" t="s">
        <v>2088</v>
      </c>
      <c r="I95" s="5"/>
      <c r="J95" s="161"/>
      <c r="K95" s="5"/>
      <c r="L95" s="5"/>
    </row>
    <row r="96" spans="1:12">
      <c r="A96" s="155" t="s">
        <v>2197</v>
      </c>
      <c r="B96" s="156">
        <v>2</v>
      </c>
      <c r="C96" s="157" t="s">
        <v>2198</v>
      </c>
      <c r="D96" s="158"/>
      <c r="E96" s="156"/>
      <c r="F96" s="157" t="b">
        <v>1</v>
      </c>
      <c r="G96" s="159" t="s">
        <v>2081</v>
      </c>
      <c r="H96" s="155" t="s">
        <v>2197</v>
      </c>
      <c r="I96" s="5"/>
      <c r="J96" s="161"/>
      <c r="K96" s="5"/>
      <c r="L96" s="5"/>
    </row>
    <row r="97" spans="1:12">
      <c r="A97" s="152" t="s">
        <v>2199</v>
      </c>
      <c r="B97" s="153">
        <v>2</v>
      </c>
      <c r="C97" s="10" t="s">
        <v>2200</v>
      </c>
      <c r="D97" s="154"/>
      <c r="E97" s="153"/>
      <c r="F97" s="10" t="b">
        <v>1</v>
      </c>
      <c r="G97" s="5" t="s">
        <v>2081</v>
      </c>
      <c r="H97" s="152" t="s">
        <v>2199</v>
      </c>
      <c r="I97" s="5"/>
      <c r="J97" s="161"/>
      <c r="K97" s="5"/>
      <c r="L97" s="5"/>
    </row>
    <row r="98" spans="1:12">
      <c r="A98" s="155" t="s">
        <v>2201</v>
      </c>
      <c r="B98" s="156">
        <v>2</v>
      </c>
      <c r="C98" s="157" t="s">
        <v>2202</v>
      </c>
      <c r="D98" s="158"/>
      <c r="E98" s="156"/>
      <c r="F98" s="157" t="b">
        <v>1</v>
      </c>
      <c r="G98" s="159" t="s">
        <v>2081</v>
      </c>
      <c r="H98" s="155" t="s">
        <v>2201</v>
      </c>
      <c r="I98" s="5"/>
      <c r="J98" s="161"/>
      <c r="K98" s="5"/>
      <c r="L98" s="5"/>
    </row>
    <row r="99" spans="1:12">
      <c r="A99" s="152" t="s">
        <v>2203</v>
      </c>
      <c r="B99" s="153">
        <v>2</v>
      </c>
      <c r="C99" s="10" t="s">
        <v>2204</v>
      </c>
      <c r="D99" s="154"/>
      <c r="E99" s="153"/>
      <c r="F99" s="10" t="b">
        <v>1</v>
      </c>
      <c r="G99" s="5" t="s">
        <v>2081</v>
      </c>
      <c r="H99" s="152" t="s">
        <v>2203</v>
      </c>
      <c r="I99" s="5"/>
      <c r="J99" s="161"/>
      <c r="K99" s="5"/>
      <c r="L99" s="5"/>
    </row>
    <row r="100" spans="1:12">
      <c r="A100" s="155" t="s">
        <v>2103</v>
      </c>
      <c r="B100" s="156">
        <v>3</v>
      </c>
      <c r="C100" s="157" t="s">
        <v>2205</v>
      </c>
      <c r="D100" s="158" t="s">
        <v>712</v>
      </c>
      <c r="E100" s="156" t="s">
        <v>2206</v>
      </c>
      <c r="F100" s="157"/>
      <c r="G100" s="159" t="s">
        <v>1955</v>
      </c>
      <c r="H100" s="155" t="s">
        <v>2103</v>
      </c>
      <c r="I100" s="5"/>
      <c r="J100" s="161"/>
      <c r="K100" s="5"/>
      <c r="L100" s="5"/>
    </row>
    <row r="101" spans="1:12">
      <c r="A101" s="152" t="s">
        <v>2105</v>
      </c>
      <c r="B101" s="153">
        <v>3</v>
      </c>
      <c r="C101" s="10" t="s">
        <v>2207</v>
      </c>
      <c r="D101" s="154"/>
      <c r="E101" s="153" t="s">
        <v>2208</v>
      </c>
      <c r="F101" s="10"/>
      <c r="G101" s="5" t="s">
        <v>1959</v>
      </c>
      <c r="H101" s="152" t="s">
        <v>2105</v>
      </c>
      <c r="I101" s="5"/>
      <c r="J101" s="161"/>
      <c r="K101" s="5"/>
      <c r="L101" s="5"/>
    </row>
    <row r="102" spans="1:12">
      <c r="A102" s="155" t="s">
        <v>2108</v>
      </c>
      <c r="B102" s="156">
        <v>3</v>
      </c>
      <c r="C102" s="157" t="s">
        <v>2209</v>
      </c>
      <c r="D102" s="158"/>
      <c r="E102" s="156" t="s">
        <v>2210</v>
      </c>
      <c r="F102" s="157"/>
      <c r="G102" s="159" t="s">
        <v>1962</v>
      </c>
      <c r="H102" s="155" t="s">
        <v>2108</v>
      </c>
      <c r="I102" s="5"/>
      <c r="J102" s="161"/>
      <c r="K102" s="5"/>
      <c r="L102" s="5"/>
    </row>
    <row r="103" spans="1:12">
      <c r="A103" s="152" t="s">
        <v>2110</v>
      </c>
      <c r="B103" s="153">
        <v>3</v>
      </c>
      <c r="C103" s="10" t="s">
        <v>2211</v>
      </c>
      <c r="D103" s="154"/>
      <c r="E103" s="153" t="s">
        <v>2212</v>
      </c>
      <c r="F103" s="10"/>
      <c r="G103" s="5" t="s">
        <v>1968</v>
      </c>
      <c r="H103" s="152" t="s">
        <v>2110</v>
      </c>
      <c r="I103" s="5"/>
      <c r="J103" s="161"/>
      <c r="K103" s="5"/>
      <c r="L103" s="5"/>
    </row>
    <row r="104" spans="1:12">
      <c r="A104" s="155" t="s">
        <v>2112</v>
      </c>
      <c r="B104" s="156">
        <v>3</v>
      </c>
      <c r="C104" s="157" t="s">
        <v>2213</v>
      </c>
      <c r="D104" s="158"/>
      <c r="E104" s="156" t="s">
        <v>2214</v>
      </c>
      <c r="F104" s="157"/>
      <c r="G104" s="159" t="s">
        <v>1969</v>
      </c>
      <c r="H104" s="155" t="s">
        <v>2112</v>
      </c>
      <c r="I104" s="5"/>
      <c r="J104" s="161"/>
      <c r="K104" s="5"/>
      <c r="L104" s="5"/>
    </row>
    <row r="105" spans="1:12">
      <c r="A105" s="152" t="s">
        <v>2114</v>
      </c>
      <c r="B105" s="153">
        <v>3</v>
      </c>
      <c r="C105" s="10" t="s">
        <v>2215</v>
      </c>
      <c r="D105" s="154"/>
      <c r="E105" s="153" t="s">
        <v>2216</v>
      </c>
      <c r="F105" s="10"/>
      <c r="G105" s="5" t="s">
        <v>1975</v>
      </c>
      <c r="H105" s="152" t="s">
        <v>2114</v>
      </c>
      <c r="I105" s="5"/>
      <c r="J105" s="161"/>
      <c r="K105" s="5"/>
      <c r="L105" s="5"/>
    </row>
    <row r="106" spans="1:12">
      <c r="A106" s="155" t="s">
        <v>2116</v>
      </c>
      <c r="B106" s="156">
        <v>3</v>
      </c>
      <c r="C106" s="157" t="s">
        <v>2217</v>
      </c>
      <c r="D106" s="158" t="s">
        <v>712</v>
      </c>
      <c r="E106" s="156" t="s">
        <v>2218</v>
      </c>
      <c r="F106" s="157"/>
      <c r="G106" s="159" t="s">
        <v>1976</v>
      </c>
      <c r="H106" s="155" t="s">
        <v>2116</v>
      </c>
      <c r="I106" s="5"/>
      <c r="J106" s="161"/>
      <c r="K106" s="5"/>
      <c r="L106" s="5"/>
    </row>
    <row r="107" spans="1:12">
      <c r="A107" s="152" t="s">
        <v>2118</v>
      </c>
      <c r="B107" s="153">
        <v>3</v>
      </c>
      <c r="C107" s="10" t="s">
        <v>2219</v>
      </c>
      <c r="D107" s="154" t="s">
        <v>682</v>
      </c>
      <c r="E107" s="153" t="s">
        <v>2220</v>
      </c>
      <c r="F107" s="10"/>
      <c r="G107" s="5" t="s">
        <v>1979</v>
      </c>
      <c r="H107" s="152" t="s">
        <v>2118</v>
      </c>
      <c r="I107" s="5"/>
      <c r="J107" s="161"/>
      <c r="K107" s="5"/>
      <c r="L107" s="5"/>
    </row>
    <row r="108" spans="1:12">
      <c r="A108" s="155" t="s">
        <v>2120</v>
      </c>
      <c r="B108" s="156">
        <v>3</v>
      </c>
      <c r="C108" s="157" t="s">
        <v>2221</v>
      </c>
      <c r="D108" s="158" t="s">
        <v>698</v>
      </c>
      <c r="E108" s="156" t="s">
        <v>2222</v>
      </c>
      <c r="F108" s="157"/>
      <c r="G108" s="159" t="s">
        <v>1982</v>
      </c>
      <c r="H108" s="155" t="s">
        <v>2120</v>
      </c>
      <c r="I108" s="5"/>
      <c r="J108" s="161"/>
      <c r="K108" s="5"/>
      <c r="L108" s="5"/>
    </row>
    <row r="109" spans="1:12">
      <c r="A109" s="152" t="s">
        <v>2122</v>
      </c>
      <c r="B109" s="153">
        <v>3</v>
      </c>
      <c r="C109" s="10" t="s">
        <v>2223</v>
      </c>
      <c r="D109" s="154" t="s">
        <v>698</v>
      </c>
      <c r="E109" s="153" t="s">
        <v>2224</v>
      </c>
      <c r="F109" s="10"/>
      <c r="G109" s="5" t="s">
        <v>1985</v>
      </c>
      <c r="H109" s="152" t="s">
        <v>2122</v>
      </c>
      <c r="I109" s="5"/>
      <c r="J109" s="161"/>
      <c r="K109" s="5"/>
      <c r="L109" s="5"/>
    </row>
    <row r="110" spans="1:12">
      <c r="A110" s="155" t="s">
        <v>2124</v>
      </c>
      <c r="B110" s="156">
        <v>3</v>
      </c>
      <c r="C110" s="157" t="s">
        <v>2225</v>
      </c>
      <c r="D110" s="158"/>
      <c r="E110" s="156" t="s">
        <v>2226</v>
      </c>
      <c r="F110" s="157"/>
      <c r="G110" s="159" t="s">
        <v>1988</v>
      </c>
      <c r="H110" s="155" t="s">
        <v>2124</v>
      </c>
      <c r="I110" s="5"/>
      <c r="J110" s="161"/>
      <c r="K110" s="5"/>
      <c r="L110" s="5"/>
    </row>
    <row r="111" spans="1:12">
      <c r="A111" s="152" t="s">
        <v>2126</v>
      </c>
      <c r="B111" s="153">
        <v>3</v>
      </c>
      <c r="C111" s="10" t="s">
        <v>2227</v>
      </c>
      <c r="D111" s="154"/>
      <c r="E111" s="153" t="s">
        <v>2228</v>
      </c>
      <c r="F111" s="10"/>
      <c r="G111" s="5" t="s">
        <v>1994</v>
      </c>
      <c r="H111" s="152" t="s">
        <v>2126</v>
      </c>
      <c r="I111" s="5"/>
      <c r="J111" s="161"/>
      <c r="K111" s="5"/>
      <c r="L111" s="5"/>
    </row>
    <row r="112" spans="1:12">
      <c r="A112" s="155" t="s">
        <v>2128</v>
      </c>
      <c r="B112" s="156">
        <v>3</v>
      </c>
      <c r="C112" s="157" t="s">
        <v>2229</v>
      </c>
      <c r="D112" s="158"/>
      <c r="E112" s="156" t="s">
        <v>2230</v>
      </c>
      <c r="F112" s="157"/>
      <c r="G112" s="159" t="s">
        <v>1998</v>
      </c>
      <c r="H112" s="155" t="s">
        <v>2128</v>
      </c>
      <c r="I112" s="5"/>
      <c r="J112" s="161"/>
      <c r="K112" s="5"/>
      <c r="L112" s="5"/>
    </row>
    <row r="113" spans="1:12">
      <c r="A113" s="152" t="s">
        <v>2130</v>
      </c>
      <c r="B113" s="153">
        <v>3</v>
      </c>
      <c r="C113" s="10" t="s">
        <v>2231</v>
      </c>
      <c r="D113" s="154"/>
      <c r="E113" s="153"/>
      <c r="F113" s="10"/>
      <c r="G113" s="5" t="s">
        <v>2002</v>
      </c>
      <c r="H113" s="152" t="s">
        <v>2130</v>
      </c>
      <c r="I113" s="5"/>
      <c r="J113" s="161"/>
      <c r="K113" s="5"/>
      <c r="L113" s="5"/>
    </row>
    <row r="114" spans="1:12">
      <c r="A114" s="155" t="s">
        <v>2132</v>
      </c>
      <c r="B114" s="156">
        <v>3</v>
      </c>
      <c r="C114" s="157" t="s">
        <v>2232</v>
      </c>
      <c r="D114" s="158"/>
      <c r="E114" s="156"/>
      <c r="F114" s="157"/>
      <c r="G114" s="159" t="s">
        <v>2006</v>
      </c>
      <c r="H114" s="155" t="s">
        <v>2132</v>
      </c>
      <c r="I114" s="5"/>
      <c r="J114" s="161"/>
      <c r="K114" s="5"/>
      <c r="L114" s="5"/>
    </row>
    <row r="115" spans="1:12">
      <c r="A115" s="152" t="s">
        <v>2136</v>
      </c>
      <c r="B115" s="153">
        <v>3</v>
      </c>
      <c r="C115" s="10" t="s">
        <v>2233</v>
      </c>
      <c r="D115" s="154"/>
      <c r="E115" s="153"/>
      <c r="F115" s="10"/>
      <c r="G115" s="5" t="s">
        <v>2013</v>
      </c>
      <c r="H115" s="152" t="s">
        <v>2136</v>
      </c>
      <c r="I115" s="5"/>
      <c r="J115" s="161"/>
      <c r="K115" s="5"/>
      <c r="L115" s="5"/>
    </row>
    <row r="116" spans="1:12">
      <c r="A116" s="155" t="s">
        <v>2138</v>
      </c>
      <c r="B116" s="156">
        <v>3</v>
      </c>
      <c r="C116" s="157" t="s">
        <v>2234</v>
      </c>
      <c r="D116" s="158"/>
      <c r="E116" s="156"/>
      <c r="F116" s="157"/>
      <c r="G116" s="159" t="s">
        <v>2014</v>
      </c>
      <c r="H116" s="155" t="s">
        <v>2138</v>
      </c>
      <c r="I116" s="5"/>
      <c r="J116" s="161"/>
      <c r="K116" s="5"/>
      <c r="L116" s="5"/>
    </row>
    <row r="117" spans="1:12">
      <c r="A117" s="152" t="s">
        <v>2235</v>
      </c>
      <c r="B117" s="153">
        <v>3</v>
      </c>
      <c r="C117" s="10" t="s">
        <v>2236</v>
      </c>
      <c r="D117" s="154"/>
      <c r="E117" s="153"/>
      <c r="F117" s="10"/>
      <c r="G117" s="5" t="s">
        <v>2031</v>
      </c>
      <c r="H117" s="152" t="s">
        <v>2235</v>
      </c>
      <c r="I117" s="5"/>
      <c r="J117" s="161"/>
      <c r="K117" s="5"/>
      <c r="L117" s="5"/>
    </row>
    <row r="118" spans="1:12">
      <c r="A118" s="155" t="s">
        <v>2237</v>
      </c>
      <c r="B118" s="156">
        <v>3</v>
      </c>
      <c r="C118" s="157" t="s">
        <v>2238</v>
      </c>
      <c r="D118" s="158"/>
      <c r="E118" s="156"/>
      <c r="F118" s="157"/>
      <c r="G118" s="159" t="s">
        <v>2035</v>
      </c>
      <c r="H118" s="155" t="s">
        <v>2237</v>
      </c>
      <c r="I118" s="5"/>
      <c r="J118" s="161"/>
      <c r="K118" s="5"/>
      <c r="L118" s="5"/>
    </row>
    <row r="119" spans="1:12">
      <c r="A119" s="152" t="s">
        <v>2239</v>
      </c>
      <c r="B119" s="153">
        <v>3</v>
      </c>
      <c r="C119" s="10" t="s">
        <v>2240</v>
      </c>
      <c r="D119" s="154"/>
      <c r="E119" s="153"/>
      <c r="F119" s="10"/>
      <c r="G119" s="5" t="s">
        <v>2036</v>
      </c>
      <c r="H119" s="152" t="s">
        <v>2239</v>
      </c>
      <c r="I119" s="5"/>
      <c r="J119" s="161"/>
      <c r="K119" s="5"/>
      <c r="L119" s="5"/>
    </row>
    <row r="120" spans="1:12">
      <c r="A120" s="155" t="s">
        <v>2241</v>
      </c>
      <c r="B120" s="156">
        <v>3</v>
      </c>
      <c r="C120" s="157" t="s">
        <v>2242</v>
      </c>
      <c r="D120" s="158" t="s">
        <v>720</v>
      </c>
      <c r="E120" s="156"/>
      <c r="F120" s="157"/>
      <c r="G120" s="159" t="s">
        <v>2040</v>
      </c>
      <c r="H120" s="155" t="s">
        <v>2241</v>
      </c>
      <c r="I120" s="5"/>
      <c r="J120" s="161"/>
      <c r="K120" s="5"/>
      <c r="L120" s="5"/>
    </row>
    <row r="121" spans="1:12">
      <c r="A121" s="152" t="s">
        <v>2243</v>
      </c>
      <c r="B121" s="153">
        <v>3</v>
      </c>
      <c r="C121" s="10" t="s">
        <v>2244</v>
      </c>
      <c r="D121" s="154"/>
      <c r="E121" s="153"/>
      <c r="F121" s="10"/>
      <c r="G121" s="5"/>
      <c r="H121" s="152" t="s">
        <v>2243</v>
      </c>
      <c r="I121" s="5"/>
      <c r="J121" s="161"/>
      <c r="K121" s="5"/>
      <c r="L121" s="5"/>
    </row>
    <row r="122" spans="1:12">
      <c r="A122" s="155" t="s">
        <v>2245</v>
      </c>
      <c r="B122" s="156">
        <v>3</v>
      </c>
      <c r="C122" s="157" t="s">
        <v>2246</v>
      </c>
      <c r="D122" s="158" t="s">
        <v>698</v>
      </c>
      <c r="E122" s="156"/>
      <c r="F122" s="157"/>
      <c r="G122" s="159"/>
      <c r="H122" s="155" t="s">
        <v>2245</v>
      </c>
      <c r="I122" s="5"/>
      <c r="J122" s="161"/>
      <c r="K122" s="5"/>
      <c r="L122" s="5"/>
    </row>
    <row r="123" spans="1:12">
      <c r="A123" s="152" t="s">
        <v>2247</v>
      </c>
      <c r="B123" s="153">
        <v>3</v>
      </c>
      <c r="C123" s="10" t="s">
        <v>2248</v>
      </c>
      <c r="D123" s="154" t="s">
        <v>698</v>
      </c>
      <c r="E123" s="153"/>
      <c r="F123" s="10"/>
      <c r="G123" s="5"/>
      <c r="H123" s="152" t="s">
        <v>2247</v>
      </c>
      <c r="I123" s="5"/>
      <c r="J123" s="161"/>
      <c r="K123" s="5"/>
      <c r="L123" s="5"/>
    </row>
    <row r="124" spans="1:12">
      <c r="A124" s="155" t="s">
        <v>2249</v>
      </c>
      <c r="B124" s="156">
        <v>3</v>
      </c>
      <c r="C124" s="157" t="s">
        <v>2250</v>
      </c>
      <c r="D124" s="158" t="s">
        <v>698</v>
      </c>
      <c r="E124" s="156"/>
      <c r="F124" s="157"/>
      <c r="G124" s="159"/>
      <c r="H124" s="155" t="s">
        <v>2249</v>
      </c>
      <c r="I124" s="5"/>
      <c r="J124" s="161"/>
      <c r="K124" s="5"/>
      <c r="L124" s="5"/>
    </row>
    <row r="125" spans="1:12">
      <c r="A125" s="152" t="s">
        <v>2251</v>
      </c>
      <c r="B125" s="153">
        <v>3</v>
      </c>
      <c r="C125" s="10" t="s">
        <v>2252</v>
      </c>
      <c r="D125" s="154"/>
      <c r="E125" s="153"/>
      <c r="F125" s="10"/>
      <c r="G125" s="5"/>
      <c r="H125" s="152" t="s">
        <v>2251</v>
      </c>
      <c r="I125" s="5"/>
      <c r="J125" s="161"/>
      <c r="K125" s="5"/>
      <c r="L125" s="5"/>
    </row>
    <row r="126" spans="1:12">
      <c r="A126" s="155" t="s">
        <v>2253</v>
      </c>
      <c r="B126" s="156">
        <v>3</v>
      </c>
      <c r="C126" s="157" t="s">
        <v>2254</v>
      </c>
      <c r="D126" s="158" t="s">
        <v>682</v>
      </c>
      <c r="E126" s="156"/>
      <c r="F126" s="157"/>
      <c r="G126" s="159"/>
      <c r="H126" s="155" t="s">
        <v>2253</v>
      </c>
      <c r="I126" s="5"/>
      <c r="J126" s="161"/>
      <c r="K126" s="5"/>
      <c r="L126" s="5"/>
    </row>
    <row r="127" spans="1:12">
      <c r="A127" s="152" t="s">
        <v>2255</v>
      </c>
      <c r="B127" s="153">
        <v>3</v>
      </c>
      <c r="C127" s="10" t="s">
        <v>2256</v>
      </c>
      <c r="D127" s="154" t="s">
        <v>682</v>
      </c>
      <c r="E127" s="153"/>
      <c r="F127" s="10"/>
      <c r="G127" s="5"/>
      <c r="H127" s="152" t="s">
        <v>2255</v>
      </c>
      <c r="I127" s="5"/>
      <c r="J127" s="161"/>
      <c r="K127" s="5"/>
      <c r="L127" s="5"/>
    </row>
    <row r="128" spans="1:12">
      <c r="A128" s="155" t="s">
        <v>2257</v>
      </c>
      <c r="B128" s="156">
        <v>3</v>
      </c>
      <c r="C128" s="157" t="s">
        <v>2258</v>
      </c>
      <c r="D128" s="158" t="s">
        <v>2064</v>
      </c>
      <c r="E128" s="156"/>
      <c r="F128" s="157"/>
      <c r="G128" s="159"/>
      <c r="H128" s="155" t="s">
        <v>2257</v>
      </c>
      <c r="I128" s="5"/>
      <c r="J128" s="161"/>
      <c r="K128" s="5"/>
      <c r="L128" s="5"/>
    </row>
    <row r="129" spans="1:12">
      <c r="A129" s="152" t="s">
        <v>2259</v>
      </c>
      <c r="B129" s="153">
        <v>3</v>
      </c>
      <c r="C129" s="10" t="s">
        <v>2260</v>
      </c>
      <c r="D129" s="154" t="s">
        <v>2064</v>
      </c>
      <c r="E129" s="153"/>
      <c r="F129" s="10"/>
      <c r="G129" s="5"/>
      <c r="H129" s="152" t="s">
        <v>2259</v>
      </c>
      <c r="I129" s="5"/>
      <c r="J129" s="161"/>
      <c r="K129" s="5"/>
      <c r="L129" s="5"/>
    </row>
    <row r="130" spans="1:12">
      <c r="A130" s="155" t="s">
        <v>2261</v>
      </c>
      <c r="B130" s="156">
        <v>3</v>
      </c>
      <c r="C130" s="157" t="s">
        <v>2262</v>
      </c>
      <c r="D130" s="158"/>
      <c r="E130" s="156"/>
      <c r="F130" s="157"/>
      <c r="G130" s="159"/>
      <c r="H130" s="155" t="s">
        <v>2261</v>
      </c>
      <c r="I130" s="5"/>
      <c r="J130" s="161"/>
      <c r="K130" s="5"/>
      <c r="L130" s="5"/>
    </row>
    <row r="131" spans="1:12">
      <c r="A131" s="152" t="s">
        <v>2263</v>
      </c>
      <c r="B131" s="153">
        <v>3</v>
      </c>
      <c r="C131" s="10" t="s">
        <v>2264</v>
      </c>
      <c r="D131" s="154"/>
      <c r="E131" s="153"/>
      <c r="F131" s="10"/>
      <c r="G131" s="5"/>
      <c r="H131" s="152" t="s">
        <v>2263</v>
      </c>
      <c r="I131" s="5"/>
      <c r="J131" s="161"/>
      <c r="K131" s="5"/>
      <c r="L131" s="5"/>
    </row>
    <row r="132" spans="1:12">
      <c r="A132" s="155" t="s">
        <v>2265</v>
      </c>
      <c r="B132" s="156">
        <v>3</v>
      </c>
      <c r="C132" s="157" t="s">
        <v>2266</v>
      </c>
      <c r="D132" s="158"/>
      <c r="E132" s="156"/>
      <c r="F132" s="157"/>
      <c r="G132" s="159"/>
      <c r="H132" s="155" t="s">
        <v>2265</v>
      </c>
      <c r="I132" s="5"/>
      <c r="J132" s="161"/>
      <c r="K132" s="5"/>
      <c r="L132" s="5"/>
    </row>
    <row r="133" spans="1:12">
      <c r="A133" s="152" t="s">
        <v>2267</v>
      </c>
      <c r="B133" s="153">
        <v>3</v>
      </c>
      <c r="C133" s="10" t="s">
        <v>2268</v>
      </c>
      <c r="D133" s="154" t="s">
        <v>722</v>
      </c>
      <c r="E133" s="153"/>
      <c r="F133" s="10"/>
      <c r="G133" s="5"/>
      <c r="H133" s="152" t="s">
        <v>2267</v>
      </c>
      <c r="I133" s="5"/>
      <c r="J133" s="161"/>
      <c r="K133" s="5"/>
      <c r="L133" s="5"/>
    </row>
    <row r="134" spans="1:12">
      <c r="A134" s="155" t="s">
        <v>2158</v>
      </c>
      <c r="B134" s="156">
        <v>3</v>
      </c>
      <c r="C134" s="157" t="s">
        <v>2269</v>
      </c>
      <c r="D134" s="158" t="s">
        <v>712</v>
      </c>
      <c r="E134" s="156" t="s">
        <v>2270</v>
      </c>
      <c r="F134" s="157" t="b">
        <v>1</v>
      </c>
      <c r="G134" s="159" t="s">
        <v>2055</v>
      </c>
      <c r="H134" s="155" t="s">
        <v>2158</v>
      </c>
      <c r="I134" s="5"/>
      <c r="J134" s="161"/>
      <c r="K134" s="5"/>
      <c r="L134" s="5"/>
    </row>
    <row r="135" spans="1:12">
      <c r="A135" s="152" t="s">
        <v>2160</v>
      </c>
      <c r="B135" s="153">
        <v>3</v>
      </c>
      <c r="C135" s="10" t="s">
        <v>2271</v>
      </c>
      <c r="D135" s="154" t="s">
        <v>712</v>
      </c>
      <c r="E135" s="153" t="s">
        <v>2272</v>
      </c>
      <c r="F135" s="10" t="b">
        <v>1</v>
      </c>
      <c r="G135" s="5" t="s">
        <v>2061</v>
      </c>
      <c r="H135" s="152" t="s">
        <v>2160</v>
      </c>
      <c r="I135" s="5"/>
      <c r="J135" s="161"/>
      <c r="K135" s="5"/>
      <c r="L135" s="5"/>
    </row>
    <row r="136" spans="1:12">
      <c r="A136" s="155" t="s">
        <v>2273</v>
      </c>
      <c r="B136" s="156">
        <v>3</v>
      </c>
      <c r="C136" s="157" t="s">
        <v>2274</v>
      </c>
      <c r="D136" s="158" t="s">
        <v>712</v>
      </c>
      <c r="E136" s="156"/>
      <c r="F136" s="157" t="b">
        <v>1</v>
      </c>
      <c r="G136" s="159" t="s">
        <v>2275</v>
      </c>
      <c r="H136" s="155" t="s">
        <v>2273</v>
      </c>
      <c r="I136" s="5"/>
      <c r="J136" s="161"/>
      <c r="K136" s="5"/>
      <c r="L136" s="5"/>
    </row>
    <row r="137" spans="1:12">
      <c r="A137" s="152" t="s">
        <v>2134</v>
      </c>
      <c r="B137" s="153">
        <v>3</v>
      </c>
      <c r="C137" s="10" t="s">
        <v>2276</v>
      </c>
      <c r="D137" s="154"/>
      <c r="E137" s="153"/>
      <c r="F137" s="10" t="b">
        <v>1</v>
      </c>
      <c r="G137" s="5" t="s">
        <v>678</v>
      </c>
      <c r="H137" s="152" t="s">
        <v>2277</v>
      </c>
      <c r="I137" s="5"/>
      <c r="J137" s="161"/>
      <c r="K137" s="5"/>
      <c r="L137" s="5"/>
    </row>
    <row r="138" spans="1:12">
      <c r="A138" s="155" t="s">
        <v>2278</v>
      </c>
      <c r="B138" s="156">
        <v>3</v>
      </c>
      <c r="C138" s="157" t="s">
        <v>2279</v>
      </c>
      <c r="D138" s="158" t="s">
        <v>720</v>
      </c>
      <c r="E138" s="156"/>
      <c r="F138" s="157" t="b">
        <v>1</v>
      </c>
      <c r="G138" s="159" t="s">
        <v>2166</v>
      </c>
      <c r="H138" s="155" t="s">
        <v>2280</v>
      </c>
      <c r="I138" s="5"/>
      <c r="J138" s="161"/>
      <c r="K138" s="5"/>
      <c r="L138" s="5"/>
    </row>
    <row r="139" spans="1:12">
      <c r="A139" s="152" t="s">
        <v>2281</v>
      </c>
      <c r="B139" s="153">
        <v>3</v>
      </c>
      <c r="C139" s="10" t="s">
        <v>2282</v>
      </c>
      <c r="D139" s="154" t="s">
        <v>2064</v>
      </c>
      <c r="E139" s="153"/>
      <c r="F139" s="10" t="b">
        <v>1</v>
      </c>
      <c r="G139" s="5" t="s">
        <v>2065</v>
      </c>
      <c r="H139" s="152" t="s">
        <v>2283</v>
      </c>
      <c r="I139" s="5"/>
      <c r="J139" s="161"/>
      <c r="K139" s="5"/>
      <c r="L139" s="5"/>
    </row>
    <row r="140" spans="1:12">
      <c r="A140" s="155" t="s">
        <v>2284</v>
      </c>
      <c r="B140" s="156">
        <v>3</v>
      </c>
      <c r="C140" s="157" t="s">
        <v>2285</v>
      </c>
      <c r="D140" s="158" t="s">
        <v>2064</v>
      </c>
      <c r="E140" s="156"/>
      <c r="F140" s="157" t="b">
        <v>1</v>
      </c>
      <c r="G140" s="159" t="s">
        <v>2065</v>
      </c>
      <c r="H140" s="155" t="s">
        <v>2286</v>
      </c>
      <c r="I140" s="5"/>
      <c r="J140" s="161"/>
      <c r="K140" s="5"/>
      <c r="L140" s="5"/>
    </row>
    <row r="141" spans="1:12">
      <c r="A141" s="152" t="s">
        <v>2287</v>
      </c>
      <c r="B141" s="153">
        <v>3</v>
      </c>
      <c r="C141" s="10" t="s">
        <v>2288</v>
      </c>
      <c r="D141" s="154" t="s">
        <v>2064</v>
      </c>
      <c r="E141" s="153"/>
      <c r="F141" s="10" t="b">
        <v>1</v>
      </c>
      <c r="G141" s="5" t="s">
        <v>2065</v>
      </c>
      <c r="H141" s="152" t="s">
        <v>2289</v>
      </c>
      <c r="I141" s="5"/>
      <c r="J141" s="161"/>
      <c r="K141" s="5"/>
      <c r="L141" s="5"/>
    </row>
    <row r="142" spans="1:12">
      <c r="A142" s="155" t="s">
        <v>2290</v>
      </c>
      <c r="B142" s="156">
        <v>3</v>
      </c>
      <c r="C142" s="157" t="s">
        <v>2291</v>
      </c>
      <c r="D142" s="158" t="s">
        <v>722</v>
      </c>
      <c r="E142" s="156"/>
      <c r="F142" s="157" t="b">
        <v>1</v>
      </c>
      <c r="G142" s="159" t="s">
        <v>2065</v>
      </c>
      <c r="H142" s="155" t="s">
        <v>2292</v>
      </c>
      <c r="I142" s="5"/>
      <c r="J142" s="161"/>
      <c r="K142" s="5"/>
      <c r="L142" s="5"/>
    </row>
    <row r="143" spans="1:12">
      <c r="A143" s="152" t="s">
        <v>2293</v>
      </c>
      <c r="B143" s="153">
        <v>3</v>
      </c>
      <c r="C143" s="10" t="s">
        <v>2294</v>
      </c>
      <c r="D143" s="154" t="s">
        <v>2064</v>
      </c>
      <c r="E143" s="153"/>
      <c r="F143" s="10" t="b">
        <v>1</v>
      </c>
      <c r="G143" s="5" t="s">
        <v>2065</v>
      </c>
      <c r="H143" s="152" t="s">
        <v>2295</v>
      </c>
      <c r="I143" s="5"/>
      <c r="J143" s="161"/>
      <c r="K143" s="5"/>
      <c r="L143" s="5"/>
    </row>
    <row r="144" spans="1:12">
      <c r="A144" s="155" t="s">
        <v>2296</v>
      </c>
      <c r="B144" s="156">
        <v>3</v>
      </c>
      <c r="C144" s="157" t="s">
        <v>2297</v>
      </c>
      <c r="D144" s="158" t="s">
        <v>2064</v>
      </c>
      <c r="E144" s="156"/>
      <c r="F144" s="157" t="b">
        <v>1</v>
      </c>
      <c r="G144" s="159" t="s">
        <v>2065</v>
      </c>
      <c r="H144" s="155" t="s">
        <v>2298</v>
      </c>
      <c r="I144" s="5"/>
      <c r="J144" s="161"/>
      <c r="K144" s="5"/>
      <c r="L144" s="5"/>
    </row>
    <row r="145" spans="1:12">
      <c r="A145" s="152" t="s">
        <v>2299</v>
      </c>
      <c r="B145" s="153">
        <v>3</v>
      </c>
      <c r="C145" s="10" t="s">
        <v>2300</v>
      </c>
      <c r="D145" s="154" t="s">
        <v>2064</v>
      </c>
      <c r="E145" s="153"/>
      <c r="F145" s="10" t="b">
        <v>1</v>
      </c>
      <c r="G145" s="5" t="s">
        <v>2065</v>
      </c>
      <c r="H145" s="152" t="s">
        <v>2301</v>
      </c>
      <c r="I145" s="5"/>
      <c r="J145" s="161"/>
      <c r="K145" s="5"/>
      <c r="L145" s="5"/>
    </row>
    <row r="146" spans="1:12">
      <c r="A146" s="155" t="s">
        <v>2302</v>
      </c>
      <c r="B146" s="156">
        <v>3</v>
      </c>
      <c r="C146" s="157" t="s">
        <v>2303</v>
      </c>
      <c r="D146" s="158" t="s">
        <v>2064</v>
      </c>
      <c r="E146" s="156"/>
      <c r="F146" s="157" t="b">
        <v>1</v>
      </c>
      <c r="G146" s="159" t="s">
        <v>2065</v>
      </c>
      <c r="H146" s="155" t="s">
        <v>2304</v>
      </c>
      <c r="I146" s="5"/>
      <c r="J146" s="161"/>
      <c r="K146" s="5"/>
      <c r="L146" s="5"/>
    </row>
    <row r="147" spans="1:12">
      <c r="A147" s="152" t="s">
        <v>2305</v>
      </c>
      <c r="B147" s="153">
        <v>3</v>
      </c>
      <c r="C147" s="10" t="s">
        <v>2306</v>
      </c>
      <c r="D147" s="154" t="s">
        <v>722</v>
      </c>
      <c r="E147" s="153"/>
      <c r="F147" s="10" t="b">
        <v>1</v>
      </c>
      <c r="G147" s="5" t="s">
        <v>2065</v>
      </c>
      <c r="H147" s="152" t="s">
        <v>2307</v>
      </c>
      <c r="I147" s="5"/>
      <c r="J147" s="161"/>
      <c r="K147" s="5"/>
      <c r="L147" s="5"/>
    </row>
    <row r="148" spans="1:12">
      <c r="A148" s="155" t="s">
        <v>2308</v>
      </c>
      <c r="B148" s="156">
        <v>3</v>
      </c>
      <c r="C148" s="157" t="s">
        <v>2309</v>
      </c>
      <c r="D148" s="158" t="s">
        <v>2064</v>
      </c>
      <c r="E148" s="156"/>
      <c r="F148" s="157" t="b">
        <v>1</v>
      </c>
      <c r="G148" s="159" t="s">
        <v>2065</v>
      </c>
      <c r="H148" s="155" t="s">
        <v>2310</v>
      </c>
      <c r="I148" s="5"/>
      <c r="J148" s="161"/>
      <c r="K148" s="5"/>
      <c r="L148" s="5"/>
    </row>
    <row r="149" spans="1:12">
      <c r="A149" s="152" t="s">
        <v>2311</v>
      </c>
      <c r="B149" s="153">
        <v>3</v>
      </c>
      <c r="C149" s="10" t="s">
        <v>2312</v>
      </c>
      <c r="D149" s="154" t="s">
        <v>2064</v>
      </c>
      <c r="E149" s="153"/>
      <c r="F149" s="10" t="b">
        <v>1</v>
      </c>
      <c r="G149" s="5" t="s">
        <v>2065</v>
      </c>
      <c r="H149" s="152" t="s">
        <v>2313</v>
      </c>
      <c r="I149" s="5"/>
      <c r="J149" s="161"/>
      <c r="K149" s="5"/>
      <c r="L149" s="5"/>
    </row>
    <row r="150" spans="1:12">
      <c r="A150" s="155" t="s">
        <v>2314</v>
      </c>
      <c r="B150" s="156">
        <v>3</v>
      </c>
      <c r="C150" s="157" t="s">
        <v>2315</v>
      </c>
      <c r="D150" s="158" t="s">
        <v>2064</v>
      </c>
      <c r="E150" s="156"/>
      <c r="F150" s="157" t="b">
        <v>1</v>
      </c>
      <c r="G150" s="159" t="s">
        <v>2065</v>
      </c>
      <c r="H150" s="155" t="s">
        <v>2316</v>
      </c>
      <c r="I150" s="5"/>
      <c r="J150" s="161"/>
      <c r="K150" s="5"/>
      <c r="L150" s="5"/>
    </row>
    <row r="151" spans="1:12">
      <c r="A151" s="152" t="s">
        <v>2317</v>
      </c>
      <c r="B151" s="153">
        <v>3</v>
      </c>
      <c r="C151" s="10" t="s">
        <v>2318</v>
      </c>
      <c r="D151" s="154" t="s">
        <v>2064</v>
      </c>
      <c r="E151" s="153"/>
      <c r="F151" s="10" t="b">
        <v>1</v>
      </c>
      <c r="G151" s="5" t="s">
        <v>2188</v>
      </c>
      <c r="H151" s="152" t="s">
        <v>2317</v>
      </c>
      <c r="I151" s="5"/>
      <c r="J151" s="161"/>
      <c r="K151" s="5"/>
      <c r="L151" s="5"/>
    </row>
    <row r="152" spans="1:12">
      <c r="A152" s="155" t="s">
        <v>2319</v>
      </c>
      <c r="B152" s="156">
        <v>3</v>
      </c>
      <c r="C152" s="157" t="s">
        <v>2320</v>
      </c>
      <c r="D152" s="158" t="s">
        <v>2064</v>
      </c>
      <c r="E152" s="156"/>
      <c r="F152" s="157" t="b">
        <v>1</v>
      </c>
      <c r="G152" s="159" t="s">
        <v>2188</v>
      </c>
      <c r="H152" s="155" t="s">
        <v>2319</v>
      </c>
      <c r="I152" s="5"/>
      <c r="J152" s="161"/>
      <c r="K152" s="5"/>
      <c r="L152" s="5"/>
    </row>
    <row r="153" spans="1:12">
      <c r="A153" s="152" t="s">
        <v>2206</v>
      </c>
      <c r="B153" s="153">
        <v>4</v>
      </c>
      <c r="C153" s="10" t="s">
        <v>2321</v>
      </c>
      <c r="D153" s="154" t="s">
        <v>712</v>
      </c>
      <c r="E153" s="153" t="s">
        <v>2322</v>
      </c>
      <c r="F153" s="10"/>
      <c r="G153" s="5" t="s">
        <v>1955</v>
      </c>
      <c r="H153" s="152" t="s">
        <v>2206</v>
      </c>
      <c r="I153" s="5"/>
      <c r="J153" s="161"/>
      <c r="K153" s="5"/>
      <c r="L153" s="5"/>
    </row>
    <row r="154" spans="1:12">
      <c r="A154" s="155" t="s">
        <v>2208</v>
      </c>
      <c r="B154" s="156">
        <v>4</v>
      </c>
      <c r="C154" s="157" t="s">
        <v>2323</v>
      </c>
      <c r="D154" s="158"/>
      <c r="E154" s="156" t="s">
        <v>2324</v>
      </c>
      <c r="F154" s="157"/>
      <c r="G154" s="159" t="s">
        <v>1959</v>
      </c>
      <c r="H154" s="155" t="s">
        <v>2208</v>
      </c>
      <c r="I154" s="5"/>
      <c r="J154" s="161"/>
      <c r="K154" s="5"/>
      <c r="L154" s="5"/>
    </row>
    <row r="155" spans="1:12">
      <c r="A155" s="152" t="s">
        <v>2210</v>
      </c>
      <c r="B155" s="153">
        <v>4</v>
      </c>
      <c r="C155" s="10" t="s">
        <v>2325</v>
      </c>
      <c r="D155" s="154"/>
      <c r="E155" s="153" t="s">
        <v>2326</v>
      </c>
      <c r="F155" s="10"/>
      <c r="G155" s="5" t="s">
        <v>1962</v>
      </c>
      <c r="H155" s="152" t="s">
        <v>2210</v>
      </c>
      <c r="I155" s="5"/>
      <c r="J155" s="161"/>
      <c r="K155" s="5"/>
      <c r="L155" s="5"/>
    </row>
    <row r="156" spans="1:12">
      <c r="A156" s="155" t="s">
        <v>2212</v>
      </c>
      <c r="B156" s="156">
        <v>4</v>
      </c>
      <c r="C156" s="157" t="s">
        <v>2327</v>
      </c>
      <c r="D156" s="158"/>
      <c r="E156" s="156" t="s">
        <v>2328</v>
      </c>
      <c r="F156" s="157"/>
      <c r="G156" s="159" t="s">
        <v>1968</v>
      </c>
      <c r="H156" s="155" t="s">
        <v>2212</v>
      </c>
      <c r="I156" s="5"/>
      <c r="J156" s="161"/>
      <c r="K156" s="5"/>
      <c r="L156" s="5"/>
    </row>
    <row r="157" spans="1:12">
      <c r="A157" s="152" t="s">
        <v>2214</v>
      </c>
      <c r="B157" s="153">
        <v>4</v>
      </c>
      <c r="C157" s="10" t="s">
        <v>2329</v>
      </c>
      <c r="D157" s="154"/>
      <c r="E157" s="153" t="s">
        <v>2330</v>
      </c>
      <c r="F157" s="10"/>
      <c r="G157" s="5" t="s">
        <v>1969</v>
      </c>
      <c r="H157" s="152" t="s">
        <v>2214</v>
      </c>
      <c r="I157" s="5"/>
      <c r="J157" s="161"/>
      <c r="K157" s="5"/>
      <c r="L157" s="5"/>
    </row>
    <row r="158" spans="1:12">
      <c r="A158" s="155" t="s">
        <v>2216</v>
      </c>
      <c r="B158" s="156">
        <v>4</v>
      </c>
      <c r="C158" s="157" t="s">
        <v>2331</v>
      </c>
      <c r="D158" s="158"/>
      <c r="E158" s="156" t="s">
        <v>2332</v>
      </c>
      <c r="F158" s="157"/>
      <c r="G158" s="159" t="s">
        <v>1975</v>
      </c>
      <c r="H158" s="155" t="s">
        <v>2216</v>
      </c>
      <c r="I158" s="5"/>
      <c r="J158" s="161"/>
      <c r="K158" s="5"/>
      <c r="L158" s="5"/>
    </row>
    <row r="159" spans="1:12">
      <c r="A159" s="152" t="s">
        <v>2218</v>
      </c>
      <c r="B159" s="153">
        <v>4</v>
      </c>
      <c r="C159" s="10" t="s">
        <v>2333</v>
      </c>
      <c r="D159" s="154" t="s">
        <v>712</v>
      </c>
      <c r="E159" s="153" t="s">
        <v>2334</v>
      </c>
      <c r="F159" s="10"/>
      <c r="G159" s="5" t="s">
        <v>1976</v>
      </c>
      <c r="H159" s="152" t="s">
        <v>2218</v>
      </c>
      <c r="I159" s="5"/>
      <c r="J159" s="161"/>
      <c r="K159" s="5"/>
      <c r="L159" s="5"/>
    </row>
    <row r="160" spans="1:12">
      <c r="A160" s="155" t="s">
        <v>2220</v>
      </c>
      <c r="B160" s="156">
        <v>4</v>
      </c>
      <c r="C160" s="157" t="s">
        <v>2335</v>
      </c>
      <c r="D160" s="158" t="s">
        <v>682</v>
      </c>
      <c r="E160" s="156"/>
      <c r="F160" s="157"/>
      <c r="G160" s="159" t="s">
        <v>1979</v>
      </c>
      <c r="H160" s="155" t="s">
        <v>2220</v>
      </c>
      <c r="I160" s="5"/>
      <c r="J160" s="161"/>
      <c r="K160" s="5"/>
      <c r="L160" s="5"/>
    </row>
    <row r="161" spans="1:12">
      <c r="A161" s="152" t="s">
        <v>2222</v>
      </c>
      <c r="B161" s="153">
        <v>4</v>
      </c>
      <c r="C161" s="10" t="s">
        <v>2336</v>
      </c>
      <c r="D161" s="154" t="s">
        <v>2064</v>
      </c>
      <c r="E161" s="153"/>
      <c r="F161" s="10"/>
      <c r="G161" s="5" t="s">
        <v>1982</v>
      </c>
      <c r="H161" s="152" t="s">
        <v>2222</v>
      </c>
      <c r="I161" s="5"/>
      <c r="J161" s="161"/>
      <c r="K161" s="5"/>
      <c r="L161" s="5"/>
    </row>
    <row r="162" spans="1:12">
      <c r="A162" s="155" t="s">
        <v>2224</v>
      </c>
      <c r="B162" s="156">
        <v>4</v>
      </c>
      <c r="C162" s="157" t="s">
        <v>2337</v>
      </c>
      <c r="D162" s="158" t="s">
        <v>2064</v>
      </c>
      <c r="E162" s="156"/>
      <c r="F162" s="157"/>
      <c r="G162" s="159" t="s">
        <v>1985</v>
      </c>
      <c r="H162" s="155" t="s">
        <v>2224</v>
      </c>
      <c r="I162" s="5"/>
      <c r="J162" s="161"/>
      <c r="K162" s="5"/>
      <c r="L162" s="5"/>
    </row>
    <row r="163" spans="1:12">
      <c r="A163" s="152" t="s">
        <v>2226</v>
      </c>
      <c r="B163" s="153">
        <v>4</v>
      </c>
      <c r="C163" s="10" t="s">
        <v>2338</v>
      </c>
      <c r="D163" s="154"/>
      <c r="E163" s="153"/>
      <c r="F163" s="10"/>
      <c r="G163" s="5" t="s">
        <v>1988</v>
      </c>
      <c r="H163" s="152" t="s">
        <v>2226</v>
      </c>
      <c r="I163" s="5"/>
      <c r="J163" s="161"/>
      <c r="K163" s="5"/>
      <c r="L163" s="5"/>
    </row>
    <row r="164" spans="1:12">
      <c r="A164" s="155" t="s">
        <v>2228</v>
      </c>
      <c r="B164" s="156">
        <v>4</v>
      </c>
      <c r="C164" s="157" t="s">
        <v>2339</v>
      </c>
      <c r="D164" s="158" t="s">
        <v>2064</v>
      </c>
      <c r="E164" s="156"/>
      <c r="F164" s="157"/>
      <c r="G164" s="159" t="s">
        <v>1994</v>
      </c>
      <c r="H164" s="155" t="s">
        <v>2228</v>
      </c>
      <c r="I164" s="5"/>
      <c r="J164" s="161"/>
      <c r="K164" s="5"/>
      <c r="L164" s="5"/>
    </row>
    <row r="165" spans="1:12">
      <c r="A165" s="152" t="s">
        <v>2230</v>
      </c>
      <c r="B165" s="153">
        <v>4</v>
      </c>
      <c r="C165" s="10" t="s">
        <v>2340</v>
      </c>
      <c r="D165" s="154"/>
      <c r="E165" s="153"/>
      <c r="F165" s="10"/>
      <c r="G165" s="5" t="s">
        <v>1998</v>
      </c>
      <c r="H165" s="152" t="s">
        <v>2230</v>
      </c>
      <c r="I165" s="5"/>
      <c r="J165" s="161"/>
      <c r="K165" s="5"/>
      <c r="L165" s="5"/>
    </row>
    <row r="166" spans="1:12">
      <c r="A166" s="155" t="s">
        <v>2341</v>
      </c>
      <c r="B166" s="156">
        <v>4</v>
      </c>
      <c r="C166" s="157" t="s">
        <v>2342</v>
      </c>
      <c r="D166" s="158"/>
      <c r="E166" s="156"/>
      <c r="F166" s="157"/>
      <c r="G166" s="159"/>
      <c r="H166" s="155" t="s">
        <v>2341</v>
      </c>
      <c r="I166" s="5"/>
      <c r="J166" s="161"/>
      <c r="K166" s="5"/>
      <c r="L166" s="5"/>
    </row>
    <row r="167" spans="1:12">
      <c r="A167" s="152" t="s">
        <v>2343</v>
      </c>
      <c r="B167" s="153">
        <v>4</v>
      </c>
      <c r="C167" s="10" t="s">
        <v>2344</v>
      </c>
      <c r="D167" s="154"/>
      <c r="E167" s="153"/>
      <c r="F167" s="10"/>
      <c r="G167" s="5" t="s">
        <v>2035</v>
      </c>
      <c r="H167" s="152" t="s">
        <v>2343</v>
      </c>
      <c r="I167" s="5"/>
      <c r="J167" s="161"/>
      <c r="K167" s="5"/>
      <c r="L167" s="5"/>
    </row>
    <row r="168" spans="1:12">
      <c r="A168" s="155" t="s">
        <v>2345</v>
      </c>
      <c r="B168" s="156">
        <v>4</v>
      </c>
      <c r="C168" s="157" t="s">
        <v>2346</v>
      </c>
      <c r="D168" s="158"/>
      <c r="E168" s="156"/>
      <c r="F168" s="157"/>
      <c r="G168" s="159" t="s">
        <v>2144</v>
      </c>
      <c r="H168" s="155" t="s">
        <v>2345</v>
      </c>
      <c r="I168" s="5"/>
      <c r="J168" s="161"/>
      <c r="K168" s="5"/>
      <c r="L168" s="5"/>
    </row>
    <row r="169" spans="1:12">
      <c r="A169" s="152" t="s">
        <v>2347</v>
      </c>
      <c r="B169" s="153">
        <v>4</v>
      </c>
      <c r="C169" s="10" t="s">
        <v>2348</v>
      </c>
      <c r="D169" s="154" t="s">
        <v>698</v>
      </c>
      <c r="E169" s="153"/>
      <c r="F169" s="10"/>
      <c r="G169" s="5" t="s">
        <v>2148</v>
      </c>
      <c r="H169" s="152" t="s">
        <v>2347</v>
      </c>
      <c r="I169" s="5"/>
      <c r="J169" s="161"/>
      <c r="K169" s="5"/>
      <c r="L169" s="5"/>
    </row>
    <row r="170" spans="1:12">
      <c r="A170" s="155" t="s">
        <v>2349</v>
      </c>
      <c r="B170" s="156">
        <v>4</v>
      </c>
      <c r="C170" s="157" t="s">
        <v>2350</v>
      </c>
      <c r="D170" s="158"/>
      <c r="E170" s="156"/>
      <c r="F170" s="157"/>
      <c r="G170" s="159"/>
      <c r="H170" s="155" t="s">
        <v>2349</v>
      </c>
      <c r="I170" s="5"/>
      <c r="J170" s="161"/>
      <c r="K170" s="5"/>
      <c r="L170" s="5"/>
    </row>
    <row r="171" spans="1:12">
      <c r="A171" s="152" t="s">
        <v>2351</v>
      </c>
      <c r="B171" s="153">
        <v>4</v>
      </c>
      <c r="C171" s="10" t="s">
        <v>2352</v>
      </c>
      <c r="D171" s="154" t="s">
        <v>682</v>
      </c>
      <c r="E171" s="153"/>
      <c r="F171" s="10"/>
      <c r="G171" s="5"/>
      <c r="H171" s="152" t="s">
        <v>2351</v>
      </c>
      <c r="I171" s="5"/>
      <c r="J171" s="161"/>
      <c r="K171" s="5"/>
      <c r="L171" s="5"/>
    </row>
    <row r="172" spans="1:12">
      <c r="A172" s="155" t="s">
        <v>2353</v>
      </c>
      <c r="B172" s="156">
        <v>4</v>
      </c>
      <c r="C172" s="157" t="s">
        <v>2354</v>
      </c>
      <c r="D172" s="158" t="s">
        <v>682</v>
      </c>
      <c r="E172" s="156"/>
      <c r="F172" s="157"/>
      <c r="G172" s="159"/>
      <c r="H172" s="155" t="s">
        <v>2353</v>
      </c>
      <c r="I172" s="5"/>
      <c r="J172" s="161"/>
      <c r="K172" s="5"/>
      <c r="L172" s="5"/>
    </row>
    <row r="173" spans="1:12">
      <c r="A173" s="152" t="s">
        <v>2355</v>
      </c>
      <c r="B173" s="153">
        <v>4</v>
      </c>
      <c r="C173" s="10" t="s">
        <v>2356</v>
      </c>
      <c r="D173" s="154" t="s">
        <v>682</v>
      </c>
      <c r="E173" s="153"/>
      <c r="F173" s="10"/>
      <c r="G173" s="5"/>
      <c r="H173" s="152" t="s">
        <v>2355</v>
      </c>
      <c r="I173" s="5"/>
      <c r="J173" s="161"/>
      <c r="K173" s="5"/>
      <c r="L173" s="5"/>
    </row>
    <row r="174" spans="1:12">
      <c r="A174" s="155" t="s">
        <v>2357</v>
      </c>
      <c r="B174" s="156">
        <v>4</v>
      </c>
      <c r="C174" s="157" t="s">
        <v>2358</v>
      </c>
      <c r="D174" s="158"/>
      <c r="E174" s="156"/>
      <c r="F174" s="157"/>
      <c r="G174" s="159"/>
      <c r="H174" s="155" t="s">
        <v>2357</v>
      </c>
      <c r="I174" s="5"/>
      <c r="J174" s="161"/>
      <c r="K174" s="5"/>
      <c r="L174" s="5"/>
    </row>
    <row r="175" spans="1:12">
      <c r="A175" s="152" t="s">
        <v>2359</v>
      </c>
      <c r="B175" s="153">
        <v>4</v>
      </c>
      <c r="C175" s="10" t="s">
        <v>2360</v>
      </c>
      <c r="D175" s="154"/>
      <c r="E175" s="153"/>
      <c r="F175" s="10"/>
      <c r="G175" s="5"/>
      <c r="H175" s="152" t="s">
        <v>2359</v>
      </c>
      <c r="I175" s="5"/>
      <c r="J175" s="161"/>
      <c r="K175" s="5"/>
      <c r="L175" s="5"/>
    </row>
    <row r="176" spans="1:12">
      <c r="A176" s="155" t="s">
        <v>2361</v>
      </c>
      <c r="B176" s="156">
        <v>4</v>
      </c>
      <c r="C176" s="157" t="s">
        <v>2362</v>
      </c>
      <c r="D176" s="158"/>
      <c r="E176" s="156"/>
      <c r="F176" s="157"/>
      <c r="G176" s="159"/>
      <c r="H176" s="155" t="s">
        <v>2361</v>
      </c>
      <c r="I176" s="5"/>
      <c r="J176" s="161"/>
      <c r="K176" s="5"/>
      <c r="L176" s="5"/>
    </row>
    <row r="177" spans="1:12">
      <c r="A177" s="152" t="s">
        <v>2363</v>
      </c>
      <c r="B177" s="153">
        <v>4</v>
      </c>
      <c r="C177" s="10" t="s">
        <v>2364</v>
      </c>
      <c r="D177" s="154"/>
      <c r="E177" s="153"/>
      <c r="F177" s="10"/>
      <c r="G177" s="5"/>
      <c r="H177" s="152" t="s">
        <v>2363</v>
      </c>
      <c r="I177" s="5"/>
      <c r="J177" s="161"/>
      <c r="K177" s="5"/>
      <c r="L177" s="5"/>
    </row>
    <row r="178" spans="1:12">
      <c r="A178" s="155" t="s">
        <v>2365</v>
      </c>
      <c r="B178" s="156">
        <v>4</v>
      </c>
      <c r="C178" s="157" t="s">
        <v>2366</v>
      </c>
      <c r="D178" s="158"/>
      <c r="E178" s="156"/>
      <c r="F178" s="157"/>
      <c r="G178" s="159"/>
      <c r="H178" s="155" t="s">
        <v>2365</v>
      </c>
      <c r="I178" s="5"/>
      <c r="J178" s="161"/>
      <c r="K178" s="5"/>
      <c r="L178" s="5"/>
    </row>
    <row r="179" spans="1:12">
      <c r="A179" s="152" t="s">
        <v>2367</v>
      </c>
      <c r="B179" s="153">
        <v>4</v>
      </c>
      <c r="C179" s="10" t="s">
        <v>2368</v>
      </c>
      <c r="D179" s="154"/>
      <c r="E179" s="153"/>
      <c r="F179" s="10"/>
      <c r="G179" s="5"/>
      <c r="H179" s="152" t="s">
        <v>2367</v>
      </c>
      <c r="I179" s="5"/>
      <c r="J179" s="161"/>
      <c r="K179" s="5"/>
      <c r="L179" s="5"/>
    </row>
    <row r="180" spans="1:12">
      <c r="A180" s="155" t="s">
        <v>2369</v>
      </c>
      <c r="B180" s="156">
        <v>4</v>
      </c>
      <c r="C180" s="157" t="s">
        <v>2370</v>
      </c>
      <c r="D180" s="158"/>
      <c r="E180" s="156"/>
      <c r="F180" s="157"/>
      <c r="G180" s="159"/>
      <c r="H180" s="155" t="s">
        <v>2369</v>
      </c>
      <c r="I180" s="5"/>
      <c r="J180" s="161"/>
      <c r="K180" s="5"/>
      <c r="L180" s="5"/>
    </row>
    <row r="181" spans="1:12">
      <c r="A181" s="152" t="s">
        <v>2371</v>
      </c>
      <c r="B181" s="153">
        <v>4</v>
      </c>
      <c r="C181" s="10" t="s">
        <v>2372</v>
      </c>
      <c r="D181" s="154" t="s">
        <v>712</v>
      </c>
      <c r="E181" s="153"/>
      <c r="F181" s="10"/>
      <c r="G181" s="5"/>
      <c r="H181" s="152" t="s">
        <v>2371</v>
      </c>
      <c r="I181" s="5"/>
      <c r="J181" s="161"/>
      <c r="K181" s="5"/>
      <c r="L181" s="5"/>
    </row>
    <row r="182" spans="1:12">
      <c r="A182" s="155" t="s">
        <v>2373</v>
      </c>
      <c r="B182" s="156">
        <v>4</v>
      </c>
      <c r="C182" s="157" t="s">
        <v>2374</v>
      </c>
      <c r="D182" s="158"/>
      <c r="E182" s="156"/>
      <c r="F182" s="157"/>
      <c r="G182" s="159"/>
      <c r="H182" s="155" t="s">
        <v>2373</v>
      </c>
      <c r="I182" s="5"/>
      <c r="J182" s="161"/>
      <c r="K182" s="5"/>
      <c r="L182" s="5"/>
    </row>
    <row r="183" spans="1:12">
      <c r="A183" s="152" t="s">
        <v>2375</v>
      </c>
      <c r="B183" s="153">
        <v>4</v>
      </c>
      <c r="C183" s="10" t="s">
        <v>2376</v>
      </c>
      <c r="D183" s="154"/>
      <c r="E183" s="153"/>
      <c r="F183" s="10"/>
      <c r="G183" s="5"/>
      <c r="H183" s="152" t="s">
        <v>2375</v>
      </c>
      <c r="I183" s="5"/>
      <c r="J183" s="161"/>
      <c r="K183" s="5"/>
      <c r="L183" s="5"/>
    </row>
    <row r="184" spans="1:12">
      <c r="A184" s="155" t="s">
        <v>2377</v>
      </c>
      <c r="B184" s="156">
        <v>4</v>
      </c>
      <c r="C184" s="157" t="s">
        <v>2378</v>
      </c>
      <c r="D184" s="158" t="s">
        <v>727</v>
      </c>
      <c r="E184" s="156"/>
      <c r="F184" s="157"/>
      <c r="G184" s="159"/>
      <c r="H184" s="155" t="s">
        <v>2377</v>
      </c>
      <c r="I184" s="5"/>
      <c r="J184" s="161"/>
      <c r="K184" s="5"/>
      <c r="L184" s="5"/>
    </row>
    <row r="185" spans="1:12">
      <c r="A185" s="152" t="s">
        <v>2270</v>
      </c>
      <c r="B185" s="153">
        <v>4</v>
      </c>
      <c r="C185" s="10" t="s">
        <v>2379</v>
      </c>
      <c r="D185" s="154" t="s">
        <v>712</v>
      </c>
      <c r="E185" s="153"/>
      <c r="F185" s="10" t="b">
        <v>1</v>
      </c>
      <c r="G185" s="5" t="s">
        <v>2055</v>
      </c>
      <c r="H185" s="152" t="s">
        <v>2270</v>
      </c>
      <c r="I185" s="5"/>
      <c r="J185" s="161"/>
      <c r="K185" s="5"/>
      <c r="L185" s="5"/>
    </row>
    <row r="186" spans="1:12">
      <c r="A186" s="155" t="s">
        <v>2272</v>
      </c>
      <c r="B186" s="156">
        <v>4</v>
      </c>
      <c r="C186" s="157" t="s">
        <v>2380</v>
      </c>
      <c r="D186" s="158" t="s">
        <v>712</v>
      </c>
      <c r="E186" s="156" t="s">
        <v>2381</v>
      </c>
      <c r="F186" s="157" t="b">
        <v>1</v>
      </c>
      <c r="G186" s="159" t="s">
        <v>2061</v>
      </c>
      <c r="H186" s="155" t="s">
        <v>2272</v>
      </c>
      <c r="I186" s="5"/>
      <c r="J186" s="161"/>
      <c r="K186" s="5"/>
      <c r="L186" s="5"/>
    </row>
    <row r="187" spans="1:12">
      <c r="A187" s="152" t="s">
        <v>2382</v>
      </c>
      <c r="B187" s="153">
        <v>4</v>
      </c>
      <c r="C187" s="10" t="s">
        <v>2383</v>
      </c>
      <c r="D187" s="154" t="s">
        <v>712</v>
      </c>
      <c r="E187" s="153"/>
      <c r="F187" s="10" t="b">
        <v>1</v>
      </c>
      <c r="G187" s="5" t="s">
        <v>2163</v>
      </c>
      <c r="H187" s="152" t="s">
        <v>2382</v>
      </c>
      <c r="I187" s="5"/>
      <c r="J187" s="161"/>
      <c r="K187" s="5"/>
      <c r="L187" s="5"/>
    </row>
    <row r="188" spans="1:12">
      <c r="A188" s="155" t="s">
        <v>2384</v>
      </c>
      <c r="B188" s="156">
        <v>4</v>
      </c>
      <c r="C188" s="157" t="s">
        <v>2385</v>
      </c>
      <c r="D188" s="158" t="s">
        <v>720</v>
      </c>
      <c r="E188" s="156"/>
      <c r="F188" s="157" t="b">
        <v>1</v>
      </c>
      <c r="G188" s="159" t="s">
        <v>2166</v>
      </c>
      <c r="H188" s="155" t="s">
        <v>2386</v>
      </c>
      <c r="I188" s="5"/>
      <c r="J188" s="161"/>
      <c r="K188" s="5"/>
      <c r="L188" s="5"/>
    </row>
    <row r="189" spans="1:12">
      <c r="A189" s="152" t="s">
        <v>2387</v>
      </c>
      <c r="B189" s="153">
        <v>4</v>
      </c>
      <c r="C189" s="10" t="s">
        <v>2388</v>
      </c>
      <c r="D189" s="154" t="s">
        <v>720</v>
      </c>
      <c r="E189" s="153"/>
      <c r="F189" s="10" t="b">
        <v>1</v>
      </c>
      <c r="G189" s="5" t="s">
        <v>2166</v>
      </c>
      <c r="H189" s="152" t="s">
        <v>2389</v>
      </c>
      <c r="I189" s="5"/>
      <c r="J189" s="161"/>
      <c r="K189" s="5"/>
      <c r="L189" s="5"/>
    </row>
    <row r="190" spans="1:12">
      <c r="A190" s="155" t="s">
        <v>2390</v>
      </c>
      <c r="B190" s="156">
        <v>4</v>
      </c>
      <c r="C190" s="157" t="s">
        <v>2391</v>
      </c>
      <c r="D190" s="158" t="s">
        <v>720</v>
      </c>
      <c r="E190" s="156"/>
      <c r="F190" s="157" t="b">
        <v>1</v>
      </c>
      <c r="G190" s="159" t="s">
        <v>2166</v>
      </c>
      <c r="H190" s="155" t="s">
        <v>2392</v>
      </c>
      <c r="I190" s="5"/>
      <c r="J190" s="161"/>
      <c r="K190" s="5"/>
      <c r="L190" s="5"/>
    </row>
    <row r="191" spans="1:12">
      <c r="A191" s="152" t="s">
        <v>2393</v>
      </c>
      <c r="B191" s="153">
        <v>4</v>
      </c>
      <c r="C191" s="10" t="s">
        <v>2394</v>
      </c>
      <c r="D191" s="154" t="s">
        <v>2064</v>
      </c>
      <c r="E191" s="153"/>
      <c r="F191" s="10" t="b">
        <v>1</v>
      </c>
      <c r="G191" s="5" t="s">
        <v>2065</v>
      </c>
      <c r="H191" s="152" t="s">
        <v>2395</v>
      </c>
      <c r="I191" s="5"/>
      <c r="J191" s="161"/>
      <c r="K191" s="5"/>
      <c r="L191" s="5"/>
    </row>
    <row r="192" spans="1:12">
      <c r="A192" s="155" t="s">
        <v>2396</v>
      </c>
      <c r="B192" s="156">
        <v>4</v>
      </c>
      <c r="C192" s="157" t="s">
        <v>2397</v>
      </c>
      <c r="D192" s="158" t="s">
        <v>2064</v>
      </c>
      <c r="E192" s="156"/>
      <c r="F192" s="157" t="b">
        <v>1</v>
      </c>
      <c r="G192" s="159" t="s">
        <v>2065</v>
      </c>
      <c r="H192" s="155" t="s">
        <v>2398</v>
      </c>
      <c r="I192" s="5"/>
      <c r="J192" s="161"/>
      <c r="K192" s="5"/>
      <c r="L192" s="5"/>
    </row>
    <row r="193" spans="1:12">
      <c r="A193" s="152" t="s">
        <v>2399</v>
      </c>
      <c r="B193" s="153">
        <v>4</v>
      </c>
      <c r="C193" s="10" t="s">
        <v>2400</v>
      </c>
      <c r="D193" s="154" t="s">
        <v>2064</v>
      </c>
      <c r="E193" s="153"/>
      <c r="F193" s="10" t="b">
        <v>1</v>
      </c>
      <c r="G193" s="5" t="s">
        <v>2065</v>
      </c>
      <c r="H193" s="152" t="s">
        <v>2401</v>
      </c>
      <c r="I193" s="5"/>
      <c r="J193" s="161"/>
      <c r="K193" s="5"/>
      <c r="L193" s="5"/>
    </row>
    <row r="194" spans="1:12">
      <c r="A194" s="155" t="s">
        <v>2402</v>
      </c>
      <c r="B194" s="156">
        <v>4</v>
      </c>
      <c r="C194" s="157" t="s">
        <v>2403</v>
      </c>
      <c r="D194" s="158" t="s">
        <v>2064</v>
      </c>
      <c r="E194" s="156"/>
      <c r="F194" s="157" t="b">
        <v>1</v>
      </c>
      <c r="G194" s="159" t="s">
        <v>2065</v>
      </c>
      <c r="H194" s="155" t="s">
        <v>2404</v>
      </c>
      <c r="I194" s="5"/>
      <c r="J194" s="161"/>
      <c r="K194" s="5"/>
      <c r="L194" s="5"/>
    </row>
    <row r="195" spans="1:12">
      <c r="A195" s="152" t="s">
        <v>2405</v>
      </c>
      <c r="B195" s="153">
        <v>4</v>
      </c>
      <c r="C195" s="10" t="s">
        <v>2406</v>
      </c>
      <c r="D195" s="154" t="s">
        <v>2064</v>
      </c>
      <c r="E195" s="153"/>
      <c r="F195" s="10" t="b">
        <v>1</v>
      </c>
      <c r="G195" s="5" t="s">
        <v>2065</v>
      </c>
      <c r="H195" s="152" t="s">
        <v>2407</v>
      </c>
      <c r="I195" s="5"/>
      <c r="J195" s="161"/>
      <c r="K195" s="5"/>
      <c r="L195" s="5"/>
    </row>
    <row r="196" spans="1:12">
      <c r="A196" s="155" t="s">
        <v>2408</v>
      </c>
      <c r="B196" s="156">
        <v>4</v>
      </c>
      <c r="C196" s="157" t="s">
        <v>2409</v>
      </c>
      <c r="D196" s="158" t="s">
        <v>727</v>
      </c>
      <c r="E196" s="156"/>
      <c r="F196" s="157" t="b">
        <v>1</v>
      </c>
      <c r="G196" s="159" t="s">
        <v>2065</v>
      </c>
      <c r="H196" s="155" t="s">
        <v>2410</v>
      </c>
      <c r="I196" s="5"/>
      <c r="J196" s="161"/>
      <c r="K196" s="5"/>
      <c r="L196" s="5"/>
    </row>
    <row r="197" spans="1:12">
      <c r="A197" s="152" t="s">
        <v>2411</v>
      </c>
      <c r="B197" s="153">
        <v>4</v>
      </c>
      <c r="C197" s="10" t="s">
        <v>2412</v>
      </c>
      <c r="D197" s="154" t="s">
        <v>722</v>
      </c>
      <c r="E197" s="153"/>
      <c r="F197" s="10" t="b">
        <v>1</v>
      </c>
      <c r="G197" s="5" t="s">
        <v>2188</v>
      </c>
      <c r="H197" s="152" t="s">
        <v>2411</v>
      </c>
      <c r="I197" s="5"/>
      <c r="J197" s="161"/>
      <c r="K197" s="5"/>
      <c r="L197" s="5"/>
    </row>
    <row r="198" spans="1:12">
      <c r="A198" s="155" t="s">
        <v>2413</v>
      </c>
      <c r="B198" s="156">
        <v>4</v>
      </c>
      <c r="C198" s="157" t="s">
        <v>2414</v>
      </c>
      <c r="D198" s="158" t="s">
        <v>2064</v>
      </c>
      <c r="E198" s="156"/>
      <c r="F198" s="157" t="b">
        <v>1</v>
      </c>
      <c r="G198" s="159" t="s">
        <v>2188</v>
      </c>
      <c r="H198" s="155" t="s">
        <v>2413</v>
      </c>
      <c r="I198" s="5"/>
      <c r="J198" s="161"/>
      <c r="K198" s="5"/>
      <c r="L198" s="5"/>
    </row>
    <row r="199" spans="1:12">
      <c r="A199" s="152" t="s">
        <v>2415</v>
      </c>
      <c r="B199" s="153">
        <v>4</v>
      </c>
      <c r="C199" s="10" t="s">
        <v>2416</v>
      </c>
      <c r="D199" s="154" t="s">
        <v>722</v>
      </c>
      <c r="E199" s="153"/>
      <c r="F199" s="10" t="b">
        <v>1</v>
      </c>
      <c r="G199" s="5" t="s">
        <v>2188</v>
      </c>
      <c r="H199" s="152" t="s">
        <v>2415</v>
      </c>
      <c r="I199" s="5"/>
      <c r="J199" s="161"/>
      <c r="K199" s="5"/>
      <c r="L199" s="5"/>
    </row>
    <row r="200" spans="1:12">
      <c r="A200" s="155" t="s">
        <v>2417</v>
      </c>
      <c r="B200" s="156">
        <v>4</v>
      </c>
      <c r="C200" s="157" t="s">
        <v>2418</v>
      </c>
      <c r="D200" s="158" t="s">
        <v>2064</v>
      </c>
      <c r="E200" s="156"/>
      <c r="F200" s="157" t="b">
        <v>1</v>
      </c>
      <c r="G200" s="159" t="s">
        <v>2188</v>
      </c>
      <c r="H200" s="155" t="s">
        <v>2417</v>
      </c>
      <c r="I200" s="5"/>
      <c r="J200" s="161"/>
      <c r="K200" s="5"/>
      <c r="L200" s="5"/>
    </row>
    <row r="201" spans="1:12">
      <c r="A201" s="152" t="s">
        <v>2419</v>
      </c>
      <c r="B201" s="153">
        <v>4</v>
      </c>
      <c r="C201" s="10" t="s">
        <v>2420</v>
      </c>
      <c r="D201" s="154" t="s">
        <v>2064</v>
      </c>
      <c r="E201" s="153"/>
      <c r="F201" s="10" t="b">
        <v>1</v>
      </c>
      <c r="G201" s="5" t="s">
        <v>2188</v>
      </c>
      <c r="H201" s="152" t="s">
        <v>2419</v>
      </c>
      <c r="I201" s="5"/>
      <c r="J201" s="161"/>
      <c r="K201" s="5"/>
      <c r="L201" s="5"/>
    </row>
    <row r="202" spans="1:12">
      <c r="A202" s="155" t="s">
        <v>2421</v>
      </c>
      <c r="B202" s="156">
        <v>4</v>
      </c>
      <c r="C202" s="157" t="s">
        <v>2422</v>
      </c>
      <c r="D202" s="158" t="s">
        <v>2064</v>
      </c>
      <c r="E202" s="156"/>
      <c r="F202" s="157" t="b">
        <v>1</v>
      </c>
      <c r="G202" s="159" t="s">
        <v>2188</v>
      </c>
      <c r="H202" s="155" t="s">
        <v>2421</v>
      </c>
      <c r="I202" s="5"/>
      <c r="J202" s="161"/>
      <c r="K202" s="5"/>
      <c r="L202" s="5"/>
    </row>
    <row r="203" spans="1:12">
      <c r="A203" s="152" t="s">
        <v>2423</v>
      </c>
      <c r="B203" s="153">
        <v>4</v>
      </c>
      <c r="C203" s="10" t="s">
        <v>2424</v>
      </c>
      <c r="D203" s="154" t="s">
        <v>2064</v>
      </c>
      <c r="E203" s="153"/>
      <c r="F203" s="10" t="b">
        <v>1</v>
      </c>
      <c r="G203" s="5" t="s">
        <v>2188</v>
      </c>
      <c r="H203" s="152" t="s">
        <v>2423</v>
      </c>
      <c r="I203" s="5"/>
      <c r="J203" s="161"/>
      <c r="K203" s="5"/>
      <c r="L203" s="5"/>
    </row>
    <row r="204" spans="1:12">
      <c r="A204" s="155" t="s">
        <v>2322</v>
      </c>
      <c r="B204" s="156">
        <v>5</v>
      </c>
      <c r="C204" s="157" t="s">
        <v>2425</v>
      </c>
      <c r="D204" s="158" t="s">
        <v>712</v>
      </c>
      <c r="E204" s="156"/>
      <c r="F204" s="157"/>
      <c r="G204" s="159" t="s">
        <v>1955</v>
      </c>
      <c r="H204" s="155" t="s">
        <v>2322</v>
      </c>
      <c r="I204" s="5"/>
      <c r="J204" s="161"/>
      <c r="K204" s="5"/>
      <c r="L204" s="5"/>
    </row>
    <row r="205" spans="1:12">
      <c r="A205" s="152" t="s">
        <v>2324</v>
      </c>
      <c r="B205" s="153">
        <v>5</v>
      </c>
      <c r="C205" s="10" t="s">
        <v>2426</v>
      </c>
      <c r="D205" s="154"/>
      <c r="E205" s="153" t="s">
        <v>2427</v>
      </c>
      <c r="F205" s="10"/>
      <c r="G205" s="5" t="s">
        <v>1959</v>
      </c>
      <c r="H205" s="152" t="s">
        <v>2324</v>
      </c>
      <c r="I205" s="5"/>
      <c r="J205" s="161"/>
      <c r="K205" s="5"/>
      <c r="L205" s="5"/>
    </row>
    <row r="206" spans="1:12">
      <c r="A206" s="155" t="s">
        <v>2326</v>
      </c>
      <c r="B206" s="156">
        <v>5</v>
      </c>
      <c r="C206" s="157" t="s">
        <v>2428</v>
      </c>
      <c r="D206" s="158"/>
      <c r="E206" s="156" t="s">
        <v>2429</v>
      </c>
      <c r="F206" s="157"/>
      <c r="G206" s="159" t="s">
        <v>1962</v>
      </c>
      <c r="H206" s="155" t="s">
        <v>2326</v>
      </c>
      <c r="I206" s="5"/>
      <c r="J206" s="161"/>
      <c r="K206" s="5"/>
      <c r="L206" s="5"/>
    </row>
    <row r="207" spans="1:12">
      <c r="A207" s="152" t="s">
        <v>2328</v>
      </c>
      <c r="B207" s="153">
        <v>5</v>
      </c>
      <c r="C207" s="10" t="s">
        <v>2430</v>
      </c>
      <c r="D207" s="154"/>
      <c r="E207" s="153"/>
      <c r="F207" s="10"/>
      <c r="G207" s="5" t="s">
        <v>1968</v>
      </c>
      <c r="H207" s="152" t="s">
        <v>2328</v>
      </c>
      <c r="I207" s="5"/>
      <c r="J207" s="161"/>
      <c r="K207" s="5"/>
      <c r="L207" s="5"/>
    </row>
    <row r="208" spans="1:12">
      <c r="A208" s="155" t="s">
        <v>2330</v>
      </c>
      <c r="B208" s="156">
        <v>5</v>
      </c>
      <c r="C208" s="157" t="s">
        <v>2431</v>
      </c>
      <c r="D208" s="158"/>
      <c r="E208" s="156"/>
      <c r="F208" s="157"/>
      <c r="G208" s="159" t="s">
        <v>1969</v>
      </c>
      <c r="H208" s="155" t="s">
        <v>2330</v>
      </c>
      <c r="I208" s="5"/>
      <c r="J208" s="161"/>
      <c r="K208" s="5"/>
      <c r="L208" s="5"/>
    </row>
    <row r="209" spans="1:12">
      <c r="A209" s="152" t="s">
        <v>2332</v>
      </c>
      <c r="B209" s="153">
        <v>5</v>
      </c>
      <c r="C209" s="10" t="s">
        <v>2432</v>
      </c>
      <c r="D209" s="154"/>
      <c r="E209" s="153"/>
      <c r="F209" s="10"/>
      <c r="G209" s="5" t="s">
        <v>1975</v>
      </c>
      <c r="H209" s="152" t="s">
        <v>2332</v>
      </c>
      <c r="I209" s="5"/>
      <c r="J209" s="161"/>
      <c r="K209" s="5"/>
      <c r="L209" s="5"/>
    </row>
    <row r="210" spans="1:12">
      <c r="A210" s="155" t="s">
        <v>2334</v>
      </c>
      <c r="B210" s="156">
        <v>5</v>
      </c>
      <c r="C210" s="157" t="s">
        <v>2433</v>
      </c>
      <c r="D210" s="158" t="s">
        <v>712</v>
      </c>
      <c r="E210" s="156"/>
      <c r="F210" s="157"/>
      <c r="G210" s="159" t="s">
        <v>1976</v>
      </c>
      <c r="H210" s="155" t="s">
        <v>2334</v>
      </c>
      <c r="I210" s="5"/>
      <c r="J210" s="161"/>
      <c r="K210" s="5"/>
      <c r="L210" s="5"/>
    </row>
    <row r="211" spans="1:12">
      <c r="A211" s="152" t="s">
        <v>2434</v>
      </c>
      <c r="B211" s="153">
        <v>5</v>
      </c>
      <c r="C211" s="10" t="s">
        <v>2435</v>
      </c>
      <c r="D211" s="154"/>
      <c r="E211" s="153"/>
      <c r="F211" s="10"/>
      <c r="G211" s="5" t="s">
        <v>2036</v>
      </c>
      <c r="H211" s="152" t="s">
        <v>2434</v>
      </c>
      <c r="I211" s="5"/>
      <c r="J211" s="161"/>
      <c r="K211" s="5"/>
      <c r="L211" s="5"/>
    </row>
    <row r="212" spans="1:12">
      <c r="A212" s="155" t="s">
        <v>2436</v>
      </c>
      <c r="B212" s="156">
        <v>5</v>
      </c>
      <c r="C212" s="157" t="s">
        <v>2437</v>
      </c>
      <c r="D212" s="158" t="s">
        <v>2064</v>
      </c>
      <c r="E212" s="156"/>
      <c r="F212" s="157"/>
      <c r="G212" s="159"/>
      <c r="H212" s="155" t="s">
        <v>2436</v>
      </c>
      <c r="I212" s="5"/>
      <c r="J212" s="161"/>
      <c r="K212" s="5"/>
      <c r="L212" s="5"/>
    </row>
    <row r="213" spans="1:12">
      <c r="A213" s="152" t="s">
        <v>2438</v>
      </c>
      <c r="B213" s="153">
        <v>5</v>
      </c>
      <c r="C213" s="10" t="s">
        <v>2439</v>
      </c>
      <c r="D213" s="154" t="s">
        <v>2064</v>
      </c>
      <c r="E213" s="153"/>
      <c r="F213" s="10"/>
      <c r="G213" s="5"/>
      <c r="H213" s="152" t="s">
        <v>2438</v>
      </c>
      <c r="I213" s="5"/>
      <c r="J213" s="161"/>
      <c r="K213" s="5"/>
      <c r="L213" s="5"/>
    </row>
    <row r="214" spans="1:12">
      <c r="A214" s="155" t="s">
        <v>2440</v>
      </c>
      <c r="B214" s="156">
        <v>5</v>
      </c>
      <c r="C214" s="157" t="s">
        <v>2441</v>
      </c>
      <c r="D214" s="158"/>
      <c r="E214" s="156"/>
      <c r="F214" s="157"/>
      <c r="G214" s="159"/>
      <c r="H214" s="155" t="s">
        <v>2440</v>
      </c>
      <c r="I214" s="5"/>
      <c r="J214" s="161"/>
      <c r="K214" s="5"/>
      <c r="L214" s="5"/>
    </row>
    <row r="215" spans="1:12">
      <c r="A215" s="152" t="s">
        <v>2442</v>
      </c>
      <c r="B215" s="153">
        <v>5</v>
      </c>
      <c r="C215" s="10" t="s">
        <v>2443</v>
      </c>
      <c r="D215" s="154"/>
      <c r="E215" s="153"/>
      <c r="F215" s="10"/>
      <c r="G215" s="5"/>
      <c r="H215" s="152" t="s">
        <v>2442</v>
      </c>
      <c r="I215" s="5"/>
      <c r="J215" s="161"/>
      <c r="K215" s="5"/>
      <c r="L215" s="5"/>
    </row>
    <row r="216" spans="1:12">
      <c r="A216" s="155" t="s">
        <v>2444</v>
      </c>
      <c r="B216" s="156">
        <v>5</v>
      </c>
      <c r="C216" s="157" t="s">
        <v>2445</v>
      </c>
      <c r="D216" s="158" t="s">
        <v>682</v>
      </c>
      <c r="E216" s="156"/>
      <c r="F216" s="157"/>
      <c r="G216" s="159"/>
      <c r="H216" s="155" t="s">
        <v>2444</v>
      </c>
      <c r="I216" s="5"/>
      <c r="J216" s="161"/>
      <c r="K216" s="5"/>
      <c r="L216" s="5"/>
    </row>
    <row r="217" spans="1:12">
      <c r="A217" s="152" t="s">
        <v>2446</v>
      </c>
      <c r="B217" s="153">
        <v>5</v>
      </c>
      <c r="C217" s="10" t="s">
        <v>2447</v>
      </c>
      <c r="D217" s="154"/>
      <c r="E217" s="153"/>
      <c r="F217" s="10"/>
      <c r="G217" s="5"/>
      <c r="H217" s="152" t="s">
        <v>2446</v>
      </c>
      <c r="I217" s="5"/>
      <c r="J217" s="161"/>
      <c r="K217" s="5"/>
      <c r="L217" s="5"/>
    </row>
    <row r="218" spans="1:12">
      <c r="A218" s="155" t="s">
        <v>2448</v>
      </c>
      <c r="B218" s="156">
        <v>5</v>
      </c>
      <c r="C218" s="157" t="s">
        <v>2449</v>
      </c>
      <c r="D218" s="158"/>
      <c r="E218" s="156"/>
      <c r="F218" s="157"/>
      <c r="G218" s="159"/>
      <c r="H218" s="155" t="s">
        <v>2448</v>
      </c>
      <c r="I218" s="5"/>
      <c r="J218" s="161"/>
      <c r="K218" s="5"/>
      <c r="L218" s="5"/>
    </row>
    <row r="219" spans="1:12">
      <c r="A219" s="152" t="s">
        <v>2450</v>
      </c>
      <c r="B219" s="153">
        <v>5</v>
      </c>
      <c r="C219" s="10" t="s">
        <v>2451</v>
      </c>
      <c r="D219" s="154"/>
      <c r="E219" s="153"/>
      <c r="F219" s="10"/>
      <c r="G219" s="5" t="s">
        <v>2450</v>
      </c>
      <c r="H219" s="152" t="s">
        <v>2450</v>
      </c>
      <c r="I219" s="5"/>
      <c r="J219" s="161"/>
      <c r="K219" s="5"/>
      <c r="L219" s="5"/>
    </row>
    <row r="220" spans="1:12">
      <c r="A220" s="155" t="s">
        <v>2381</v>
      </c>
      <c r="B220" s="156">
        <v>5</v>
      </c>
      <c r="C220" s="157" t="s">
        <v>2452</v>
      </c>
      <c r="D220" s="158" t="s">
        <v>712</v>
      </c>
      <c r="E220" s="156"/>
      <c r="F220" s="157" t="b">
        <v>1</v>
      </c>
      <c r="G220" s="159" t="s">
        <v>2061</v>
      </c>
      <c r="H220" s="155" t="s">
        <v>2381</v>
      </c>
      <c r="I220" s="5"/>
      <c r="J220" s="161"/>
      <c r="K220" s="5"/>
      <c r="L220" s="5"/>
    </row>
    <row r="221" spans="1:12">
      <c r="A221" s="152" t="s">
        <v>2453</v>
      </c>
      <c r="B221" s="153">
        <v>5</v>
      </c>
      <c r="C221" s="10" t="s">
        <v>2454</v>
      </c>
      <c r="D221" s="154" t="s">
        <v>698</v>
      </c>
      <c r="E221" s="153"/>
      <c r="F221" s="10" t="b">
        <v>1</v>
      </c>
      <c r="G221" s="5"/>
      <c r="H221" s="152" t="s">
        <v>2453</v>
      </c>
      <c r="I221" s="5"/>
      <c r="J221" s="161"/>
      <c r="K221" s="5"/>
      <c r="L221" s="5"/>
    </row>
    <row r="222" spans="1:12">
      <c r="A222" s="155" t="s">
        <v>2455</v>
      </c>
      <c r="B222" s="156">
        <v>5</v>
      </c>
      <c r="C222" s="157" t="s">
        <v>2456</v>
      </c>
      <c r="D222" s="158" t="s">
        <v>720</v>
      </c>
      <c r="E222" s="156"/>
      <c r="F222" s="157" t="b">
        <v>1</v>
      </c>
      <c r="G222" s="159" t="s">
        <v>2166</v>
      </c>
      <c r="H222" s="155" t="s">
        <v>2457</v>
      </c>
      <c r="I222" s="5"/>
      <c r="J222" s="161"/>
      <c r="K222" s="5"/>
      <c r="L222" s="5"/>
    </row>
    <row r="223" spans="1:12">
      <c r="A223" s="152" t="s">
        <v>2458</v>
      </c>
      <c r="B223" s="153">
        <v>5</v>
      </c>
      <c r="C223" s="10" t="s">
        <v>2459</v>
      </c>
      <c r="D223" s="154" t="s">
        <v>2064</v>
      </c>
      <c r="E223" s="153"/>
      <c r="F223" s="10" t="b">
        <v>1</v>
      </c>
      <c r="G223" s="5" t="s">
        <v>2166</v>
      </c>
      <c r="H223" s="152" t="s">
        <v>2460</v>
      </c>
      <c r="I223" s="5"/>
      <c r="J223" s="161"/>
      <c r="K223" s="5"/>
      <c r="L223" s="5"/>
    </row>
    <row r="224" spans="1:12">
      <c r="A224" s="155" t="s">
        <v>2461</v>
      </c>
      <c r="B224" s="156">
        <v>5</v>
      </c>
      <c r="C224" s="157" t="s">
        <v>2462</v>
      </c>
      <c r="D224" s="158" t="s">
        <v>720</v>
      </c>
      <c r="E224" s="156"/>
      <c r="F224" s="157" t="b">
        <v>1</v>
      </c>
      <c r="G224" s="159" t="s">
        <v>2166</v>
      </c>
      <c r="H224" s="155" t="s">
        <v>2463</v>
      </c>
      <c r="I224" s="5"/>
      <c r="J224" s="161"/>
      <c r="K224" s="5"/>
      <c r="L224" s="5"/>
    </row>
    <row r="225" spans="1:12">
      <c r="A225" s="152" t="s">
        <v>2464</v>
      </c>
      <c r="B225" s="153">
        <v>5</v>
      </c>
      <c r="C225" s="10" t="s">
        <v>2465</v>
      </c>
      <c r="D225" s="154" t="s">
        <v>720</v>
      </c>
      <c r="E225" s="153"/>
      <c r="F225" s="10" t="b">
        <v>1</v>
      </c>
      <c r="G225" s="5" t="s">
        <v>2166</v>
      </c>
      <c r="H225" s="152" t="s">
        <v>2466</v>
      </c>
      <c r="I225" s="5"/>
      <c r="J225" s="161"/>
      <c r="K225" s="5"/>
      <c r="L225" s="5"/>
    </row>
    <row r="226" spans="1:12">
      <c r="A226" s="155" t="s">
        <v>2467</v>
      </c>
      <c r="B226" s="156">
        <v>5</v>
      </c>
      <c r="C226" s="157" t="s">
        <v>2468</v>
      </c>
      <c r="D226" s="158" t="s">
        <v>682</v>
      </c>
      <c r="E226" s="156"/>
      <c r="F226" s="157" t="b">
        <v>1</v>
      </c>
      <c r="G226" s="159" t="s">
        <v>2166</v>
      </c>
      <c r="H226" s="155" t="s">
        <v>2469</v>
      </c>
      <c r="I226" s="5"/>
      <c r="J226" s="161"/>
      <c r="K226" s="5"/>
      <c r="L226" s="5"/>
    </row>
    <row r="227" spans="1:12">
      <c r="A227" s="152" t="s">
        <v>2470</v>
      </c>
      <c r="B227" s="153">
        <v>5</v>
      </c>
      <c r="C227" s="10" t="s">
        <v>2471</v>
      </c>
      <c r="D227" s="154" t="s">
        <v>720</v>
      </c>
      <c r="E227" s="153"/>
      <c r="F227" s="10" t="b">
        <v>1</v>
      </c>
      <c r="G227" s="5" t="s">
        <v>2166</v>
      </c>
      <c r="H227" s="152" t="s">
        <v>2472</v>
      </c>
      <c r="I227" s="5"/>
      <c r="J227" s="161"/>
      <c r="K227" s="5"/>
      <c r="L227" s="5"/>
    </row>
    <row r="228" spans="1:12">
      <c r="A228" s="155" t="s">
        <v>2473</v>
      </c>
      <c r="B228" s="156">
        <v>5</v>
      </c>
      <c r="C228" s="157" t="s">
        <v>2474</v>
      </c>
      <c r="D228" s="158" t="s">
        <v>2064</v>
      </c>
      <c r="E228" s="156"/>
      <c r="F228" s="157" t="b">
        <v>1</v>
      </c>
      <c r="G228" s="159" t="s">
        <v>2065</v>
      </c>
      <c r="H228" s="155" t="s">
        <v>2475</v>
      </c>
      <c r="I228" s="5"/>
      <c r="J228" s="161"/>
      <c r="K228" s="5"/>
      <c r="L228" s="5"/>
    </row>
    <row r="229" spans="1:12">
      <c r="A229" s="152" t="s">
        <v>2476</v>
      </c>
      <c r="B229" s="153">
        <v>5</v>
      </c>
      <c r="C229" s="10" t="s">
        <v>2477</v>
      </c>
      <c r="D229" s="154" t="s">
        <v>2064</v>
      </c>
      <c r="E229" s="153"/>
      <c r="F229" s="10" t="b">
        <v>1</v>
      </c>
      <c r="G229" s="5" t="s">
        <v>2065</v>
      </c>
      <c r="H229" s="152" t="s">
        <v>2478</v>
      </c>
      <c r="I229" s="5"/>
      <c r="J229" s="161"/>
      <c r="K229" s="5"/>
      <c r="L229" s="5"/>
    </row>
    <row r="230" spans="1:12">
      <c r="A230" s="155" t="s">
        <v>2479</v>
      </c>
      <c r="B230" s="156">
        <v>5</v>
      </c>
      <c r="C230" s="157" t="s">
        <v>2480</v>
      </c>
      <c r="D230" s="158" t="s">
        <v>2064</v>
      </c>
      <c r="E230" s="156"/>
      <c r="F230" s="157" t="b">
        <v>1</v>
      </c>
      <c r="G230" s="159" t="s">
        <v>2065</v>
      </c>
      <c r="H230" s="155" t="s">
        <v>2481</v>
      </c>
      <c r="I230" s="5"/>
      <c r="J230" s="161"/>
      <c r="K230" s="5"/>
      <c r="L230" s="5"/>
    </row>
    <row r="231" spans="1:12">
      <c r="A231" s="152" t="s">
        <v>2482</v>
      </c>
      <c r="B231" s="153">
        <v>5</v>
      </c>
      <c r="C231" s="10" t="s">
        <v>2483</v>
      </c>
      <c r="D231" s="154" t="s">
        <v>2064</v>
      </c>
      <c r="E231" s="153"/>
      <c r="F231" s="10" t="b">
        <v>1</v>
      </c>
      <c r="G231" s="5" t="s">
        <v>2188</v>
      </c>
      <c r="H231" s="152" t="s">
        <v>2482</v>
      </c>
      <c r="I231" s="5"/>
      <c r="J231" s="161"/>
      <c r="K231" s="5"/>
      <c r="L231" s="5"/>
    </row>
    <row r="232" spans="1:12">
      <c r="A232" s="155" t="s">
        <v>2484</v>
      </c>
      <c r="B232" s="156">
        <v>5</v>
      </c>
      <c r="C232" s="157" t="s">
        <v>2485</v>
      </c>
      <c r="D232" s="158" t="s">
        <v>2064</v>
      </c>
      <c r="E232" s="156"/>
      <c r="F232" s="157" t="b">
        <v>1</v>
      </c>
      <c r="G232" s="159" t="s">
        <v>2188</v>
      </c>
      <c r="H232" s="155" t="s">
        <v>2484</v>
      </c>
      <c r="I232" s="5"/>
      <c r="J232" s="161"/>
      <c r="K232" s="5"/>
      <c r="L232" s="5"/>
    </row>
    <row r="233" spans="1:12">
      <c r="A233" s="152" t="s">
        <v>2486</v>
      </c>
      <c r="B233" s="153">
        <v>5</v>
      </c>
      <c r="C233" s="10" t="s">
        <v>2487</v>
      </c>
      <c r="D233" s="154" t="s">
        <v>2064</v>
      </c>
      <c r="E233" s="153"/>
      <c r="F233" s="10" t="b">
        <v>1</v>
      </c>
      <c r="G233" s="5" t="s">
        <v>2188</v>
      </c>
      <c r="H233" s="152" t="s">
        <v>2486</v>
      </c>
      <c r="I233" s="5"/>
      <c r="J233" s="161"/>
      <c r="K233" s="5"/>
      <c r="L233" s="5"/>
    </row>
    <row r="234" spans="1:12">
      <c r="A234" s="155" t="s">
        <v>2488</v>
      </c>
      <c r="B234" s="156">
        <v>5</v>
      </c>
      <c r="C234" s="157" t="s">
        <v>2489</v>
      </c>
      <c r="D234" s="158" t="s">
        <v>2064</v>
      </c>
      <c r="E234" s="156"/>
      <c r="F234" s="157" t="b">
        <v>1</v>
      </c>
      <c r="G234" s="159" t="s">
        <v>2188</v>
      </c>
      <c r="H234" s="155" t="s">
        <v>2488</v>
      </c>
      <c r="I234" s="5"/>
      <c r="J234" s="161"/>
      <c r="K234" s="5"/>
      <c r="L234" s="5"/>
    </row>
    <row r="235" spans="1:12">
      <c r="A235" s="152" t="s">
        <v>2427</v>
      </c>
      <c r="B235" s="153">
        <v>6</v>
      </c>
      <c r="C235" s="10" t="s">
        <v>2490</v>
      </c>
      <c r="D235" s="154"/>
      <c r="E235" s="153" t="s">
        <v>2491</v>
      </c>
      <c r="F235" s="10"/>
      <c r="G235" s="5" t="s">
        <v>1959</v>
      </c>
      <c r="H235" s="152" t="s">
        <v>2427</v>
      </c>
      <c r="I235" s="5"/>
      <c r="J235" s="161"/>
      <c r="K235" s="5"/>
      <c r="L235" s="5"/>
    </row>
    <row r="236" spans="1:12">
      <c r="A236" s="155" t="s">
        <v>2429</v>
      </c>
      <c r="B236" s="156">
        <v>6</v>
      </c>
      <c r="C236" s="157" t="s">
        <v>2492</v>
      </c>
      <c r="D236" s="158"/>
      <c r="E236" s="156" t="s">
        <v>2493</v>
      </c>
      <c r="F236" s="157"/>
      <c r="G236" s="159" t="s">
        <v>1962</v>
      </c>
      <c r="H236" s="155" t="s">
        <v>2429</v>
      </c>
      <c r="I236" s="5"/>
      <c r="J236" s="161"/>
      <c r="K236" s="5"/>
      <c r="L236" s="5"/>
    </row>
    <row r="237" spans="1:12">
      <c r="A237" s="2" t="s">
        <v>2494</v>
      </c>
      <c r="B237" s="153">
        <v>6</v>
      </c>
      <c r="C237" s="10" t="s">
        <v>2495</v>
      </c>
      <c r="D237" s="154"/>
      <c r="E237" s="153"/>
      <c r="F237" s="10"/>
      <c r="G237" s="5" t="s">
        <v>1968</v>
      </c>
      <c r="H237" s="2" t="s">
        <v>2494</v>
      </c>
      <c r="I237" s="5"/>
      <c r="J237" s="161"/>
      <c r="K237" s="5"/>
      <c r="L237" s="5"/>
    </row>
    <row r="238" spans="1:12">
      <c r="A238" s="155" t="s">
        <v>2496</v>
      </c>
      <c r="B238" s="156">
        <v>6</v>
      </c>
      <c r="C238" s="157" t="s">
        <v>2497</v>
      </c>
      <c r="D238" s="158" t="s">
        <v>698</v>
      </c>
      <c r="E238" s="156"/>
      <c r="F238" s="157"/>
      <c r="G238" s="159" t="s">
        <v>2148</v>
      </c>
      <c r="H238" s="155" t="s">
        <v>2496</v>
      </c>
      <c r="I238" s="5"/>
      <c r="J238" s="161"/>
      <c r="K238" s="5"/>
      <c r="L238" s="5"/>
    </row>
    <row r="239" spans="1:12">
      <c r="A239" s="152" t="s">
        <v>2498</v>
      </c>
      <c r="B239" s="153">
        <v>6</v>
      </c>
      <c r="C239" s="10" t="s">
        <v>2499</v>
      </c>
      <c r="D239" s="154" t="s">
        <v>2064</v>
      </c>
      <c r="E239" s="153"/>
      <c r="F239" s="10"/>
      <c r="G239" s="5"/>
      <c r="H239" s="152" t="s">
        <v>2498</v>
      </c>
      <c r="I239" s="5"/>
      <c r="J239" s="161"/>
      <c r="K239" s="5"/>
      <c r="L239" s="5"/>
    </row>
    <row r="240" spans="1:12">
      <c r="A240" s="155" t="s">
        <v>2500</v>
      </c>
      <c r="B240" s="156">
        <v>6</v>
      </c>
      <c r="C240" s="157" t="s">
        <v>2501</v>
      </c>
      <c r="D240" s="158"/>
      <c r="E240" s="156"/>
      <c r="F240" s="157"/>
      <c r="G240" s="159"/>
      <c r="H240" s="155" t="s">
        <v>2500</v>
      </c>
      <c r="I240" s="5"/>
      <c r="J240" s="161"/>
      <c r="K240" s="5"/>
      <c r="L240" s="5"/>
    </row>
    <row r="241" spans="1:12">
      <c r="A241" s="152" t="s">
        <v>2502</v>
      </c>
      <c r="B241" s="153">
        <v>6</v>
      </c>
      <c r="C241" s="10" t="s">
        <v>2503</v>
      </c>
      <c r="D241" s="154"/>
      <c r="E241" s="153"/>
      <c r="F241" s="10"/>
      <c r="G241" s="5" t="s">
        <v>2502</v>
      </c>
      <c r="H241" s="152" t="s">
        <v>2502</v>
      </c>
      <c r="I241" s="5"/>
      <c r="J241" s="161"/>
      <c r="K241" s="5"/>
      <c r="L241" s="5"/>
    </row>
    <row r="242" spans="1:12">
      <c r="A242" s="155" t="s">
        <v>2504</v>
      </c>
      <c r="B242" s="156">
        <v>6</v>
      </c>
      <c r="C242" s="157" t="s">
        <v>2505</v>
      </c>
      <c r="D242" s="158" t="s">
        <v>2064</v>
      </c>
      <c r="E242" s="156"/>
      <c r="F242" s="157"/>
      <c r="G242" s="159" t="s">
        <v>2504</v>
      </c>
      <c r="H242" s="155" t="s">
        <v>2504</v>
      </c>
      <c r="I242" s="5"/>
      <c r="J242" s="161"/>
      <c r="K242" s="5"/>
      <c r="L242" s="5"/>
    </row>
    <row r="243" spans="1:12">
      <c r="A243" s="152" t="s">
        <v>2506</v>
      </c>
      <c r="B243" s="153">
        <v>6</v>
      </c>
      <c r="C243" s="10" t="s">
        <v>2507</v>
      </c>
      <c r="D243" s="154" t="s">
        <v>712</v>
      </c>
      <c r="E243" s="153"/>
      <c r="F243" s="10" t="b">
        <v>1</v>
      </c>
      <c r="G243" s="5" t="s">
        <v>2055</v>
      </c>
      <c r="H243" s="152" t="s">
        <v>2506</v>
      </c>
      <c r="I243" s="5"/>
      <c r="J243" s="161"/>
      <c r="K243" s="5"/>
      <c r="L243" s="5"/>
    </row>
    <row r="244" spans="1:12">
      <c r="A244" s="155" t="s">
        <v>2508</v>
      </c>
      <c r="B244" s="156">
        <v>6</v>
      </c>
      <c r="C244" s="157" t="s">
        <v>2509</v>
      </c>
      <c r="D244" s="158" t="s">
        <v>712</v>
      </c>
      <c r="E244" s="156"/>
      <c r="F244" s="157" t="b">
        <v>1</v>
      </c>
      <c r="G244" s="159" t="s">
        <v>2275</v>
      </c>
      <c r="H244" s="155" t="s">
        <v>2508</v>
      </c>
      <c r="I244" s="5"/>
      <c r="J244" s="161"/>
      <c r="K244" s="5"/>
      <c r="L244" s="5"/>
    </row>
    <row r="245" spans="1:12">
      <c r="A245" s="152" t="s">
        <v>2510</v>
      </c>
      <c r="B245" s="153">
        <v>6</v>
      </c>
      <c r="C245" s="10" t="s">
        <v>2511</v>
      </c>
      <c r="D245" s="154" t="s">
        <v>720</v>
      </c>
      <c r="E245" s="153"/>
      <c r="F245" s="10" t="b">
        <v>1</v>
      </c>
      <c r="G245" s="5" t="s">
        <v>2166</v>
      </c>
      <c r="H245" s="152" t="s">
        <v>2512</v>
      </c>
      <c r="I245" s="5"/>
      <c r="J245" s="161"/>
      <c r="K245" s="5"/>
      <c r="L245" s="5"/>
    </row>
    <row r="246" spans="1:12">
      <c r="A246" s="155" t="s">
        <v>2513</v>
      </c>
      <c r="B246" s="156">
        <v>6</v>
      </c>
      <c r="C246" s="157" t="s">
        <v>2459</v>
      </c>
      <c r="D246" s="158" t="s">
        <v>720</v>
      </c>
      <c r="E246" s="156"/>
      <c r="F246" s="157" t="b">
        <v>1</v>
      </c>
      <c r="G246" s="159" t="s">
        <v>2166</v>
      </c>
      <c r="H246" s="155" t="s">
        <v>2514</v>
      </c>
      <c r="I246" s="5"/>
      <c r="J246" s="161"/>
      <c r="K246" s="5"/>
      <c r="L246" s="5"/>
    </row>
    <row r="247" spans="1:12">
      <c r="A247" s="152" t="s">
        <v>2515</v>
      </c>
      <c r="B247" s="153">
        <v>6</v>
      </c>
      <c r="C247" s="10" t="s">
        <v>2516</v>
      </c>
      <c r="D247" s="154" t="s">
        <v>720</v>
      </c>
      <c r="E247" s="153"/>
      <c r="F247" s="10" t="b">
        <v>1</v>
      </c>
      <c r="G247" s="5" t="s">
        <v>2166</v>
      </c>
      <c r="H247" s="152" t="s">
        <v>2517</v>
      </c>
      <c r="I247" s="5"/>
      <c r="J247" s="161"/>
      <c r="K247" s="5"/>
      <c r="L247" s="5"/>
    </row>
    <row r="248" spans="1:12">
      <c r="A248" s="155" t="s">
        <v>2518</v>
      </c>
      <c r="B248" s="156">
        <v>6</v>
      </c>
      <c r="C248" s="157" t="s">
        <v>2519</v>
      </c>
      <c r="D248" s="158" t="s">
        <v>720</v>
      </c>
      <c r="E248" s="156"/>
      <c r="F248" s="157" t="b">
        <v>1</v>
      </c>
      <c r="G248" s="159" t="s">
        <v>2166</v>
      </c>
      <c r="H248" s="155" t="s">
        <v>2520</v>
      </c>
      <c r="I248" s="5"/>
      <c r="J248" s="161"/>
      <c r="K248" s="5"/>
      <c r="L248" s="5"/>
    </row>
    <row r="249" spans="1:12">
      <c r="A249" s="152" t="s">
        <v>2521</v>
      </c>
      <c r="B249" s="153">
        <v>6</v>
      </c>
      <c r="C249" s="10" t="s">
        <v>2522</v>
      </c>
      <c r="D249" s="154" t="s">
        <v>720</v>
      </c>
      <c r="E249" s="153"/>
      <c r="F249" s="10" t="b">
        <v>1</v>
      </c>
      <c r="G249" s="5" t="s">
        <v>2166</v>
      </c>
      <c r="H249" s="152" t="s">
        <v>2523</v>
      </c>
      <c r="I249" s="5"/>
      <c r="J249" s="161"/>
      <c r="K249" s="5"/>
      <c r="L249" s="5"/>
    </row>
    <row r="250" spans="1:12">
      <c r="A250" s="155" t="s">
        <v>2524</v>
      </c>
      <c r="B250" s="156">
        <v>6</v>
      </c>
      <c r="C250" s="157" t="s">
        <v>2525</v>
      </c>
      <c r="D250" s="158" t="s">
        <v>720</v>
      </c>
      <c r="E250" s="156"/>
      <c r="F250" s="157" t="b">
        <v>1</v>
      </c>
      <c r="G250" s="159" t="s">
        <v>2166</v>
      </c>
      <c r="H250" s="155" t="s">
        <v>2526</v>
      </c>
      <c r="I250" s="5"/>
      <c r="J250" s="161"/>
      <c r="K250" s="5"/>
      <c r="L250" s="5"/>
    </row>
    <row r="251" spans="1:12">
      <c r="A251" s="152" t="s">
        <v>2527</v>
      </c>
      <c r="B251" s="153">
        <v>6</v>
      </c>
      <c r="C251" s="10" t="s">
        <v>2528</v>
      </c>
      <c r="D251" s="154" t="s">
        <v>2064</v>
      </c>
      <c r="E251" s="153"/>
      <c r="F251" s="10" t="b">
        <v>1</v>
      </c>
      <c r="G251" s="5" t="s">
        <v>2065</v>
      </c>
      <c r="H251" s="152" t="s">
        <v>2529</v>
      </c>
      <c r="I251" s="5"/>
      <c r="J251" s="161"/>
      <c r="K251" s="5"/>
      <c r="L251" s="5"/>
    </row>
    <row r="252" spans="1:12">
      <c r="A252" s="155" t="s">
        <v>2530</v>
      </c>
      <c r="B252" s="156">
        <v>6</v>
      </c>
      <c r="C252" s="157" t="s">
        <v>2531</v>
      </c>
      <c r="D252" s="158" t="s">
        <v>2064</v>
      </c>
      <c r="E252" s="156"/>
      <c r="F252" s="157" t="b">
        <v>1</v>
      </c>
      <c r="G252" s="159" t="s">
        <v>2065</v>
      </c>
      <c r="H252" s="155" t="s">
        <v>2532</v>
      </c>
      <c r="I252" s="5"/>
      <c r="J252" s="161"/>
      <c r="K252" s="5"/>
      <c r="L252" s="5"/>
    </row>
    <row r="253" spans="1:12">
      <c r="A253" s="152" t="s">
        <v>2533</v>
      </c>
      <c r="B253" s="153">
        <v>6</v>
      </c>
      <c r="C253" s="10" t="s">
        <v>2534</v>
      </c>
      <c r="D253" s="154" t="s">
        <v>2064</v>
      </c>
      <c r="E253" s="153"/>
      <c r="F253" s="10" t="b">
        <v>1</v>
      </c>
      <c r="G253" s="5" t="s">
        <v>2065</v>
      </c>
      <c r="H253" s="152" t="s">
        <v>2535</v>
      </c>
      <c r="I253" s="5"/>
      <c r="J253" s="161"/>
      <c r="K253" s="5"/>
      <c r="L253" s="5"/>
    </row>
    <row r="254" spans="1:12">
      <c r="A254" s="155" t="s">
        <v>2536</v>
      </c>
      <c r="B254" s="156">
        <v>6</v>
      </c>
      <c r="C254" s="157" t="s">
        <v>2537</v>
      </c>
      <c r="D254" s="158" t="s">
        <v>727</v>
      </c>
      <c r="E254" s="156"/>
      <c r="F254" s="157" t="b">
        <v>1</v>
      </c>
      <c r="G254" s="159" t="s">
        <v>2188</v>
      </c>
      <c r="H254" s="155" t="s">
        <v>2536</v>
      </c>
      <c r="I254" s="5"/>
      <c r="J254" s="161"/>
      <c r="K254" s="5"/>
      <c r="L254" s="5"/>
    </row>
    <row r="255" spans="1:12">
      <c r="A255" s="152" t="s">
        <v>2538</v>
      </c>
      <c r="B255" s="153">
        <v>6</v>
      </c>
      <c r="C255" s="10" t="s">
        <v>2539</v>
      </c>
      <c r="D255" s="154" t="s">
        <v>2064</v>
      </c>
      <c r="E255" s="153"/>
      <c r="F255" s="10" t="b">
        <v>1</v>
      </c>
      <c r="G255" s="5" t="s">
        <v>2188</v>
      </c>
      <c r="H255" s="152" t="s">
        <v>2538</v>
      </c>
      <c r="I255" s="5"/>
      <c r="J255" s="161"/>
      <c r="K255" s="5"/>
      <c r="L255" s="5"/>
    </row>
    <row r="256" spans="1:12">
      <c r="A256" s="155" t="s">
        <v>2540</v>
      </c>
      <c r="B256" s="156">
        <v>6</v>
      </c>
      <c r="C256" s="157" t="s">
        <v>2541</v>
      </c>
      <c r="D256" s="158" t="s">
        <v>2064</v>
      </c>
      <c r="E256" s="156"/>
      <c r="F256" s="157" t="b">
        <v>1</v>
      </c>
      <c r="G256" s="159" t="s">
        <v>2188</v>
      </c>
      <c r="H256" s="155" t="s">
        <v>2540</v>
      </c>
      <c r="I256" s="5"/>
      <c r="J256" s="161"/>
      <c r="K256" s="5"/>
      <c r="L256" s="5"/>
    </row>
    <row r="257" spans="1:12">
      <c r="A257" s="152" t="s">
        <v>2542</v>
      </c>
      <c r="B257" s="153">
        <v>6</v>
      </c>
      <c r="C257" s="10" t="s">
        <v>2543</v>
      </c>
      <c r="D257" s="154" t="s">
        <v>2064</v>
      </c>
      <c r="E257" s="153"/>
      <c r="F257" s="10" t="b">
        <v>1</v>
      </c>
      <c r="G257" s="5" t="s">
        <v>2188</v>
      </c>
      <c r="H257" s="152" t="s">
        <v>2542</v>
      </c>
      <c r="I257" s="5"/>
      <c r="J257" s="161"/>
      <c r="K257" s="5"/>
      <c r="L257" s="5"/>
    </row>
    <row r="258" spans="1:12">
      <c r="A258" s="155" t="s">
        <v>2544</v>
      </c>
      <c r="B258" s="156">
        <v>6</v>
      </c>
      <c r="C258" s="157" t="s">
        <v>2545</v>
      </c>
      <c r="D258" s="158" t="s">
        <v>2064</v>
      </c>
      <c r="E258" s="156"/>
      <c r="F258" s="157" t="b">
        <v>1</v>
      </c>
      <c r="G258" s="159" t="s">
        <v>2188</v>
      </c>
      <c r="H258" s="155" t="s">
        <v>2544</v>
      </c>
      <c r="I258" s="5"/>
      <c r="J258" s="161"/>
      <c r="K258" s="5"/>
      <c r="L258" s="5"/>
    </row>
    <row r="259" spans="1:12">
      <c r="A259" s="152" t="s">
        <v>2546</v>
      </c>
      <c r="B259" s="153">
        <v>6</v>
      </c>
      <c r="C259" s="10" t="s">
        <v>2547</v>
      </c>
      <c r="D259" s="154" t="s">
        <v>722</v>
      </c>
      <c r="E259" s="153"/>
      <c r="F259" s="10" t="b">
        <v>1</v>
      </c>
      <c r="G259" s="5" t="s">
        <v>2548</v>
      </c>
      <c r="H259" s="152" t="s">
        <v>2546</v>
      </c>
      <c r="I259" s="5"/>
      <c r="J259" s="161"/>
      <c r="K259" s="5"/>
      <c r="L259" s="5"/>
    </row>
    <row r="260" spans="1:12">
      <c r="A260" s="155" t="s">
        <v>2549</v>
      </c>
      <c r="B260" s="156">
        <v>6</v>
      </c>
      <c r="C260" s="157" t="s">
        <v>2550</v>
      </c>
      <c r="D260" s="158" t="s">
        <v>727</v>
      </c>
      <c r="E260" s="156"/>
      <c r="F260" s="157" t="b">
        <v>1</v>
      </c>
      <c r="G260" s="159" t="s">
        <v>2548</v>
      </c>
      <c r="H260" s="155" t="s">
        <v>2549</v>
      </c>
      <c r="I260" s="5"/>
      <c r="J260" s="161"/>
      <c r="K260" s="5"/>
      <c r="L260" s="5"/>
    </row>
    <row r="261" spans="1:12">
      <c r="A261" s="152" t="s">
        <v>2551</v>
      </c>
      <c r="B261" s="153">
        <v>7</v>
      </c>
      <c r="C261" s="10" t="s">
        <v>2552</v>
      </c>
      <c r="D261" s="154" t="s">
        <v>712</v>
      </c>
      <c r="E261" s="153"/>
      <c r="F261" s="10"/>
      <c r="G261" s="5" t="s">
        <v>1955</v>
      </c>
      <c r="H261" s="152" t="s">
        <v>2551</v>
      </c>
      <c r="I261" s="5"/>
      <c r="J261" s="161"/>
      <c r="K261" s="5"/>
      <c r="L261" s="5"/>
    </row>
    <row r="262" spans="1:12">
      <c r="A262" s="155" t="s">
        <v>2491</v>
      </c>
      <c r="B262" s="156">
        <v>7</v>
      </c>
      <c r="C262" s="157" t="s">
        <v>2553</v>
      </c>
      <c r="D262" s="158"/>
      <c r="E262" s="156" t="s">
        <v>2554</v>
      </c>
      <c r="F262" s="157"/>
      <c r="G262" s="159" t="s">
        <v>1959</v>
      </c>
      <c r="H262" s="155" t="s">
        <v>2491</v>
      </c>
      <c r="I262" s="5"/>
      <c r="J262" s="161"/>
      <c r="K262" s="5"/>
      <c r="L262" s="5"/>
    </row>
    <row r="263" spans="1:12">
      <c r="A263" s="152" t="s">
        <v>2493</v>
      </c>
      <c r="B263" s="153">
        <v>7</v>
      </c>
      <c r="C263" s="10" t="s">
        <v>2555</v>
      </c>
      <c r="D263" s="154"/>
      <c r="E263" s="153" t="s">
        <v>2556</v>
      </c>
      <c r="F263" s="10"/>
      <c r="G263" s="5" t="s">
        <v>1962</v>
      </c>
      <c r="H263" s="152" t="s">
        <v>2493</v>
      </c>
      <c r="I263" s="5"/>
      <c r="J263" s="161"/>
      <c r="K263" s="5"/>
      <c r="L263" s="5"/>
    </row>
    <row r="264" spans="1:12">
      <c r="A264" s="155" t="s">
        <v>2557</v>
      </c>
      <c r="B264" s="156">
        <v>7</v>
      </c>
      <c r="C264" s="157" t="s">
        <v>2558</v>
      </c>
      <c r="D264" s="158"/>
      <c r="E264" s="156"/>
      <c r="F264" s="157"/>
      <c r="G264" s="159" t="s">
        <v>2031</v>
      </c>
      <c r="H264" s="155" t="s">
        <v>2557</v>
      </c>
      <c r="I264" s="5"/>
      <c r="J264" s="161"/>
      <c r="K264" s="5"/>
      <c r="L264" s="5"/>
    </row>
    <row r="265" spans="1:12">
      <c r="A265" s="152" t="s">
        <v>2559</v>
      </c>
      <c r="B265" s="153">
        <v>7</v>
      </c>
      <c r="C265" s="10" t="s">
        <v>2560</v>
      </c>
      <c r="D265" s="154" t="s">
        <v>682</v>
      </c>
      <c r="E265" s="153"/>
      <c r="F265" s="10"/>
      <c r="G265" s="5" t="s">
        <v>2035</v>
      </c>
      <c r="H265" s="152" t="s">
        <v>2559</v>
      </c>
      <c r="I265" s="5"/>
      <c r="J265" s="161"/>
      <c r="K265" s="5"/>
      <c r="L265" s="5"/>
    </row>
    <row r="266" spans="1:12">
      <c r="A266" s="155" t="s">
        <v>2561</v>
      </c>
      <c r="B266" s="156">
        <v>7</v>
      </c>
      <c r="C266" s="157" t="s">
        <v>2562</v>
      </c>
      <c r="D266" s="158"/>
      <c r="E266" s="156"/>
      <c r="F266" s="157"/>
      <c r="G266" s="159"/>
      <c r="H266" s="155" t="s">
        <v>2561</v>
      </c>
      <c r="I266" s="5"/>
      <c r="J266" s="161"/>
      <c r="K266" s="5"/>
      <c r="L266" s="5"/>
    </row>
    <row r="267" spans="1:12">
      <c r="A267" s="152" t="s">
        <v>2563</v>
      </c>
      <c r="B267" s="153">
        <v>7</v>
      </c>
      <c r="C267" s="10" t="s">
        <v>2564</v>
      </c>
      <c r="D267" s="154"/>
      <c r="E267" s="153"/>
      <c r="F267" s="10"/>
      <c r="G267" s="5"/>
      <c r="H267" s="152" t="s">
        <v>2563</v>
      </c>
      <c r="I267" s="5"/>
      <c r="J267" s="161"/>
      <c r="K267" s="5"/>
      <c r="L267" s="5"/>
    </row>
    <row r="268" spans="1:12">
      <c r="A268" s="155" t="s">
        <v>2565</v>
      </c>
      <c r="B268" s="156">
        <v>7</v>
      </c>
      <c r="C268" s="157" t="s">
        <v>2566</v>
      </c>
      <c r="D268" s="158"/>
      <c r="E268" s="156"/>
      <c r="F268" s="157"/>
      <c r="G268" s="159"/>
      <c r="H268" s="155" t="s">
        <v>2565</v>
      </c>
      <c r="I268" s="5"/>
      <c r="J268" s="161"/>
      <c r="K268" s="5"/>
      <c r="L268" s="5"/>
    </row>
    <row r="269" spans="1:12">
      <c r="A269" s="152" t="s">
        <v>2567</v>
      </c>
      <c r="B269" s="153">
        <v>7</v>
      </c>
      <c r="C269" s="10" t="s">
        <v>2568</v>
      </c>
      <c r="D269" s="154"/>
      <c r="E269" s="153"/>
      <c r="F269" s="10"/>
      <c r="G269" s="5"/>
      <c r="H269" s="152" t="s">
        <v>2567</v>
      </c>
      <c r="I269" s="5"/>
      <c r="J269" s="161"/>
      <c r="K269" s="5"/>
      <c r="L269" s="5"/>
    </row>
    <row r="270" spans="1:12">
      <c r="A270" s="155" t="s">
        <v>2569</v>
      </c>
      <c r="B270" s="156">
        <v>7</v>
      </c>
      <c r="C270" s="157" t="s">
        <v>2570</v>
      </c>
      <c r="D270" s="158"/>
      <c r="E270" s="156"/>
      <c r="F270" s="157"/>
      <c r="G270" s="159"/>
      <c r="H270" s="155" t="s">
        <v>2569</v>
      </c>
      <c r="I270" s="5"/>
      <c r="J270" s="161"/>
      <c r="K270" s="5"/>
      <c r="L270" s="5"/>
    </row>
    <row r="271" spans="1:12">
      <c r="A271" s="152" t="s">
        <v>2571</v>
      </c>
      <c r="B271" s="153">
        <v>7</v>
      </c>
      <c r="C271" s="10" t="s">
        <v>2572</v>
      </c>
      <c r="D271" s="154"/>
      <c r="E271" s="153"/>
      <c r="F271" s="10"/>
      <c r="G271" s="5"/>
      <c r="H271" s="152" t="s">
        <v>2571</v>
      </c>
      <c r="I271" s="5"/>
      <c r="J271" s="161"/>
      <c r="K271" s="5"/>
      <c r="L271" s="5"/>
    </row>
    <row r="272" spans="1:12">
      <c r="A272" s="155" t="s">
        <v>2573</v>
      </c>
      <c r="B272" s="156">
        <v>7</v>
      </c>
      <c r="C272" s="157" t="s">
        <v>2574</v>
      </c>
      <c r="D272" s="158"/>
      <c r="E272" s="156"/>
      <c r="F272" s="157"/>
      <c r="G272" s="159"/>
      <c r="H272" s="155" t="s">
        <v>2573</v>
      </c>
      <c r="I272" s="5"/>
      <c r="J272" s="161"/>
      <c r="K272" s="5"/>
      <c r="L272" s="5"/>
    </row>
    <row r="273" spans="1:12">
      <c r="A273" s="152" t="s">
        <v>2575</v>
      </c>
      <c r="B273" s="153">
        <v>7</v>
      </c>
      <c r="C273" s="10" t="s">
        <v>2576</v>
      </c>
      <c r="D273" s="154"/>
      <c r="E273" s="153"/>
      <c r="F273" s="10"/>
      <c r="G273" s="5"/>
      <c r="H273" s="152" t="s">
        <v>2575</v>
      </c>
      <c r="I273" s="5"/>
      <c r="J273" s="161"/>
      <c r="K273" s="5"/>
      <c r="L273" s="5"/>
    </row>
    <row r="274" spans="1:12">
      <c r="A274" s="155" t="s">
        <v>2577</v>
      </c>
      <c r="B274" s="156">
        <v>7</v>
      </c>
      <c r="C274" s="157" t="s">
        <v>2578</v>
      </c>
      <c r="D274" s="158" t="s">
        <v>2099</v>
      </c>
      <c r="E274" s="156"/>
      <c r="F274" s="157" t="b">
        <v>1</v>
      </c>
      <c r="G274" s="159" t="s">
        <v>2166</v>
      </c>
      <c r="H274" s="155" t="s">
        <v>2579</v>
      </c>
      <c r="I274" s="5"/>
      <c r="J274" s="161"/>
      <c r="K274" s="5"/>
      <c r="L274" s="5"/>
    </row>
    <row r="275" spans="1:12">
      <c r="A275" s="152" t="s">
        <v>2580</v>
      </c>
      <c r="B275" s="153">
        <v>7</v>
      </c>
      <c r="C275" s="10" t="s">
        <v>2581</v>
      </c>
      <c r="D275" s="154" t="s">
        <v>2064</v>
      </c>
      <c r="E275" s="153"/>
      <c r="F275" s="10" t="b">
        <v>1</v>
      </c>
      <c r="G275" s="5" t="s">
        <v>2065</v>
      </c>
      <c r="H275" s="152" t="s">
        <v>2582</v>
      </c>
      <c r="I275" s="5"/>
      <c r="J275" s="161"/>
      <c r="K275" s="5"/>
      <c r="L275" s="5"/>
    </row>
    <row r="276" spans="1:12">
      <c r="A276" s="155" t="s">
        <v>2583</v>
      </c>
      <c r="B276" s="156">
        <v>7</v>
      </c>
      <c r="C276" s="157" t="s">
        <v>2584</v>
      </c>
      <c r="D276" s="158" t="s">
        <v>2064</v>
      </c>
      <c r="E276" s="156"/>
      <c r="F276" s="157" t="b">
        <v>1</v>
      </c>
      <c r="G276" s="159" t="s">
        <v>2065</v>
      </c>
      <c r="H276" s="155" t="s">
        <v>2585</v>
      </c>
      <c r="I276" s="5"/>
      <c r="J276" s="161"/>
      <c r="K276" s="5"/>
      <c r="L276" s="5"/>
    </row>
    <row r="277" spans="1:12">
      <c r="A277" s="152" t="s">
        <v>2586</v>
      </c>
      <c r="B277" s="153">
        <v>7</v>
      </c>
      <c r="C277" s="10" t="s">
        <v>2587</v>
      </c>
      <c r="D277" s="154" t="s">
        <v>2064</v>
      </c>
      <c r="E277" s="153"/>
      <c r="F277" s="10" t="b">
        <v>1</v>
      </c>
      <c r="G277" s="5" t="s">
        <v>2065</v>
      </c>
      <c r="H277" s="152" t="s">
        <v>2588</v>
      </c>
      <c r="I277" s="5"/>
      <c r="J277" s="161"/>
      <c r="K277" s="5"/>
      <c r="L277" s="5"/>
    </row>
    <row r="278" spans="1:12">
      <c r="A278" s="155" t="s">
        <v>2589</v>
      </c>
      <c r="B278" s="156">
        <v>7</v>
      </c>
      <c r="C278" s="157" t="s">
        <v>2590</v>
      </c>
      <c r="D278" s="158" t="s">
        <v>2064</v>
      </c>
      <c r="E278" s="156"/>
      <c r="F278" s="157" t="b">
        <v>1</v>
      </c>
      <c r="G278" s="159" t="s">
        <v>2065</v>
      </c>
      <c r="H278" s="155" t="s">
        <v>2591</v>
      </c>
      <c r="I278" s="5"/>
      <c r="J278" s="161"/>
      <c r="K278" s="5"/>
      <c r="L278" s="5"/>
    </row>
    <row r="279" spans="1:12">
      <c r="A279" s="152" t="s">
        <v>2592</v>
      </c>
      <c r="B279" s="153">
        <v>7</v>
      </c>
      <c r="C279" s="10" t="s">
        <v>2593</v>
      </c>
      <c r="D279" s="154" t="s">
        <v>2106</v>
      </c>
      <c r="E279" s="153"/>
      <c r="F279" s="10" t="b">
        <v>1</v>
      </c>
      <c r="G279" s="5" t="s">
        <v>2065</v>
      </c>
      <c r="H279" s="152" t="s">
        <v>2594</v>
      </c>
      <c r="I279" s="5"/>
      <c r="J279" s="161"/>
      <c r="K279" s="5"/>
      <c r="L279" s="5"/>
    </row>
    <row r="280" spans="1:12">
      <c r="A280" s="155" t="s">
        <v>2595</v>
      </c>
      <c r="B280" s="156">
        <v>7</v>
      </c>
      <c r="C280" s="157" t="s">
        <v>2537</v>
      </c>
      <c r="D280" s="158" t="s">
        <v>2064</v>
      </c>
      <c r="E280" s="156"/>
      <c r="F280" s="157" t="b">
        <v>1</v>
      </c>
      <c r="G280" s="159" t="s">
        <v>2188</v>
      </c>
      <c r="H280" s="155" t="s">
        <v>2595</v>
      </c>
      <c r="I280" s="5"/>
      <c r="J280" s="161"/>
      <c r="K280" s="5"/>
      <c r="L280" s="5"/>
    </row>
    <row r="281" spans="1:12">
      <c r="A281" s="152" t="s">
        <v>2596</v>
      </c>
      <c r="B281" s="153">
        <v>7</v>
      </c>
      <c r="C281" s="10" t="s">
        <v>2539</v>
      </c>
      <c r="D281" s="154" t="s">
        <v>2064</v>
      </c>
      <c r="E281" s="153"/>
      <c r="F281" s="10" t="b">
        <v>1</v>
      </c>
      <c r="G281" s="5" t="s">
        <v>2188</v>
      </c>
      <c r="H281" s="152" t="s">
        <v>2596</v>
      </c>
      <c r="I281" s="5"/>
      <c r="J281" s="161"/>
      <c r="K281" s="5"/>
      <c r="L281" s="5"/>
    </row>
    <row r="282" spans="1:12">
      <c r="A282" s="155" t="s">
        <v>2597</v>
      </c>
      <c r="B282" s="156">
        <v>7</v>
      </c>
      <c r="C282" s="157" t="s">
        <v>2539</v>
      </c>
      <c r="D282" s="158" t="s">
        <v>2064</v>
      </c>
      <c r="E282" s="156"/>
      <c r="F282" s="157" t="b">
        <v>1</v>
      </c>
      <c r="G282" s="159" t="s">
        <v>2188</v>
      </c>
      <c r="H282" s="155" t="s">
        <v>2597</v>
      </c>
      <c r="I282" s="5"/>
      <c r="J282" s="161"/>
      <c r="K282" s="5"/>
      <c r="L282" s="5"/>
    </row>
    <row r="283" spans="1:12">
      <c r="A283" s="152" t="s">
        <v>2598</v>
      </c>
      <c r="B283" s="153">
        <v>7</v>
      </c>
      <c r="C283" s="10" t="s">
        <v>2599</v>
      </c>
      <c r="D283" s="154" t="s">
        <v>2064</v>
      </c>
      <c r="E283" s="153"/>
      <c r="F283" s="10" t="b">
        <v>1</v>
      </c>
      <c r="G283" s="5" t="s">
        <v>2188</v>
      </c>
      <c r="H283" s="152" t="s">
        <v>2598</v>
      </c>
      <c r="I283" s="5"/>
      <c r="J283" s="161"/>
      <c r="K283" s="5"/>
      <c r="L283" s="5"/>
    </row>
    <row r="284" spans="1:12">
      <c r="A284" s="155" t="s">
        <v>2600</v>
      </c>
      <c r="B284" s="156">
        <v>7</v>
      </c>
      <c r="C284" s="157" t="s">
        <v>2601</v>
      </c>
      <c r="D284" s="158" t="s">
        <v>2064</v>
      </c>
      <c r="E284" s="156"/>
      <c r="F284" s="157" t="b">
        <v>1</v>
      </c>
      <c r="G284" s="159" t="s">
        <v>2188</v>
      </c>
      <c r="H284" s="155" t="s">
        <v>2600</v>
      </c>
      <c r="I284" s="5"/>
      <c r="J284" s="161"/>
      <c r="K284" s="5"/>
      <c r="L284" s="5"/>
    </row>
    <row r="285" spans="1:12">
      <c r="A285" s="152" t="s">
        <v>2602</v>
      </c>
      <c r="B285" s="153">
        <v>7</v>
      </c>
      <c r="C285" s="10" t="s">
        <v>2603</v>
      </c>
      <c r="D285" s="154" t="s">
        <v>722</v>
      </c>
      <c r="E285" s="153"/>
      <c r="F285" s="10" t="b">
        <v>1</v>
      </c>
      <c r="G285" s="5" t="s">
        <v>2548</v>
      </c>
      <c r="H285" s="152" t="s">
        <v>2602</v>
      </c>
      <c r="I285" s="5"/>
      <c r="J285" s="161"/>
      <c r="K285" s="5"/>
      <c r="L285" s="5"/>
    </row>
    <row r="286" spans="1:12">
      <c r="A286" s="155" t="s">
        <v>2554</v>
      </c>
      <c r="B286" s="156">
        <v>8</v>
      </c>
      <c r="C286" s="157" t="s">
        <v>2604</v>
      </c>
      <c r="D286" s="158"/>
      <c r="E286" s="156" t="s">
        <v>2605</v>
      </c>
      <c r="F286" s="157"/>
      <c r="G286" s="159" t="s">
        <v>1959</v>
      </c>
      <c r="H286" s="155" t="s">
        <v>2554</v>
      </c>
      <c r="I286" s="5"/>
      <c r="J286" s="161"/>
      <c r="K286" s="5"/>
      <c r="L286" s="5"/>
    </row>
    <row r="287" spans="1:12">
      <c r="A287" s="152" t="s">
        <v>2556</v>
      </c>
      <c r="B287" s="153">
        <v>8</v>
      </c>
      <c r="C287" s="10" t="s">
        <v>2606</v>
      </c>
      <c r="D287" s="154"/>
      <c r="E287" s="153" t="s">
        <v>2607</v>
      </c>
      <c r="F287" s="10"/>
      <c r="G287" s="5" t="s">
        <v>1962</v>
      </c>
      <c r="H287" s="152" t="s">
        <v>2556</v>
      </c>
      <c r="I287" s="5"/>
      <c r="J287" s="161"/>
      <c r="K287" s="5"/>
      <c r="L287" s="5"/>
    </row>
    <row r="288" spans="1:12">
      <c r="A288" s="155" t="s">
        <v>2608</v>
      </c>
      <c r="B288" s="156">
        <v>8</v>
      </c>
      <c r="C288" s="157" t="s">
        <v>2609</v>
      </c>
      <c r="D288" s="158" t="s">
        <v>698</v>
      </c>
      <c r="E288" s="156"/>
      <c r="F288" s="157"/>
      <c r="G288" s="159" t="s">
        <v>2148</v>
      </c>
      <c r="H288" s="155" t="s">
        <v>2608</v>
      </c>
      <c r="I288" s="5"/>
      <c r="J288" s="161"/>
      <c r="K288" s="5"/>
      <c r="L288" s="5"/>
    </row>
    <row r="289" spans="1:12">
      <c r="A289" s="152" t="s">
        <v>2610</v>
      </c>
      <c r="B289" s="153">
        <v>8</v>
      </c>
      <c r="C289" s="10" t="s">
        <v>2611</v>
      </c>
      <c r="D289" s="154"/>
      <c r="E289" s="153"/>
      <c r="F289" s="10"/>
      <c r="G289" s="5"/>
      <c r="H289" s="152" t="s">
        <v>2610</v>
      </c>
      <c r="I289" s="5"/>
      <c r="J289" s="161"/>
      <c r="K289" s="5"/>
      <c r="L289" s="5"/>
    </row>
    <row r="290" spans="1:12">
      <c r="A290" s="155" t="s">
        <v>2612</v>
      </c>
      <c r="B290" s="156">
        <v>8</v>
      </c>
      <c r="C290" s="157" t="s">
        <v>2613</v>
      </c>
      <c r="D290" s="158" t="s">
        <v>682</v>
      </c>
      <c r="E290" s="156"/>
      <c r="F290" s="157"/>
      <c r="G290" s="159"/>
      <c r="H290" s="155" t="s">
        <v>2612</v>
      </c>
      <c r="I290" s="5"/>
      <c r="J290" s="161"/>
      <c r="K290" s="5"/>
      <c r="L290" s="5"/>
    </row>
    <row r="291" spans="1:12">
      <c r="A291" s="152" t="s">
        <v>2614</v>
      </c>
      <c r="B291" s="153">
        <v>8</v>
      </c>
      <c r="C291" s="10" t="s">
        <v>2615</v>
      </c>
      <c r="D291" s="154"/>
      <c r="E291" s="153"/>
      <c r="F291" s="10"/>
      <c r="G291" s="5"/>
      <c r="H291" s="152" t="s">
        <v>2614</v>
      </c>
      <c r="I291" s="5"/>
      <c r="J291" s="161"/>
      <c r="K291" s="5"/>
      <c r="L291" s="5"/>
    </row>
    <row r="292" spans="1:12">
      <c r="A292" s="155" t="s">
        <v>2616</v>
      </c>
      <c r="B292" s="156">
        <v>8</v>
      </c>
      <c r="C292" s="157" t="s">
        <v>2617</v>
      </c>
      <c r="D292" s="158" t="s">
        <v>2099</v>
      </c>
      <c r="E292" s="156"/>
      <c r="F292" s="157"/>
      <c r="G292" s="159" t="s">
        <v>2504</v>
      </c>
      <c r="H292" s="155" t="s">
        <v>2616</v>
      </c>
      <c r="I292" s="5"/>
      <c r="J292" s="161"/>
      <c r="K292" s="5"/>
      <c r="L292" s="5"/>
    </row>
    <row r="293" spans="1:12">
      <c r="A293" s="152" t="s">
        <v>2618</v>
      </c>
      <c r="B293" s="153">
        <v>8</v>
      </c>
      <c r="C293" s="10" t="s">
        <v>2619</v>
      </c>
      <c r="D293" s="154" t="s">
        <v>712</v>
      </c>
      <c r="E293" s="153"/>
      <c r="F293" s="10" t="b">
        <v>1</v>
      </c>
      <c r="G293" s="5" t="s">
        <v>2055</v>
      </c>
      <c r="H293" s="152" t="s">
        <v>2618</v>
      </c>
      <c r="I293" s="5"/>
      <c r="J293" s="161"/>
      <c r="K293" s="5"/>
      <c r="L293" s="5"/>
    </row>
    <row r="294" spans="1:12">
      <c r="A294" s="155" t="s">
        <v>2620</v>
      </c>
      <c r="B294" s="156">
        <v>8</v>
      </c>
      <c r="C294" s="157" t="s">
        <v>2621</v>
      </c>
      <c r="D294" s="158" t="s">
        <v>720</v>
      </c>
      <c r="E294" s="156"/>
      <c r="F294" s="157" t="b">
        <v>1</v>
      </c>
      <c r="G294" s="159" t="s">
        <v>2166</v>
      </c>
      <c r="H294" s="155" t="s">
        <v>2622</v>
      </c>
      <c r="I294" s="5"/>
      <c r="J294" s="161"/>
      <c r="K294" s="5"/>
      <c r="L294" s="5"/>
    </row>
    <row r="295" spans="1:12">
      <c r="A295" s="152" t="s">
        <v>2623</v>
      </c>
      <c r="B295" s="153">
        <v>8</v>
      </c>
      <c r="C295" s="10" t="s">
        <v>2624</v>
      </c>
      <c r="D295" s="154" t="s">
        <v>720</v>
      </c>
      <c r="E295" s="153"/>
      <c r="F295" s="10" t="b">
        <v>1</v>
      </c>
      <c r="G295" s="5" t="s">
        <v>2166</v>
      </c>
      <c r="H295" s="152" t="s">
        <v>2625</v>
      </c>
      <c r="I295" s="5"/>
      <c r="J295" s="161"/>
      <c r="K295" s="5"/>
      <c r="L295" s="5"/>
    </row>
    <row r="296" spans="1:12">
      <c r="A296" s="155" t="s">
        <v>2626</v>
      </c>
      <c r="B296" s="156">
        <v>8</v>
      </c>
      <c r="C296" s="157" t="s">
        <v>2627</v>
      </c>
      <c r="D296" s="158" t="s">
        <v>720</v>
      </c>
      <c r="E296" s="156"/>
      <c r="F296" s="157" t="b">
        <v>1</v>
      </c>
      <c r="G296" s="159" t="s">
        <v>2166</v>
      </c>
      <c r="H296" s="155" t="s">
        <v>2628</v>
      </c>
      <c r="I296" s="5"/>
      <c r="J296" s="161"/>
      <c r="K296" s="5"/>
      <c r="L296" s="5"/>
    </row>
    <row r="297" spans="1:12">
      <c r="A297" s="152" t="s">
        <v>2629</v>
      </c>
      <c r="B297" s="153">
        <v>8</v>
      </c>
      <c r="C297" s="10" t="s">
        <v>2630</v>
      </c>
      <c r="D297" s="154" t="s">
        <v>720</v>
      </c>
      <c r="E297" s="153"/>
      <c r="F297" s="10" t="b">
        <v>1</v>
      </c>
      <c r="G297" s="5" t="s">
        <v>2166</v>
      </c>
      <c r="H297" s="152" t="s">
        <v>2631</v>
      </c>
      <c r="I297" s="5"/>
      <c r="J297" s="161"/>
      <c r="K297" s="5"/>
      <c r="L297" s="5"/>
    </row>
    <row r="298" spans="1:12">
      <c r="A298" s="155" t="s">
        <v>2632</v>
      </c>
      <c r="B298" s="156">
        <v>8</v>
      </c>
      <c r="C298" s="157" t="s">
        <v>2633</v>
      </c>
      <c r="D298" s="158" t="s">
        <v>720</v>
      </c>
      <c r="E298" s="156"/>
      <c r="F298" s="157" t="b">
        <v>1</v>
      </c>
      <c r="G298" s="159" t="s">
        <v>2166</v>
      </c>
      <c r="H298" s="155" t="s">
        <v>2634</v>
      </c>
      <c r="I298" s="5"/>
      <c r="J298" s="161"/>
      <c r="K298" s="5"/>
      <c r="L298" s="5"/>
    </row>
    <row r="299" spans="1:12">
      <c r="A299" s="152" t="s">
        <v>2635</v>
      </c>
      <c r="B299" s="153">
        <v>8</v>
      </c>
      <c r="C299" s="10" t="s">
        <v>2636</v>
      </c>
      <c r="D299" s="154" t="s">
        <v>2064</v>
      </c>
      <c r="E299" s="153"/>
      <c r="F299" s="10" t="b">
        <v>1</v>
      </c>
      <c r="G299" s="5" t="s">
        <v>2188</v>
      </c>
      <c r="H299" s="152" t="s">
        <v>2635</v>
      </c>
      <c r="I299" s="5"/>
      <c r="J299" s="161"/>
      <c r="K299" s="5"/>
      <c r="L299" s="5"/>
    </row>
    <row r="300" spans="1:12">
      <c r="A300" s="155" t="s">
        <v>2637</v>
      </c>
      <c r="B300" s="156">
        <v>8</v>
      </c>
      <c r="C300" s="157" t="s">
        <v>2638</v>
      </c>
      <c r="D300" s="158" t="s">
        <v>2064</v>
      </c>
      <c r="E300" s="156"/>
      <c r="F300" s="157" t="b">
        <v>1</v>
      </c>
      <c r="G300" s="159" t="s">
        <v>2188</v>
      </c>
      <c r="H300" s="155" t="s">
        <v>2637</v>
      </c>
      <c r="I300" s="5"/>
      <c r="J300" s="161"/>
      <c r="K300" s="5"/>
      <c r="L300" s="5"/>
    </row>
    <row r="301" spans="1:12">
      <c r="A301" s="152" t="s">
        <v>2639</v>
      </c>
      <c r="B301" s="153">
        <v>8</v>
      </c>
      <c r="C301" s="10" t="s">
        <v>2640</v>
      </c>
      <c r="D301" s="154" t="s">
        <v>2064</v>
      </c>
      <c r="E301" s="153"/>
      <c r="F301" s="10" t="b">
        <v>1</v>
      </c>
      <c r="G301" s="5" t="s">
        <v>2188</v>
      </c>
      <c r="H301" s="152" t="s">
        <v>2639</v>
      </c>
      <c r="I301" s="5"/>
      <c r="J301" s="161"/>
      <c r="K301" s="5"/>
      <c r="L301" s="5"/>
    </row>
    <row r="302" spans="1:12">
      <c r="A302" s="155" t="s">
        <v>2641</v>
      </c>
      <c r="B302" s="156">
        <v>8</v>
      </c>
      <c r="C302" s="157" t="s">
        <v>2642</v>
      </c>
      <c r="D302" s="158" t="s">
        <v>2064</v>
      </c>
      <c r="E302" s="156"/>
      <c r="F302" s="157" t="b">
        <v>1</v>
      </c>
      <c r="G302" s="159" t="s">
        <v>2188</v>
      </c>
      <c r="H302" s="155" t="s">
        <v>2641</v>
      </c>
      <c r="I302" s="5"/>
      <c r="J302" s="161"/>
      <c r="K302" s="5"/>
      <c r="L302" s="5"/>
    </row>
    <row r="303" spans="1:12">
      <c r="A303" s="152" t="s">
        <v>2643</v>
      </c>
      <c r="B303" s="153">
        <v>8</v>
      </c>
      <c r="C303" s="10" t="s">
        <v>2644</v>
      </c>
      <c r="D303" s="154" t="s">
        <v>2064</v>
      </c>
      <c r="E303" s="153"/>
      <c r="F303" s="10" t="b">
        <v>1</v>
      </c>
      <c r="G303" s="5" t="s">
        <v>2188</v>
      </c>
      <c r="H303" s="152" t="s">
        <v>2643</v>
      </c>
      <c r="I303" s="5"/>
      <c r="J303" s="161"/>
      <c r="K303" s="5"/>
      <c r="L303" s="5"/>
    </row>
    <row r="304" spans="1:12">
      <c r="A304" s="155" t="s">
        <v>2645</v>
      </c>
      <c r="B304" s="156">
        <v>8</v>
      </c>
      <c r="C304" s="157" t="s">
        <v>2646</v>
      </c>
      <c r="D304" s="158" t="s">
        <v>722</v>
      </c>
      <c r="E304" s="156"/>
      <c r="F304" s="157" t="b">
        <v>1</v>
      </c>
      <c r="G304" s="159" t="s">
        <v>2548</v>
      </c>
      <c r="H304" s="155" t="s">
        <v>2645</v>
      </c>
      <c r="I304" s="5"/>
      <c r="J304" s="161"/>
      <c r="K304" s="5"/>
      <c r="L304" s="5"/>
    </row>
    <row r="305" spans="1:12">
      <c r="A305" s="152" t="s">
        <v>2605</v>
      </c>
      <c r="B305" s="153">
        <v>9</v>
      </c>
      <c r="C305" s="10" t="s">
        <v>2647</v>
      </c>
      <c r="D305" s="154"/>
      <c r="E305" s="153"/>
      <c r="F305" s="10"/>
      <c r="G305" s="5" t="s">
        <v>1959</v>
      </c>
      <c r="H305" s="152" t="s">
        <v>2605</v>
      </c>
      <c r="I305" s="5"/>
      <c r="J305" s="161"/>
      <c r="K305" s="5"/>
      <c r="L305" s="5"/>
    </row>
    <row r="306" spans="1:12">
      <c r="A306" s="155" t="s">
        <v>2607</v>
      </c>
      <c r="B306" s="156">
        <v>9</v>
      </c>
      <c r="C306" s="157" t="s">
        <v>2648</v>
      </c>
      <c r="D306" s="158"/>
      <c r="E306" s="156"/>
      <c r="F306" s="157"/>
      <c r="G306" s="159" t="s">
        <v>1962</v>
      </c>
      <c r="H306" s="155" t="s">
        <v>2607</v>
      </c>
      <c r="I306" s="5"/>
      <c r="J306" s="161"/>
      <c r="K306" s="5"/>
      <c r="L306" s="5"/>
    </row>
    <row r="307" spans="1:12">
      <c r="A307" s="152" t="s">
        <v>2649</v>
      </c>
      <c r="B307" s="153">
        <v>9</v>
      </c>
      <c r="C307" s="10" t="s">
        <v>2650</v>
      </c>
      <c r="D307" s="154" t="s">
        <v>720</v>
      </c>
      <c r="E307" s="153"/>
      <c r="F307" s="10"/>
      <c r="G307" s="5" t="s">
        <v>2040</v>
      </c>
      <c r="H307" s="152" t="s">
        <v>2649</v>
      </c>
      <c r="I307" s="5"/>
      <c r="J307" s="161"/>
      <c r="K307" s="5"/>
      <c r="L307" s="5"/>
    </row>
    <row r="308" spans="1:12">
      <c r="A308" s="155" t="s">
        <v>2651</v>
      </c>
      <c r="B308" s="156">
        <v>9</v>
      </c>
      <c r="C308" s="157" t="s">
        <v>2652</v>
      </c>
      <c r="D308" s="158"/>
      <c r="E308" s="156"/>
      <c r="F308" s="157"/>
      <c r="G308" s="159"/>
      <c r="H308" s="155" t="s">
        <v>2651</v>
      </c>
      <c r="I308" s="5"/>
      <c r="J308" s="161"/>
      <c r="K308" s="5"/>
      <c r="L308" s="5"/>
    </row>
    <row r="309" spans="1:12">
      <c r="A309" s="152" t="s">
        <v>2653</v>
      </c>
      <c r="B309" s="153">
        <v>9</v>
      </c>
      <c r="C309" s="10" t="s">
        <v>2654</v>
      </c>
      <c r="D309" s="154"/>
      <c r="E309" s="153"/>
      <c r="F309" s="10"/>
      <c r="G309" s="5"/>
      <c r="H309" s="152" t="s">
        <v>2653</v>
      </c>
      <c r="I309" s="5"/>
      <c r="J309" s="161"/>
      <c r="K309" s="5"/>
      <c r="L309" s="5"/>
    </row>
    <row r="310" spans="1:12">
      <c r="A310" s="155" t="s">
        <v>2655</v>
      </c>
      <c r="B310" s="156">
        <v>9</v>
      </c>
      <c r="C310" s="157" t="s">
        <v>2656</v>
      </c>
      <c r="D310" s="158"/>
      <c r="E310" s="156"/>
      <c r="F310" s="157"/>
      <c r="G310" s="159"/>
      <c r="H310" s="155" t="s">
        <v>2655</v>
      </c>
      <c r="I310" s="5"/>
      <c r="J310" s="161"/>
      <c r="K310" s="5"/>
      <c r="L310" s="5"/>
    </row>
    <row r="311" spans="1:12">
      <c r="A311" s="152" t="s">
        <v>2657</v>
      </c>
      <c r="B311" s="153">
        <v>9</v>
      </c>
      <c r="C311" s="10" t="s">
        <v>2658</v>
      </c>
      <c r="D311" s="154"/>
      <c r="E311" s="153"/>
      <c r="F311" s="10"/>
      <c r="G311" s="5"/>
      <c r="H311" s="152" t="s">
        <v>2657</v>
      </c>
      <c r="I311" s="5"/>
      <c r="J311" s="161"/>
      <c r="K311" s="5"/>
      <c r="L311" s="5"/>
    </row>
    <row r="312" spans="1:12">
      <c r="A312" s="155" t="s">
        <v>2659</v>
      </c>
      <c r="B312" s="156">
        <v>9</v>
      </c>
      <c r="C312" s="157" t="s">
        <v>2660</v>
      </c>
      <c r="D312" s="158" t="s">
        <v>712</v>
      </c>
      <c r="E312" s="156"/>
      <c r="F312" s="157" t="b">
        <v>1</v>
      </c>
      <c r="G312" s="159" t="s">
        <v>2275</v>
      </c>
      <c r="H312" s="155" t="s">
        <v>2659</v>
      </c>
      <c r="I312" s="5"/>
      <c r="J312" s="161"/>
      <c r="K312" s="5"/>
      <c r="L312" s="5"/>
    </row>
    <row r="313" spans="1:12">
      <c r="A313" s="152" t="s">
        <v>2661</v>
      </c>
      <c r="B313" s="153">
        <v>9</v>
      </c>
      <c r="C313" s="10" t="s">
        <v>2662</v>
      </c>
      <c r="D313" s="154" t="s">
        <v>720</v>
      </c>
      <c r="E313" s="153"/>
      <c r="F313" s="10" t="b">
        <v>1</v>
      </c>
      <c r="G313" s="5" t="s">
        <v>2166</v>
      </c>
      <c r="H313" s="152" t="s">
        <v>2663</v>
      </c>
      <c r="I313" s="5"/>
      <c r="J313" s="161"/>
      <c r="K313" s="5"/>
      <c r="L313" s="5"/>
    </row>
    <row r="314" spans="1:12">
      <c r="A314" s="155" t="s">
        <v>2664</v>
      </c>
      <c r="B314" s="156">
        <v>9</v>
      </c>
      <c r="C314" s="157" t="s">
        <v>2665</v>
      </c>
      <c r="D314" s="158" t="s">
        <v>720</v>
      </c>
      <c r="E314" s="156"/>
      <c r="F314" s="157" t="b">
        <v>1</v>
      </c>
      <c r="G314" s="159" t="s">
        <v>2166</v>
      </c>
      <c r="H314" s="155" t="s">
        <v>2666</v>
      </c>
      <c r="I314" s="5"/>
      <c r="J314" s="161"/>
      <c r="K314" s="5"/>
      <c r="L314" s="5"/>
    </row>
    <row r="315" spans="1:12">
      <c r="A315" s="152" t="s">
        <v>2667</v>
      </c>
      <c r="B315" s="153">
        <v>9</v>
      </c>
      <c r="C315" s="10" t="s">
        <v>2668</v>
      </c>
      <c r="D315" s="154" t="s">
        <v>720</v>
      </c>
      <c r="E315" s="153"/>
      <c r="F315" s="10" t="b">
        <v>1</v>
      </c>
      <c r="G315" s="5" t="s">
        <v>2166</v>
      </c>
      <c r="H315" s="152" t="s">
        <v>2669</v>
      </c>
      <c r="I315" s="5"/>
      <c r="J315" s="161"/>
      <c r="K315" s="5"/>
      <c r="L315" s="5"/>
    </row>
    <row r="316" spans="1:12">
      <c r="A316" s="155" t="s">
        <v>2670</v>
      </c>
      <c r="B316" s="156">
        <v>9</v>
      </c>
      <c r="C316" s="157" t="s">
        <v>2671</v>
      </c>
      <c r="D316" s="158" t="s">
        <v>2064</v>
      </c>
      <c r="E316" s="156"/>
      <c r="F316" s="157" t="b">
        <v>1</v>
      </c>
      <c r="G316" s="159" t="s">
        <v>2065</v>
      </c>
      <c r="H316" s="155" t="s">
        <v>2672</v>
      </c>
      <c r="I316" s="5"/>
      <c r="J316" s="161"/>
      <c r="K316" s="5"/>
      <c r="L316" s="5"/>
    </row>
    <row r="317" spans="1:12">
      <c r="A317" s="152" t="s">
        <v>2673</v>
      </c>
      <c r="B317" s="153">
        <v>9</v>
      </c>
      <c r="C317" s="10" t="s">
        <v>2674</v>
      </c>
      <c r="D317" s="154" t="s">
        <v>2064</v>
      </c>
      <c r="E317" s="153"/>
      <c r="F317" s="10" t="b">
        <v>1</v>
      </c>
      <c r="G317" s="5" t="s">
        <v>2065</v>
      </c>
      <c r="H317" s="152" t="s">
        <v>2675</v>
      </c>
      <c r="I317" s="5"/>
      <c r="J317" s="161"/>
      <c r="K317" s="5"/>
      <c r="L317" s="5"/>
    </row>
    <row r="318" spans="1:12">
      <c r="A318" s="155" t="s">
        <v>2676</v>
      </c>
      <c r="B318" s="156">
        <v>9</v>
      </c>
      <c r="C318" s="157" t="s">
        <v>2677</v>
      </c>
      <c r="D318" s="158" t="s">
        <v>2064</v>
      </c>
      <c r="E318" s="156"/>
      <c r="F318" s="157" t="b">
        <v>1</v>
      </c>
      <c r="G318" s="159" t="s">
        <v>2065</v>
      </c>
      <c r="H318" s="155" t="s">
        <v>2678</v>
      </c>
      <c r="I318" s="5"/>
      <c r="J318" s="161"/>
      <c r="K318" s="5"/>
      <c r="L318" s="5"/>
    </row>
    <row r="319" spans="1:12">
      <c r="A319" s="152" t="s">
        <v>2679</v>
      </c>
      <c r="B319" s="153">
        <v>10</v>
      </c>
      <c r="C319" s="10" t="s">
        <v>2680</v>
      </c>
      <c r="D319" s="154" t="s">
        <v>712</v>
      </c>
      <c r="E319" s="153"/>
      <c r="F319" s="10"/>
      <c r="G319" s="5" t="s">
        <v>1955</v>
      </c>
      <c r="H319" s="152" t="s">
        <v>2679</v>
      </c>
      <c r="I319" s="5"/>
      <c r="J319" s="161"/>
      <c r="K319" s="5"/>
      <c r="L319" s="5"/>
    </row>
    <row r="320" spans="1:12">
      <c r="A320" s="155" t="s">
        <v>2681</v>
      </c>
      <c r="B320" s="156">
        <v>10</v>
      </c>
      <c r="C320" s="157" t="s">
        <v>2682</v>
      </c>
      <c r="D320" s="158" t="s">
        <v>2099</v>
      </c>
      <c r="E320" s="156"/>
      <c r="F320" s="157"/>
      <c r="G320" s="159"/>
      <c r="H320" s="155" t="s">
        <v>2681</v>
      </c>
      <c r="I320" s="5"/>
      <c r="J320" s="161"/>
      <c r="K320" s="5"/>
      <c r="L320" s="5"/>
    </row>
    <row r="321" spans="1:12">
      <c r="A321" s="152" t="s">
        <v>2683</v>
      </c>
      <c r="B321" s="153">
        <v>10</v>
      </c>
      <c r="C321" s="116" t="s">
        <v>2684</v>
      </c>
      <c r="D321" s="154"/>
      <c r="E321" s="153"/>
      <c r="F321" s="10"/>
      <c r="G321" s="5"/>
      <c r="H321" s="152" t="s">
        <v>2683</v>
      </c>
      <c r="I321" s="5"/>
      <c r="J321" s="161"/>
      <c r="K321" s="5"/>
      <c r="L321" s="5"/>
    </row>
    <row r="322" spans="1:12">
      <c r="A322" s="165" t="s">
        <v>2685</v>
      </c>
      <c r="B322" s="156">
        <v>10</v>
      </c>
      <c r="C322" s="157" t="s">
        <v>2686</v>
      </c>
      <c r="D322" s="158"/>
      <c r="E322" s="156"/>
      <c r="F322" s="157"/>
      <c r="G322" s="159"/>
      <c r="H322" s="165" t="s">
        <v>2685</v>
      </c>
      <c r="I322" s="5"/>
      <c r="J322" s="161"/>
      <c r="K322" s="5"/>
      <c r="L322" s="5"/>
    </row>
    <row r="323" spans="1:12">
      <c r="A323" s="166" t="s">
        <v>2687</v>
      </c>
      <c r="B323" s="153">
        <v>10</v>
      </c>
      <c r="C323" s="10" t="s">
        <v>2688</v>
      </c>
      <c r="D323" s="154"/>
      <c r="E323" s="153"/>
      <c r="F323" s="10"/>
      <c r="G323" s="5"/>
      <c r="H323" s="166" t="s">
        <v>2687</v>
      </c>
      <c r="I323" s="5"/>
      <c r="J323" s="161"/>
      <c r="K323" s="5"/>
      <c r="L323" s="5"/>
    </row>
    <row r="324" spans="1:12">
      <c r="A324" s="155" t="s">
        <v>2689</v>
      </c>
      <c r="B324" s="156">
        <v>10</v>
      </c>
      <c r="C324" s="157" t="s">
        <v>2690</v>
      </c>
      <c r="D324" s="167"/>
      <c r="E324" s="156"/>
      <c r="F324" s="157"/>
      <c r="G324" s="159"/>
      <c r="H324" s="155" t="s">
        <v>2689</v>
      </c>
      <c r="I324" s="5"/>
      <c r="J324" s="161"/>
      <c r="K324" s="5"/>
      <c r="L324" s="5"/>
    </row>
    <row r="325" spans="1:12">
      <c r="A325" s="152" t="s">
        <v>2691</v>
      </c>
      <c r="B325" s="153">
        <v>10</v>
      </c>
      <c r="C325" s="10" t="s">
        <v>2692</v>
      </c>
      <c r="D325" s="168"/>
      <c r="E325" s="153"/>
      <c r="F325" s="10"/>
      <c r="G325" s="5" t="s">
        <v>2450</v>
      </c>
      <c r="H325" s="152" t="s">
        <v>2691</v>
      </c>
      <c r="I325" s="5"/>
      <c r="J325" s="161"/>
      <c r="K325" s="5"/>
      <c r="L325" s="5"/>
    </row>
    <row r="326" spans="1:12">
      <c r="A326" s="155" t="s">
        <v>2693</v>
      </c>
      <c r="B326" s="156">
        <v>10</v>
      </c>
      <c r="C326" s="157" t="s">
        <v>2694</v>
      </c>
      <c r="D326" s="158" t="s">
        <v>698</v>
      </c>
      <c r="E326" s="156"/>
      <c r="F326" s="157" t="b">
        <v>1</v>
      </c>
      <c r="G326" s="159"/>
      <c r="H326" s="155" t="s">
        <v>2693</v>
      </c>
      <c r="I326" s="5"/>
      <c r="J326" s="161"/>
      <c r="K326" s="5"/>
      <c r="L326" s="5"/>
    </row>
    <row r="327" spans="1:12">
      <c r="A327" s="152" t="s">
        <v>2695</v>
      </c>
      <c r="B327" s="153">
        <v>10</v>
      </c>
      <c r="C327" s="10" t="s">
        <v>2696</v>
      </c>
      <c r="D327" s="154" t="s">
        <v>720</v>
      </c>
      <c r="E327" s="153"/>
      <c r="F327" s="10" t="b">
        <v>1</v>
      </c>
      <c r="G327" s="5" t="s">
        <v>2166</v>
      </c>
      <c r="H327" s="152" t="s">
        <v>2697</v>
      </c>
      <c r="I327" s="5"/>
      <c r="J327" s="161"/>
      <c r="K327" s="5"/>
      <c r="L327" s="5"/>
    </row>
    <row r="328" spans="1:12">
      <c r="A328" s="155" t="s">
        <v>2698</v>
      </c>
      <c r="B328" s="156">
        <v>10</v>
      </c>
      <c r="C328" s="157" t="s">
        <v>2699</v>
      </c>
      <c r="D328" s="158" t="s">
        <v>720</v>
      </c>
      <c r="E328" s="156"/>
      <c r="F328" s="157" t="b">
        <v>1</v>
      </c>
      <c r="G328" s="159" t="s">
        <v>2166</v>
      </c>
      <c r="H328" s="155" t="s">
        <v>2700</v>
      </c>
      <c r="I328" s="5"/>
      <c r="J328" s="161"/>
      <c r="K328" s="5"/>
      <c r="L328" s="5"/>
    </row>
    <row r="329" spans="1:12">
      <c r="A329" s="152" t="s">
        <v>2701</v>
      </c>
      <c r="B329" s="153">
        <v>10</v>
      </c>
      <c r="C329" s="10" t="s">
        <v>2702</v>
      </c>
      <c r="D329" s="154" t="s">
        <v>2064</v>
      </c>
      <c r="E329" s="153"/>
      <c r="F329" s="10" t="b">
        <v>1</v>
      </c>
      <c r="G329" s="5" t="s">
        <v>2188</v>
      </c>
      <c r="H329" s="152" t="s">
        <v>2701</v>
      </c>
      <c r="I329" s="5"/>
      <c r="J329" s="161"/>
      <c r="K329" s="5"/>
      <c r="L329" s="5"/>
    </row>
    <row r="330" spans="1:12">
      <c r="A330" s="155" t="s">
        <v>2703</v>
      </c>
      <c r="B330" s="156">
        <v>10</v>
      </c>
      <c r="C330" s="157" t="s">
        <v>2704</v>
      </c>
      <c r="D330" s="158" t="s">
        <v>2064</v>
      </c>
      <c r="E330" s="156"/>
      <c r="F330" s="157" t="b">
        <v>1</v>
      </c>
      <c r="G330" s="159" t="s">
        <v>2188</v>
      </c>
      <c r="H330" s="155" t="s">
        <v>2703</v>
      </c>
      <c r="I330" s="5"/>
      <c r="J330" s="161"/>
      <c r="K330" s="5"/>
      <c r="L330" s="5"/>
    </row>
    <row r="331" spans="1:12">
      <c r="A331" s="152" t="s">
        <v>2705</v>
      </c>
      <c r="B331" s="153">
        <v>10</v>
      </c>
      <c r="C331" s="10" t="s">
        <v>2706</v>
      </c>
      <c r="D331" s="154" t="s">
        <v>2064</v>
      </c>
      <c r="E331" s="153"/>
      <c r="F331" s="10" t="b">
        <v>1</v>
      </c>
      <c r="G331" s="5" t="s">
        <v>2188</v>
      </c>
      <c r="H331" s="152" t="s">
        <v>2705</v>
      </c>
      <c r="I331" s="5"/>
      <c r="J331" s="161"/>
      <c r="K331" s="5"/>
      <c r="L331" s="5"/>
    </row>
    <row r="332" spans="1:12">
      <c r="A332" s="155" t="s">
        <v>2707</v>
      </c>
      <c r="B332" s="156">
        <v>10</v>
      </c>
      <c r="C332" s="157" t="s">
        <v>2708</v>
      </c>
      <c r="D332" s="158" t="s">
        <v>2106</v>
      </c>
      <c r="E332" s="156"/>
      <c r="F332" s="157" t="b">
        <v>1</v>
      </c>
      <c r="G332" s="159" t="s">
        <v>2188</v>
      </c>
      <c r="H332" s="155" t="s">
        <v>2707</v>
      </c>
      <c r="I332" s="5"/>
      <c r="J332" s="161"/>
      <c r="K332" s="5"/>
      <c r="L332" s="5"/>
    </row>
    <row r="333" spans="1:12">
      <c r="A333" s="152" t="s">
        <v>2709</v>
      </c>
      <c r="B333" s="153">
        <v>11</v>
      </c>
      <c r="C333" s="10" t="s">
        <v>2710</v>
      </c>
      <c r="D333" s="154" t="s">
        <v>720</v>
      </c>
      <c r="E333" s="153"/>
      <c r="F333" s="10" t="b">
        <v>1</v>
      </c>
      <c r="G333" s="5" t="s">
        <v>2166</v>
      </c>
      <c r="H333" s="152" t="s">
        <v>2711</v>
      </c>
      <c r="I333" s="5"/>
      <c r="J333" s="161"/>
      <c r="K333" s="5"/>
      <c r="L333" s="5"/>
    </row>
    <row r="334" spans="1:12">
      <c r="A334" s="155" t="s">
        <v>2712</v>
      </c>
      <c r="B334" s="156">
        <v>11</v>
      </c>
      <c r="C334" s="157" t="s">
        <v>2713</v>
      </c>
      <c r="D334" s="158" t="s">
        <v>722</v>
      </c>
      <c r="E334" s="156"/>
      <c r="F334" s="157" t="b">
        <v>1</v>
      </c>
      <c r="G334" s="159" t="s">
        <v>2548</v>
      </c>
      <c r="H334" s="155" t="s">
        <v>2712</v>
      </c>
      <c r="I334" s="5"/>
      <c r="J334" s="161"/>
      <c r="K334" s="5"/>
      <c r="L334" s="5"/>
    </row>
    <row r="335" spans="1:12">
      <c r="A335" s="152" t="s">
        <v>2714</v>
      </c>
      <c r="B335" s="153">
        <v>11</v>
      </c>
      <c r="C335" s="10" t="s">
        <v>2715</v>
      </c>
      <c r="D335" s="154" t="s">
        <v>722</v>
      </c>
      <c r="E335" s="153"/>
      <c r="F335" s="10" t="b">
        <v>1</v>
      </c>
      <c r="G335" s="5" t="s">
        <v>2548</v>
      </c>
      <c r="H335" s="152" t="s">
        <v>2714</v>
      </c>
      <c r="I335" s="5"/>
      <c r="J335" s="161"/>
      <c r="K335" s="5"/>
      <c r="L335" s="5"/>
    </row>
    <row r="336" spans="1:12">
      <c r="A336" s="155" t="s">
        <v>2716</v>
      </c>
      <c r="B336" s="156">
        <v>12</v>
      </c>
      <c r="C336" s="157" t="s">
        <v>2717</v>
      </c>
      <c r="D336" s="158" t="s">
        <v>682</v>
      </c>
      <c r="E336" s="156"/>
      <c r="F336" s="157"/>
      <c r="G336" s="159"/>
      <c r="H336" s="155" t="s">
        <v>2716</v>
      </c>
      <c r="I336" s="5"/>
      <c r="J336" s="161"/>
      <c r="K336" s="5"/>
      <c r="L336" s="5"/>
    </row>
    <row r="337" spans="1:12">
      <c r="A337" s="152" t="s">
        <v>2718</v>
      </c>
      <c r="B337" s="153">
        <v>12</v>
      </c>
      <c r="C337" s="10" t="s">
        <v>2719</v>
      </c>
      <c r="D337" s="154" t="s">
        <v>682</v>
      </c>
      <c r="E337" s="153"/>
      <c r="F337" s="10"/>
      <c r="G337" s="5"/>
      <c r="H337" s="152" t="s">
        <v>2718</v>
      </c>
      <c r="I337" s="5"/>
      <c r="J337" s="161"/>
      <c r="K337" s="5"/>
      <c r="L337" s="5"/>
    </row>
    <row r="338" spans="1:12">
      <c r="A338" s="155" t="s">
        <v>2720</v>
      </c>
      <c r="B338" s="156">
        <v>12</v>
      </c>
      <c r="C338" s="157" t="s">
        <v>2721</v>
      </c>
      <c r="D338" s="158"/>
      <c r="E338" s="156"/>
      <c r="F338" s="157"/>
      <c r="G338" s="159" t="s">
        <v>2502</v>
      </c>
      <c r="H338" s="155" t="s">
        <v>2720</v>
      </c>
      <c r="I338" s="5"/>
      <c r="J338" s="161"/>
      <c r="K338" s="5"/>
      <c r="L338" s="5"/>
    </row>
    <row r="339" spans="1:12">
      <c r="A339" s="152" t="s">
        <v>2722</v>
      </c>
      <c r="B339" s="153">
        <v>12</v>
      </c>
      <c r="C339" s="10" t="s">
        <v>2723</v>
      </c>
      <c r="D339" s="154" t="s">
        <v>720</v>
      </c>
      <c r="E339" s="153"/>
      <c r="F339" s="10" t="b">
        <v>1</v>
      </c>
      <c r="G339" s="5" t="s">
        <v>2166</v>
      </c>
      <c r="H339" s="152" t="s">
        <v>2724</v>
      </c>
      <c r="I339" s="5"/>
      <c r="J339" s="161"/>
      <c r="K339" s="5"/>
      <c r="L339" s="5"/>
    </row>
    <row r="340" spans="1:12">
      <c r="A340" s="155" t="s">
        <v>2725</v>
      </c>
      <c r="B340" s="156">
        <v>12</v>
      </c>
      <c r="C340" s="157" t="s">
        <v>2726</v>
      </c>
      <c r="D340" s="158" t="s">
        <v>800</v>
      </c>
      <c r="E340" s="156"/>
      <c r="F340" s="157" t="b">
        <v>1</v>
      </c>
      <c r="G340" s="159" t="s">
        <v>2166</v>
      </c>
      <c r="H340" s="155" t="s">
        <v>2727</v>
      </c>
      <c r="I340" s="5"/>
      <c r="J340" s="161"/>
      <c r="K340" s="5"/>
      <c r="L340" s="5"/>
    </row>
    <row r="341" spans="1:12">
      <c r="A341" s="152" t="s">
        <v>2728</v>
      </c>
      <c r="B341" s="153">
        <v>12</v>
      </c>
      <c r="C341" s="10" t="s">
        <v>2729</v>
      </c>
      <c r="D341" s="154" t="s">
        <v>2064</v>
      </c>
      <c r="E341" s="153"/>
      <c r="F341" s="10" t="b">
        <v>1</v>
      </c>
      <c r="G341" s="5" t="s">
        <v>2065</v>
      </c>
      <c r="H341" s="152" t="s">
        <v>2730</v>
      </c>
      <c r="I341" s="5"/>
      <c r="J341" s="161"/>
      <c r="K341" s="5"/>
      <c r="L341" s="5"/>
    </row>
    <row r="342" spans="1:12">
      <c r="A342" s="155" t="s">
        <v>2731</v>
      </c>
      <c r="B342" s="156">
        <v>13</v>
      </c>
      <c r="C342" s="157" t="s">
        <v>2732</v>
      </c>
      <c r="D342" s="158"/>
      <c r="E342" s="156"/>
      <c r="F342" s="157"/>
      <c r="G342" s="159"/>
      <c r="H342" s="155" t="s">
        <v>2731</v>
      </c>
      <c r="I342" s="5"/>
      <c r="J342" s="161"/>
      <c r="K342" s="5"/>
      <c r="L342" s="5"/>
    </row>
    <row r="343" spans="1:12">
      <c r="A343" s="152" t="s">
        <v>2733</v>
      </c>
      <c r="B343" s="153">
        <v>13</v>
      </c>
      <c r="C343" s="10" t="s">
        <v>2734</v>
      </c>
      <c r="D343" s="154"/>
      <c r="E343" s="153"/>
      <c r="F343" s="10"/>
      <c r="G343" s="5"/>
      <c r="H343" s="152" t="s">
        <v>2733</v>
      </c>
      <c r="I343" s="5"/>
      <c r="J343" s="161"/>
      <c r="K343" s="5"/>
      <c r="L343" s="5"/>
    </row>
    <row r="344" spans="1:12">
      <c r="A344" s="155" t="s">
        <v>2735</v>
      </c>
      <c r="B344" s="156">
        <v>13</v>
      </c>
      <c r="C344" s="157" t="s">
        <v>2736</v>
      </c>
      <c r="D344" s="158"/>
      <c r="E344" s="156"/>
      <c r="F344" s="157"/>
      <c r="G344" s="159" t="s">
        <v>2450</v>
      </c>
      <c r="H344" s="155" t="s">
        <v>2735</v>
      </c>
      <c r="I344" s="5"/>
      <c r="J344" s="161"/>
      <c r="K344" s="5"/>
      <c r="L344" s="5"/>
    </row>
    <row r="345" spans="1:12">
      <c r="A345" s="152" t="s">
        <v>2737</v>
      </c>
      <c r="B345" s="153">
        <v>13</v>
      </c>
      <c r="C345" s="10" t="s">
        <v>2738</v>
      </c>
      <c r="D345" s="154" t="s">
        <v>712</v>
      </c>
      <c r="E345" s="153"/>
      <c r="F345" s="10" t="b">
        <v>1</v>
      </c>
      <c r="G345" s="5" t="s">
        <v>2055</v>
      </c>
      <c r="H345" s="152" t="s">
        <v>2737</v>
      </c>
      <c r="I345" s="5"/>
      <c r="J345" s="161"/>
      <c r="K345" s="5"/>
      <c r="L345" s="5"/>
    </row>
    <row r="346" spans="1:12">
      <c r="A346" s="155" t="s">
        <v>2739</v>
      </c>
      <c r="B346" s="156">
        <v>13</v>
      </c>
      <c r="C346" s="157" t="s">
        <v>2740</v>
      </c>
      <c r="D346" s="158" t="s">
        <v>720</v>
      </c>
      <c r="E346" s="156"/>
      <c r="F346" s="157" t="b">
        <v>1</v>
      </c>
      <c r="G346" s="159" t="s">
        <v>2166</v>
      </c>
      <c r="H346" s="155" t="s">
        <v>2741</v>
      </c>
      <c r="I346" s="5"/>
      <c r="J346" s="161"/>
      <c r="K346" s="5"/>
      <c r="L346" s="5"/>
    </row>
    <row r="347" spans="1:12">
      <c r="A347" s="152" t="s">
        <v>2742</v>
      </c>
      <c r="B347" s="153">
        <v>13</v>
      </c>
      <c r="C347" s="10" t="s">
        <v>2743</v>
      </c>
      <c r="D347" s="154" t="s">
        <v>720</v>
      </c>
      <c r="E347" s="153"/>
      <c r="F347" s="10" t="b">
        <v>1</v>
      </c>
      <c r="G347" s="5" t="s">
        <v>2166</v>
      </c>
      <c r="H347" s="152" t="s">
        <v>2744</v>
      </c>
      <c r="I347" s="5"/>
      <c r="J347" s="161"/>
      <c r="K347" s="5"/>
      <c r="L347" s="5"/>
    </row>
    <row r="348" spans="1:12">
      <c r="A348" s="155" t="s">
        <v>2745</v>
      </c>
      <c r="B348" s="156">
        <v>13</v>
      </c>
      <c r="C348" s="157" t="s">
        <v>2746</v>
      </c>
      <c r="D348" s="158" t="s">
        <v>720</v>
      </c>
      <c r="E348" s="156"/>
      <c r="F348" s="157" t="b">
        <v>1</v>
      </c>
      <c r="G348" s="159" t="s">
        <v>2166</v>
      </c>
      <c r="H348" s="155" t="s">
        <v>2747</v>
      </c>
      <c r="I348" s="5"/>
      <c r="J348" s="161"/>
      <c r="K348" s="5"/>
      <c r="L348" s="5"/>
    </row>
    <row r="349" spans="1:12">
      <c r="A349" s="152" t="s">
        <v>2748</v>
      </c>
      <c r="B349" s="153">
        <v>13</v>
      </c>
      <c r="C349" s="10" t="s">
        <v>2749</v>
      </c>
      <c r="D349" s="154" t="s">
        <v>722</v>
      </c>
      <c r="E349" s="153"/>
      <c r="F349" s="10" t="b">
        <v>1</v>
      </c>
      <c r="G349" s="5" t="s">
        <v>2548</v>
      </c>
      <c r="H349" s="152" t="s">
        <v>2748</v>
      </c>
      <c r="I349" s="5"/>
      <c r="J349" s="161"/>
      <c r="K349" s="5"/>
      <c r="L349" s="5"/>
    </row>
    <row r="350" spans="1:12">
      <c r="A350" s="155" t="s">
        <v>2750</v>
      </c>
      <c r="B350" s="156">
        <v>13</v>
      </c>
      <c r="C350" s="157" t="s">
        <v>2751</v>
      </c>
      <c r="D350" s="158" t="s">
        <v>722</v>
      </c>
      <c r="E350" s="156"/>
      <c r="F350" s="157" t="b">
        <v>1</v>
      </c>
      <c r="G350" s="159" t="s">
        <v>2548</v>
      </c>
      <c r="H350" s="155" t="s">
        <v>2750</v>
      </c>
      <c r="I350" s="5"/>
      <c r="J350" s="161"/>
      <c r="K350" s="5"/>
      <c r="L350" s="5"/>
    </row>
    <row r="351" spans="1:12">
      <c r="A351" s="152" t="s">
        <v>2752</v>
      </c>
      <c r="B351" s="153">
        <v>14</v>
      </c>
      <c r="C351" s="10" t="s">
        <v>2753</v>
      </c>
      <c r="D351" s="154" t="s">
        <v>2064</v>
      </c>
      <c r="E351" s="153"/>
      <c r="F351" s="10" t="b">
        <v>1</v>
      </c>
      <c r="G351" s="5" t="s">
        <v>2065</v>
      </c>
      <c r="H351" s="152" t="s">
        <v>2754</v>
      </c>
      <c r="I351" s="5"/>
      <c r="J351" s="161"/>
      <c r="K351" s="5"/>
      <c r="L351" s="5"/>
    </row>
    <row r="352" spans="1:12">
      <c r="A352" s="155" t="s">
        <v>2755</v>
      </c>
      <c r="B352" s="156">
        <v>14</v>
      </c>
      <c r="C352" s="157" t="s">
        <v>2756</v>
      </c>
      <c r="D352" s="158" t="s">
        <v>2099</v>
      </c>
      <c r="E352" s="156"/>
      <c r="F352" s="157" t="b">
        <v>1</v>
      </c>
      <c r="G352" s="159" t="s">
        <v>2548</v>
      </c>
      <c r="H352" s="155" t="s">
        <v>2755</v>
      </c>
      <c r="I352" s="5"/>
      <c r="J352" s="161"/>
      <c r="K352" s="5"/>
      <c r="L352" s="5"/>
    </row>
    <row r="353" spans="1:12">
      <c r="A353" s="152" t="s">
        <v>2757</v>
      </c>
      <c r="B353" s="153">
        <v>14</v>
      </c>
      <c r="C353" s="10" t="s">
        <v>2758</v>
      </c>
      <c r="D353" s="154" t="s">
        <v>722</v>
      </c>
      <c r="E353" s="153"/>
      <c r="F353" s="10" t="b">
        <v>1</v>
      </c>
      <c r="G353" s="5" t="s">
        <v>2548</v>
      </c>
      <c r="H353" s="152" t="s">
        <v>2757</v>
      </c>
      <c r="I353" s="5"/>
      <c r="J353" s="161"/>
      <c r="K353" s="5"/>
      <c r="L353" s="5"/>
    </row>
    <row r="354" spans="1:12">
      <c r="A354" s="155" t="s">
        <v>2759</v>
      </c>
      <c r="B354" s="156">
        <v>15</v>
      </c>
      <c r="C354" s="157" t="s">
        <v>2760</v>
      </c>
      <c r="D354" s="158" t="s">
        <v>712</v>
      </c>
      <c r="E354" s="156"/>
      <c r="F354" s="157"/>
      <c r="G354" s="159" t="s">
        <v>1955</v>
      </c>
      <c r="H354" s="155" t="s">
        <v>2759</v>
      </c>
      <c r="I354" s="5"/>
      <c r="J354" s="161"/>
      <c r="K354" s="5"/>
      <c r="L354" s="5"/>
    </row>
    <row r="355" spans="1:12">
      <c r="A355" s="152" t="s">
        <v>2761</v>
      </c>
      <c r="B355" s="153">
        <v>15</v>
      </c>
      <c r="C355" s="10" t="s">
        <v>2762</v>
      </c>
      <c r="D355" s="154"/>
      <c r="E355" s="153"/>
      <c r="F355" s="10"/>
      <c r="G355" s="5"/>
      <c r="H355" s="152" t="s">
        <v>2761</v>
      </c>
      <c r="I355" s="5"/>
      <c r="J355" s="161"/>
      <c r="K355" s="5"/>
      <c r="L355" s="5"/>
    </row>
    <row r="356" spans="1:12">
      <c r="A356" s="155" t="s">
        <v>2763</v>
      </c>
      <c r="B356" s="156">
        <v>15</v>
      </c>
      <c r="C356" s="157" t="s">
        <v>2764</v>
      </c>
      <c r="D356" s="158" t="s">
        <v>682</v>
      </c>
      <c r="E356" s="156"/>
      <c r="F356" s="157"/>
      <c r="G356" s="159"/>
      <c r="H356" s="155" t="s">
        <v>2763</v>
      </c>
      <c r="I356" s="5"/>
      <c r="J356" s="161"/>
      <c r="K356" s="5"/>
      <c r="L356" s="5"/>
    </row>
    <row r="357" spans="1:12">
      <c r="A357" s="152" t="s">
        <v>2765</v>
      </c>
      <c r="B357" s="153">
        <v>15</v>
      </c>
      <c r="C357" s="10" t="s">
        <v>2766</v>
      </c>
      <c r="D357" s="154"/>
      <c r="E357" s="153"/>
      <c r="F357" s="10"/>
      <c r="G357" s="5" t="s">
        <v>2450</v>
      </c>
      <c r="H357" s="152" t="s">
        <v>2765</v>
      </c>
      <c r="I357" s="5"/>
      <c r="J357" s="161"/>
      <c r="K357" s="5"/>
      <c r="L357" s="5"/>
    </row>
    <row r="358" spans="1:12">
      <c r="A358" s="155" t="s">
        <v>2767</v>
      </c>
      <c r="B358" s="156">
        <v>15</v>
      </c>
      <c r="C358" s="157" t="s">
        <v>2768</v>
      </c>
      <c r="D358" s="158"/>
      <c r="E358" s="156"/>
      <c r="F358" s="157"/>
      <c r="G358" s="159"/>
      <c r="H358" s="155" t="s">
        <v>2767</v>
      </c>
      <c r="I358" s="5"/>
      <c r="J358" s="161"/>
      <c r="K358" s="5"/>
      <c r="L358" s="5"/>
    </row>
    <row r="359" spans="1:12">
      <c r="A359" s="152" t="s">
        <v>2769</v>
      </c>
      <c r="B359" s="153">
        <v>15</v>
      </c>
      <c r="C359" s="10" t="s">
        <v>2770</v>
      </c>
      <c r="D359" s="154" t="s">
        <v>720</v>
      </c>
      <c r="E359" s="153"/>
      <c r="F359" s="10" t="b">
        <v>1</v>
      </c>
      <c r="G359" s="5" t="s">
        <v>2166</v>
      </c>
      <c r="H359" s="152" t="s">
        <v>2771</v>
      </c>
      <c r="I359" s="5"/>
      <c r="J359" s="161"/>
      <c r="K359" s="5"/>
      <c r="L359" s="5"/>
    </row>
    <row r="360" spans="1:12">
      <c r="A360" s="155" t="s">
        <v>2772</v>
      </c>
      <c r="B360" s="156">
        <v>15</v>
      </c>
      <c r="C360" s="157" t="s">
        <v>2773</v>
      </c>
      <c r="D360" s="158" t="s">
        <v>722</v>
      </c>
      <c r="E360" s="156"/>
      <c r="F360" s="157" t="b">
        <v>1</v>
      </c>
      <c r="G360" s="159" t="s">
        <v>2548</v>
      </c>
      <c r="H360" s="155" t="s">
        <v>2772</v>
      </c>
      <c r="I360" s="5"/>
      <c r="J360" s="161"/>
      <c r="K360" s="5"/>
      <c r="L360" s="5"/>
    </row>
    <row r="361" spans="1:12">
      <c r="A361" s="152" t="s">
        <v>2774</v>
      </c>
      <c r="B361" s="153">
        <v>15</v>
      </c>
      <c r="C361" s="10" t="s">
        <v>2775</v>
      </c>
      <c r="D361" s="154" t="s">
        <v>722</v>
      </c>
      <c r="E361" s="153"/>
      <c r="F361" s="10" t="b">
        <v>1</v>
      </c>
      <c r="G361" s="5" t="s">
        <v>2548</v>
      </c>
      <c r="H361" s="152" t="s">
        <v>2774</v>
      </c>
      <c r="I361" s="5"/>
      <c r="J361" s="161"/>
      <c r="K361" s="5"/>
      <c r="L361" s="5"/>
    </row>
    <row r="362" spans="1:12">
      <c r="A362" s="155" t="s">
        <v>2776</v>
      </c>
      <c r="B362" s="156">
        <v>15</v>
      </c>
      <c r="C362" s="157" t="s">
        <v>2777</v>
      </c>
      <c r="D362" s="158" t="s">
        <v>727</v>
      </c>
      <c r="E362" s="156"/>
      <c r="F362" s="157" t="b">
        <v>1</v>
      </c>
      <c r="G362" s="159" t="s">
        <v>2548</v>
      </c>
      <c r="H362" s="155" t="s">
        <v>2776</v>
      </c>
      <c r="I362" s="5"/>
      <c r="J362" s="161"/>
      <c r="K362" s="5"/>
      <c r="L362" s="5"/>
    </row>
    <row r="363" spans="1:12">
      <c r="A363" s="152" t="s">
        <v>2778</v>
      </c>
      <c r="B363" s="153">
        <v>15</v>
      </c>
      <c r="C363" s="10" t="s">
        <v>2779</v>
      </c>
      <c r="D363" s="154" t="s">
        <v>722</v>
      </c>
      <c r="E363" s="153"/>
      <c r="F363" s="10" t="b">
        <v>1</v>
      </c>
      <c r="G363" s="5" t="s">
        <v>2548</v>
      </c>
      <c r="H363" s="152" t="s">
        <v>2778</v>
      </c>
      <c r="I363" s="5"/>
      <c r="J363" s="161"/>
      <c r="K363" s="5"/>
      <c r="L363" s="5"/>
    </row>
    <row r="364" spans="1:12">
      <c r="A364" s="155" t="s">
        <v>2780</v>
      </c>
      <c r="B364" s="156">
        <v>16</v>
      </c>
      <c r="C364" s="157" t="s">
        <v>2781</v>
      </c>
      <c r="D364" s="158" t="s">
        <v>720</v>
      </c>
      <c r="E364" s="156"/>
      <c r="F364" s="157" t="b">
        <v>1</v>
      </c>
      <c r="G364" s="159" t="s">
        <v>2166</v>
      </c>
      <c r="H364" s="155" t="s">
        <v>2782</v>
      </c>
      <c r="I364" s="5"/>
      <c r="J364" s="161"/>
      <c r="K364" s="5"/>
      <c r="L364" s="5"/>
    </row>
    <row r="365" spans="1:12">
      <c r="A365" s="152" t="s">
        <v>2783</v>
      </c>
      <c r="B365" s="153">
        <v>16</v>
      </c>
      <c r="C365" s="10" t="s">
        <v>2784</v>
      </c>
      <c r="D365" s="154" t="s">
        <v>720</v>
      </c>
      <c r="E365" s="153"/>
      <c r="F365" s="10" t="b">
        <v>1</v>
      </c>
      <c r="G365" s="5" t="s">
        <v>2166</v>
      </c>
      <c r="H365" s="152" t="s">
        <v>2785</v>
      </c>
      <c r="I365" s="5"/>
      <c r="J365" s="161"/>
      <c r="K365" s="5"/>
      <c r="L365" s="5"/>
    </row>
    <row r="366" spans="1:12">
      <c r="A366" s="155" t="s">
        <v>2786</v>
      </c>
      <c r="B366" s="156">
        <v>16</v>
      </c>
      <c r="C366" s="157" t="s">
        <v>2787</v>
      </c>
      <c r="D366" s="158" t="s">
        <v>722</v>
      </c>
      <c r="E366" s="156"/>
      <c r="F366" s="157" t="b">
        <v>1</v>
      </c>
      <c r="G366" s="159" t="s">
        <v>2548</v>
      </c>
      <c r="H366" s="155" t="s">
        <v>2786</v>
      </c>
      <c r="I366" s="5"/>
      <c r="J366" s="161"/>
      <c r="K366" s="5"/>
      <c r="L366" s="5"/>
    </row>
    <row r="367" spans="1:12">
      <c r="A367" s="152" t="s">
        <v>2788</v>
      </c>
      <c r="B367" s="153">
        <v>17</v>
      </c>
      <c r="C367" s="10" t="s">
        <v>2789</v>
      </c>
      <c r="D367" s="154"/>
      <c r="E367" s="153"/>
      <c r="F367" s="10"/>
      <c r="G367" s="5"/>
      <c r="H367" s="152" t="s">
        <v>2788</v>
      </c>
      <c r="I367" s="5"/>
      <c r="J367" s="161"/>
      <c r="K367" s="5"/>
      <c r="L367" s="5"/>
    </row>
    <row r="368" spans="1:12">
      <c r="A368" s="155" t="s">
        <v>2790</v>
      </c>
      <c r="B368" s="156">
        <v>17</v>
      </c>
      <c r="C368" s="157" t="s">
        <v>2791</v>
      </c>
      <c r="D368" s="158" t="s">
        <v>722</v>
      </c>
      <c r="E368" s="156"/>
      <c r="F368" s="157" t="b">
        <v>1</v>
      </c>
      <c r="G368" s="159" t="s">
        <v>2548</v>
      </c>
      <c r="H368" s="155" t="s">
        <v>2790</v>
      </c>
      <c r="I368" s="5"/>
      <c r="J368" s="161"/>
      <c r="K368" s="5"/>
      <c r="L368" s="5"/>
    </row>
    <row r="369" spans="1:12">
      <c r="A369" s="152" t="s">
        <v>2792</v>
      </c>
      <c r="B369" s="153">
        <v>18</v>
      </c>
      <c r="C369" s="10" t="s">
        <v>2793</v>
      </c>
      <c r="D369" s="154"/>
      <c r="E369" s="153"/>
      <c r="F369" s="10"/>
      <c r="G369" s="5" t="s">
        <v>2502</v>
      </c>
      <c r="H369" s="152" t="s">
        <v>2792</v>
      </c>
      <c r="I369" s="5"/>
      <c r="J369" s="161"/>
      <c r="K369" s="5"/>
      <c r="L369" s="5"/>
    </row>
    <row r="370" spans="1:12">
      <c r="A370" s="155" t="s">
        <v>2794</v>
      </c>
      <c r="B370" s="156">
        <v>18</v>
      </c>
      <c r="C370" s="157" t="s">
        <v>2795</v>
      </c>
      <c r="D370" s="158" t="s">
        <v>722</v>
      </c>
      <c r="E370" s="156"/>
      <c r="F370" s="157" t="b">
        <v>1</v>
      </c>
      <c r="G370" s="159" t="s">
        <v>2548</v>
      </c>
      <c r="H370" s="155" t="s">
        <v>2794</v>
      </c>
      <c r="I370" s="5"/>
      <c r="J370" s="161"/>
      <c r="K370" s="5"/>
      <c r="L370" s="5"/>
    </row>
    <row r="371" spans="1:12">
      <c r="A371" s="152" t="s">
        <v>2796</v>
      </c>
      <c r="B371" s="153">
        <v>18</v>
      </c>
      <c r="C371" s="10" t="s">
        <v>2797</v>
      </c>
      <c r="D371" s="154" t="s">
        <v>722</v>
      </c>
      <c r="E371" s="153"/>
      <c r="F371" s="10" t="b">
        <v>1</v>
      </c>
      <c r="G371" s="5" t="s">
        <v>2548</v>
      </c>
      <c r="H371" s="152" t="s">
        <v>2796</v>
      </c>
      <c r="I371" s="5"/>
      <c r="J371" s="161"/>
      <c r="K371" s="5"/>
      <c r="L371" s="5"/>
    </row>
    <row r="372" spans="1:12">
      <c r="A372" s="155" t="s">
        <v>2798</v>
      </c>
      <c r="B372" s="156">
        <v>19</v>
      </c>
      <c r="C372" s="157" t="s">
        <v>2799</v>
      </c>
      <c r="D372" s="158" t="s">
        <v>722</v>
      </c>
      <c r="E372" s="156"/>
      <c r="F372" s="157" t="b">
        <v>1</v>
      </c>
      <c r="G372" s="159" t="s">
        <v>2548</v>
      </c>
      <c r="H372" s="155" t="s">
        <v>2798</v>
      </c>
      <c r="I372" s="5"/>
      <c r="J372" s="161"/>
      <c r="K372" s="5"/>
      <c r="L372" s="5"/>
    </row>
    <row r="373" spans="1:12">
      <c r="A373" s="152" t="s">
        <v>2800</v>
      </c>
      <c r="B373" s="153">
        <v>19</v>
      </c>
      <c r="C373" s="10" t="s">
        <v>2801</v>
      </c>
      <c r="D373" s="154" t="s">
        <v>722</v>
      </c>
      <c r="E373" s="153"/>
      <c r="F373" s="10" t="b">
        <v>1</v>
      </c>
      <c r="G373" s="5" t="s">
        <v>2548</v>
      </c>
      <c r="H373" s="152" t="s">
        <v>2800</v>
      </c>
      <c r="I373" s="5"/>
      <c r="J373" s="161"/>
      <c r="K373" s="5"/>
      <c r="L373" s="5"/>
    </row>
    <row r="374" spans="1:12">
      <c r="A374" s="155" t="s">
        <v>2802</v>
      </c>
      <c r="B374" s="156">
        <v>19</v>
      </c>
      <c r="C374" s="157" t="s">
        <v>2803</v>
      </c>
      <c r="D374" s="158" t="s">
        <v>722</v>
      </c>
      <c r="E374" s="156"/>
      <c r="F374" s="157" t="b">
        <v>1</v>
      </c>
      <c r="G374" s="159" t="s">
        <v>2548</v>
      </c>
      <c r="H374" s="155" t="s">
        <v>2802</v>
      </c>
      <c r="I374" s="5"/>
      <c r="J374" s="161"/>
      <c r="K374" s="5"/>
      <c r="L374" s="5"/>
    </row>
    <row r="375" spans="1:12">
      <c r="A375" s="152" t="s">
        <v>2804</v>
      </c>
      <c r="B375" s="153">
        <v>20</v>
      </c>
      <c r="C375" s="10" t="s">
        <v>2805</v>
      </c>
      <c r="D375" s="154"/>
      <c r="E375" s="153"/>
      <c r="F375" s="10"/>
      <c r="G375" s="5" t="s">
        <v>1959</v>
      </c>
      <c r="H375" s="152" t="s">
        <v>2804</v>
      </c>
      <c r="I375" s="5"/>
      <c r="J375" s="161"/>
      <c r="K375" s="5"/>
      <c r="L375" s="5"/>
    </row>
    <row r="376" spans="1:12">
      <c r="A376" s="155" t="s">
        <v>2806</v>
      </c>
      <c r="B376" s="156">
        <v>20</v>
      </c>
      <c r="C376" s="157" t="s">
        <v>2807</v>
      </c>
      <c r="D376" s="158" t="s">
        <v>682</v>
      </c>
      <c r="E376" s="156"/>
      <c r="F376" s="157"/>
      <c r="G376" s="159"/>
      <c r="H376" s="155" t="s">
        <v>2806</v>
      </c>
      <c r="I376" s="5"/>
      <c r="J376" s="161"/>
      <c r="K376" s="5"/>
      <c r="L376" s="5"/>
    </row>
    <row r="377" spans="1:12">
      <c r="A377" s="152" t="s">
        <v>2808</v>
      </c>
      <c r="B377" s="153">
        <v>21</v>
      </c>
      <c r="C377" s="10" t="s">
        <v>2809</v>
      </c>
      <c r="D377" s="154" t="s">
        <v>720</v>
      </c>
      <c r="E377" s="153"/>
      <c r="F377" s="10" t="b">
        <v>1</v>
      </c>
      <c r="G377" s="5" t="s">
        <v>2166</v>
      </c>
      <c r="H377" s="152" t="s">
        <v>2810</v>
      </c>
      <c r="I377" s="5"/>
      <c r="J377" s="161"/>
      <c r="K377" s="5"/>
      <c r="L377" s="5"/>
    </row>
    <row r="378" spans="1:12">
      <c r="A378" s="155" t="s">
        <v>2811</v>
      </c>
      <c r="B378" s="156">
        <v>21</v>
      </c>
      <c r="C378" s="157" t="s">
        <v>2812</v>
      </c>
      <c r="D378" s="158" t="s">
        <v>2106</v>
      </c>
      <c r="E378" s="156"/>
      <c r="F378" s="157" t="b">
        <v>1</v>
      </c>
      <c r="G378" s="159" t="s">
        <v>2548</v>
      </c>
      <c r="H378" s="155" t="s">
        <v>2811</v>
      </c>
      <c r="I378" s="5"/>
      <c r="J378" s="161"/>
      <c r="K378" s="5"/>
      <c r="L378" s="5"/>
    </row>
    <row r="379" spans="1:12">
      <c r="A379" s="152" t="s">
        <v>2813</v>
      </c>
      <c r="B379" s="153">
        <v>23</v>
      </c>
      <c r="C379" s="10" t="s">
        <v>2814</v>
      </c>
      <c r="D379" s="154" t="s">
        <v>722</v>
      </c>
      <c r="E379" s="153"/>
      <c r="F379" s="10" t="b">
        <v>1</v>
      </c>
      <c r="G379" s="5" t="s">
        <v>2548</v>
      </c>
      <c r="H379" s="152" t="s">
        <v>2813</v>
      </c>
      <c r="I379" s="5"/>
      <c r="J379" s="161"/>
      <c r="K379" s="5"/>
      <c r="L379" s="5"/>
    </row>
    <row r="380" spans="1:12">
      <c r="A380" s="155" t="s">
        <v>2815</v>
      </c>
      <c r="B380" s="156">
        <v>23</v>
      </c>
      <c r="C380" s="157" t="s">
        <v>2816</v>
      </c>
      <c r="D380" s="158" t="s">
        <v>722</v>
      </c>
      <c r="E380" s="156"/>
      <c r="F380" s="157" t="b">
        <v>1</v>
      </c>
      <c r="G380" s="159" t="s">
        <v>2548</v>
      </c>
      <c r="H380" s="155" t="s">
        <v>2815</v>
      </c>
      <c r="I380" s="5"/>
      <c r="J380" s="161"/>
      <c r="K380" s="5"/>
      <c r="L380" s="5"/>
    </row>
    <row r="381" spans="1:12">
      <c r="A381" s="152" t="s">
        <v>2817</v>
      </c>
      <c r="B381" s="153">
        <v>23</v>
      </c>
      <c r="C381" s="10" t="s">
        <v>2818</v>
      </c>
      <c r="D381" s="154" t="s">
        <v>722</v>
      </c>
      <c r="E381" s="153"/>
      <c r="F381" s="10" t="b">
        <v>1</v>
      </c>
      <c r="G381" s="5" t="s">
        <v>2548</v>
      </c>
      <c r="H381" s="152" t="s">
        <v>2817</v>
      </c>
      <c r="I381" s="5"/>
      <c r="J381" s="161"/>
      <c r="K381" s="5"/>
      <c r="L381" s="5"/>
    </row>
    <row r="382" spans="1:12">
      <c r="A382" s="155" t="s">
        <v>2819</v>
      </c>
      <c r="B382" s="156">
        <v>24</v>
      </c>
      <c r="C382" s="157" t="s">
        <v>2820</v>
      </c>
      <c r="D382" s="158" t="s">
        <v>720</v>
      </c>
      <c r="E382" s="156"/>
      <c r="F382" s="157" t="b">
        <v>1</v>
      </c>
      <c r="G382" s="159" t="s">
        <v>2166</v>
      </c>
      <c r="H382" s="155" t="s">
        <v>2821</v>
      </c>
      <c r="I382" s="5"/>
      <c r="J382" s="161"/>
      <c r="K382" s="5"/>
      <c r="L382" s="5"/>
    </row>
    <row r="383" spans="1:12">
      <c r="A383" s="152" t="s">
        <v>2822</v>
      </c>
      <c r="B383" s="153">
        <v>24</v>
      </c>
      <c r="C383" s="10" t="s">
        <v>2823</v>
      </c>
      <c r="D383" s="154" t="s">
        <v>722</v>
      </c>
      <c r="E383" s="153"/>
      <c r="F383" s="10" t="b">
        <v>1</v>
      </c>
      <c r="G383" s="5" t="s">
        <v>2548</v>
      </c>
      <c r="H383" s="152" t="s">
        <v>2822</v>
      </c>
      <c r="I383" s="5"/>
      <c r="J383" s="161"/>
      <c r="K383" s="5"/>
      <c r="L383" s="5"/>
    </row>
    <row r="384" spans="1:12">
      <c r="A384" s="155" t="s">
        <v>2824</v>
      </c>
      <c r="B384" s="156">
        <v>24</v>
      </c>
      <c r="C384" s="157" t="s">
        <v>2825</v>
      </c>
      <c r="D384" s="158" t="s">
        <v>722</v>
      </c>
      <c r="E384" s="156"/>
      <c r="F384" s="157" t="b">
        <v>1</v>
      </c>
      <c r="G384" s="159" t="s">
        <v>2548</v>
      </c>
      <c r="H384" s="155" t="s">
        <v>2824</v>
      </c>
      <c r="I384" s="5"/>
      <c r="J384" s="161"/>
      <c r="K384" s="5"/>
      <c r="L384" s="5"/>
    </row>
    <row r="385" spans="1:12">
      <c r="A385" s="152" t="s">
        <v>2826</v>
      </c>
      <c r="B385" s="153">
        <v>24</v>
      </c>
      <c r="C385" s="10" t="s">
        <v>2827</v>
      </c>
      <c r="D385" s="154" t="s">
        <v>722</v>
      </c>
      <c r="E385" s="153"/>
      <c r="F385" s="10" t="b">
        <v>1</v>
      </c>
      <c r="G385" s="5" t="s">
        <v>2548</v>
      </c>
      <c r="H385" s="152" t="s">
        <v>2826</v>
      </c>
      <c r="I385" s="5"/>
      <c r="J385" s="161"/>
      <c r="K385" s="5"/>
      <c r="L385" s="5"/>
    </row>
    <row r="386" spans="1:12">
      <c r="A386" s="155" t="s">
        <v>2828</v>
      </c>
      <c r="B386" s="156">
        <v>25</v>
      </c>
      <c r="C386" s="157" t="s">
        <v>2829</v>
      </c>
      <c r="D386" s="158" t="s">
        <v>712</v>
      </c>
      <c r="E386" s="156"/>
      <c r="F386" s="157"/>
      <c r="G386" s="159" t="s">
        <v>1955</v>
      </c>
      <c r="H386" s="155" t="s">
        <v>2828</v>
      </c>
      <c r="I386" s="5"/>
      <c r="J386" s="161"/>
      <c r="K386" s="5"/>
      <c r="L386" s="5"/>
    </row>
    <row r="387" spans="1:12">
      <c r="A387" s="152" t="s">
        <v>2830</v>
      </c>
      <c r="B387" s="153">
        <v>25</v>
      </c>
      <c r="C387" s="10" t="s">
        <v>2831</v>
      </c>
      <c r="D387" s="154"/>
      <c r="E387" s="153"/>
      <c r="F387" s="10"/>
      <c r="G387" s="5"/>
      <c r="H387" s="152" t="s">
        <v>2830</v>
      </c>
      <c r="I387" s="5"/>
      <c r="J387" s="161"/>
      <c r="K387" s="5"/>
      <c r="L387" s="5"/>
    </row>
    <row r="388" spans="1:12">
      <c r="A388" s="155" t="s">
        <v>2832</v>
      </c>
      <c r="B388" s="156">
        <v>25</v>
      </c>
      <c r="C388" s="157" t="s">
        <v>2833</v>
      </c>
      <c r="D388" s="158" t="s">
        <v>712</v>
      </c>
      <c r="E388" s="156"/>
      <c r="F388" s="157" t="b">
        <v>1</v>
      </c>
      <c r="G388" s="159" t="s">
        <v>2055</v>
      </c>
      <c r="H388" s="155" t="s">
        <v>2832</v>
      </c>
      <c r="I388" s="5"/>
      <c r="J388" s="161"/>
      <c r="K388" s="5"/>
      <c r="L388" s="5"/>
    </row>
    <row r="389" spans="1:12">
      <c r="A389" s="152" t="s">
        <v>2834</v>
      </c>
      <c r="B389" s="153">
        <v>25</v>
      </c>
      <c r="C389" s="10" t="s">
        <v>2835</v>
      </c>
      <c r="D389" s="154" t="s">
        <v>2064</v>
      </c>
      <c r="E389" s="153"/>
      <c r="F389" s="10" t="b">
        <v>1</v>
      </c>
      <c r="G389" s="5" t="s">
        <v>2065</v>
      </c>
      <c r="H389" s="152" t="s">
        <v>2836</v>
      </c>
      <c r="I389" s="5"/>
      <c r="J389" s="161"/>
      <c r="K389" s="5"/>
      <c r="L389" s="5"/>
    </row>
    <row r="390" spans="1:12">
      <c r="A390" s="155" t="s">
        <v>2837</v>
      </c>
      <c r="B390" s="156">
        <v>25</v>
      </c>
      <c r="C390" s="157" t="s">
        <v>2838</v>
      </c>
      <c r="D390" s="158" t="s">
        <v>722</v>
      </c>
      <c r="E390" s="156"/>
      <c r="F390" s="157" t="b">
        <v>1</v>
      </c>
      <c r="G390" s="159" t="s">
        <v>2548</v>
      </c>
      <c r="H390" s="155" t="s">
        <v>2837</v>
      </c>
      <c r="I390" s="5"/>
      <c r="J390" s="161"/>
      <c r="K390" s="5"/>
      <c r="L390" s="5"/>
    </row>
    <row r="391" spans="1:12">
      <c r="A391" s="152" t="s">
        <v>2839</v>
      </c>
      <c r="B391" s="153">
        <v>25</v>
      </c>
      <c r="C391" s="10" t="s">
        <v>2840</v>
      </c>
      <c r="D391" s="154" t="s">
        <v>722</v>
      </c>
      <c r="E391" s="153"/>
      <c r="F391" s="10" t="b">
        <v>1</v>
      </c>
      <c r="G391" s="5" t="s">
        <v>2548</v>
      </c>
      <c r="H391" s="152" t="s">
        <v>2839</v>
      </c>
      <c r="I391" s="5"/>
      <c r="J391" s="161"/>
      <c r="K391" s="5"/>
      <c r="L391" s="5"/>
    </row>
    <row r="392" spans="1:12">
      <c r="A392" s="155" t="s">
        <v>2841</v>
      </c>
      <c r="B392" s="156">
        <v>27</v>
      </c>
      <c r="C392" s="157" t="s">
        <v>2842</v>
      </c>
      <c r="D392" s="158" t="s">
        <v>722</v>
      </c>
      <c r="E392" s="156"/>
      <c r="F392" s="157" t="b">
        <v>1</v>
      </c>
      <c r="G392" s="159" t="s">
        <v>2548</v>
      </c>
      <c r="H392" s="155" t="s">
        <v>2841</v>
      </c>
      <c r="I392" s="5"/>
      <c r="J392" s="161"/>
      <c r="K392" s="5"/>
      <c r="L392" s="5"/>
    </row>
    <row r="393" spans="1:12">
      <c r="A393" s="152" t="s">
        <v>2843</v>
      </c>
      <c r="B393" s="153">
        <v>27</v>
      </c>
      <c r="C393" s="10" t="s">
        <v>2844</v>
      </c>
      <c r="D393" s="154" t="s">
        <v>722</v>
      </c>
      <c r="E393" s="153"/>
      <c r="F393" s="10" t="b">
        <v>1</v>
      </c>
      <c r="G393" s="5" t="s">
        <v>2548</v>
      </c>
      <c r="H393" s="152" t="s">
        <v>2843</v>
      </c>
      <c r="I393" s="5"/>
      <c r="J393" s="161"/>
      <c r="K393" s="5"/>
      <c r="L393" s="5"/>
    </row>
    <row r="394" spans="1:12">
      <c r="A394" s="155" t="s">
        <v>2845</v>
      </c>
      <c r="B394" s="156">
        <v>30</v>
      </c>
      <c r="C394" s="157" t="s">
        <v>2846</v>
      </c>
      <c r="D394" s="158" t="s">
        <v>722</v>
      </c>
      <c r="E394" s="156"/>
      <c r="F394" s="157" t="b">
        <v>1</v>
      </c>
      <c r="G394" s="159" t="s">
        <v>2548</v>
      </c>
      <c r="H394" s="155" t="s">
        <v>2845</v>
      </c>
      <c r="I394" s="5"/>
      <c r="J394" s="161"/>
      <c r="K394" s="5"/>
      <c r="L394" s="5"/>
    </row>
    <row r="395" spans="1:12">
      <c r="A395" s="152" t="s">
        <v>2847</v>
      </c>
      <c r="B395" s="153">
        <v>31</v>
      </c>
      <c r="C395" s="10" t="s">
        <v>2848</v>
      </c>
      <c r="D395" s="154" t="s">
        <v>2106</v>
      </c>
      <c r="E395" s="153"/>
      <c r="F395" s="10" t="b">
        <v>1</v>
      </c>
      <c r="G395" s="5" t="s">
        <v>2548</v>
      </c>
      <c r="H395" s="152" t="s">
        <v>2847</v>
      </c>
      <c r="I395" s="5"/>
      <c r="J395" s="161"/>
      <c r="K395" s="5"/>
      <c r="L395" s="5"/>
    </row>
    <row r="396" spans="1:12">
      <c r="A396" s="155" t="s">
        <v>2849</v>
      </c>
      <c r="B396" s="156">
        <v>32</v>
      </c>
      <c r="C396" s="157" t="s">
        <v>2850</v>
      </c>
      <c r="D396" s="158" t="s">
        <v>722</v>
      </c>
      <c r="E396" s="156"/>
      <c r="F396" s="157" t="b">
        <v>1</v>
      </c>
      <c r="G396" s="159" t="s">
        <v>2548</v>
      </c>
      <c r="H396" s="155" t="s">
        <v>2849</v>
      </c>
      <c r="I396" s="5"/>
      <c r="J396" s="161"/>
      <c r="K396" s="5"/>
      <c r="L396" s="5"/>
    </row>
    <row r="397" spans="1:12">
      <c r="A397" s="152" t="s">
        <v>2851</v>
      </c>
      <c r="B397" s="153">
        <v>33</v>
      </c>
      <c r="C397" s="10" t="s">
        <v>2852</v>
      </c>
      <c r="D397" s="154" t="s">
        <v>722</v>
      </c>
      <c r="E397" s="153"/>
      <c r="F397" s="10" t="b">
        <v>1</v>
      </c>
      <c r="G397" s="5" t="s">
        <v>2548</v>
      </c>
      <c r="H397" s="152" t="s">
        <v>2851</v>
      </c>
      <c r="I397" s="5"/>
      <c r="J397" s="161"/>
      <c r="K397" s="5"/>
      <c r="L397" s="5"/>
    </row>
    <row r="398" spans="1:12">
      <c r="A398" s="155" t="s">
        <v>2853</v>
      </c>
      <c r="B398" s="156">
        <v>34</v>
      </c>
      <c r="C398" s="157" t="s">
        <v>2854</v>
      </c>
      <c r="D398" s="158" t="s">
        <v>722</v>
      </c>
      <c r="E398" s="156"/>
      <c r="F398" s="157" t="b">
        <v>1</v>
      </c>
      <c r="G398" s="159" t="s">
        <v>2548</v>
      </c>
      <c r="H398" s="155" t="s">
        <v>2853</v>
      </c>
      <c r="I398" s="5"/>
      <c r="J398" s="161"/>
      <c r="K398" s="5"/>
      <c r="L398" s="5"/>
    </row>
    <row r="399" spans="1:12">
      <c r="A399" s="152" t="s">
        <v>2855</v>
      </c>
      <c r="B399" s="153">
        <v>35</v>
      </c>
      <c r="C399" s="10" t="s">
        <v>2856</v>
      </c>
      <c r="D399" s="154" t="s">
        <v>722</v>
      </c>
      <c r="E399" s="153"/>
      <c r="F399" s="10" t="b">
        <v>1</v>
      </c>
      <c r="G399" s="5" t="s">
        <v>2548</v>
      </c>
      <c r="H399" s="152" t="s">
        <v>2855</v>
      </c>
      <c r="I399" s="5"/>
      <c r="J399" s="161"/>
      <c r="K399" s="5"/>
      <c r="L399" s="5"/>
    </row>
    <row r="400" spans="1:12">
      <c r="A400" s="155" t="s">
        <v>2857</v>
      </c>
      <c r="B400" s="156">
        <v>38</v>
      </c>
      <c r="C400" s="157" t="s">
        <v>2858</v>
      </c>
      <c r="D400" s="158" t="s">
        <v>722</v>
      </c>
      <c r="E400" s="156"/>
      <c r="F400" s="157" t="b">
        <v>1</v>
      </c>
      <c r="G400" s="159" t="s">
        <v>2548</v>
      </c>
      <c r="H400" s="155" t="s">
        <v>2857</v>
      </c>
      <c r="I400" s="5"/>
      <c r="J400" s="161"/>
      <c r="K400" s="5"/>
      <c r="L400" s="5"/>
    </row>
    <row r="401" spans="1:12">
      <c r="A401" s="152" t="s">
        <v>2859</v>
      </c>
      <c r="B401" s="153">
        <v>40</v>
      </c>
      <c r="C401" s="10" t="s">
        <v>2860</v>
      </c>
      <c r="D401" s="154" t="s">
        <v>712</v>
      </c>
      <c r="E401" s="153"/>
      <c r="F401" s="10"/>
      <c r="G401" s="5" t="s">
        <v>1955</v>
      </c>
      <c r="H401" s="152" t="s">
        <v>2859</v>
      </c>
      <c r="I401" s="5"/>
      <c r="J401" s="161"/>
      <c r="K401" s="5"/>
      <c r="L401" s="5"/>
    </row>
    <row r="402" spans="1:12">
      <c r="A402" s="155" t="s">
        <v>2861</v>
      </c>
      <c r="B402" s="156">
        <v>40</v>
      </c>
      <c r="C402" s="157" t="s">
        <v>2862</v>
      </c>
      <c r="D402" s="158" t="s">
        <v>722</v>
      </c>
      <c r="E402" s="156"/>
      <c r="F402" s="157" t="b">
        <v>1</v>
      </c>
      <c r="G402" s="159" t="s">
        <v>2548</v>
      </c>
      <c r="H402" s="155" t="s">
        <v>2861</v>
      </c>
      <c r="I402" s="5"/>
      <c r="J402" s="161"/>
      <c r="K402" s="5"/>
      <c r="L402" s="5"/>
    </row>
    <row r="403" spans="1:12">
      <c r="A403" s="152" t="s">
        <v>2863</v>
      </c>
      <c r="B403" s="153">
        <v>40</v>
      </c>
      <c r="C403" s="10" t="s">
        <v>2864</v>
      </c>
      <c r="D403" s="154" t="s">
        <v>722</v>
      </c>
      <c r="E403" s="153"/>
      <c r="F403" s="10" t="b">
        <v>1</v>
      </c>
      <c r="G403" s="5" t="s">
        <v>2548</v>
      </c>
      <c r="H403" s="152" t="s">
        <v>2863</v>
      </c>
      <c r="I403" s="5"/>
      <c r="J403" s="161"/>
      <c r="K403" s="5"/>
      <c r="L403" s="5"/>
    </row>
    <row r="404" spans="1:12">
      <c r="A404" s="155" t="s">
        <v>2865</v>
      </c>
      <c r="B404" s="156">
        <v>43</v>
      </c>
      <c r="C404" s="157" t="s">
        <v>2866</v>
      </c>
      <c r="D404" s="158" t="s">
        <v>720</v>
      </c>
      <c r="E404" s="156"/>
      <c r="F404" s="157" t="b">
        <v>1</v>
      </c>
      <c r="G404" s="159" t="s">
        <v>2166</v>
      </c>
      <c r="H404" s="155" t="s">
        <v>2867</v>
      </c>
      <c r="I404" s="5"/>
      <c r="J404" s="161"/>
      <c r="K404" s="5"/>
      <c r="L404" s="5"/>
    </row>
    <row r="405" spans="1:12">
      <c r="A405" s="152" t="s">
        <v>2868</v>
      </c>
      <c r="B405" s="153">
        <v>51</v>
      </c>
      <c r="C405" s="10" t="s">
        <v>2869</v>
      </c>
      <c r="D405" s="154" t="s">
        <v>722</v>
      </c>
      <c r="E405" s="153"/>
      <c r="F405" s="10" t="b">
        <v>1</v>
      </c>
      <c r="G405" s="5" t="s">
        <v>2548</v>
      </c>
      <c r="H405" s="152" t="s">
        <v>2868</v>
      </c>
      <c r="I405" s="5"/>
      <c r="J405" s="161"/>
      <c r="K405" s="5"/>
      <c r="L405" s="5"/>
    </row>
    <row r="406" spans="1:12">
      <c r="A406" s="155" t="s">
        <v>2870</v>
      </c>
      <c r="B406" s="156">
        <v>56</v>
      </c>
      <c r="C406" s="157" t="s">
        <v>2871</v>
      </c>
      <c r="D406" s="158" t="s">
        <v>722</v>
      </c>
      <c r="E406" s="156"/>
      <c r="F406" s="157" t="b">
        <v>1</v>
      </c>
      <c r="G406" s="159" t="s">
        <v>2548</v>
      </c>
      <c r="H406" s="155" t="s">
        <v>2870</v>
      </c>
      <c r="I406" s="5"/>
      <c r="J406" s="161"/>
      <c r="K406" s="5"/>
      <c r="L406" s="5"/>
    </row>
    <row r="407" spans="1:12">
      <c r="A407" s="152" t="s">
        <v>2872</v>
      </c>
      <c r="B407" s="153">
        <v>100</v>
      </c>
      <c r="C407" s="10" t="s">
        <v>2873</v>
      </c>
      <c r="D407" s="154" t="s">
        <v>712</v>
      </c>
      <c r="E407" s="153"/>
      <c r="F407" s="10"/>
      <c r="G407" s="5" t="s">
        <v>1955</v>
      </c>
      <c r="H407" s="152" t="s">
        <v>2872</v>
      </c>
      <c r="I407" s="5"/>
      <c r="J407" s="161"/>
      <c r="K407" s="5"/>
      <c r="L407" s="5"/>
    </row>
    <row r="408" spans="1:12">
      <c r="A408" s="1"/>
      <c r="B408" s="169"/>
      <c r="C408" s="5"/>
      <c r="D408" s="170"/>
      <c r="E408" s="169"/>
      <c r="F408" s="5"/>
      <c r="G408" s="5"/>
      <c r="H408" s="5"/>
      <c r="I408" s="5"/>
      <c r="J408" s="161"/>
      <c r="K408" s="5"/>
      <c r="L408" s="5"/>
    </row>
    <row r="409" spans="1:12">
      <c r="A409" s="47" t="s">
        <v>1579</v>
      </c>
      <c r="B409" s="171"/>
      <c r="C409" s="46"/>
      <c r="D409" s="172"/>
      <c r="E409" s="171"/>
      <c r="F409" s="46"/>
      <c r="G409" s="5"/>
      <c r="H409" s="5"/>
      <c r="I409" s="5"/>
      <c r="J409" s="161"/>
      <c r="K409" s="5"/>
      <c r="L409" s="5"/>
    </row>
    <row r="410" spans="1:12">
      <c r="A410" s="152" t="s">
        <v>2874</v>
      </c>
      <c r="B410" s="153">
        <v>6</v>
      </c>
      <c r="C410" s="10" t="s">
        <v>2875</v>
      </c>
      <c r="D410" s="154"/>
      <c r="E410" s="154"/>
      <c r="F410" s="154"/>
      <c r="G410" s="5"/>
      <c r="H410" s="5" t="s">
        <v>2874</v>
      </c>
      <c r="I410" s="5"/>
      <c r="J410" s="161"/>
      <c r="K410" s="5"/>
      <c r="L410" s="5"/>
    </row>
    <row r="411" spans="1:12" ht="22.5" customHeight="1">
      <c r="A411" s="173"/>
      <c r="B411" s="169"/>
      <c r="C411" s="5"/>
      <c r="D411" s="170"/>
      <c r="E411" s="170"/>
      <c r="F411" s="170"/>
      <c r="G411" s="5"/>
      <c r="H411" s="5"/>
      <c r="I411" s="5"/>
      <c r="J411" s="161"/>
      <c r="K411" s="5"/>
      <c r="L411" s="5"/>
    </row>
  </sheetData>
  <autoFilter ref="A2:G410" xr:uid="{00000000-0009-0000-0000-000006000000}"/>
  <customSheetViews>
    <customSheetView guid="{E18FC858-70C2-41D0-A454-3B9FEEAA5023}" filter="1" showAutoFilter="1">
      <pageMargins left="0.7" right="0.7" top="0.75" bottom="0.75" header="0.3" footer="0.3"/>
      <autoFilter ref="A3:D37" xr:uid="{97A37C1F-E015-4ED3-833E-76146607BD4C}">
        <sortState xmlns:xlrd2="http://schemas.microsoft.com/office/spreadsheetml/2017/richdata2" ref="A3:D37">
          <sortCondition ref="A3:A37"/>
        </sortState>
      </autoFilter>
    </customSheetView>
  </customSheetViews>
  <mergeCells count="1">
    <mergeCell ref="A1:K1"/>
  </mergeCells>
  <conditionalFormatting sqref="B3:B411 J4:J41">
    <cfRule type="colorScale" priority="1">
      <colorScale>
        <cfvo type="min"/>
        <cfvo type="formula" val="6"/>
        <cfvo type="formula" val="60"/>
        <color rgb="FFFFFFFF"/>
        <color rgb="FFF3BEB9"/>
        <color rgb="FFE67C73"/>
      </colorScale>
    </cfRule>
  </conditionalFormatting>
  <conditionalFormatting sqref="D3:D411 F3:F411 E410:E411">
    <cfRule type="notContainsBlanks" dxfId="5" priority="2">
      <formula>LEN(TRIM(D3))&gt;0</formula>
    </cfRule>
  </conditionalFormatting>
  <conditionalFormatting sqref="E3:E411">
    <cfRule type="notContainsBlanks" dxfId="4" priority="3">
      <formula>LEN(TRIM(E3))&gt;0</formula>
    </cfRule>
  </conditionalFormatting>
  <dataValidations count="1">
    <dataValidation type="list" allowBlank="1" showDropDown="1" sqref="E3:E409" xr:uid="{00000000-0002-0000-0600-000000000000}">
      <formula1>$A$3:$A$407</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7"/>
  <sheetViews>
    <sheetView workbookViewId="0">
      <selection sqref="A1:B1"/>
    </sheetView>
  </sheetViews>
  <sheetFormatPr defaultColWidth="12.5703125" defaultRowHeight="15.75" customHeight="1"/>
  <cols>
    <col min="1" max="1" width="20.5703125" customWidth="1"/>
    <col min="2" max="2" width="65.140625" customWidth="1"/>
    <col min="3" max="3" width="20.42578125" hidden="1" customWidth="1"/>
    <col min="4" max="4" width="6.42578125" customWidth="1"/>
  </cols>
  <sheetData>
    <row r="1" spans="1:4" ht="18.75">
      <c r="A1" s="334" t="s">
        <v>2876</v>
      </c>
      <c r="B1" s="306"/>
      <c r="C1" s="174"/>
      <c r="D1" s="175"/>
    </row>
    <row r="2" spans="1:4" ht="16.5">
      <c r="A2" s="176" t="str">
        <f>"Tweak ("&amp;COUNTIF(A3:A16,"&lt;&gt;")&amp;")"</f>
        <v>Tweak (14)</v>
      </c>
      <c r="B2" s="176" t="s">
        <v>804</v>
      </c>
      <c r="C2" s="177" t="s">
        <v>1954</v>
      </c>
      <c r="D2" s="178"/>
    </row>
    <row r="3" spans="1:4" ht="17.25">
      <c r="A3" s="179" t="s">
        <v>2877</v>
      </c>
      <c r="B3" s="180" t="s">
        <v>2878</v>
      </c>
      <c r="C3" s="181" t="s">
        <v>2877</v>
      </c>
      <c r="D3" s="182"/>
    </row>
    <row r="4" spans="1:4" ht="17.25">
      <c r="A4" s="179" t="s">
        <v>2879</v>
      </c>
      <c r="B4" s="180" t="s">
        <v>2880</v>
      </c>
      <c r="C4" s="181" t="s">
        <v>2879</v>
      </c>
      <c r="D4" s="182"/>
    </row>
    <row r="5" spans="1:4" ht="17.25">
      <c r="A5" s="179" t="s">
        <v>2881</v>
      </c>
      <c r="B5" s="180" t="s">
        <v>2882</v>
      </c>
      <c r="C5" s="181" t="s">
        <v>2881</v>
      </c>
      <c r="D5" s="182"/>
    </row>
    <row r="6" spans="1:4" ht="17.25">
      <c r="A6" s="179" t="s">
        <v>2883</v>
      </c>
      <c r="B6" s="180" t="s">
        <v>2884</v>
      </c>
      <c r="C6" s="181" t="s">
        <v>2883</v>
      </c>
      <c r="D6" s="182"/>
    </row>
    <row r="7" spans="1:4" ht="17.25">
      <c r="A7" s="183" t="s">
        <v>2885</v>
      </c>
      <c r="B7" s="180" t="s">
        <v>2886</v>
      </c>
      <c r="C7" s="184" t="s">
        <v>2887</v>
      </c>
      <c r="D7" s="182"/>
    </row>
    <row r="8" spans="1:4" ht="17.25">
      <c r="A8" s="183" t="s">
        <v>2888</v>
      </c>
      <c r="B8" s="180" t="s">
        <v>2889</v>
      </c>
      <c r="C8" s="185" t="s">
        <v>2890</v>
      </c>
      <c r="D8" s="182"/>
    </row>
    <row r="9" spans="1:4" ht="17.25">
      <c r="A9" s="179" t="s">
        <v>2891</v>
      </c>
      <c r="B9" s="180" t="s">
        <v>2892</v>
      </c>
      <c r="C9" s="181" t="s">
        <v>2891</v>
      </c>
      <c r="D9" s="182"/>
    </row>
    <row r="10" spans="1:4" ht="17.25">
      <c r="A10" s="179" t="s">
        <v>2893</v>
      </c>
      <c r="B10" s="180" t="s">
        <v>2894</v>
      </c>
      <c r="C10" s="181" t="s">
        <v>2893</v>
      </c>
      <c r="D10" s="182"/>
    </row>
    <row r="11" spans="1:4" ht="17.25">
      <c r="A11" s="179" t="s">
        <v>2895</v>
      </c>
      <c r="B11" s="180" t="s">
        <v>2896</v>
      </c>
      <c r="C11" s="181" t="s">
        <v>2895</v>
      </c>
      <c r="D11" s="182"/>
    </row>
    <row r="12" spans="1:4" ht="17.25">
      <c r="A12" s="179" t="s">
        <v>2897</v>
      </c>
      <c r="B12" s="180" t="s">
        <v>2898</v>
      </c>
      <c r="C12" s="181" t="s">
        <v>2897</v>
      </c>
      <c r="D12" s="182"/>
    </row>
    <row r="13" spans="1:4" ht="17.25">
      <c r="A13" s="179" t="s">
        <v>2899</v>
      </c>
      <c r="B13" s="186" t="s">
        <v>2900</v>
      </c>
      <c r="C13" s="181" t="s">
        <v>2899</v>
      </c>
      <c r="D13" s="182"/>
    </row>
    <row r="14" spans="1:4" ht="17.25">
      <c r="A14" s="179" t="s">
        <v>2901</v>
      </c>
      <c r="B14" s="180" t="s">
        <v>2902</v>
      </c>
      <c r="C14" s="181" t="s">
        <v>2901</v>
      </c>
      <c r="D14" s="182"/>
    </row>
    <row r="15" spans="1:4" ht="17.25">
      <c r="A15" s="179" t="s">
        <v>2903</v>
      </c>
      <c r="B15" s="180" t="s">
        <v>2904</v>
      </c>
      <c r="C15" s="181" t="s">
        <v>2903</v>
      </c>
      <c r="D15" s="182"/>
    </row>
    <row r="16" spans="1:4" ht="17.25">
      <c r="A16" s="179" t="s">
        <v>2905</v>
      </c>
      <c r="B16" s="180" t="s">
        <v>2906</v>
      </c>
      <c r="C16" s="181" t="s">
        <v>2905</v>
      </c>
      <c r="D16" s="182"/>
    </row>
    <row r="17" spans="1:4" ht="22.5" customHeight="1">
      <c r="A17" s="187"/>
      <c r="B17" s="182"/>
      <c r="C17" s="188"/>
      <c r="D17" s="182"/>
    </row>
  </sheetData>
  <mergeCells count="1">
    <mergeCell ref="A1:B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375"/>
  <sheetViews>
    <sheetView workbookViewId="0">
      <pane ySplit="2" topLeftCell="A3" activePane="bottomLeft" state="frozen"/>
      <selection pane="bottomLeft" activeCell="B4" sqref="B4"/>
    </sheetView>
  </sheetViews>
  <sheetFormatPr defaultColWidth="12.5703125" defaultRowHeight="15.75" customHeight="1"/>
  <cols>
    <col min="1" max="1" width="19.42578125" customWidth="1"/>
    <col min="2" max="2" width="7" customWidth="1"/>
    <col min="3" max="3" width="74.42578125" customWidth="1"/>
    <col min="4" max="4" width="6.140625" customWidth="1"/>
    <col min="5" max="5" width="16.42578125" customWidth="1"/>
    <col min="6" max="6" width="12" customWidth="1"/>
    <col min="7" max="7" width="12" hidden="1" customWidth="1"/>
    <col min="8" max="8" width="6.7109375" customWidth="1"/>
    <col min="9" max="9" width="7" customWidth="1"/>
    <col min="10" max="10" width="19.140625" customWidth="1"/>
    <col min="11" max="11" width="6.42578125" customWidth="1"/>
  </cols>
  <sheetData>
    <row r="1" spans="1:11">
      <c r="A1" s="301" t="s">
        <v>2907</v>
      </c>
      <c r="B1" s="302"/>
      <c r="C1" s="302"/>
      <c r="D1" s="302"/>
      <c r="E1" s="302"/>
      <c r="F1" s="302"/>
      <c r="G1" s="302"/>
      <c r="H1" s="302"/>
      <c r="I1" s="302"/>
      <c r="J1" s="302"/>
      <c r="K1" s="1"/>
    </row>
    <row r="2" spans="1:11">
      <c r="A2" s="2" t="s">
        <v>2908</v>
      </c>
      <c r="B2" s="69" t="s">
        <v>523</v>
      </c>
      <c r="C2" s="69" t="s">
        <v>804</v>
      </c>
      <c r="D2" s="189" t="s">
        <v>675</v>
      </c>
      <c r="E2" s="190" t="s">
        <v>1951</v>
      </c>
      <c r="F2" s="69" t="s">
        <v>1952</v>
      </c>
      <c r="G2" s="191" t="s">
        <v>2909</v>
      </c>
      <c r="J2" s="23"/>
      <c r="K2" s="5"/>
    </row>
    <row r="3" spans="1:11">
      <c r="A3" s="192" t="s">
        <v>2910</v>
      </c>
      <c r="B3" s="37">
        <v>1</v>
      </c>
      <c r="C3" s="37" t="s">
        <v>2911</v>
      </c>
      <c r="D3" s="71"/>
      <c r="E3" s="193"/>
      <c r="F3" s="37"/>
      <c r="G3" s="192" t="s">
        <v>2910</v>
      </c>
      <c r="I3" s="69" t="s">
        <v>523</v>
      </c>
      <c r="J3" s="194" t="s">
        <v>2912</v>
      </c>
      <c r="K3" s="1"/>
    </row>
    <row r="4" spans="1:11">
      <c r="A4" s="192" t="s">
        <v>2913</v>
      </c>
      <c r="B4" s="37">
        <v>1</v>
      </c>
      <c r="C4" s="122" t="s">
        <v>2914</v>
      </c>
      <c r="D4" s="71"/>
      <c r="E4" s="193"/>
      <c r="F4" s="37"/>
      <c r="G4" s="192" t="s">
        <v>2913</v>
      </c>
      <c r="I4" s="195">
        <f ca="1">IFERROR(__xludf.DUMMYFUNCTION("SORT(unique(B3:B375),1,True)"),1)</f>
        <v>1</v>
      </c>
      <c r="J4" s="37">
        <f t="shared" ref="J4:J26" ca="1" si="0">COUNTIF(B3:B375, I4)</f>
        <v>68</v>
      </c>
      <c r="K4" s="5"/>
    </row>
    <row r="5" spans="1:11">
      <c r="A5" s="196" t="s">
        <v>2915</v>
      </c>
      <c r="B5" s="37">
        <v>1</v>
      </c>
      <c r="C5" s="37" t="s">
        <v>2916</v>
      </c>
      <c r="D5" s="71" t="s">
        <v>2099</v>
      </c>
      <c r="E5" s="193"/>
      <c r="F5" s="37"/>
      <c r="G5" s="196" t="s">
        <v>2915</v>
      </c>
      <c r="I5" s="37">
        <f ca="1">IFERROR(__xludf.DUMMYFUNCTION("""COMPUTED_VALUE"""),2)</f>
        <v>2</v>
      </c>
      <c r="J5" s="37">
        <f t="shared" ca="1" si="0"/>
        <v>78</v>
      </c>
      <c r="K5" s="5"/>
    </row>
    <row r="6" spans="1:11">
      <c r="A6" s="196" t="s">
        <v>2917</v>
      </c>
      <c r="B6" s="37">
        <v>2</v>
      </c>
      <c r="C6" s="37" t="s">
        <v>2918</v>
      </c>
      <c r="D6" s="71"/>
      <c r="E6" s="193"/>
      <c r="F6" s="37"/>
      <c r="G6" s="196" t="s">
        <v>2917</v>
      </c>
      <c r="I6" s="37">
        <f ca="1">IFERROR(__xludf.DUMMYFUNCTION("""COMPUTED_VALUE"""),3)</f>
        <v>3</v>
      </c>
      <c r="J6" s="37">
        <f t="shared" ca="1" si="0"/>
        <v>78</v>
      </c>
      <c r="K6" s="5"/>
    </row>
    <row r="7" spans="1:11">
      <c r="A7" s="196" t="s">
        <v>2919</v>
      </c>
      <c r="B7" s="37">
        <v>2</v>
      </c>
      <c r="C7" s="37" t="s">
        <v>2920</v>
      </c>
      <c r="D7" s="71"/>
      <c r="E7" s="193"/>
      <c r="F7" s="37"/>
      <c r="G7" s="196" t="s">
        <v>2919</v>
      </c>
      <c r="I7" s="37">
        <f ca="1">IFERROR(__xludf.DUMMYFUNCTION("""COMPUTED_VALUE"""),4)</f>
        <v>4</v>
      </c>
      <c r="J7" s="37">
        <f t="shared" ca="1" si="0"/>
        <v>65</v>
      </c>
      <c r="K7" s="5"/>
    </row>
    <row r="8" spans="1:11">
      <c r="A8" s="196" t="s">
        <v>2921</v>
      </c>
      <c r="B8" s="37">
        <v>2</v>
      </c>
      <c r="C8" s="37" t="s">
        <v>2922</v>
      </c>
      <c r="D8" s="71"/>
      <c r="E8" s="193"/>
      <c r="F8" s="37"/>
      <c r="G8" s="196" t="s">
        <v>2921</v>
      </c>
      <c r="I8" s="37">
        <f ca="1">IFERROR(__xludf.DUMMYFUNCTION("""COMPUTED_VALUE"""),5)</f>
        <v>5</v>
      </c>
      <c r="J8" s="37">
        <f t="shared" ca="1" si="0"/>
        <v>17</v>
      </c>
      <c r="K8" s="5"/>
    </row>
    <row r="9" spans="1:11">
      <c r="A9" s="196" t="s">
        <v>2923</v>
      </c>
      <c r="B9" s="37">
        <v>3</v>
      </c>
      <c r="C9" s="37" t="s">
        <v>2924</v>
      </c>
      <c r="D9" s="71"/>
      <c r="E9" s="193"/>
      <c r="F9" s="37"/>
      <c r="G9" s="196" t="s">
        <v>2923</v>
      </c>
      <c r="I9" s="37">
        <f ca="1">IFERROR(__xludf.DUMMYFUNCTION("""COMPUTED_VALUE"""),6)</f>
        <v>6</v>
      </c>
      <c r="J9" s="37">
        <f t="shared" ca="1" si="0"/>
        <v>18</v>
      </c>
      <c r="K9" s="5"/>
    </row>
    <row r="10" spans="1:11">
      <c r="A10" s="196" t="s">
        <v>2925</v>
      </c>
      <c r="B10" s="37">
        <v>3</v>
      </c>
      <c r="C10" s="37" t="s">
        <v>2926</v>
      </c>
      <c r="D10" s="71" t="s">
        <v>2064</v>
      </c>
      <c r="E10" s="193"/>
      <c r="F10" s="37"/>
      <c r="G10" s="196" t="s">
        <v>2925</v>
      </c>
      <c r="I10" s="37">
        <f ca="1">IFERROR(__xludf.DUMMYFUNCTION("""COMPUTED_VALUE"""),7)</f>
        <v>7</v>
      </c>
      <c r="J10" s="37">
        <f t="shared" ca="1" si="0"/>
        <v>9</v>
      </c>
      <c r="K10" s="5"/>
    </row>
    <row r="11" spans="1:11">
      <c r="A11" s="196" t="s">
        <v>2927</v>
      </c>
      <c r="B11" s="37">
        <v>3</v>
      </c>
      <c r="C11" s="37" t="s">
        <v>2928</v>
      </c>
      <c r="D11" s="71"/>
      <c r="E11" s="193"/>
      <c r="F11" s="37"/>
      <c r="G11" s="196" t="s">
        <v>2927</v>
      </c>
      <c r="H11" s="23"/>
      <c r="I11" s="37">
        <f ca="1">IFERROR(__xludf.DUMMYFUNCTION("""COMPUTED_VALUE"""),8)</f>
        <v>8</v>
      </c>
      <c r="J11" s="37">
        <f t="shared" ca="1" si="0"/>
        <v>12</v>
      </c>
      <c r="K11" s="5"/>
    </row>
    <row r="12" spans="1:11">
      <c r="A12" s="196" t="s">
        <v>2929</v>
      </c>
      <c r="B12" s="37">
        <v>3</v>
      </c>
      <c r="C12" s="37" t="s">
        <v>2930</v>
      </c>
      <c r="D12" s="71" t="s">
        <v>698</v>
      </c>
      <c r="E12" s="193"/>
      <c r="F12" s="37"/>
      <c r="G12" s="196" t="s">
        <v>2929</v>
      </c>
      <c r="H12" s="23"/>
      <c r="I12" s="37">
        <f ca="1">IFERROR(__xludf.DUMMYFUNCTION("""COMPUTED_VALUE"""),9)</f>
        <v>9</v>
      </c>
      <c r="J12" s="37">
        <f t="shared" ca="1" si="0"/>
        <v>2</v>
      </c>
      <c r="K12" s="5"/>
    </row>
    <row r="13" spans="1:11">
      <c r="A13" s="196" t="s">
        <v>2931</v>
      </c>
      <c r="B13" s="37">
        <v>3</v>
      </c>
      <c r="C13" s="37" t="s">
        <v>2932</v>
      </c>
      <c r="D13" s="71"/>
      <c r="E13" s="193"/>
      <c r="F13" s="37"/>
      <c r="G13" s="196" t="s">
        <v>2931</v>
      </c>
      <c r="H13" s="23"/>
      <c r="I13" s="37">
        <f ca="1">IFERROR(__xludf.DUMMYFUNCTION("""COMPUTED_VALUE"""),10)</f>
        <v>10</v>
      </c>
      <c r="J13" s="37">
        <f t="shared" ca="1" si="0"/>
        <v>3</v>
      </c>
      <c r="K13" s="5"/>
    </row>
    <row r="14" spans="1:11">
      <c r="A14" s="196" t="s">
        <v>2933</v>
      </c>
      <c r="B14" s="37">
        <v>3</v>
      </c>
      <c r="C14" s="37" t="s">
        <v>2934</v>
      </c>
      <c r="D14" s="71"/>
      <c r="E14" s="193"/>
      <c r="F14" s="37"/>
      <c r="G14" s="196" t="s">
        <v>2933</v>
      </c>
      <c r="H14" s="23"/>
      <c r="I14" s="37">
        <f ca="1">IFERROR(__xludf.DUMMYFUNCTION("""COMPUTED_VALUE"""),11)</f>
        <v>11</v>
      </c>
      <c r="J14" s="37">
        <f t="shared" ca="1" si="0"/>
        <v>1</v>
      </c>
      <c r="K14" s="5"/>
    </row>
    <row r="15" spans="1:11">
      <c r="A15" s="196" t="s">
        <v>2935</v>
      </c>
      <c r="B15" s="37">
        <v>3</v>
      </c>
      <c r="C15" s="37" t="s">
        <v>2936</v>
      </c>
      <c r="D15" s="71"/>
      <c r="E15" s="193"/>
      <c r="F15" s="37"/>
      <c r="G15" s="196" t="s">
        <v>2935</v>
      </c>
      <c r="H15" s="23"/>
      <c r="I15" s="37">
        <f ca="1">IFERROR(__xludf.DUMMYFUNCTION("""COMPUTED_VALUE"""),12)</f>
        <v>12</v>
      </c>
      <c r="J15" s="37">
        <f t="shared" ca="1" si="0"/>
        <v>4</v>
      </c>
      <c r="K15" s="5"/>
    </row>
    <row r="16" spans="1:11">
      <c r="A16" s="196" t="s">
        <v>2937</v>
      </c>
      <c r="B16" s="37">
        <v>3</v>
      </c>
      <c r="C16" s="37" t="s">
        <v>2938</v>
      </c>
      <c r="D16" s="71"/>
      <c r="E16" s="193"/>
      <c r="F16" s="37"/>
      <c r="G16" s="196" t="s">
        <v>2937</v>
      </c>
      <c r="H16" s="23"/>
      <c r="I16" s="37">
        <f ca="1">IFERROR(__xludf.DUMMYFUNCTION("""COMPUTED_VALUE"""),13)</f>
        <v>13</v>
      </c>
      <c r="J16" s="37">
        <f t="shared" ca="1" si="0"/>
        <v>3</v>
      </c>
      <c r="K16" s="5"/>
    </row>
    <row r="17" spans="1:11">
      <c r="A17" s="2" t="s">
        <v>2939</v>
      </c>
      <c r="B17" s="37">
        <v>3</v>
      </c>
      <c r="C17" s="37" t="s">
        <v>2940</v>
      </c>
      <c r="D17" s="71"/>
      <c r="E17" s="193"/>
      <c r="F17" s="37" t="b">
        <v>1</v>
      </c>
      <c r="G17" s="2" t="s">
        <v>2939</v>
      </c>
      <c r="H17" s="23"/>
      <c r="I17" s="37">
        <f ca="1">IFERROR(__xludf.DUMMYFUNCTION("""COMPUTED_VALUE"""),14)</f>
        <v>14</v>
      </c>
      <c r="J17" s="37">
        <f t="shared" ca="1" si="0"/>
        <v>1</v>
      </c>
      <c r="K17" s="5"/>
    </row>
    <row r="18" spans="1:11">
      <c r="A18" s="196" t="s">
        <v>2941</v>
      </c>
      <c r="B18" s="37">
        <v>4</v>
      </c>
      <c r="C18" s="37" t="s">
        <v>2942</v>
      </c>
      <c r="D18" s="71"/>
      <c r="E18" s="193" t="s">
        <v>2943</v>
      </c>
      <c r="F18" s="37"/>
      <c r="G18" s="196" t="s">
        <v>2941</v>
      </c>
      <c r="H18" s="23"/>
      <c r="I18" s="37">
        <f ca="1">IFERROR(__xludf.DUMMYFUNCTION("""COMPUTED_VALUE"""),15)</f>
        <v>15</v>
      </c>
      <c r="J18" s="37">
        <f t="shared" ca="1" si="0"/>
        <v>1</v>
      </c>
      <c r="K18" s="5"/>
    </row>
    <row r="19" spans="1:11">
      <c r="A19" s="196" t="s">
        <v>2944</v>
      </c>
      <c r="B19" s="37">
        <v>4</v>
      </c>
      <c r="C19" s="37" t="s">
        <v>2945</v>
      </c>
      <c r="D19" s="71"/>
      <c r="E19" s="193" t="s">
        <v>2946</v>
      </c>
      <c r="F19" s="37"/>
      <c r="G19" s="196" t="s">
        <v>2944</v>
      </c>
      <c r="H19" s="23"/>
      <c r="I19" s="37">
        <f ca="1">IFERROR(__xludf.DUMMYFUNCTION("""COMPUTED_VALUE"""),16)</f>
        <v>16</v>
      </c>
      <c r="J19" s="37">
        <f t="shared" ca="1" si="0"/>
        <v>1</v>
      </c>
      <c r="K19" s="5"/>
    </row>
    <row r="20" spans="1:11">
      <c r="A20" s="196" t="s">
        <v>2947</v>
      </c>
      <c r="B20" s="37">
        <v>4</v>
      </c>
      <c r="C20" s="37" t="s">
        <v>2948</v>
      </c>
      <c r="D20" s="71"/>
      <c r="E20" s="193" t="s">
        <v>2949</v>
      </c>
      <c r="F20" s="37"/>
      <c r="G20" s="196" t="s">
        <v>2947</v>
      </c>
      <c r="H20" s="23"/>
      <c r="I20" s="37">
        <f ca="1">IFERROR(__xludf.DUMMYFUNCTION("""COMPUTED_VALUE"""),18)</f>
        <v>18</v>
      </c>
      <c r="J20" s="37">
        <f t="shared" ca="1" si="0"/>
        <v>1</v>
      </c>
      <c r="K20" s="5"/>
    </row>
    <row r="21" spans="1:11">
      <c r="A21" s="196" t="s">
        <v>2950</v>
      </c>
      <c r="B21" s="37">
        <v>4</v>
      </c>
      <c r="C21" s="37" t="s">
        <v>2951</v>
      </c>
      <c r="D21" s="71"/>
      <c r="E21" s="193" t="s">
        <v>2952</v>
      </c>
      <c r="F21" s="37"/>
      <c r="G21" s="196" t="s">
        <v>2950</v>
      </c>
      <c r="H21" s="23"/>
      <c r="I21" s="37">
        <f ca="1">IFERROR(__xludf.DUMMYFUNCTION("""COMPUTED_VALUE"""),20)</f>
        <v>20</v>
      </c>
      <c r="J21" s="37">
        <f t="shared" ca="1" si="0"/>
        <v>1</v>
      </c>
      <c r="K21" s="5"/>
    </row>
    <row r="22" spans="1:11">
      <c r="A22" s="196" t="s">
        <v>2953</v>
      </c>
      <c r="B22" s="37">
        <v>4</v>
      </c>
      <c r="C22" s="37" t="s">
        <v>2954</v>
      </c>
      <c r="D22" s="71"/>
      <c r="E22" s="193" t="s">
        <v>2955</v>
      </c>
      <c r="F22" s="37"/>
      <c r="G22" s="196" t="s">
        <v>2953</v>
      </c>
      <c r="H22" s="23"/>
      <c r="I22" s="37">
        <f ca="1">IFERROR(__xludf.DUMMYFUNCTION("""COMPUTED_VALUE"""),21)</f>
        <v>21</v>
      </c>
      <c r="J22" s="37">
        <f t="shared" ca="1" si="0"/>
        <v>2</v>
      </c>
      <c r="K22" s="5"/>
    </row>
    <row r="23" spans="1:11">
      <c r="A23" s="192" t="s">
        <v>2956</v>
      </c>
      <c r="B23" s="37">
        <v>4</v>
      </c>
      <c r="C23" s="122" t="s">
        <v>2956</v>
      </c>
      <c r="D23" s="71"/>
      <c r="E23" s="193"/>
      <c r="F23" s="37"/>
      <c r="G23" s="192" t="s">
        <v>2956</v>
      </c>
      <c r="H23" s="23"/>
      <c r="I23" s="37">
        <f ca="1">IFERROR(__xludf.DUMMYFUNCTION("""COMPUTED_VALUE"""),22)</f>
        <v>22</v>
      </c>
      <c r="J23" s="37">
        <f t="shared" ca="1" si="0"/>
        <v>1</v>
      </c>
      <c r="K23" s="5"/>
    </row>
    <row r="24" spans="1:11">
      <c r="A24" s="196" t="s">
        <v>2957</v>
      </c>
      <c r="B24" s="37">
        <v>4</v>
      </c>
      <c r="C24" s="122" t="s">
        <v>2958</v>
      </c>
      <c r="D24" s="71"/>
      <c r="E24" s="193"/>
      <c r="F24" s="37"/>
      <c r="G24" s="196" t="s">
        <v>2957</v>
      </c>
      <c r="H24" s="23"/>
      <c r="I24" s="37">
        <f ca="1">IFERROR(__xludf.DUMMYFUNCTION("""COMPUTED_VALUE"""),25)</f>
        <v>25</v>
      </c>
      <c r="J24" s="37">
        <f t="shared" ca="1" si="0"/>
        <v>1</v>
      </c>
      <c r="K24" s="5"/>
    </row>
    <row r="25" spans="1:11">
      <c r="A25" s="196" t="s">
        <v>2959</v>
      </c>
      <c r="B25" s="37">
        <v>4</v>
      </c>
      <c r="C25" s="37" t="s">
        <v>2960</v>
      </c>
      <c r="D25" s="71"/>
      <c r="E25" s="193"/>
      <c r="F25" s="37"/>
      <c r="G25" s="196" t="s">
        <v>2959</v>
      </c>
      <c r="H25" s="23"/>
      <c r="I25" s="37">
        <f ca="1">IFERROR(__xludf.DUMMYFUNCTION("""COMPUTED_VALUE"""),30)</f>
        <v>30</v>
      </c>
      <c r="J25" s="37">
        <f t="shared" ca="1" si="0"/>
        <v>2</v>
      </c>
      <c r="K25" s="5"/>
    </row>
    <row r="26" spans="1:11">
      <c r="A26" s="196" t="s">
        <v>2961</v>
      </c>
      <c r="B26" s="37">
        <v>4</v>
      </c>
      <c r="C26" s="37" t="s">
        <v>2962</v>
      </c>
      <c r="D26" s="71"/>
      <c r="E26" s="193"/>
      <c r="F26" s="37"/>
      <c r="G26" s="196" t="s">
        <v>2961</v>
      </c>
      <c r="H26" s="23"/>
      <c r="I26" s="91">
        <f ca="1">IFERROR(__xludf.DUMMYFUNCTION("""COMPUTED_VALUE"""),200)</f>
        <v>200</v>
      </c>
      <c r="J26" s="37">
        <f t="shared" ca="1" si="0"/>
        <v>1</v>
      </c>
      <c r="K26" s="5"/>
    </row>
    <row r="27" spans="1:11">
      <c r="A27" s="196" t="s">
        <v>2963</v>
      </c>
      <c r="B27" s="37">
        <v>4</v>
      </c>
      <c r="C27" s="37" t="s">
        <v>2964</v>
      </c>
      <c r="D27" s="71"/>
      <c r="E27" s="193"/>
      <c r="F27" s="37"/>
      <c r="G27" s="196" t="s">
        <v>2963</v>
      </c>
      <c r="H27" s="23"/>
      <c r="I27" s="5"/>
      <c r="J27" s="23"/>
      <c r="K27" s="5"/>
    </row>
    <row r="28" spans="1:11">
      <c r="A28" s="196" t="s">
        <v>2965</v>
      </c>
      <c r="B28" s="37">
        <v>4</v>
      </c>
      <c r="C28" s="37" t="s">
        <v>2966</v>
      </c>
      <c r="D28" s="71"/>
      <c r="E28" s="193"/>
      <c r="F28" s="37"/>
      <c r="G28" s="196" t="s">
        <v>2965</v>
      </c>
      <c r="H28" s="23"/>
      <c r="I28" s="197" t="s">
        <v>675</v>
      </c>
      <c r="J28" s="194" t="s">
        <v>2912</v>
      </c>
      <c r="K28" s="1"/>
    </row>
    <row r="29" spans="1:11">
      <c r="A29" s="196" t="s">
        <v>2967</v>
      </c>
      <c r="B29" s="37">
        <v>4</v>
      </c>
      <c r="C29" s="37" t="s">
        <v>2968</v>
      </c>
      <c r="D29" s="71"/>
      <c r="E29" s="193"/>
      <c r="F29" s="37"/>
      <c r="G29" s="196" t="s">
        <v>2967</v>
      </c>
      <c r="H29" s="23"/>
      <c r="I29" s="160" t="s">
        <v>2082</v>
      </c>
      <c r="J29" s="10">
        <f>COUNTIF(Blessings!$D$3:$D$102,"")</f>
        <v>67</v>
      </c>
      <c r="K29" s="5"/>
    </row>
    <row r="30" spans="1:11">
      <c r="A30" s="196" t="s">
        <v>2969</v>
      </c>
      <c r="B30" s="37">
        <v>4</v>
      </c>
      <c r="C30" s="37" t="s">
        <v>2970</v>
      </c>
      <c r="D30" s="71"/>
      <c r="E30" s="193"/>
      <c r="F30" s="37"/>
      <c r="G30" s="196" t="s">
        <v>2969</v>
      </c>
      <c r="H30" s="23"/>
      <c r="I30" s="160" t="s">
        <v>682</v>
      </c>
      <c r="J30" s="10">
        <f>COUNTIF(Blessings!$D$3:$D$374,I30)</f>
        <v>8</v>
      </c>
      <c r="K30" s="5"/>
    </row>
    <row r="31" spans="1:11">
      <c r="A31" s="196" t="s">
        <v>2971</v>
      </c>
      <c r="B31" s="37">
        <v>4</v>
      </c>
      <c r="C31" s="37" t="s">
        <v>2972</v>
      </c>
      <c r="D31" s="71"/>
      <c r="E31" s="193"/>
      <c r="F31" s="37"/>
      <c r="G31" s="196" t="s">
        <v>2971</v>
      </c>
      <c r="H31" s="23"/>
      <c r="I31" s="160" t="s">
        <v>698</v>
      </c>
      <c r="J31" s="10">
        <f>COUNTIF(Blessings!$D$3:$D$374,I31)</f>
        <v>2</v>
      </c>
      <c r="K31" s="5"/>
    </row>
    <row r="32" spans="1:11">
      <c r="A32" s="196" t="s">
        <v>2973</v>
      </c>
      <c r="B32" s="37">
        <v>4</v>
      </c>
      <c r="C32" s="37" t="s">
        <v>2974</v>
      </c>
      <c r="D32" s="71"/>
      <c r="E32" s="193"/>
      <c r="F32" s="37"/>
      <c r="G32" s="196" t="s">
        <v>2973</v>
      </c>
      <c r="H32" s="23"/>
      <c r="I32" s="160" t="s">
        <v>2064</v>
      </c>
      <c r="J32" s="10">
        <f>COUNTIF(Blessings!$D$3:$D$374,I32)</f>
        <v>262</v>
      </c>
      <c r="K32" s="5"/>
    </row>
    <row r="33" spans="1:11">
      <c r="A33" s="196" t="s">
        <v>2975</v>
      </c>
      <c r="B33" s="37">
        <v>4</v>
      </c>
      <c r="C33" s="37" t="s">
        <v>2976</v>
      </c>
      <c r="D33" s="71"/>
      <c r="E33" s="193"/>
      <c r="F33" s="37"/>
      <c r="G33" s="196" t="s">
        <v>2975</v>
      </c>
      <c r="H33" s="23"/>
      <c r="I33" s="160" t="s">
        <v>722</v>
      </c>
      <c r="J33" s="10">
        <f>COUNTIF(Blessings!$D$3:$D$374,I33)</f>
        <v>3</v>
      </c>
      <c r="K33" s="5"/>
    </row>
    <row r="34" spans="1:11">
      <c r="A34" s="196" t="s">
        <v>2977</v>
      </c>
      <c r="B34" s="37">
        <v>4</v>
      </c>
      <c r="C34" s="37" t="s">
        <v>2978</v>
      </c>
      <c r="D34" s="71"/>
      <c r="E34" s="193"/>
      <c r="F34" s="37"/>
      <c r="G34" s="196" t="s">
        <v>2977</v>
      </c>
      <c r="H34" s="23"/>
      <c r="I34" s="160" t="s">
        <v>2099</v>
      </c>
      <c r="J34" s="10">
        <f>COUNTIF(Blessings!$D$3:$D$374,I34)</f>
        <v>24</v>
      </c>
      <c r="K34" s="5"/>
    </row>
    <row r="35" spans="1:11">
      <c r="A35" s="196" t="s">
        <v>2979</v>
      </c>
      <c r="B35" s="37">
        <v>4</v>
      </c>
      <c r="C35" s="37" t="s">
        <v>2980</v>
      </c>
      <c r="D35" s="71"/>
      <c r="E35" s="193"/>
      <c r="F35" s="37"/>
      <c r="G35" s="196" t="s">
        <v>2979</v>
      </c>
      <c r="H35" s="23"/>
      <c r="I35" s="160" t="s">
        <v>727</v>
      </c>
      <c r="J35" s="10">
        <f>COUNTIF(Blessings!$D$3:$D$374,I35)</f>
        <v>4</v>
      </c>
      <c r="K35" s="5"/>
    </row>
    <row r="36" spans="1:11">
      <c r="A36" s="196" t="s">
        <v>2981</v>
      </c>
      <c r="B36" s="37">
        <v>4</v>
      </c>
      <c r="C36" s="37" t="s">
        <v>2982</v>
      </c>
      <c r="D36" s="71"/>
      <c r="E36" s="193"/>
      <c r="F36" s="37"/>
      <c r="G36" s="196" t="s">
        <v>2981</v>
      </c>
      <c r="H36" s="23"/>
      <c r="I36" s="5"/>
      <c r="K36" s="89"/>
    </row>
    <row r="37" spans="1:11">
      <c r="A37" s="196" t="s">
        <v>2983</v>
      </c>
      <c r="B37" s="37">
        <v>4</v>
      </c>
      <c r="C37" s="37" t="s">
        <v>2984</v>
      </c>
      <c r="D37" s="71"/>
      <c r="E37" s="193"/>
      <c r="F37" s="37"/>
      <c r="G37" s="196" t="s">
        <v>2983</v>
      </c>
      <c r="H37" s="23"/>
      <c r="I37" s="5"/>
      <c r="K37" s="89"/>
    </row>
    <row r="38" spans="1:11">
      <c r="A38" s="196" t="s">
        <v>2985</v>
      </c>
      <c r="B38" s="37">
        <v>4</v>
      </c>
      <c r="C38" s="37" t="s">
        <v>2986</v>
      </c>
      <c r="D38" s="71"/>
      <c r="E38" s="193"/>
      <c r="F38" s="37"/>
      <c r="G38" s="196" t="s">
        <v>2985</v>
      </c>
      <c r="H38" s="23"/>
      <c r="I38" s="5"/>
      <c r="J38" s="5"/>
      <c r="K38" s="5"/>
    </row>
    <row r="39" spans="1:11">
      <c r="A39" s="196" t="s">
        <v>2987</v>
      </c>
      <c r="B39" s="37">
        <v>4</v>
      </c>
      <c r="C39" s="37" t="s">
        <v>2988</v>
      </c>
      <c r="D39" s="71"/>
      <c r="E39" s="193"/>
      <c r="F39" s="37"/>
      <c r="G39" s="196" t="s">
        <v>2987</v>
      </c>
      <c r="H39" s="23"/>
      <c r="I39" s="5"/>
      <c r="J39" s="5"/>
      <c r="K39" s="5"/>
    </row>
    <row r="40" spans="1:11">
      <c r="A40" s="196" t="s">
        <v>2989</v>
      </c>
      <c r="B40" s="37">
        <v>4</v>
      </c>
      <c r="C40" s="37" t="s">
        <v>2990</v>
      </c>
      <c r="D40" s="71"/>
      <c r="E40" s="193"/>
      <c r="F40" s="37"/>
      <c r="G40" s="196" t="s">
        <v>2989</v>
      </c>
      <c r="H40" s="23"/>
      <c r="I40" s="5"/>
      <c r="J40" s="23"/>
      <c r="K40" s="5"/>
    </row>
    <row r="41" spans="1:11">
      <c r="A41" s="196" t="s">
        <v>2991</v>
      </c>
      <c r="B41" s="37">
        <v>4</v>
      </c>
      <c r="C41" s="37" t="s">
        <v>2992</v>
      </c>
      <c r="D41" s="71"/>
      <c r="E41" s="193"/>
      <c r="F41" s="37"/>
      <c r="G41" s="196" t="s">
        <v>2991</v>
      </c>
      <c r="H41" s="23"/>
      <c r="I41" s="5"/>
      <c r="J41" s="23"/>
      <c r="K41" s="5"/>
    </row>
    <row r="42" spans="1:11">
      <c r="A42" s="196" t="s">
        <v>2993</v>
      </c>
      <c r="B42" s="37">
        <v>4</v>
      </c>
      <c r="C42" s="37" t="s">
        <v>2994</v>
      </c>
      <c r="D42" s="71" t="s">
        <v>2064</v>
      </c>
      <c r="E42" s="193"/>
      <c r="F42" s="37"/>
      <c r="G42" s="196" t="s">
        <v>2993</v>
      </c>
      <c r="H42" s="23"/>
      <c r="I42" s="5"/>
      <c r="J42" s="23"/>
      <c r="K42" s="5"/>
    </row>
    <row r="43" spans="1:11">
      <c r="A43" s="196" t="s">
        <v>2995</v>
      </c>
      <c r="B43" s="37">
        <v>4</v>
      </c>
      <c r="C43" s="37" t="s">
        <v>2996</v>
      </c>
      <c r="D43" s="71" t="s">
        <v>727</v>
      </c>
      <c r="E43" s="193"/>
      <c r="F43" s="37"/>
      <c r="G43" s="196" t="s">
        <v>2995</v>
      </c>
      <c r="H43" s="23"/>
      <c r="I43" s="5"/>
      <c r="J43" s="23"/>
      <c r="K43" s="5"/>
    </row>
    <row r="44" spans="1:11">
      <c r="A44" s="196" t="s">
        <v>2997</v>
      </c>
      <c r="B44" s="37">
        <v>4</v>
      </c>
      <c r="C44" s="37" t="s">
        <v>2998</v>
      </c>
      <c r="D44" s="71" t="s">
        <v>727</v>
      </c>
      <c r="E44" s="193"/>
      <c r="F44" s="37"/>
      <c r="G44" s="196" t="s">
        <v>2997</v>
      </c>
      <c r="H44" s="23"/>
      <c r="I44" s="5"/>
      <c r="J44" s="23"/>
      <c r="K44" s="5"/>
    </row>
    <row r="45" spans="1:11">
      <c r="A45" s="196" t="s">
        <v>2999</v>
      </c>
      <c r="B45" s="37">
        <v>5</v>
      </c>
      <c r="C45" s="37" t="s">
        <v>3000</v>
      </c>
      <c r="D45" s="71"/>
      <c r="E45" s="193"/>
      <c r="F45" s="37"/>
      <c r="G45" s="196" t="s">
        <v>2999</v>
      </c>
      <c r="H45" s="23"/>
      <c r="I45" s="5"/>
      <c r="J45" s="23"/>
      <c r="K45" s="5"/>
    </row>
    <row r="46" spans="1:11">
      <c r="A46" s="196" t="s">
        <v>3001</v>
      </c>
      <c r="B46" s="37">
        <v>5</v>
      </c>
      <c r="C46" s="37" t="s">
        <v>3002</v>
      </c>
      <c r="D46" s="71"/>
      <c r="E46" s="193"/>
      <c r="F46" s="37"/>
      <c r="G46" s="196" t="s">
        <v>3001</v>
      </c>
      <c r="H46" s="23"/>
      <c r="I46" s="5"/>
      <c r="J46" s="23"/>
      <c r="K46" s="5"/>
    </row>
    <row r="47" spans="1:11">
      <c r="A47" s="196" t="s">
        <v>236</v>
      </c>
      <c r="B47" s="37">
        <v>5</v>
      </c>
      <c r="C47" s="37" t="s">
        <v>3003</v>
      </c>
      <c r="D47" s="71"/>
      <c r="E47" s="193"/>
      <c r="F47" s="37"/>
      <c r="G47" s="196" t="s">
        <v>236</v>
      </c>
      <c r="H47" s="23"/>
      <c r="I47" s="5"/>
      <c r="J47" s="23"/>
      <c r="K47" s="5"/>
    </row>
    <row r="48" spans="1:11">
      <c r="A48" s="196" t="s">
        <v>3004</v>
      </c>
      <c r="B48" s="37">
        <v>5</v>
      </c>
      <c r="C48" s="37" t="s">
        <v>3005</v>
      </c>
      <c r="D48" s="71" t="s">
        <v>698</v>
      </c>
      <c r="E48" s="193"/>
      <c r="F48" s="37"/>
      <c r="G48" s="196" t="s">
        <v>3004</v>
      </c>
      <c r="H48" s="23"/>
      <c r="I48" s="5"/>
      <c r="J48" s="23"/>
      <c r="K48" s="5"/>
    </row>
    <row r="49" spans="1:11">
      <c r="A49" s="196" t="s">
        <v>3006</v>
      </c>
      <c r="B49" s="37">
        <v>5</v>
      </c>
      <c r="C49" s="37" t="s">
        <v>3007</v>
      </c>
      <c r="D49" s="71" t="s">
        <v>722</v>
      </c>
      <c r="E49" s="193"/>
      <c r="F49" s="37"/>
      <c r="G49" s="196" t="s">
        <v>3006</v>
      </c>
      <c r="H49" s="23"/>
      <c r="I49" s="5"/>
      <c r="J49" s="23"/>
      <c r="K49" s="5"/>
    </row>
    <row r="50" spans="1:11">
      <c r="A50" s="196" t="s">
        <v>3008</v>
      </c>
      <c r="B50" s="37">
        <v>6</v>
      </c>
      <c r="C50" s="37" t="s">
        <v>3009</v>
      </c>
      <c r="D50" s="71"/>
      <c r="E50" s="193"/>
      <c r="F50" s="37"/>
      <c r="G50" s="196" t="s">
        <v>3008</v>
      </c>
      <c r="H50" s="23"/>
      <c r="I50" s="5"/>
      <c r="J50" s="23"/>
      <c r="K50" s="5"/>
    </row>
    <row r="51" spans="1:11">
      <c r="A51" s="196" t="s">
        <v>3010</v>
      </c>
      <c r="B51" s="37">
        <v>6</v>
      </c>
      <c r="C51" s="37" t="s">
        <v>3011</v>
      </c>
      <c r="D51" s="71"/>
      <c r="E51" s="193"/>
      <c r="F51" s="37"/>
      <c r="G51" s="196" t="s">
        <v>3010</v>
      </c>
      <c r="H51" s="23"/>
      <c r="I51" s="5"/>
      <c r="J51" s="23"/>
      <c r="K51" s="5"/>
    </row>
    <row r="52" spans="1:11">
      <c r="A52" s="196" t="s">
        <v>3012</v>
      </c>
      <c r="B52" s="37">
        <v>6</v>
      </c>
      <c r="C52" s="37" t="s">
        <v>3013</v>
      </c>
      <c r="D52" s="71"/>
      <c r="E52" s="193"/>
      <c r="F52" s="37"/>
      <c r="G52" s="196" t="s">
        <v>3012</v>
      </c>
      <c r="H52" s="23"/>
      <c r="I52" s="5"/>
      <c r="J52" s="23"/>
      <c r="K52" s="5"/>
    </row>
    <row r="53" spans="1:11">
      <c r="A53" s="196" t="s">
        <v>3014</v>
      </c>
      <c r="B53" s="37">
        <v>6</v>
      </c>
      <c r="C53" s="37" t="s">
        <v>3015</v>
      </c>
      <c r="D53" s="71"/>
      <c r="E53" s="193"/>
      <c r="F53" s="37"/>
      <c r="G53" s="196" t="s">
        <v>3014</v>
      </c>
      <c r="H53" s="23"/>
      <c r="I53" s="5"/>
      <c r="J53" s="23"/>
      <c r="K53" s="5"/>
    </row>
    <row r="54" spans="1:11">
      <c r="A54" s="196" t="s">
        <v>3016</v>
      </c>
      <c r="B54" s="37">
        <v>6</v>
      </c>
      <c r="C54" s="37" t="s">
        <v>3017</v>
      </c>
      <c r="D54" s="71"/>
      <c r="E54" s="193"/>
      <c r="F54" s="37"/>
      <c r="G54" s="196" t="s">
        <v>3016</v>
      </c>
      <c r="H54" s="23"/>
      <c r="I54" s="5"/>
      <c r="J54" s="23"/>
      <c r="K54" s="5"/>
    </row>
    <row r="55" spans="1:11">
      <c r="A55" s="196" t="s">
        <v>3018</v>
      </c>
      <c r="B55" s="37">
        <v>6</v>
      </c>
      <c r="C55" s="37" t="s">
        <v>3019</v>
      </c>
      <c r="D55" s="71" t="s">
        <v>2064</v>
      </c>
      <c r="E55" s="193"/>
      <c r="F55" s="37"/>
      <c r="G55" s="196" t="s">
        <v>3020</v>
      </c>
      <c r="H55" s="23"/>
      <c r="I55" s="5"/>
      <c r="J55" s="23"/>
      <c r="K55" s="5"/>
    </row>
    <row r="56" spans="1:11">
      <c r="A56" s="196" t="s">
        <v>3021</v>
      </c>
      <c r="B56" s="37">
        <v>6</v>
      </c>
      <c r="C56" s="37" t="s">
        <v>3022</v>
      </c>
      <c r="D56" s="71"/>
      <c r="E56" s="193"/>
      <c r="F56" s="37"/>
      <c r="G56" s="196" t="s">
        <v>3021</v>
      </c>
      <c r="H56" s="23"/>
      <c r="I56" s="5"/>
      <c r="J56" s="23"/>
      <c r="K56" s="5"/>
    </row>
    <row r="57" spans="1:11">
      <c r="A57" s="196" t="s">
        <v>3023</v>
      </c>
      <c r="B57" s="37">
        <v>6</v>
      </c>
      <c r="C57" s="37" t="s">
        <v>3024</v>
      </c>
      <c r="D57" s="71" t="s">
        <v>727</v>
      </c>
      <c r="E57" s="193"/>
      <c r="F57" s="37"/>
      <c r="G57" s="196" t="s">
        <v>3023</v>
      </c>
      <c r="H57" s="23"/>
      <c r="I57" s="5"/>
      <c r="J57" s="23"/>
      <c r="K57" s="5"/>
    </row>
    <row r="58" spans="1:11">
      <c r="A58" s="2" t="s">
        <v>3025</v>
      </c>
      <c r="B58" s="37">
        <v>6</v>
      </c>
      <c r="C58" s="37" t="s">
        <v>3026</v>
      </c>
      <c r="D58" s="71"/>
      <c r="E58" s="193"/>
      <c r="F58" s="37" t="b">
        <v>1</v>
      </c>
      <c r="G58" s="2" t="s">
        <v>3025</v>
      </c>
      <c r="H58" s="23"/>
      <c r="I58" s="5"/>
      <c r="J58" s="23"/>
      <c r="K58" s="5"/>
    </row>
    <row r="59" spans="1:11">
      <c r="A59" s="196" t="s">
        <v>3027</v>
      </c>
      <c r="B59" s="37">
        <v>7</v>
      </c>
      <c r="C59" s="37" t="s">
        <v>3028</v>
      </c>
      <c r="D59" s="71"/>
      <c r="E59" s="193"/>
      <c r="F59" s="37"/>
      <c r="G59" s="196" t="s">
        <v>3027</v>
      </c>
      <c r="H59" s="23"/>
      <c r="I59" s="5"/>
      <c r="J59" s="23"/>
      <c r="K59" s="5"/>
    </row>
    <row r="60" spans="1:11">
      <c r="A60" s="196" t="s">
        <v>3029</v>
      </c>
      <c r="B60" s="37">
        <v>7</v>
      </c>
      <c r="C60" s="37" t="s">
        <v>3030</v>
      </c>
      <c r="D60" s="71" t="s">
        <v>682</v>
      </c>
      <c r="E60" s="193"/>
      <c r="F60" s="37"/>
      <c r="G60" s="196" t="s">
        <v>3029</v>
      </c>
      <c r="H60" s="23"/>
      <c r="I60" s="5"/>
      <c r="J60" s="23"/>
      <c r="K60" s="5"/>
    </row>
    <row r="61" spans="1:11">
      <c r="A61" s="196" t="s">
        <v>3031</v>
      </c>
      <c r="B61" s="37">
        <v>7</v>
      </c>
      <c r="C61" s="37" t="s">
        <v>3032</v>
      </c>
      <c r="D61" s="71" t="s">
        <v>682</v>
      </c>
      <c r="E61" s="193"/>
      <c r="F61" s="37"/>
      <c r="G61" s="196" t="s">
        <v>3031</v>
      </c>
      <c r="H61" s="23"/>
      <c r="I61" s="5"/>
      <c r="J61" s="23"/>
      <c r="K61" s="5"/>
    </row>
    <row r="62" spans="1:11">
      <c r="A62" s="196" t="s">
        <v>3033</v>
      </c>
      <c r="B62" s="37">
        <v>7</v>
      </c>
      <c r="C62" s="37" t="s">
        <v>3034</v>
      </c>
      <c r="D62" s="71" t="s">
        <v>682</v>
      </c>
      <c r="E62" s="193"/>
      <c r="F62" s="37"/>
      <c r="G62" s="196" t="s">
        <v>3033</v>
      </c>
      <c r="H62" s="23"/>
      <c r="I62" s="5"/>
      <c r="J62" s="23"/>
      <c r="K62" s="5"/>
    </row>
    <row r="63" spans="1:11">
      <c r="A63" s="196" t="s">
        <v>3035</v>
      </c>
      <c r="B63" s="37">
        <v>7</v>
      </c>
      <c r="C63" s="37" t="s">
        <v>3036</v>
      </c>
      <c r="D63" s="71"/>
      <c r="E63" s="193"/>
      <c r="F63" s="37"/>
      <c r="G63" s="196" t="s">
        <v>3035</v>
      </c>
      <c r="H63" s="23"/>
      <c r="I63" s="5"/>
      <c r="J63" s="23"/>
      <c r="K63" s="5"/>
    </row>
    <row r="64" spans="1:11">
      <c r="A64" s="192" t="s">
        <v>3037</v>
      </c>
      <c r="B64" s="37">
        <v>7</v>
      </c>
      <c r="C64" s="37" t="s">
        <v>3038</v>
      </c>
      <c r="D64" s="71"/>
      <c r="E64" s="193"/>
      <c r="F64" s="37"/>
      <c r="G64" s="192" t="s">
        <v>3037</v>
      </c>
      <c r="H64" s="23"/>
      <c r="I64" s="5"/>
      <c r="J64" s="23"/>
      <c r="K64" s="5"/>
    </row>
    <row r="65" spans="1:11">
      <c r="A65" s="196" t="s">
        <v>3039</v>
      </c>
      <c r="B65" s="37">
        <v>7</v>
      </c>
      <c r="C65" s="37" t="s">
        <v>3040</v>
      </c>
      <c r="D65" s="71"/>
      <c r="E65" s="193"/>
      <c r="F65" s="37"/>
      <c r="G65" s="196" t="s">
        <v>3039</v>
      </c>
      <c r="H65" s="23"/>
      <c r="I65" s="5"/>
      <c r="J65" s="23"/>
      <c r="K65" s="5"/>
    </row>
    <row r="66" spans="1:11">
      <c r="A66" s="192" t="s">
        <v>3041</v>
      </c>
      <c r="B66" s="37">
        <v>7</v>
      </c>
      <c r="C66" s="122" t="s">
        <v>3042</v>
      </c>
      <c r="D66" s="71"/>
      <c r="E66" s="193"/>
      <c r="F66" s="37"/>
      <c r="G66" s="192" t="s">
        <v>3041</v>
      </c>
      <c r="H66" s="23"/>
      <c r="I66" s="5"/>
      <c r="J66" s="23"/>
      <c r="K66" s="5"/>
    </row>
    <row r="67" spans="1:11">
      <c r="A67" s="2" t="s">
        <v>3043</v>
      </c>
      <c r="B67" s="37">
        <v>8</v>
      </c>
      <c r="C67" s="37" t="s">
        <v>3044</v>
      </c>
      <c r="D67" s="71"/>
      <c r="E67" s="193"/>
      <c r="F67" s="37"/>
      <c r="G67" s="2" t="s">
        <v>3043</v>
      </c>
      <c r="H67" s="23"/>
      <c r="I67" s="5"/>
      <c r="J67" s="23"/>
      <c r="K67" s="5"/>
    </row>
    <row r="68" spans="1:11">
      <c r="A68" s="196" t="s">
        <v>2946</v>
      </c>
      <c r="B68" s="37">
        <v>8</v>
      </c>
      <c r="C68" s="37" t="s">
        <v>3045</v>
      </c>
      <c r="D68" s="71"/>
      <c r="E68" s="193"/>
      <c r="F68" s="37"/>
      <c r="G68" s="196" t="s">
        <v>2946</v>
      </c>
      <c r="H68" s="23"/>
      <c r="I68" s="5"/>
      <c r="J68" s="23"/>
      <c r="K68" s="5"/>
    </row>
    <row r="69" spans="1:11">
      <c r="A69" s="196" t="s">
        <v>2949</v>
      </c>
      <c r="B69" s="37">
        <v>8</v>
      </c>
      <c r="C69" s="37" t="s">
        <v>3046</v>
      </c>
      <c r="D69" s="71"/>
      <c r="E69" s="193"/>
      <c r="F69" s="37"/>
      <c r="G69" s="196" t="s">
        <v>2949</v>
      </c>
      <c r="H69" s="23"/>
      <c r="I69" s="5"/>
      <c r="J69" s="23"/>
      <c r="K69" s="5"/>
    </row>
    <row r="70" spans="1:11">
      <c r="A70" s="196" t="s">
        <v>2952</v>
      </c>
      <c r="B70" s="37">
        <v>8</v>
      </c>
      <c r="C70" s="37" t="s">
        <v>3047</v>
      </c>
      <c r="D70" s="71"/>
      <c r="E70" s="193"/>
      <c r="F70" s="37"/>
      <c r="G70" s="196" t="s">
        <v>2952</v>
      </c>
      <c r="H70" s="23"/>
      <c r="I70" s="5"/>
      <c r="J70" s="23"/>
      <c r="K70" s="5"/>
    </row>
    <row r="71" spans="1:11">
      <c r="A71" s="196" t="s">
        <v>2955</v>
      </c>
      <c r="B71" s="37">
        <v>8</v>
      </c>
      <c r="C71" s="37" t="s">
        <v>3048</v>
      </c>
      <c r="D71" s="71"/>
      <c r="E71" s="193"/>
      <c r="F71" s="37"/>
      <c r="G71" s="196" t="s">
        <v>2955</v>
      </c>
      <c r="H71" s="23"/>
      <c r="I71" s="5"/>
      <c r="J71" s="23"/>
      <c r="K71" s="5"/>
    </row>
    <row r="72" spans="1:11">
      <c r="A72" s="196" t="s">
        <v>3049</v>
      </c>
      <c r="B72" s="37">
        <v>8</v>
      </c>
      <c r="C72" s="37" t="s">
        <v>3050</v>
      </c>
      <c r="D72" s="71" t="s">
        <v>682</v>
      </c>
      <c r="E72" s="193"/>
      <c r="F72" s="37"/>
      <c r="G72" s="196" t="s">
        <v>3049</v>
      </c>
      <c r="H72" s="23"/>
      <c r="I72" s="5"/>
      <c r="J72" s="23"/>
      <c r="K72" s="5"/>
    </row>
    <row r="73" spans="1:11">
      <c r="A73" s="196" t="s">
        <v>3051</v>
      </c>
      <c r="B73" s="37">
        <v>8</v>
      </c>
      <c r="C73" s="37" t="s">
        <v>3052</v>
      </c>
      <c r="D73" s="71" t="s">
        <v>2064</v>
      </c>
      <c r="E73" s="193"/>
      <c r="F73" s="37"/>
      <c r="G73" s="196" t="s">
        <v>3051</v>
      </c>
      <c r="H73" s="23"/>
      <c r="I73" s="5"/>
      <c r="J73" s="23"/>
      <c r="K73" s="5"/>
    </row>
    <row r="74" spans="1:11">
      <c r="A74" s="196" t="s">
        <v>3053</v>
      </c>
      <c r="B74" s="37">
        <v>8</v>
      </c>
      <c r="C74" s="37" t="s">
        <v>3054</v>
      </c>
      <c r="D74" s="71" t="s">
        <v>2064</v>
      </c>
      <c r="E74" s="193"/>
      <c r="F74" s="37"/>
      <c r="G74" s="196" t="s">
        <v>3053</v>
      </c>
      <c r="H74" s="23"/>
      <c r="I74" s="5"/>
      <c r="J74" s="23"/>
      <c r="K74" s="5"/>
    </row>
    <row r="75" spans="1:11">
      <c r="A75" s="196" t="s">
        <v>3055</v>
      </c>
      <c r="B75" s="37">
        <v>8</v>
      </c>
      <c r="C75" s="37" t="s">
        <v>3056</v>
      </c>
      <c r="D75" s="71" t="s">
        <v>2064</v>
      </c>
      <c r="E75" s="193"/>
      <c r="F75" s="37"/>
      <c r="G75" s="196" t="s">
        <v>3055</v>
      </c>
      <c r="H75" s="23"/>
      <c r="I75" s="5"/>
      <c r="J75" s="23"/>
      <c r="K75" s="5"/>
    </row>
    <row r="76" spans="1:11">
      <c r="A76" s="196" t="s">
        <v>3057</v>
      </c>
      <c r="B76" s="37">
        <v>8</v>
      </c>
      <c r="C76" s="37" t="s">
        <v>3058</v>
      </c>
      <c r="D76" s="71" t="s">
        <v>2064</v>
      </c>
      <c r="E76" s="193"/>
      <c r="F76" s="37"/>
      <c r="G76" s="196" t="s">
        <v>3057</v>
      </c>
      <c r="H76" s="23"/>
      <c r="I76" s="5"/>
      <c r="J76" s="23"/>
      <c r="K76" s="5"/>
    </row>
    <row r="77" spans="1:11">
      <c r="A77" s="196" t="s">
        <v>3059</v>
      </c>
      <c r="B77" s="37">
        <v>8</v>
      </c>
      <c r="C77" s="37" t="s">
        <v>3060</v>
      </c>
      <c r="D77" s="71" t="s">
        <v>727</v>
      </c>
      <c r="E77" s="193"/>
      <c r="F77" s="37"/>
      <c r="G77" s="196" t="s">
        <v>3059</v>
      </c>
      <c r="H77" s="23"/>
      <c r="I77" s="5"/>
      <c r="J77" s="23"/>
      <c r="K77" s="5"/>
    </row>
    <row r="78" spans="1:11">
      <c r="A78" s="196" t="s">
        <v>3061</v>
      </c>
      <c r="B78" s="37">
        <v>8</v>
      </c>
      <c r="C78" s="37" t="s">
        <v>3062</v>
      </c>
      <c r="D78" s="71"/>
      <c r="E78" s="193"/>
      <c r="F78" s="37"/>
      <c r="G78" s="196" t="s">
        <v>3061</v>
      </c>
      <c r="H78" s="23"/>
      <c r="I78" s="5"/>
      <c r="J78" s="23"/>
      <c r="K78" s="5"/>
    </row>
    <row r="79" spans="1:11">
      <c r="A79" s="196" t="s">
        <v>3063</v>
      </c>
      <c r="B79" s="37">
        <v>9</v>
      </c>
      <c r="C79" s="37" t="s">
        <v>3064</v>
      </c>
      <c r="D79" s="71"/>
      <c r="E79" s="193"/>
      <c r="F79" s="37"/>
      <c r="G79" s="196" t="s">
        <v>3063</v>
      </c>
      <c r="H79" s="23"/>
      <c r="I79" s="5"/>
      <c r="J79" s="23"/>
      <c r="K79" s="5"/>
    </row>
    <row r="80" spans="1:11">
      <c r="A80" s="196" t="s">
        <v>3065</v>
      </c>
      <c r="B80" s="37">
        <v>9</v>
      </c>
      <c r="C80" s="37" t="s">
        <v>3066</v>
      </c>
      <c r="D80" s="71"/>
      <c r="E80" s="193"/>
      <c r="F80" s="37"/>
      <c r="G80" s="196" t="s">
        <v>3065</v>
      </c>
      <c r="H80" s="23"/>
      <c r="I80" s="5"/>
      <c r="J80" s="23"/>
      <c r="K80" s="5"/>
    </row>
    <row r="81" spans="1:11">
      <c r="A81" s="196" t="s">
        <v>3067</v>
      </c>
      <c r="B81" s="37">
        <v>10</v>
      </c>
      <c r="C81" s="37" t="s">
        <v>3068</v>
      </c>
      <c r="D81" s="71" t="s">
        <v>2064</v>
      </c>
      <c r="E81" s="193"/>
      <c r="F81" s="37"/>
      <c r="G81" s="196" t="s">
        <v>3067</v>
      </c>
      <c r="H81" s="23"/>
      <c r="I81" s="5"/>
      <c r="J81" s="23"/>
      <c r="K81" s="5"/>
    </row>
    <row r="82" spans="1:11">
      <c r="A82" s="196" t="s">
        <v>3069</v>
      </c>
      <c r="B82" s="37">
        <v>10</v>
      </c>
      <c r="C82" s="37" t="s">
        <v>3070</v>
      </c>
      <c r="D82" s="71" t="s">
        <v>2064</v>
      </c>
      <c r="E82" s="193"/>
      <c r="F82" s="37"/>
      <c r="G82" s="196" t="s">
        <v>3069</v>
      </c>
      <c r="H82" s="23"/>
      <c r="I82" s="5"/>
      <c r="J82" s="23"/>
      <c r="K82" s="5"/>
    </row>
    <row r="83" spans="1:11">
      <c r="A83" s="196" t="s">
        <v>3071</v>
      </c>
      <c r="B83" s="37">
        <v>11</v>
      </c>
      <c r="C83" s="37" t="s">
        <v>3072</v>
      </c>
      <c r="D83" s="71" t="s">
        <v>2064</v>
      </c>
      <c r="E83" s="193"/>
      <c r="F83" s="37"/>
      <c r="G83" s="196" t="s">
        <v>3071</v>
      </c>
      <c r="H83" s="23"/>
      <c r="I83" s="5"/>
      <c r="J83" s="23"/>
      <c r="K83" s="5"/>
    </row>
    <row r="84" spans="1:11">
      <c r="A84" s="196" t="s">
        <v>3073</v>
      </c>
      <c r="B84" s="37">
        <v>12</v>
      </c>
      <c r="C84" s="37" t="s">
        <v>3074</v>
      </c>
      <c r="D84" s="71"/>
      <c r="E84" s="193"/>
      <c r="F84" s="37"/>
      <c r="G84" s="196" t="s">
        <v>3073</v>
      </c>
      <c r="H84" s="23"/>
      <c r="I84" s="5"/>
      <c r="J84" s="23"/>
      <c r="K84" s="5"/>
    </row>
    <row r="85" spans="1:11">
      <c r="A85" s="196" t="s">
        <v>3075</v>
      </c>
      <c r="B85" s="37">
        <v>12</v>
      </c>
      <c r="C85" s="37" t="s">
        <v>3076</v>
      </c>
      <c r="D85" s="71" t="s">
        <v>682</v>
      </c>
      <c r="E85" s="193"/>
      <c r="F85" s="37"/>
      <c r="G85" s="196" t="s">
        <v>3075</v>
      </c>
      <c r="H85" s="23"/>
      <c r="I85" s="5"/>
      <c r="J85" s="23"/>
      <c r="K85" s="5"/>
    </row>
    <row r="86" spans="1:11">
      <c r="A86" s="196" t="s">
        <v>3077</v>
      </c>
      <c r="B86" s="37">
        <v>12</v>
      </c>
      <c r="C86" s="37" t="s">
        <v>3078</v>
      </c>
      <c r="D86" s="71" t="s">
        <v>2064</v>
      </c>
      <c r="E86" s="193"/>
      <c r="F86" s="37"/>
      <c r="G86" s="196" t="s">
        <v>3077</v>
      </c>
      <c r="H86" s="23"/>
      <c r="I86" s="5"/>
      <c r="J86" s="23"/>
      <c r="K86" s="5"/>
    </row>
    <row r="87" spans="1:11">
      <c r="A87" s="196" t="s">
        <v>3079</v>
      </c>
      <c r="B87" s="37">
        <v>12</v>
      </c>
      <c r="C87" s="37" t="s">
        <v>3080</v>
      </c>
      <c r="D87" s="71" t="s">
        <v>722</v>
      </c>
      <c r="E87" s="193"/>
      <c r="F87" s="37"/>
      <c r="G87" s="196" t="s">
        <v>3079</v>
      </c>
      <c r="H87" s="23"/>
      <c r="I87" s="5"/>
      <c r="J87" s="23"/>
      <c r="K87" s="5"/>
    </row>
    <row r="88" spans="1:11">
      <c r="A88" s="196" t="s">
        <v>3081</v>
      </c>
      <c r="B88" s="37">
        <v>13</v>
      </c>
      <c r="C88" s="37" t="s">
        <v>3082</v>
      </c>
      <c r="D88" s="71"/>
      <c r="E88" s="193"/>
      <c r="F88" s="37"/>
      <c r="G88" s="196" t="s">
        <v>3081</v>
      </c>
      <c r="H88" s="23"/>
      <c r="I88" s="5"/>
      <c r="J88" s="23"/>
      <c r="K88" s="5"/>
    </row>
    <row r="89" spans="1:11">
      <c r="A89" s="196" t="s">
        <v>3083</v>
      </c>
      <c r="B89" s="37">
        <v>13</v>
      </c>
      <c r="C89" s="37" t="s">
        <v>3084</v>
      </c>
      <c r="D89" s="71"/>
      <c r="E89" s="193"/>
      <c r="F89" s="37"/>
      <c r="G89" s="196" t="s">
        <v>3083</v>
      </c>
      <c r="H89" s="23"/>
      <c r="I89" s="5"/>
      <c r="J89" s="23"/>
      <c r="K89" s="5"/>
    </row>
    <row r="90" spans="1:11">
      <c r="A90" s="196" t="s">
        <v>3085</v>
      </c>
      <c r="B90" s="37">
        <v>13</v>
      </c>
      <c r="C90" s="37" t="s">
        <v>3086</v>
      </c>
      <c r="D90" s="71" t="s">
        <v>2064</v>
      </c>
      <c r="E90" s="193"/>
      <c r="F90" s="37"/>
      <c r="G90" s="196" t="s">
        <v>3085</v>
      </c>
      <c r="H90" s="23"/>
      <c r="I90" s="5"/>
      <c r="J90" s="23"/>
      <c r="K90" s="5"/>
    </row>
    <row r="91" spans="1:11">
      <c r="A91" s="196" t="s">
        <v>3087</v>
      </c>
      <c r="B91" s="37">
        <v>14</v>
      </c>
      <c r="C91" s="37" t="s">
        <v>3088</v>
      </c>
      <c r="D91" s="71" t="s">
        <v>682</v>
      </c>
      <c r="E91" s="193"/>
      <c r="F91" s="37"/>
      <c r="G91" s="196" t="s">
        <v>3087</v>
      </c>
      <c r="H91" s="23"/>
      <c r="I91" s="5"/>
      <c r="J91" s="23"/>
      <c r="K91" s="5"/>
    </row>
    <row r="92" spans="1:11">
      <c r="A92" s="196" t="s">
        <v>3089</v>
      </c>
      <c r="B92" s="37">
        <v>15</v>
      </c>
      <c r="C92" s="37" t="s">
        <v>3090</v>
      </c>
      <c r="D92" s="71" t="s">
        <v>2064</v>
      </c>
      <c r="E92" s="193"/>
      <c r="F92" s="37"/>
      <c r="G92" s="196" t="s">
        <v>3089</v>
      </c>
      <c r="H92" s="23"/>
      <c r="I92" s="5"/>
      <c r="J92" s="23"/>
      <c r="K92" s="5"/>
    </row>
    <row r="93" spans="1:11">
      <c r="A93" s="196" t="s">
        <v>3091</v>
      </c>
      <c r="B93" s="37">
        <v>16</v>
      </c>
      <c r="C93" s="37" t="s">
        <v>3092</v>
      </c>
      <c r="D93" s="71"/>
      <c r="E93" s="193"/>
      <c r="F93" s="37"/>
      <c r="G93" s="196" t="s">
        <v>3091</v>
      </c>
      <c r="H93" s="23"/>
      <c r="I93" s="5"/>
      <c r="J93" s="23"/>
      <c r="K93" s="5"/>
    </row>
    <row r="94" spans="1:11">
      <c r="A94" s="196" t="s">
        <v>3093</v>
      </c>
      <c r="B94" s="37">
        <v>18</v>
      </c>
      <c r="C94" s="37" t="s">
        <v>3094</v>
      </c>
      <c r="D94" s="71" t="s">
        <v>722</v>
      </c>
      <c r="E94" s="193"/>
      <c r="F94" s="37"/>
      <c r="G94" s="196" t="s">
        <v>3093</v>
      </c>
      <c r="H94" s="23"/>
      <c r="I94" s="5"/>
      <c r="J94" s="23"/>
      <c r="K94" s="5"/>
    </row>
    <row r="95" spans="1:11">
      <c r="A95" s="196" t="s">
        <v>3095</v>
      </c>
      <c r="B95" s="37">
        <v>20</v>
      </c>
      <c r="C95" s="37" t="s">
        <v>3096</v>
      </c>
      <c r="D95" s="71"/>
      <c r="E95" s="193"/>
      <c r="F95" s="37"/>
      <c r="G95" s="196" t="s">
        <v>3095</v>
      </c>
      <c r="H95" s="23"/>
      <c r="I95" s="5"/>
      <c r="J95" s="23"/>
      <c r="K95" s="5"/>
    </row>
    <row r="96" spans="1:11">
      <c r="A96" s="196" t="s">
        <v>3097</v>
      </c>
      <c r="B96" s="37">
        <v>21</v>
      </c>
      <c r="C96" s="37" t="s">
        <v>3098</v>
      </c>
      <c r="D96" s="71" t="s">
        <v>682</v>
      </c>
      <c r="E96" s="193"/>
      <c r="F96" s="37"/>
      <c r="G96" s="196" t="s">
        <v>3097</v>
      </c>
      <c r="H96" s="23"/>
      <c r="I96" s="5"/>
      <c r="J96" s="23"/>
      <c r="K96" s="5"/>
    </row>
    <row r="97" spans="1:11">
      <c r="A97" s="196" t="s">
        <v>3099</v>
      </c>
      <c r="B97" s="37">
        <v>21</v>
      </c>
      <c r="C97" s="37" t="s">
        <v>3100</v>
      </c>
      <c r="D97" s="71" t="s">
        <v>682</v>
      </c>
      <c r="E97" s="193"/>
      <c r="F97" s="37"/>
      <c r="G97" s="196" t="s">
        <v>3099</v>
      </c>
      <c r="H97" s="23"/>
      <c r="I97" s="5"/>
      <c r="J97" s="23"/>
      <c r="K97" s="5"/>
    </row>
    <row r="98" spans="1:11">
      <c r="A98" s="196" t="s">
        <v>3101</v>
      </c>
      <c r="B98" s="37">
        <v>22</v>
      </c>
      <c r="C98" s="37" t="s">
        <v>3102</v>
      </c>
      <c r="D98" s="71" t="s">
        <v>2064</v>
      </c>
      <c r="E98" s="193"/>
      <c r="F98" s="37"/>
      <c r="G98" s="196" t="s">
        <v>3101</v>
      </c>
      <c r="H98" s="23"/>
      <c r="I98" s="5"/>
      <c r="J98" s="23"/>
      <c r="K98" s="5"/>
    </row>
    <row r="99" spans="1:11">
      <c r="A99" s="196" t="s">
        <v>3103</v>
      </c>
      <c r="B99" s="37">
        <v>25</v>
      </c>
      <c r="C99" s="37" t="s">
        <v>3104</v>
      </c>
      <c r="D99" s="71"/>
      <c r="E99" s="193"/>
      <c r="F99" s="37"/>
      <c r="G99" s="196" t="s">
        <v>3103</v>
      </c>
      <c r="H99" s="23"/>
      <c r="I99" s="5"/>
      <c r="J99" s="23"/>
      <c r="K99" s="5"/>
    </row>
    <row r="100" spans="1:11">
      <c r="A100" s="196" t="s">
        <v>3105</v>
      </c>
      <c r="B100" s="37">
        <v>30</v>
      </c>
      <c r="C100" s="37" t="s">
        <v>3106</v>
      </c>
      <c r="D100" s="71"/>
      <c r="E100" s="193"/>
      <c r="F100" s="37"/>
      <c r="G100" s="196" t="s">
        <v>3105</v>
      </c>
      <c r="H100" s="23"/>
      <c r="I100" s="5"/>
      <c r="J100" s="23"/>
      <c r="K100" s="5"/>
    </row>
    <row r="101" spans="1:11">
      <c r="A101" s="196" t="s">
        <v>3107</v>
      </c>
      <c r="B101" s="37">
        <v>30</v>
      </c>
      <c r="C101" s="37" t="s">
        <v>3108</v>
      </c>
      <c r="D101" s="71" t="s">
        <v>2064</v>
      </c>
      <c r="E101" s="193"/>
      <c r="F101" s="37"/>
      <c r="G101" s="196" t="s">
        <v>3107</v>
      </c>
      <c r="H101" s="23"/>
      <c r="I101" s="5"/>
      <c r="J101" s="23"/>
      <c r="K101" s="5"/>
    </row>
    <row r="102" spans="1:11">
      <c r="A102" s="2" t="s">
        <v>3109</v>
      </c>
      <c r="B102" s="37">
        <v>200</v>
      </c>
      <c r="C102" s="37" t="s">
        <v>3110</v>
      </c>
      <c r="D102" s="71"/>
      <c r="E102" s="193"/>
      <c r="F102" s="37"/>
      <c r="G102" s="2" t="s">
        <v>3109</v>
      </c>
      <c r="H102" s="5"/>
      <c r="I102" s="5"/>
      <c r="J102" s="5"/>
      <c r="K102" s="5"/>
    </row>
    <row r="103" spans="1:11">
      <c r="A103" s="1"/>
      <c r="B103" s="23"/>
      <c r="C103" s="23"/>
      <c r="D103" s="198"/>
      <c r="E103" s="144"/>
      <c r="F103" s="23"/>
      <c r="G103" s="23"/>
      <c r="H103" s="5"/>
      <c r="I103" s="5"/>
      <c r="J103" s="5"/>
      <c r="K103" s="5"/>
    </row>
    <row r="104" spans="1:11">
      <c r="A104" s="1" t="s">
        <v>3111</v>
      </c>
      <c r="B104" s="23"/>
      <c r="C104" s="23"/>
      <c r="D104" s="198"/>
      <c r="E104" s="144"/>
      <c r="F104" s="23"/>
      <c r="G104" s="23"/>
      <c r="H104" s="5"/>
      <c r="I104" s="5"/>
      <c r="J104" s="5"/>
      <c r="K104" s="5"/>
    </row>
    <row r="105" spans="1:11">
      <c r="A105" s="199" t="s">
        <v>3112</v>
      </c>
      <c r="B105" s="200">
        <v>1</v>
      </c>
      <c r="C105" s="201" t="s">
        <v>3113</v>
      </c>
      <c r="D105" s="202" t="s">
        <v>2064</v>
      </c>
      <c r="E105" s="203"/>
      <c r="F105" s="200" t="b">
        <v>1</v>
      </c>
      <c r="G105" s="199" t="s">
        <v>3112</v>
      </c>
      <c r="H105" s="5"/>
      <c r="I105" s="5"/>
      <c r="J105" s="5"/>
      <c r="K105" s="5"/>
    </row>
    <row r="106" spans="1:11">
      <c r="A106" s="196" t="s">
        <v>3114</v>
      </c>
      <c r="B106" s="37">
        <v>1</v>
      </c>
      <c r="C106" s="204" t="s">
        <v>3115</v>
      </c>
      <c r="D106" s="71" t="s">
        <v>2064</v>
      </c>
      <c r="E106" s="193"/>
      <c r="F106" s="37" t="b">
        <v>1</v>
      </c>
      <c r="G106" s="196" t="s">
        <v>3114</v>
      </c>
      <c r="H106" s="5"/>
      <c r="I106" s="5"/>
      <c r="J106" s="5"/>
      <c r="K106" s="5"/>
    </row>
    <row r="107" spans="1:11">
      <c r="A107" s="199" t="s">
        <v>3116</v>
      </c>
      <c r="B107" s="200">
        <v>1</v>
      </c>
      <c r="C107" s="205" t="s">
        <v>3117</v>
      </c>
      <c r="D107" s="202" t="s">
        <v>2064</v>
      </c>
      <c r="E107" s="203"/>
      <c r="F107" s="200" t="b">
        <v>1</v>
      </c>
      <c r="G107" s="199" t="s">
        <v>3116</v>
      </c>
      <c r="H107" s="5"/>
      <c r="I107" s="5"/>
      <c r="J107" s="5"/>
      <c r="K107" s="5"/>
    </row>
    <row r="108" spans="1:11">
      <c r="A108" s="196" t="s">
        <v>3118</v>
      </c>
      <c r="B108" s="37">
        <v>1</v>
      </c>
      <c r="C108" s="204" t="s">
        <v>3119</v>
      </c>
      <c r="D108" s="71" t="s">
        <v>2064</v>
      </c>
      <c r="E108" s="193"/>
      <c r="F108" s="37" t="b">
        <v>1</v>
      </c>
      <c r="G108" s="196" t="s">
        <v>3118</v>
      </c>
      <c r="H108" s="5"/>
      <c r="I108" s="5"/>
      <c r="J108" s="5"/>
      <c r="K108" s="5"/>
    </row>
    <row r="109" spans="1:11">
      <c r="A109" s="199" t="s">
        <v>3120</v>
      </c>
      <c r="B109" s="200">
        <v>1</v>
      </c>
      <c r="C109" s="205" t="s">
        <v>3121</v>
      </c>
      <c r="D109" s="202" t="s">
        <v>2064</v>
      </c>
      <c r="E109" s="203"/>
      <c r="F109" s="200" t="b">
        <v>1</v>
      </c>
      <c r="G109" s="199" t="s">
        <v>3120</v>
      </c>
      <c r="H109" s="5"/>
      <c r="I109" s="5"/>
      <c r="J109" s="5"/>
      <c r="K109" s="5"/>
    </row>
    <row r="110" spans="1:11">
      <c r="A110" s="196" t="s">
        <v>3122</v>
      </c>
      <c r="B110" s="37">
        <v>1</v>
      </c>
      <c r="C110" s="204" t="s">
        <v>3123</v>
      </c>
      <c r="D110" s="71" t="s">
        <v>2064</v>
      </c>
      <c r="E110" s="193"/>
      <c r="F110" s="37" t="b">
        <v>1</v>
      </c>
      <c r="G110" s="196" t="s">
        <v>3122</v>
      </c>
      <c r="H110" s="5"/>
      <c r="I110" s="5"/>
      <c r="J110" s="5"/>
      <c r="K110" s="5"/>
    </row>
    <row r="111" spans="1:11">
      <c r="A111" s="199" t="s">
        <v>3124</v>
      </c>
      <c r="B111" s="200">
        <v>1</v>
      </c>
      <c r="C111" s="205" t="s">
        <v>3125</v>
      </c>
      <c r="D111" s="202" t="s">
        <v>2064</v>
      </c>
      <c r="E111" s="203"/>
      <c r="F111" s="200" t="b">
        <v>1</v>
      </c>
      <c r="G111" s="199" t="s">
        <v>3124</v>
      </c>
      <c r="H111" s="5"/>
      <c r="I111" s="5"/>
      <c r="J111" s="5"/>
      <c r="K111" s="5"/>
    </row>
    <row r="112" spans="1:11">
      <c r="A112" s="196" t="s">
        <v>3126</v>
      </c>
      <c r="B112" s="37">
        <v>1</v>
      </c>
      <c r="C112" s="204" t="s">
        <v>3127</v>
      </c>
      <c r="D112" s="71" t="s">
        <v>2064</v>
      </c>
      <c r="E112" s="193"/>
      <c r="F112" s="37" t="b">
        <v>1</v>
      </c>
      <c r="G112" s="196" t="s">
        <v>3126</v>
      </c>
      <c r="H112" s="5"/>
      <c r="I112" s="5"/>
      <c r="J112" s="5"/>
      <c r="K112" s="5"/>
    </row>
    <row r="113" spans="1:11">
      <c r="A113" s="199" t="s">
        <v>3128</v>
      </c>
      <c r="B113" s="200">
        <v>1</v>
      </c>
      <c r="C113" s="205" t="s">
        <v>3129</v>
      </c>
      <c r="D113" s="202" t="s">
        <v>2064</v>
      </c>
      <c r="E113" s="203"/>
      <c r="F113" s="200" t="b">
        <v>1</v>
      </c>
      <c r="G113" s="199" t="s">
        <v>3128</v>
      </c>
      <c r="H113" s="5"/>
      <c r="I113" s="5"/>
      <c r="J113" s="5"/>
      <c r="K113" s="5"/>
    </row>
    <row r="114" spans="1:11">
      <c r="A114" s="196" t="s">
        <v>3130</v>
      </c>
      <c r="B114" s="37">
        <v>1</v>
      </c>
      <c r="C114" s="204" t="s">
        <v>3131</v>
      </c>
      <c r="D114" s="71" t="s">
        <v>2064</v>
      </c>
      <c r="E114" s="193"/>
      <c r="F114" s="37" t="b">
        <v>1</v>
      </c>
      <c r="G114" s="196" t="s">
        <v>3130</v>
      </c>
      <c r="H114" s="5"/>
      <c r="I114" s="5"/>
      <c r="J114" s="5"/>
      <c r="K114" s="5"/>
    </row>
    <row r="115" spans="1:11">
      <c r="A115" s="199" t="s">
        <v>3132</v>
      </c>
      <c r="B115" s="200">
        <v>1</v>
      </c>
      <c r="C115" s="205" t="s">
        <v>3133</v>
      </c>
      <c r="D115" s="202" t="s">
        <v>2064</v>
      </c>
      <c r="E115" s="203"/>
      <c r="F115" s="200" t="b">
        <v>1</v>
      </c>
      <c r="G115" s="199" t="s">
        <v>3132</v>
      </c>
      <c r="H115" s="5"/>
      <c r="I115" s="5"/>
      <c r="J115" s="5"/>
      <c r="K115" s="5"/>
    </row>
    <row r="116" spans="1:11">
      <c r="A116" s="196" t="s">
        <v>3134</v>
      </c>
      <c r="B116" s="37">
        <v>1</v>
      </c>
      <c r="C116" s="204" t="s">
        <v>3135</v>
      </c>
      <c r="D116" s="71" t="s">
        <v>2064</v>
      </c>
      <c r="E116" s="193"/>
      <c r="F116" s="37" t="b">
        <v>1</v>
      </c>
      <c r="G116" s="196" t="s">
        <v>3134</v>
      </c>
      <c r="H116" s="5"/>
      <c r="I116" s="5"/>
      <c r="J116" s="5"/>
      <c r="K116" s="5"/>
    </row>
    <row r="117" spans="1:11">
      <c r="A117" s="199" t="s">
        <v>3136</v>
      </c>
      <c r="B117" s="200">
        <v>1</v>
      </c>
      <c r="C117" s="205" t="s">
        <v>3137</v>
      </c>
      <c r="D117" s="202" t="s">
        <v>2064</v>
      </c>
      <c r="E117" s="203"/>
      <c r="F117" s="200" t="b">
        <v>1</v>
      </c>
      <c r="G117" s="199" t="s">
        <v>3136</v>
      </c>
      <c r="H117" s="5"/>
      <c r="I117" s="5"/>
      <c r="J117" s="5"/>
      <c r="K117" s="5"/>
    </row>
    <row r="118" spans="1:11">
      <c r="A118" s="196" t="s">
        <v>3138</v>
      </c>
      <c r="B118" s="37">
        <v>1</v>
      </c>
      <c r="C118" s="204" t="s">
        <v>3139</v>
      </c>
      <c r="D118" s="71" t="s">
        <v>2064</v>
      </c>
      <c r="E118" s="193"/>
      <c r="F118" s="37" t="b">
        <v>1</v>
      </c>
      <c r="G118" s="196" t="s">
        <v>3138</v>
      </c>
      <c r="H118" s="5"/>
      <c r="I118" s="5"/>
      <c r="J118" s="5"/>
      <c r="K118" s="5"/>
    </row>
    <row r="119" spans="1:11">
      <c r="A119" s="199" t="s">
        <v>3140</v>
      </c>
      <c r="B119" s="200">
        <v>1</v>
      </c>
      <c r="C119" s="205" t="s">
        <v>3141</v>
      </c>
      <c r="D119" s="202" t="s">
        <v>2064</v>
      </c>
      <c r="E119" s="203"/>
      <c r="F119" s="200" t="b">
        <v>1</v>
      </c>
      <c r="G119" s="199" t="s">
        <v>3140</v>
      </c>
      <c r="H119" s="5"/>
      <c r="I119" s="5"/>
      <c r="J119" s="5"/>
      <c r="K119" s="5"/>
    </row>
    <row r="120" spans="1:11">
      <c r="A120" s="196" t="s">
        <v>3142</v>
      </c>
      <c r="B120" s="37">
        <v>1</v>
      </c>
      <c r="C120" s="204" t="s">
        <v>3143</v>
      </c>
      <c r="D120" s="71" t="s">
        <v>2064</v>
      </c>
      <c r="E120" s="193"/>
      <c r="F120" s="37" t="b">
        <v>1</v>
      </c>
      <c r="G120" s="196" t="s">
        <v>3142</v>
      </c>
      <c r="H120" s="5"/>
      <c r="I120" s="5"/>
      <c r="J120" s="5"/>
      <c r="K120" s="5"/>
    </row>
    <row r="121" spans="1:11">
      <c r="A121" s="199" t="s">
        <v>3144</v>
      </c>
      <c r="B121" s="200">
        <v>1</v>
      </c>
      <c r="C121" s="205" t="s">
        <v>3145</v>
      </c>
      <c r="D121" s="202" t="s">
        <v>2064</v>
      </c>
      <c r="E121" s="203"/>
      <c r="F121" s="200" t="b">
        <v>1</v>
      </c>
      <c r="G121" s="199" t="s">
        <v>3144</v>
      </c>
      <c r="H121" s="5"/>
      <c r="I121" s="5"/>
      <c r="J121" s="5"/>
      <c r="K121" s="5"/>
    </row>
    <row r="122" spans="1:11">
      <c r="A122" s="196" t="s">
        <v>3146</v>
      </c>
      <c r="B122" s="37">
        <v>1</v>
      </c>
      <c r="C122" s="204" t="s">
        <v>3147</v>
      </c>
      <c r="D122" s="71" t="s">
        <v>2064</v>
      </c>
      <c r="E122" s="193"/>
      <c r="F122" s="37" t="b">
        <v>1</v>
      </c>
      <c r="G122" s="196" t="s">
        <v>3146</v>
      </c>
      <c r="H122" s="5"/>
      <c r="I122" s="5"/>
      <c r="J122" s="5"/>
      <c r="K122" s="5"/>
    </row>
    <row r="123" spans="1:11">
      <c r="A123" s="199" t="s">
        <v>3148</v>
      </c>
      <c r="B123" s="200">
        <v>1</v>
      </c>
      <c r="C123" s="205" t="s">
        <v>3149</v>
      </c>
      <c r="D123" s="202" t="s">
        <v>2064</v>
      </c>
      <c r="E123" s="203"/>
      <c r="F123" s="200" t="b">
        <v>1</v>
      </c>
      <c r="G123" s="199" t="s">
        <v>3148</v>
      </c>
      <c r="H123" s="5"/>
      <c r="I123" s="5"/>
      <c r="J123" s="5"/>
      <c r="K123" s="5"/>
    </row>
    <row r="124" spans="1:11">
      <c r="A124" s="196" t="s">
        <v>3150</v>
      </c>
      <c r="B124" s="37">
        <v>1</v>
      </c>
      <c r="C124" s="204" t="s">
        <v>3151</v>
      </c>
      <c r="D124" s="71" t="s">
        <v>2064</v>
      </c>
      <c r="E124" s="193"/>
      <c r="F124" s="37" t="b">
        <v>1</v>
      </c>
      <c r="G124" s="196" t="s">
        <v>3150</v>
      </c>
      <c r="H124" s="5"/>
      <c r="I124" s="5"/>
      <c r="J124" s="5"/>
      <c r="K124" s="5"/>
    </row>
    <row r="125" spans="1:11">
      <c r="A125" s="199" t="s">
        <v>3152</v>
      </c>
      <c r="B125" s="200">
        <v>1</v>
      </c>
      <c r="C125" s="205" t="s">
        <v>3153</v>
      </c>
      <c r="D125" s="202" t="s">
        <v>2064</v>
      </c>
      <c r="E125" s="203"/>
      <c r="F125" s="200" t="b">
        <v>1</v>
      </c>
      <c r="G125" s="199" t="s">
        <v>3152</v>
      </c>
      <c r="H125" s="5"/>
      <c r="I125" s="5"/>
      <c r="J125" s="5"/>
      <c r="K125" s="5"/>
    </row>
    <row r="126" spans="1:11">
      <c r="A126" s="196" t="s">
        <v>3154</v>
      </c>
      <c r="B126" s="37">
        <v>1</v>
      </c>
      <c r="C126" s="204" t="s">
        <v>3155</v>
      </c>
      <c r="D126" s="71" t="s">
        <v>2064</v>
      </c>
      <c r="E126" s="193"/>
      <c r="F126" s="37" t="b">
        <v>1</v>
      </c>
      <c r="G126" s="196" t="s">
        <v>3154</v>
      </c>
      <c r="H126" s="5"/>
      <c r="I126" s="5"/>
      <c r="J126" s="5"/>
      <c r="K126" s="5"/>
    </row>
    <row r="127" spans="1:11">
      <c r="A127" s="199" t="s">
        <v>3156</v>
      </c>
      <c r="B127" s="200">
        <v>1</v>
      </c>
      <c r="C127" s="205" t="s">
        <v>3157</v>
      </c>
      <c r="D127" s="202" t="s">
        <v>2064</v>
      </c>
      <c r="E127" s="203"/>
      <c r="F127" s="200" t="b">
        <v>1</v>
      </c>
      <c r="G127" s="199" t="s">
        <v>3156</v>
      </c>
      <c r="H127" s="5"/>
      <c r="I127" s="5"/>
      <c r="J127" s="5"/>
      <c r="K127" s="5"/>
    </row>
    <row r="128" spans="1:11">
      <c r="A128" s="196" t="s">
        <v>3158</v>
      </c>
      <c r="B128" s="37">
        <v>1</v>
      </c>
      <c r="C128" s="204" t="s">
        <v>3159</v>
      </c>
      <c r="D128" s="71" t="s">
        <v>2064</v>
      </c>
      <c r="E128" s="193"/>
      <c r="F128" s="37" t="b">
        <v>1</v>
      </c>
      <c r="G128" s="196" t="s">
        <v>3158</v>
      </c>
      <c r="H128" s="5"/>
      <c r="I128" s="5"/>
      <c r="J128" s="5"/>
      <c r="K128" s="5"/>
    </row>
    <row r="129" spans="1:11">
      <c r="A129" s="199" t="s">
        <v>3160</v>
      </c>
      <c r="B129" s="200">
        <v>1</v>
      </c>
      <c r="C129" s="205" t="s">
        <v>3161</v>
      </c>
      <c r="D129" s="202" t="s">
        <v>2064</v>
      </c>
      <c r="E129" s="203"/>
      <c r="F129" s="200" t="b">
        <v>1</v>
      </c>
      <c r="G129" s="199" t="s">
        <v>3160</v>
      </c>
      <c r="H129" s="5"/>
      <c r="I129" s="5"/>
      <c r="J129" s="5"/>
      <c r="K129" s="5"/>
    </row>
    <row r="130" spans="1:11">
      <c r="A130" s="196" t="s">
        <v>3162</v>
      </c>
      <c r="B130" s="37">
        <v>1</v>
      </c>
      <c r="C130" s="204" t="s">
        <v>3163</v>
      </c>
      <c r="D130" s="71" t="s">
        <v>2064</v>
      </c>
      <c r="E130" s="193"/>
      <c r="F130" s="37" t="b">
        <v>1</v>
      </c>
      <c r="G130" s="196" t="s">
        <v>3162</v>
      </c>
      <c r="H130" s="5"/>
      <c r="I130" s="5"/>
      <c r="J130" s="5"/>
      <c r="K130" s="5"/>
    </row>
    <row r="131" spans="1:11">
      <c r="A131" s="199" t="s">
        <v>3164</v>
      </c>
      <c r="B131" s="200">
        <v>1</v>
      </c>
      <c r="C131" s="205" t="s">
        <v>3165</v>
      </c>
      <c r="D131" s="202" t="s">
        <v>2064</v>
      </c>
      <c r="E131" s="203"/>
      <c r="F131" s="200" t="b">
        <v>1</v>
      </c>
      <c r="G131" s="199" t="s">
        <v>3164</v>
      </c>
      <c r="H131" s="5"/>
      <c r="I131" s="5"/>
      <c r="J131" s="5"/>
      <c r="K131" s="5"/>
    </row>
    <row r="132" spans="1:11">
      <c r="A132" s="196" t="s">
        <v>3166</v>
      </c>
      <c r="B132" s="37">
        <v>1</v>
      </c>
      <c r="C132" s="204" t="s">
        <v>3167</v>
      </c>
      <c r="D132" s="71" t="s">
        <v>2064</v>
      </c>
      <c r="E132" s="193"/>
      <c r="F132" s="37" t="b">
        <v>1</v>
      </c>
      <c r="G132" s="196" t="s">
        <v>3166</v>
      </c>
      <c r="H132" s="5"/>
      <c r="I132" s="5"/>
      <c r="J132" s="5"/>
      <c r="K132" s="5"/>
    </row>
    <row r="133" spans="1:11">
      <c r="A133" s="199" t="s">
        <v>3168</v>
      </c>
      <c r="B133" s="200">
        <v>1</v>
      </c>
      <c r="C133" s="205" t="s">
        <v>3169</v>
      </c>
      <c r="D133" s="202" t="s">
        <v>2064</v>
      </c>
      <c r="E133" s="203"/>
      <c r="F133" s="200" t="b">
        <v>1</v>
      </c>
      <c r="G133" s="199" t="s">
        <v>3168</v>
      </c>
      <c r="H133" s="5"/>
      <c r="I133" s="5"/>
      <c r="J133" s="5"/>
      <c r="K133" s="5"/>
    </row>
    <row r="134" spans="1:11">
      <c r="A134" s="196" t="s">
        <v>3170</v>
      </c>
      <c r="B134" s="37">
        <v>1</v>
      </c>
      <c r="C134" s="204" t="s">
        <v>3171</v>
      </c>
      <c r="D134" s="71" t="s">
        <v>2064</v>
      </c>
      <c r="E134" s="193"/>
      <c r="F134" s="37" t="b">
        <v>1</v>
      </c>
      <c r="G134" s="196" t="s">
        <v>3170</v>
      </c>
      <c r="H134" s="5"/>
      <c r="I134" s="5"/>
      <c r="J134" s="5"/>
      <c r="K134" s="5"/>
    </row>
    <row r="135" spans="1:11">
      <c r="A135" s="199" t="s">
        <v>3172</v>
      </c>
      <c r="B135" s="200">
        <v>1</v>
      </c>
      <c r="C135" s="205" t="s">
        <v>3173</v>
      </c>
      <c r="D135" s="202" t="s">
        <v>2064</v>
      </c>
      <c r="E135" s="203"/>
      <c r="F135" s="200" t="b">
        <v>1</v>
      </c>
      <c r="G135" s="199" t="s">
        <v>3172</v>
      </c>
      <c r="H135" s="5"/>
      <c r="I135" s="5"/>
      <c r="J135" s="5"/>
      <c r="K135" s="5"/>
    </row>
    <row r="136" spans="1:11">
      <c r="A136" s="196" t="s">
        <v>3174</v>
      </c>
      <c r="B136" s="37">
        <v>1</v>
      </c>
      <c r="C136" s="204" t="s">
        <v>3175</v>
      </c>
      <c r="D136" s="71" t="s">
        <v>2064</v>
      </c>
      <c r="E136" s="193"/>
      <c r="F136" s="37" t="b">
        <v>1</v>
      </c>
      <c r="G136" s="196" t="s">
        <v>3174</v>
      </c>
      <c r="H136" s="5"/>
      <c r="I136" s="5"/>
      <c r="J136" s="5"/>
      <c r="K136" s="5"/>
    </row>
    <row r="137" spans="1:11">
      <c r="A137" s="199" t="s">
        <v>3176</v>
      </c>
      <c r="B137" s="200">
        <v>1</v>
      </c>
      <c r="C137" s="205" t="s">
        <v>3177</v>
      </c>
      <c r="D137" s="202" t="s">
        <v>2064</v>
      </c>
      <c r="E137" s="203"/>
      <c r="F137" s="200" t="b">
        <v>1</v>
      </c>
      <c r="G137" s="199" t="s">
        <v>3176</v>
      </c>
      <c r="H137" s="5"/>
      <c r="I137" s="5"/>
      <c r="J137" s="5"/>
      <c r="K137" s="5"/>
    </row>
    <row r="138" spans="1:11">
      <c r="A138" s="196" t="s">
        <v>3178</v>
      </c>
      <c r="B138" s="37">
        <v>1</v>
      </c>
      <c r="C138" s="204" t="s">
        <v>3179</v>
      </c>
      <c r="D138" s="71" t="s">
        <v>2064</v>
      </c>
      <c r="E138" s="193"/>
      <c r="F138" s="37" t="b">
        <v>1</v>
      </c>
      <c r="G138" s="196" t="s">
        <v>3178</v>
      </c>
      <c r="H138" s="5"/>
      <c r="I138" s="5"/>
      <c r="J138" s="5"/>
      <c r="K138" s="5"/>
    </row>
    <row r="139" spans="1:11">
      <c r="A139" s="199" t="s">
        <v>3180</v>
      </c>
      <c r="B139" s="200">
        <v>1</v>
      </c>
      <c r="C139" s="205" t="s">
        <v>3181</v>
      </c>
      <c r="D139" s="202" t="s">
        <v>2064</v>
      </c>
      <c r="E139" s="203"/>
      <c r="F139" s="200" t="b">
        <v>1</v>
      </c>
      <c r="G139" s="199" t="s">
        <v>3180</v>
      </c>
      <c r="H139" s="5"/>
      <c r="I139" s="5"/>
      <c r="J139" s="5"/>
      <c r="K139" s="5"/>
    </row>
    <row r="140" spans="1:11">
      <c r="A140" s="196" t="s">
        <v>3182</v>
      </c>
      <c r="B140" s="37">
        <v>1</v>
      </c>
      <c r="C140" s="204" t="s">
        <v>3183</v>
      </c>
      <c r="D140" s="71" t="s">
        <v>2064</v>
      </c>
      <c r="E140" s="193"/>
      <c r="F140" s="37" t="b">
        <v>1</v>
      </c>
      <c r="G140" s="196" t="s">
        <v>3182</v>
      </c>
      <c r="H140" s="5"/>
      <c r="I140" s="5"/>
      <c r="J140" s="5"/>
      <c r="K140" s="5"/>
    </row>
    <row r="141" spans="1:11">
      <c r="A141" s="199" t="s">
        <v>3184</v>
      </c>
      <c r="B141" s="200">
        <v>1</v>
      </c>
      <c r="C141" s="205" t="s">
        <v>3185</v>
      </c>
      <c r="D141" s="202" t="s">
        <v>2064</v>
      </c>
      <c r="E141" s="203"/>
      <c r="F141" s="200" t="b">
        <v>1</v>
      </c>
      <c r="G141" s="199" t="s">
        <v>3184</v>
      </c>
      <c r="H141" s="5"/>
      <c r="I141" s="5"/>
      <c r="J141" s="5"/>
      <c r="K141" s="5"/>
    </row>
    <row r="142" spans="1:11">
      <c r="A142" s="196" t="s">
        <v>3186</v>
      </c>
      <c r="B142" s="37">
        <v>1</v>
      </c>
      <c r="C142" s="204" t="s">
        <v>3187</v>
      </c>
      <c r="D142" s="71" t="s">
        <v>2064</v>
      </c>
      <c r="E142" s="193"/>
      <c r="F142" s="37" t="b">
        <v>1</v>
      </c>
      <c r="G142" s="196" t="s">
        <v>3186</v>
      </c>
      <c r="H142" s="5"/>
      <c r="I142" s="5"/>
      <c r="J142" s="5"/>
      <c r="K142" s="5"/>
    </row>
    <row r="143" spans="1:11">
      <c r="A143" s="199" t="s">
        <v>3188</v>
      </c>
      <c r="B143" s="200">
        <v>1</v>
      </c>
      <c r="C143" s="205" t="s">
        <v>3189</v>
      </c>
      <c r="D143" s="202" t="s">
        <v>2064</v>
      </c>
      <c r="E143" s="203"/>
      <c r="F143" s="200" t="b">
        <v>1</v>
      </c>
      <c r="G143" s="199" t="s">
        <v>3188</v>
      </c>
      <c r="H143" s="5"/>
      <c r="I143" s="5"/>
      <c r="J143" s="5"/>
      <c r="K143" s="5"/>
    </row>
    <row r="144" spans="1:11">
      <c r="A144" s="196" t="s">
        <v>3190</v>
      </c>
      <c r="B144" s="37">
        <v>1</v>
      </c>
      <c r="C144" s="204" t="s">
        <v>3191</v>
      </c>
      <c r="D144" s="71" t="s">
        <v>2064</v>
      </c>
      <c r="E144" s="193"/>
      <c r="F144" s="37" t="b">
        <v>1</v>
      </c>
      <c r="G144" s="196" t="s">
        <v>3190</v>
      </c>
      <c r="H144" s="5"/>
      <c r="I144" s="5"/>
      <c r="J144" s="5"/>
      <c r="K144" s="5"/>
    </row>
    <row r="145" spans="1:11">
      <c r="A145" s="199" t="s">
        <v>3192</v>
      </c>
      <c r="B145" s="200">
        <v>1</v>
      </c>
      <c r="C145" s="205" t="s">
        <v>3193</v>
      </c>
      <c r="D145" s="202" t="s">
        <v>2064</v>
      </c>
      <c r="E145" s="203"/>
      <c r="F145" s="200" t="b">
        <v>1</v>
      </c>
      <c r="G145" s="199" t="s">
        <v>3192</v>
      </c>
      <c r="H145" s="5"/>
      <c r="I145" s="5"/>
      <c r="J145" s="5"/>
      <c r="K145" s="5"/>
    </row>
    <row r="146" spans="1:11">
      <c r="A146" s="196" t="s">
        <v>3194</v>
      </c>
      <c r="B146" s="37">
        <v>1</v>
      </c>
      <c r="C146" s="204" t="s">
        <v>3195</v>
      </c>
      <c r="D146" s="71" t="s">
        <v>2064</v>
      </c>
      <c r="E146" s="193"/>
      <c r="F146" s="37" t="b">
        <v>1</v>
      </c>
      <c r="G146" s="196" t="s">
        <v>3194</v>
      </c>
      <c r="H146" s="5"/>
      <c r="I146" s="5"/>
      <c r="J146" s="5"/>
      <c r="K146" s="5"/>
    </row>
    <row r="147" spans="1:11">
      <c r="A147" s="199" t="s">
        <v>3196</v>
      </c>
      <c r="B147" s="200">
        <v>1</v>
      </c>
      <c r="C147" s="205" t="s">
        <v>3197</v>
      </c>
      <c r="D147" s="202" t="s">
        <v>2064</v>
      </c>
      <c r="E147" s="203"/>
      <c r="F147" s="200" t="b">
        <v>1</v>
      </c>
      <c r="G147" s="199" t="s">
        <v>3196</v>
      </c>
      <c r="H147" s="5"/>
      <c r="I147" s="5"/>
      <c r="J147" s="5"/>
      <c r="K147" s="5"/>
    </row>
    <row r="148" spans="1:11">
      <c r="A148" s="196" t="s">
        <v>3198</v>
      </c>
      <c r="B148" s="37">
        <v>1</v>
      </c>
      <c r="C148" s="204" t="s">
        <v>3199</v>
      </c>
      <c r="D148" s="71" t="s">
        <v>2064</v>
      </c>
      <c r="E148" s="193"/>
      <c r="F148" s="37" t="b">
        <v>1</v>
      </c>
      <c r="G148" s="196" t="s">
        <v>3198</v>
      </c>
      <c r="H148" s="5"/>
      <c r="I148" s="5"/>
      <c r="J148" s="5"/>
      <c r="K148" s="5"/>
    </row>
    <row r="149" spans="1:11">
      <c r="A149" s="199" t="s">
        <v>3200</v>
      </c>
      <c r="B149" s="200">
        <v>1</v>
      </c>
      <c r="C149" s="205" t="s">
        <v>3201</v>
      </c>
      <c r="D149" s="202" t="s">
        <v>2064</v>
      </c>
      <c r="E149" s="203"/>
      <c r="F149" s="200" t="b">
        <v>1</v>
      </c>
      <c r="G149" s="199" t="s">
        <v>3200</v>
      </c>
      <c r="H149" s="5"/>
      <c r="I149" s="5"/>
      <c r="J149" s="5"/>
      <c r="K149" s="5"/>
    </row>
    <row r="150" spans="1:11">
      <c r="A150" s="196" t="s">
        <v>3202</v>
      </c>
      <c r="B150" s="37">
        <v>1</v>
      </c>
      <c r="C150" s="204" t="s">
        <v>3203</v>
      </c>
      <c r="D150" s="71" t="s">
        <v>2064</v>
      </c>
      <c r="E150" s="193"/>
      <c r="F150" s="37" t="b">
        <v>1</v>
      </c>
      <c r="G150" s="196" t="s">
        <v>3202</v>
      </c>
      <c r="H150" s="5"/>
      <c r="I150" s="5"/>
      <c r="J150" s="5"/>
      <c r="K150" s="5"/>
    </row>
    <row r="151" spans="1:11">
      <c r="A151" s="199" t="s">
        <v>3204</v>
      </c>
      <c r="B151" s="200">
        <v>1</v>
      </c>
      <c r="C151" s="205" t="s">
        <v>3205</v>
      </c>
      <c r="D151" s="202" t="s">
        <v>2064</v>
      </c>
      <c r="E151" s="203"/>
      <c r="F151" s="200" t="b">
        <v>1</v>
      </c>
      <c r="G151" s="199" t="s">
        <v>3204</v>
      </c>
      <c r="H151" s="5"/>
      <c r="I151" s="5"/>
      <c r="J151" s="5"/>
      <c r="K151" s="5"/>
    </row>
    <row r="152" spans="1:11">
      <c r="A152" s="196" t="s">
        <v>3206</v>
      </c>
      <c r="B152" s="37">
        <v>1</v>
      </c>
      <c r="C152" s="204" t="s">
        <v>3207</v>
      </c>
      <c r="D152" s="71" t="s">
        <v>2064</v>
      </c>
      <c r="E152" s="193"/>
      <c r="F152" s="37" t="b">
        <v>1</v>
      </c>
      <c r="G152" s="196" t="s">
        <v>3206</v>
      </c>
      <c r="H152" s="5"/>
      <c r="I152" s="5"/>
      <c r="J152" s="5"/>
      <c r="K152" s="5"/>
    </row>
    <row r="153" spans="1:11">
      <c r="A153" s="199" t="s">
        <v>3208</v>
      </c>
      <c r="B153" s="200">
        <v>1</v>
      </c>
      <c r="C153" s="205" t="s">
        <v>3209</v>
      </c>
      <c r="D153" s="202" t="s">
        <v>2064</v>
      </c>
      <c r="E153" s="203"/>
      <c r="F153" s="200" t="b">
        <v>1</v>
      </c>
      <c r="G153" s="199" t="s">
        <v>3208</v>
      </c>
      <c r="H153" s="5"/>
      <c r="I153" s="5"/>
      <c r="J153" s="5"/>
      <c r="K153" s="5"/>
    </row>
    <row r="154" spans="1:11">
      <c r="A154" s="196" t="s">
        <v>3210</v>
      </c>
      <c r="B154" s="37">
        <v>1</v>
      </c>
      <c r="C154" s="204" t="s">
        <v>3211</v>
      </c>
      <c r="D154" s="71" t="s">
        <v>2064</v>
      </c>
      <c r="E154" s="193"/>
      <c r="F154" s="37" t="b">
        <v>1</v>
      </c>
      <c r="G154" s="196" t="s">
        <v>3210</v>
      </c>
      <c r="H154" s="5"/>
      <c r="I154" s="5"/>
      <c r="J154" s="5"/>
      <c r="K154" s="5"/>
    </row>
    <row r="155" spans="1:11">
      <c r="A155" s="199" t="s">
        <v>3212</v>
      </c>
      <c r="B155" s="200">
        <v>1</v>
      </c>
      <c r="C155" s="205" t="s">
        <v>3213</v>
      </c>
      <c r="D155" s="202" t="s">
        <v>2064</v>
      </c>
      <c r="E155" s="203"/>
      <c r="F155" s="200" t="b">
        <v>1</v>
      </c>
      <c r="G155" s="199" t="s">
        <v>3212</v>
      </c>
      <c r="H155" s="5"/>
      <c r="I155" s="5"/>
      <c r="J155" s="5"/>
      <c r="K155" s="5"/>
    </row>
    <row r="156" spans="1:11">
      <c r="A156" s="196" t="s">
        <v>3214</v>
      </c>
      <c r="B156" s="37">
        <v>1</v>
      </c>
      <c r="C156" s="204" t="s">
        <v>3215</v>
      </c>
      <c r="D156" s="71" t="s">
        <v>2064</v>
      </c>
      <c r="E156" s="193"/>
      <c r="F156" s="37" t="b">
        <v>1</v>
      </c>
      <c r="G156" s="196" t="s">
        <v>3214</v>
      </c>
      <c r="H156" s="5"/>
      <c r="I156" s="5"/>
      <c r="J156" s="5"/>
      <c r="K156" s="5"/>
    </row>
    <row r="157" spans="1:11">
      <c r="A157" s="199" t="s">
        <v>3216</v>
      </c>
      <c r="B157" s="200">
        <v>1</v>
      </c>
      <c r="C157" s="205" t="s">
        <v>3217</v>
      </c>
      <c r="D157" s="202" t="s">
        <v>2064</v>
      </c>
      <c r="E157" s="203"/>
      <c r="F157" s="200" t="b">
        <v>1</v>
      </c>
      <c r="G157" s="199" t="s">
        <v>3216</v>
      </c>
      <c r="H157" s="5"/>
      <c r="I157" s="5"/>
      <c r="J157" s="5"/>
      <c r="K157" s="5"/>
    </row>
    <row r="158" spans="1:11">
      <c r="A158" s="196" t="s">
        <v>3218</v>
      </c>
      <c r="B158" s="37">
        <v>1</v>
      </c>
      <c r="C158" s="204" t="s">
        <v>3219</v>
      </c>
      <c r="D158" s="71" t="s">
        <v>2064</v>
      </c>
      <c r="E158" s="193"/>
      <c r="F158" s="37" t="b">
        <v>1</v>
      </c>
      <c r="G158" s="196" t="s">
        <v>3218</v>
      </c>
      <c r="H158" s="5"/>
      <c r="I158" s="5"/>
      <c r="J158" s="5"/>
      <c r="K158" s="5"/>
    </row>
    <row r="159" spans="1:11">
      <c r="A159" s="199" t="s">
        <v>3220</v>
      </c>
      <c r="B159" s="200">
        <v>1</v>
      </c>
      <c r="C159" s="205" t="s">
        <v>3221</v>
      </c>
      <c r="D159" s="202" t="s">
        <v>2064</v>
      </c>
      <c r="E159" s="203"/>
      <c r="F159" s="200" t="b">
        <v>1</v>
      </c>
      <c r="G159" s="199" t="s">
        <v>3220</v>
      </c>
      <c r="H159" s="5"/>
      <c r="I159" s="5"/>
      <c r="J159" s="5"/>
      <c r="K159" s="5"/>
    </row>
    <row r="160" spans="1:11">
      <c r="A160" s="196" t="s">
        <v>3222</v>
      </c>
      <c r="B160" s="37">
        <v>1</v>
      </c>
      <c r="C160" s="204" t="s">
        <v>3223</v>
      </c>
      <c r="D160" s="71" t="s">
        <v>2064</v>
      </c>
      <c r="E160" s="193"/>
      <c r="F160" s="37" t="b">
        <v>1</v>
      </c>
      <c r="G160" s="196" t="s">
        <v>3222</v>
      </c>
      <c r="H160" s="5"/>
      <c r="I160" s="5"/>
      <c r="J160" s="5"/>
      <c r="K160" s="5"/>
    </row>
    <row r="161" spans="1:11">
      <c r="A161" s="199" t="s">
        <v>3224</v>
      </c>
      <c r="B161" s="200">
        <v>1</v>
      </c>
      <c r="C161" s="205" t="s">
        <v>3225</v>
      </c>
      <c r="D161" s="202" t="s">
        <v>2064</v>
      </c>
      <c r="E161" s="203"/>
      <c r="F161" s="200" t="b">
        <v>1</v>
      </c>
      <c r="G161" s="199" t="s">
        <v>3224</v>
      </c>
      <c r="H161" s="5"/>
      <c r="I161" s="5"/>
      <c r="J161" s="5"/>
      <c r="K161" s="5"/>
    </row>
    <row r="162" spans="1:11">
      <c r="A162" s="196" t="s">
        <v>3226</v>
      </c>
      <c r="B162" s="37">
        <v>1</v>
      </c>
      <c r="C162" s="204" t="s">
        <v>3227</v>
      </c>
      <c r="D162" s="71" t="s">
        <v>2064</v>
      </c>
      <c r="E162" s="193"/>
      <c r="F162" s="37" t="b">
        <v>1</v>
      </c>
      <c r="G162" s="196" t="s">
        <v>3226</v>
      </c>
      <c r="H162" s="5"/>
      <c r="I162" s="5"/>
      <c r="J162" s="5"/>
      <c r="K162" s="5"/>
    </row>
    <row r="163" spans="1:11">
      <c r="A163" s="199" t="s">
        <v>3228</v>
      </c>
      <c r="B163" s="200">
        <v>1</v>
      </c>
      <c r="C163" s="205" t="s">
        <v>3229</v>
      </c>
      <c r="D163" s="202" t="s">
        <v>2064</v>
      </c>
      <c r="E163" s="203"/>
      <c r="F163" s="200" t="b">
        <v>1</v>
      </c>
      <c r="G163" s="199" t="s">
        <v>3228</v>
      </c>
      <c r="H163" s="5"/>
      <c r="I163" s="5"/>
      <c r="J163" s="5"/>
      <c r="K163" s="5"/>
    </row>
    <row r="164" spans="1:11">
      <c r="A164" s="196" t="s">
        <v>3230</v>
      </c>
      <c r="B164" s="37">
        <v>1</v>
      </c>
      <c r="C164" s="204" t="s">
        <v>3231</v>
      </c>
      <c r="D164" s="71" t="s">
        <v>2064</v>
      </c>
      <c r="E164" s="193"/>
      <c r="F164" s="37" t="b">
        <v>1</v>
      </c>
      <c r="G164" s="196" t="s">
        <v>3230</v>
      </c>
      <c r="H164" s="5"/>
      <c r="I164" s="5"/>
      <c r="J164" s="5"/>
      <c r="K164" s="5"/>
    </row>
    <row r="165" spans="1:11">
      <c r="A165" s="199" t="s">
        <v>3232</v>
      </c>
      <c r="B165" s="200">
        <v>1</v>
      </c>
      <c r="C165" s="205" t="s">
        <v>3233</v>
      </c>
      <c r="D165" s="202" t="s">
        <v>2064</v>
      </c>
      <c r="E165" s="203"/>
      <c r="F165" s="200" t="b">
        <v>1</v>
      </c>
      <c r="G165" s="199" t="s">
        <v>3232</v>
      </c>
      <c r="H165" s="5"/>
      <c r="I165" s="5"/>
      <c r="J165" s="5"/>
      <c r="K165" s="5"/>
    </row>
    <row r="166" spans="1:11">
      <c r="A166" s="196" t="s">
        <v>3234</v>
      </c>
      <c r="B166" s="37">
        <v>1</v>
      </c>
      <c r="C166" s="204" t="s">
        <v>3235</v>
      </c>
      <c r="D166" s="71" t="s">
        <v>2064</v>
      </c>
      <c r="E166" s="193"/>
      <c r="F166" s="37" t="b">
        <v>1</v>
      </c>
      <c r="G166" s="196" t="s">
        <v>3234</v>
      </c>
      <c r="H166" s="5"/>
      <c r="I166" s="5"/>
      <c r="J166" s="5"/>
      <c r="K166" s="5"/>
    </row>
    <row r="167" spans="1:11">
      <c r="A167" s="199" t="s">
        <v>3236</v>
      </c>
      <c r="B167" s="200">
        <v>1</v>
      </c>
      <c r="C167" s="205" t="s">
        <v>3237</v>
      </c>
      <c r="D167" s="202" t="s">
        <v>2064</v>
      </c>
      <c r="E167" s="203"/>
      <c r="F167" s="200" t="b">
        <v>1</v>
      </c>
      <c r="G167" s="199" t="s">
        <v>3236</v>
      </c>
      <c r="H167" s="5"/>
      <c r="I167" s="5"/>
      <c r="J167" s="5"/>
      <c r="K167" s="5"/>
    </row>
    <row r="168" spans="1:11">
      <c r="A168" s="196" t="s">
        <v>3238</v>
      </c>
      <c r="B168" s="37">
        <v>1</v>
      </c>
      <c r="C168" s="204" t="s">
        <v>3239</v>
      </c>
      <c r="D168" s="71" t="s">
        <v>2064</v>
      </c>
      <c r="E168" s="193"/>
      <c r="F168" s="37" t="b">
        <v>1</v>
      </c>
      <c r="G168" s="196" t="s">
        <v>3238</v>
      </c>
      <c r="H168" s="5"/>
      <c r="I168" s="5"/>
      <c r="J168" s="5"/>
      <c r="K168" s="5"/>
    </row>
    <row r="169" spans="1:11">
      <c r="A169" s="199" t="s">
        <v>3240</v>
      </c>
      <c r="B169" s="200">
        <v>1</v>
      </c>
      <c r="C169" s="205" t="s">
        <v>3241</v>
      </c>
      <c r="D169" s="202" t="s">
        <v>2064</v>
      </c>
      <c r="E169" s="203"/>
      <c r="F169" s="200" t="b">
        <v>1</v>
      </c>
      <c r="G169" s="199" t="s">
        <v>3240</v>
      </c>
      <c r="H169" s="5"/>
      <c r="I169" s="5"/>
      <c r="J169" s="5"/>
      <c r="K169" s="5"/>
    </row>
    <row r="170" spans="1:11">
      <c r="A170" s="196" t="s">
        <v>3242</v>
      </c>
      <c r="B170" s="37">
        <v>2</v>
      </c>
      <c r="C170" s="204" t="s">
        <v>3243</v>
      </c>
      <c r="D170" s="71" t="s">
        <v>2064</v>
      </c>
      <c r="E170" s="193"/>
      <c r="F170" s="37" t="b">
        <v>1</v>
      </c>
      <c r="G170" s="196" t="s">
        <v>3242</v>
      </c>
      <c r="H170" s="5"/>
      <c r="I170" s="5"/>
      <c r="J170" s="5"/>
      <c r="K170" s="5"/>
    </row>
    <row r="171" spans="1:11">
      <c r="A171" s="199" t="s">
        <v>3244</v>
      </c>
      <c r="B171" s="200">
        <v>2</v>
      </c>
      <c r="C171" s="205" t="s">
        <v>3245</v>
      </c>
      <c r="D171" s="202" t="s">
        <v>2064</v>
      </c>
      <c r="E171" s="203"/>
      <c r="F171" s="200" t="b">
        <v>1</v>
      </c>
      <c r="G171" s="199" t="s">
        <v>3244</v>
      </c>
      <c r="H171" s="5"/>
      <c r="I171" s="5"/>
      <c r="J171" s="5"/>
      <c r="K171" s="5"/>
    </row>
    <row r="172" spans="1:11">
      <c r="A172" s="196" t="s">
        <v>3246</v>
      </c>
      <c r="B172" s="37">
        <v>2</v>
      </c>
      <c r="C172" s="204" t="s">
        <v>3247</v>
      </c>
      <c r="D172" s="71" t="s">
        <v>2064</v>
      </c>
      <c r="E172" s="193"/>
      <c r="F172" s="37" t="b">
        <v>1</v>
      </c>
      <c r="G172" s="196" t="s">
        <v>3246</v>
      </c>
      <c r="H172" s="5"/>
      <c r="I172" s="5"/>
      <c r="J172" s="5"/>
      <c r="K172" s="5"/>
    </row>
    <row r="173" spans="1:11">
      <c r="A173" s="199" t="s">
        <v>3248</v>
      </c>
      <c r="B173" s="200">
        <v>2</v>
      </c>
      <c r="C173" s="205" t="s">
        <v>3249</v>
      </c>
      <c r="D173" s="202" t="s">
        <v>2064</v>
      </c>
      <c r="E173" s="203"/>
      <c r="F173" s="200" t="b">
        <v>1</v>
      </c>
      <c r="G173" s="199" t="s">
        <v>3248</v>
      </c>
      <c r="H173" s="5"/>
      <c r="I173" s="5"/>
      <c r="J173" s="5"/>
      <c r="K173" s="5"/>
    </row>
    <row r="174" spans="1:11">
      <c r="A174" s="196" t="s">
        <v>3250</v>
      </c>
      <c r="B174" s="37">
        <v>2</v>
      </c>
      <c r="C174" s="204" t="s">
        <v>3251</v>
      </c>
      <c r="D174" s="71" t="s">
        <v>2064</v>
      </c>
      <c r="E174" s="193"/>
      <c r="F174" s="37" t="b">
        <v>1</v>
      </c>
      <c r="G174" s="196" t="s">
        <v>3250</v>
      </c>
      <c r="H174" s="5"/>
      <c r="I174" s="5"/>
      <c r="J174" s="5"/>
      <c r="K174" s="5"/>
    </row>
    <row r="175" spans="1:11">
      <c r="A175" s="199" t="s">
        <v>3252</v>
      </c>
      <c r="B175" s="200">
        <v>2</v>
      </c>
      <c r="C175" s="205" t="s">
        <v>3253</v>
      </c>
      <c r="D175" s="202" t="s">
        <v>2064</v>
      </c>
      <c r="E175" s="203"/>
      <c r="F175" s="200" t="b">
        <v>1</v>
      </c>
      <c r="G175" s="199" t="s">
        <v>3252</v>
      </c>
      <c r="H175" s="5"/>
      <c r="I175" s="5"/>
      <c r="J175" s="5"/>
      <c r="K175" s="5"/>
    </row>
    <row r="176" spans="1:11">
      <c r="A176" s="196" t="s">
        <v>3254</v>
      </c>
      <c r="B176" s="37">
        <v>2</v>
      </c>
      <c r="C176" s="204" t="s">
        <v>3255</v>
      </c>
      <c r="D176" s="71" t="s">
        <v>2064</v>
      </c>
      <c r="E176" s="193"/>
      <c r="F176" s="37" t="b">
        <v>1</v>
      </c>
      <c r="G176" s="196" t="s">
        <v>3254</v>
      </c>
      <c r="H176" s="5"/>
      <c r="I176" s="5"/>
      <c r="J176" s="5"/>
      <c r="K176" s="5"/>
    </row>
    <row r="177" spans="1:11">
      <c r="A177" s="199" t="s">
        <v>3256</v>
      </c>
      <c r="B177" s="200">
        <v>2</v>
      </c>
      <c r="C177" s="205" t="s">
        <v>3257</v>
      </c>
      <c r="D177" s="202" t="s">
        <v>2064</v>
      </c>
      <c r="E177" s="203"/>
      <c r="F177" s="200" t="b">
        <v>1</v>
      </c>
      <c r="G177" s="199" t="s">
        <v>3256</v>
      </c>
      <c r="H177" s="5"/>
      <c r="I177" s="5"/>
      <c r="J177" s="5"/>
      <c r="K177" s="5"/>
    </row>
    <row r="178" spans="1:11">
      <c r="A178" s="196" t="s">
        <v>3258</v>
      </c>
      <c r="B178" s="37">
        <v>2</v>
      </c>
      <c r="C178" s="204" t="s">
        <v>3259</v>
      </c>
      <c r="D178" s="71" t="s">
        <v>2064</v>
      </c>
      <c r="E178" s="193"/>
      <c r="F178" s="37" t="b">
        <v>1</v>
      </c>
      <c r="G178" s="196" t="s">
        <v>3258</v>
      </c>
      <c r="H178" s="5"/>
      <c r="I178" s="5"/>
      <c r="J178" s="5"/>
      <c r="K178" s="5"/>
    </row>
    <row r="179" spans="1:11">
      <c r="A179" s="199" t="s">
        <v>3260</v>
      </c>
      <c r="B179" s="200">
        <v>2</v>
      </c>
      <c r="C179" s="205" t="s">
        <v>3261</v>
      </c>
      <c r="D179" s="202" t="s">
        <v>2064</v>
      </c>
      <c r="E179" s="203"/>
      <c r="F179" s="200" t="b">
        <v>1</v>
      </c>
      <c r="G179" s="199" t="s">
        <v>3260</v>
      </c>
      <c r="H179" s="5"/>
      <c r="I179" s="5"/>
      <c r="J179" s="5"/>
      <c r="K179" s="5"/>
    </row>
    <row r="180" spans="1:11">
      <c r="A180" s="196" t="s">
        <v>3262</v>
      </c>
      <c r="B180" s="37">
        <v>2</v>
      </c>
      <c r="C180" s="204" t="s">
        <v>3263</v>
      </c>
      <c r="D180" s="71" t="s">
        <v>2064</v>
      </c>
      <c r="E180" s="193"/>
      <c r="F180" s="37" t="b">
        <v>1</v>
      </c>
      <c r="G180" s="196" t="s">
        <v>3262</v>
      </c>
      <c r="H180" s="5"/>
      <c r="I180" s="5"/>
      <c r="J180" s="5"/>
      <c r="K180" s="5"/>
    </row>
    <row r="181" spans="1:11">
      <c r="A181" s="199" t="s">
        <v>3264</v>
      </c>
      <c r="B181" s="200">
        <v>2</v>
      </c>
      <c r="C181" s="205" t="s">
        <v>3265</v>
      </c>
      <c r="D181" s="202" t="s">
        <v>2064</v>
      </c>
      <c r="E181" s="203"/>
      <c r="F181" s="200" t="b">
        <v>1</v>
      </c>
      <c r="G181" s="199" t="s">
        <v>3264</v>
      </c>
      <c r="H181" s="5"/>
      <c r="I181" s="5"/>
      <c r="J181" s="5"/>
      <c r="K181" s="5"/>
    </row>
    <row r="182" spans="1:11">
      <c r="A182" s="196" t="s">
        <v>3266</v>
      </c>
      <c r="B182" s="37">
        <v>2</v>
      </c>
      <c r="C182" s="204" t="s">
        <v>3267</v>
      </c>
      <c r="D182" s="71" t="s">
        <v>2064</v>
      </c>
      <c r="E182" s="193"/>
      <c r="F182" s="37" t="b">
        <v>1</v>
      </c>
      <c r="G182" s="196" t="s">
        <v>3266</v>
      </c>
      <c r="H182" s="5"/>
      <c r="I182" s="5"/>
      <c r="J182" s="5"/>
      <c r="K182" s="5"/>
    </row>
    <row r="183" spans="1:11">
      <c r="A183" s="199" t="s">
        <v>3268</v>
      </c>
      <c r="B183" s="200">
        <v>2</v>
      </c>
      <c r="C183" s="205" t="s">
        <v>3269</v>
      </c>
      <c r="D183" s="202" t="s">
        <v>2064</v>
      </c>
      <c r="E183" s="203"/>
      <c r="F183" s="200" t="b">
        <v>1</v>
      </c>
      <c r="G183" s="199" t="s">
        <v>3268</v>
      </c>
      <c r="H183" s="5"/>
      <c r="I183" s="5"/>
      <c r="J183" s="5"/>
      <c r="K183" s="5"/>
    </row>
    <row r="184" spans="1:11">
      <c r="A184" s="196" t="s">
        <v>3270</v>
      </c>
      <c r="B184" s="37">
        <v>2</v>
      </c>
      <c r="C184" s="204" t="s">
        <v>3271</v>
      </c>
      <c r="D184" s="71" t="s">
        <v>2064</v>
      </c>
      <c r="E184" s="193"/>
      <c r="F184" s="37" t="b">
        <v>1</v>
      </c>
      <c r="G184" s="196" t="s">
        <v>3270</v>
      </c>
      <c r="H184" s="5"/>
      <c r="I184" s="5"/>
      <c r="J184" s="5"/>
      <c r="K184" s="5"/>
    </row>
    <row r="185" spans="1:11">
      <c r="A185" s="199" t="s">
        <v>3272</v>
      </c>
      <c r="B185" s="200">
        <v>2</v>
      </c>
      <c r="C185" s="205" t="s">
        <v>3273</v>
      </c>
      <c r="D185" s="202" t="s">
        <v>2064</v>
      </c>
      <c r="E185" s="203"/>
      <c r="F185" s="200" t="b">
        <v>1</v>
      </c>
      <c r="G185" s="199" t="s">
        <v>3272</v>
      </c>
      <c r="H185" s="5"/>
      <c r="I185" s="5"/>
      <c r="J185" s="5"/>
      <c r="K185" s="5"/>
    </row>
    <row r="186" spans="1:11">
      <c r="A186" s="196" t="s">
        <v>3274</v>
      </c>
      <c r="B186" s="37">
        <v>2</v>
      </c>
      <c r="C186" s="204" t="s">
        <v>3275</v>
      </c>
      <c r="D186" s="71" t="s">
        <v>2064</v>
      </c>
      <c r="E186" s="193"/>
      <c r="F186" s="37" t="b">
        <v>1</v>
      </c>
      <c r="G186" s="196" t="s">
        <v>3274</v>
      </c>
      <c r="H186" s="5"/>
      <c r="I186" s="5"/>
      <c r="J186" s="5"/>
      <c r="K186" s="5"/>
    </row>
    <row r="187" spans="1:11">
      <c r="A187" s="199" t="s">
        <v>3276</v>
      </c>
      <c r="B187" s="200">
        <v>2</v>
      </c>
      <c r="C187" s="205" t="s">
        <v>3277</v>
      </c>
      <c r="D187" s="202" t="s">
        <v>2064</v>
      </c>
      <c r="E187" s="203"/>
      <c r="F187" s="200" t="b">
        <v>1</v>
      </c>
      <c r="G187" s="199" t="s">
        <v>3276</v>
      </c>
      <c r="H187" s="5"/>
      <c r="I187" s="5"/>
      <c r="J187" s="5"/>
      <c r="K187" s="5"/>
    </row>
    <row r="188" spans="1:11">
      <c r="A188" s="196" t="s">
        <v>3278</v>
      </c>
      <c r="B188" s="37">
        <v>2</v>
      </c>
      <c r="C188" s="204" t="s">
        <v>3279</v>
      </c>
      <c r="D188" s="71" t="s">
        <v>2064</v>
      </c>
      <c r="E188" s="193"/>
      <c r="F188" s="37" t="b">
        <v>1</v>
      </c>
      <c r="G188" s="196" t="s">
        <v>3278</v>
      </c>
      <c r="H188" s="5"/>
      <c r="I188" s="5"/>
      <c r="J188" s="5"/>
      <c r="K188" s="5"/>
    </row>
    <row r="189" spans="1:11">
      <c r="A189" s="199" t="s">
        <v>3280</v>
      </c>
      <c r="B189" s="200">
        <v>2</v>
      </c>
      <c r="C189" s="205" t="s">
        <v>3281</v>
      </c>
      <c r="D189" s="202" t="s">
        <v>2064</v>
      </c>
      <c r="E189" s="203"/>
      <c r="F189" s="200" t="b">
        <v>1</v>
      </c>
      <c r="G189" s="199" t="s">
        <v>3280</v>
      </c>
      <c r="H189" s="5"/>
      <c r="I189" s="5"/>
      <c r="J189" s="5"/>
      <c r="K189" s="5"/>
    </row>
    <row r="190" spans="1:11">
      <c r="A190" s="196" t="s">
        <v>3282</v>
      </c>
      <c r="B190" s="37">
        <v>2</v>
      </c>
      <c r="C190" s="204" t="s">
        <v>3283</v>
      </c>
      <c r="D190" s="71" t="s">
        <v>2064</v>
      </c>
      <c r="E190" s="193"/>
      <c r="F190" s="37" t="b">
        <v>1</v>
      </c>
      <c r="G190" s="196" t="s">
        <v>3282</v>
      </c>
      <c r="H190" s="5"/>
      <c r="I190" s="5"/>
      <c r="J190" s="5"/>
      <c r="K190" s="5"/>
    </row>
    <row r="191" spans="1:11">
      <c r="A191" s="199" t="s">
        <v>3284</v>
      </c>
      <c r="B191" s="200">
        <v>2</v>
      </c>
      <c r="C191" s="205" t="s">
        <v>3285</v>
      </c>
      <c r="D191" s="202" t="s">
        <v>2064</v>
      </c>
      <c r="E191" s="203"/>
      <c r="F191" s="200" t="b">
        <v>1</v>
      </c>
      <c r="G191" s="199" t="s">
        <v>3284</v>
      </c>
      <c r="H191" s="5"/>
      <c r="I191" s="5"/>
      <c r="J191" s="5"/>
      <c r="K191" s="5"/>
    </row>
    <row r="192" spans="1:11">
      <c r="A192" s="196" t="s">
        <v>3286</v>
      </c>
      <c r="B192" s="37">
        <v>2</v>
      </c>
      <c r="C192" s="204" t="s">
        <v>3287</v>
      </c>
      <c r="D192" s="71" t="s">
        <v>2064</v>
      </c>
      <c r="E192" s="193"/>
      <c r="F192" s="37" t="b">
        <v>1</v>
      </c>
      <c r="G192" s="196" t="s">
        <v>3286</v>
      </c>
      <c r="H192" s="5"/>
      <c r="I192" s="5"/>
      <c r="J192" s="5"/>
      <c r="K192" s="5"/>
    </row>
    <row r="193" spans="1:11">
      <c r="A193" s="199" t="s">
        <v>3288</v>
      </c>
      <c r="B193" s="200">
        <v>2</v>
      </c>
      <c r="C193" s="205" t="s">
        <v>3289</v>
      </c>
      <c r="D193" s="202" t="s">
        <v>2064</v>
      </c>
      <c r="E193" s="203"/>
      <c r="F193" s="200" t="b">
        <v>1</v>
      </c>
      <c r="G193" s="199" t="s">
        <v>3288</v>
      </c>
      <c r="H193" s="5"/>
      <c r="I193" s="5"/>
      <c r="J193" s="5"/>
      <c r="K193" s="5"/>
    </row>
    <row r="194" spans="1:11">
      <c r="A194" s="196" t="s">
        <v>3290</v>
      </c>
      <c r="B194" s="37">
        <v>2</v>
      </c>
      <c r="C194" s="204" t="s">
        <v>3291</v>
      </c>
      <c r="D194" s="71" t="s">
        <v>2064</v>
      </c>
      <c r="E194" s="193"/>
      <c r="F194" s="37" t="b">
        <v>1</v>
      </c>
      <c r="G194" s="196" t="s">
        <v>3290</v>
      </c>
      <c r="H194" s="5"/>
      <c r="I194" s="5"/>
      <c r="J194" s="5"/>
      <c r="K194" s="5"/>
    </row>
    <row r="195" spans="1:11">
      <c r="A195" s="199" t="s">
        <v>3292</v>
      </c>
      <c r="B195" s="200">
        <v>2</v>
      </c>
      <c r="C195" s="205" t="s">
        <v>3293</v>
      </c>
      <c r="D195" s="202" t="s">
        <v>2064</v>
      </c>
      <c r="E195" s="203"/>
      <c r="F195" s="200" t="b">
        <v>1</v>
      </c>
      <c r="G195" s="199" t="s">
        <v>3292</v>
      </c>
      <c r="H195" s="5"/>
      <c r="I195" s="5"/>
      <c r="J195" s="5"/>
      <c r="K195" s="5"/>
    </row>
    <row r="196" spans="1:11">
      <c r="A196" s="196" t="s">
        <v>3294</v>
      </c>
      <c r="B196" s="37">
        <v>2</v>
      </c>
      <c r="C196" s="204" t="s">
        <v>3295</v>
      </c>
      <c r="D196" s="71" t="s">
        <v>2064</v>
      </c>
      <c r="E196" s="193"/>
      <c r="F196" s="37" t="b">
        <v>1</v>
      </c>
      <c r="G196" s="196" t="s">
        <v>3294</v>
      </c>
      <c r="H196" s="5"/>
      <c r="I196" s="5"/>
      <c r="J196" s="5"/>
      <c r="K196" s="5"/>
    </row>
    <row r="197" spans="1:11">
      <c r="A197" s="199" t="s">
        <v>3296</v>
      </c>
      <c r="B197" s="200">
        <v>2</v>
      </c>
      <c r="C197" s="205" t="s">
        <v>3297</v>
      </c>
      <c r="D197" s="202" t="s">
        <v>2064</v>
      </c>
      <c r="E197" s="203"/>
      <c r="F197" s="200" t="b">
        <v>1</v>
      </c>
      <c r="G197" s="199" t="s">
        <v>3296</v>
      </c>
      <c r="H197" s="5"/>
      <c r="I197" s="5"/>
      <c r="J197" s="5"/>
      <c r="K197" s="5"/>
    </row>
    <row r="198" spans="1:11">
      <c r="A198" s="196" t="s">
        <v>3298</v>
      </c>
      <c r="B198" s="37">
        <v>2</v>
      </c>
      <c r="C198" s="204" t="s">
        <v>3299</v>
      </c>
      <c r="D198" s="71" t="s">
        <v>2064</v>
      </c>
      <c r="E198" s="193"/>
      <c r="F198" s="37" t="b">
        <v>1</v>
      </c>
      <c r="G198" s="196" t="s">
        <v>3298</v>
      </c>
      <c r="H198" s="5"/>
      <c r="I198" s="5"/>
      <c r="J198" s="5"/>
      <c r="K198" s="5"/>
    </row>
    <row r="199" spans="1:11">
      <c r="A199" s="199" t="s">
        <v>3300</v>
      </c>
      <c r="B199" s="200">
        <v>2</v>
      </c>
      <c r="C199" s="205" t="s">
        <v>3301</v>
      </c>
      <c r="D199" s="202" t="s">
        <v>2064</v>
      </c>
      <c r="E199" s="203"/>
      <c r="F199" s="200" t="b">
        <v>1</v>
      </c>
      <c r="G199" s="199" t="s">
        <v>3300</v>
      </c>
      <c r="H199" s="5"/>
      <c r="I199" s="5"/>
      <c r="J199" s="5"/>
      <c r="K199" s="5"/>
    </row>
    <row r="200" spans="1:11">
      <c r="A200" s="196" t="s">
        <v>3302</v>
      </c>
      <c r="B200" s="37">
        <v>2</v>
      </c>
      <c r="C200" s="204" t="s">
        <v>3303</v>
      </c>
      <c r="D200" s="71" t="s">
        <v>2064</v>
      </c>
      <c r="E200" s="193"/>
      <c r="F200" s="37" t="b">
        <v>1</v>
      </c>
      <c r="G200" s="196" t="s">
        <v>3302</v>
      </c>
      <c r="H200" s="5"/>
      <c r="I200" s="5"/>
      <c r="J200" s="5"/>
      <c r="K200" s="5"/>
    </row>
    <row r="201" spans="1:11">
      <c r="A201" s="199" t="s">
        <v>3304</v>
      </c>
      <c r="B201" s="200">
        <v>2</v>
      </c>
      <c r="C201" s="205" t="s">
        <v>3305</v>
      </c>
      <c r="D201" s="202" t="s">
        <v>2064</v>
      </c>
      <c r="E201" s="203"/>
      <c r="F201" s="200" t="b">
        <v>1</v>
      </c>
      <c r="G201" s="199" t="s">
        <v>3304</v>
      </c>
      <c r="H201" s="5"/>
      <c r="I201" s="5"/>
      <c r="J201" s="5"/>
      <c r="K201" s="5"/>
    </row>
    <row r="202" spans="1:11">
      <c r="A202" s="196" t="s">
        <v>3306</v>
      </c>
      <c r="B202" s="37">
        <v>2</v>
      </c>
      <c r="C202" s="204" t="s">
        <v>3307</v>
      </c>
      <c r="D202" s="71" t="s">
        <v>2064</v>
      </c>
      <c r="E202" s="193"/>
      <c r="F202" s="37" t="b">
        <v>1</v>
      </c>
      <c r="G202" s="196" t="s">
        <v>3306</v>
      </c>
      <c r="H202" s="5"/>
      <c r="I202" s="5"/>
      <c r="J202" s="5"/>
      <c r="K202" s="5"/>
    </row>
    <row r="203" spans="1:11">
      <c r="A203" s="199" t="s">
        <v>3308</v>
      </c>
      <c r="B203" s="200">
        <v>2</v>
      </c>
      <c r="C203" s="205" t="s">
        <v>3309</v>
      </c>
      <c r="D203" s="202" t="s">
        <v>2064</v>
      </c>
      <c r="E203" s="203"/>
      <c r="F203" s="200" t="b">
        <v>1</v>
      </c>
      <c r="G203" s="199" t="s">
        <v>3308</v>
      </c>
      <c r="H203" s="5"/>
      <c r="I203" s="5"/>
      <c r="J203" s="5"/>
      <c r="K203" s="5"/>
    </row>
    <row r="204" spans="1:11">
      <c r="A204" s="196" t="s">
        <v>3310</v>
      </c>
      <c r="B204" s="37">
        <v>2</v>
      </c>
      <c r="C204" s="204" t="s">
        <v>3311</v>
      </c>
      <c r="D204" s="71" t="s">
        <v>2064</v>
      </c>
      <c r="E204" s="193"/>
      <c r="F204" s="37" t="b">
        <v>1</v>
      </c>
      <c r="G204" s="196" t="s">
        <v>3310</v>
      </c>
      <c r="H204" s="5"/>
      <c r="I204" s="5"/>
      <c r="J204" s="5"/>
      <c r="K204" s="5"/>
    </row>
    <row r="205" spans="1:11">
      <c r="A205" s="199" t="s">
        <v>3312</v>
      </c>
      <c r="B205" s="200">
        <v>2</v>
      </c>
      <c r="C205" s="205" t="s">
        <v>3313</v>
      </c>
      <c r="D205" s="202" t="s">
        <v>2064</v>
      </c>
      <c r="E205" s="203"/>
      <c r="F205" s="200" t="b">
        <v>1</v>
      </c>
      <c r="G205" s="199" t="s">
        <v>3312</v>
      </c>
      <c r="H205" s="5"/>
      <c r="I205" s="5"/>
      <c r="J205" s="5"/>
      <c r="K205" s="5"/>
    </row>
    <row r="206" spans="1:11">
      <c r="A206" s="196" t="s">
        <v>3314</v>
      </c>
      <c r="B206" s="37">
        <v>2</v>
      </c>
      <c r="C206" s="204" t="s">
        <v>3315</v>
      </c>
      <c r="D206" s="71" t="s">
        <v>2064</v>
      </c>
      <c r="E206" s="193"/>
      <c r="F206" s="37" t="b">
        <v>1</v>
      </c>
      <c r="G206" s="196" t="s">
        <v>3314</v>
      </c>
      <c r="H206" s="5"/>
      <c r="I206" s="5"/>
      <c r="J206" s="5"/>
      <c r="K206" s="5"/>
    </row>
    <row r="207" spans="1:11">
      <c r="A207" s="199" t="s">
        <v>3316</v>
      </c>
      <c r="B207" s="200">
        <v>2</v>
      </c>
      <c r="C207" s="205" t="s">
        <v>3317</v>
      </c>
      <c r="D207" s="202" t="s">
        <v>2064</v>
      </c>
      <c r="E207" s="203"/>
      <c r="F207" s="200" t="b">
        <v>1</v>
      </c>
      <c r="G207" s="199" t="s">
        <v>3316</v>
      </c>
      <c r="H207" s="5"/>
      <c r="I207" s="5"/>
      <c r="J207" s="5"/>
      <c r="K207" s="5"/>
    </row>
    <row r="208" spans="1:11">
      <c r="A208" s="196" t="s">
        <v>3318</v>
      </c>
      <c r="B208" s="37">
        <v>2</v>
      </c>
      <c r="C208" s="204" t="s">
        <v>3319</v>
      </c>
      <c r="D208" s="71" t="s">
        <v>2064</v>
      </c>
      <c r="E208" s="193"/>
      <c r="F208" s="37" t="b">
        <v>1</v>
      </c>
      <c r="G208" s="196" t="s">
        <v>3318</v>
      </c>
      <c r="H208" s="5"/>
      <c r="I208" s="5"/>
      <c r="J208" s="5"/>
      <c r="K208" s="5"/>
    </row>
    <row r="209" spans="1:11">
      <c r="A209" s="199" t="s">
        <v>3320</v>
      </c>
      <c r="B209" s="200">
        <v>2</v>
      </c>
      <c r="C209" s="205" t="s">
        <v>3321</v>
      </c>
      <c r="D209" s="202" t="s">
        <v>2064</v>
      </c>
      <c r="E209" s="203"/>
      <c r="F209" s="200" t="b">
        <v>1</v>
      </c>
      <c r="G209" s="199" t="s">
        <v>3320</v>
      </c>
      <c r="H209" s="5"/>
      <c r="I209" s="5"/>
      <c r="J209" s="5"/>
      <c r="K209" s="5"/>
    </row>
    <row r="210" spans="1:11">
      <c r="A210" s="196" t="s">
        <v>3322</v>
      </c>
      <c r="B210" s="37">
        <v>2</v>
      </c>
      <c r="C210" s="204" t="s">
        <v>3323</v>
      </c>
      <c r="D210" s="71" t="s">
        <v>2064</v>
      </c>
      <c r="E210" s="193"/>
      <c r="F210" s="37" t="b">
        <v>1</v>
      </c>
      <c r="G210" s="196" t="s">
        <v>3322</v>
      </c>
      <c r="H210" s="5"/>
      <c r="I210" s="5"/>
      <c r="J210" s="5"/>
      <c r="K210" s="5"/>
    </row>
    <row r="211" spans="1:11">
      <c r="A211" s="199" t="s">
        <v>3324</v>
      </c>
      <c r="B211" s="200">
        <v>2</v>
      </c>
      <c r="C211" s="205" t="s">
        <v>3325</v>
      </c>
      <c r="D211" s="202" t="s">
        <v>2064</v>
      </c>
      <c r="E211" s="203"/>
      <c r="F211" s="200" t="b">
        <v>1</v>
      </c>
      <c r="G211" s="199" t="s">
        <v>3324</v>
      </c>
      <c r="H211" s="5"/>
      <c r="I211" s="5"/>
      <c r="J211" s="5"/>
      <c r="K211" s="5"/>
    </row>
    <row r="212" spans="1:11">
      <c r="A212" s="196" t="s">
        <v>3326</v>
      </c>
      <c r="B212" s="37">
        <v>2</v>
      </c>
      <c r="C212" s="204" t="s">
        <v>3327</v>
      </c>
      <c r="D212" s="71" t="s">
        <v>2064</v>
      </c>
      <c r="E212" s="193"/>
      <c r="F212" s="37" t="b">
        <v>1</v>
      </c>
      <c r="G212" s="196" t="s">
        <v>3326</v>
      </c>
      <c r="H212" s="5"/>
      <c r="I212" s="5"/>
      <c r="J212" s="5"/>
      <c r="K212" s="5"/>
    </row>
    <row r="213" spans="1:11">
      <c r="A213" s="199" t="s">
        <v>3328</v>
      </c>
      <c r="B213" s="200">
        <v>2</v>
      </c>
      <c r="C213" s="205" t="s">
        <v>3329</v>
      </c>
      <c r="D213" s="202" t="s">
        <v>2064</v>
      </c>
      <c r="E213" s="203"/>
      <c r="F213" s="200" t="b">
        <v>1</v>
      </c>
      <c r="G213" s="199" t="s">
        <v>3328</v>
      </c>
      <c r="H213" s="5"/>
      <c r="I213" s="5"/>
      <c r="J213" s="5"/>
      <c r="K213" s="5"/>
    </row>
    <row r="214" spans="1:11">
      <c r="A214" s="196" t="s">
        <v>3330</v>
      </c>
      <c r="B214" s="37">
        <v>2</v>
      </c>
      <c r="C214" s="204" t="s">
        <v>3331</v>
      </c>
      <c r="D214" s="71" t="s">
        <v>2064</v>
      </c>
      <c r="E214" s="193"/>
      <c r="F214" s="37" t="b">
        <v>1</v>
      </c>
      <c r="G214" s="196" t="s">
        <v>3330</v>
      </c>
      <c r="H214" s="5"/>
      <c r="I214" s="5"/>
      <c r="J214" s="5"/>
      <c r="K214" s="5"/>
    </row>
    <row r="215" spans="1:11">
      <c r="A215" s="199" t="s">
        <v>3332</v>
      </c>
      <c r="B215" s="200">
        <v>2</v>
      </c>
      <c r="C215" s="205" t="s">
        <v>3333</v>
      </c>
      <c r="D215" s="202" t="s">
        <v>2064</v>
      </c>
      <c r="E215" s="203"/>
      <c r="F215" s="200" t="b">
        <v>1</v>
      </c>
      <c r="G215" s="199" t="s">
        <v>3332</v>
      </c>
      <c r="H215" s="5"/>
      <c r="I215" s="5"/>
      <c r="J215" s="5"/>
      <c r="K215" s="5"/>
    </row>
    <row r="216" spans="1:11">
      <c r="A216" s="196" t="s">
        <v>3334</v>
      </c>
      <c r="B216" s="37">
        <v>2</v>
      </c>
      <c r="C216" s="204" t="s">
        <v>3335</v>
      </c>
      <c r="D216" s="71" t="s">
        <v>2064</v>
      </c>
      <c r="E216" s="193"/>
      <c r="F216" s="37" t="b">
        <v>1</v>
      </c>
      <c r="G216" s="196" t="s">
        <v>3334</v>
      </c>
      <c r="H216" s="5"/>
      <c r="I216" s="5"/>
      <c r="J216" s="5"/>
      <c r="K216" s="5"/>
    </row>
    <row r="217" spans="1:11">
      <c r="A217" s="199" t="s">
        <v>3336</v>
      </c>
      <c r="B217" s="200">
        <v>2</v>
      </c>
      <c r="C217" s="205" t="s">
        <v>3337</v>
      </c>
      <c r="D217" s="202" t="s">
        <v>2064</v>
      </c>
      <c r="E217" s="203"/>
      <c r="F217" s="200" t="b">
        <v>1</v>
      </c>
      <c r="G217" s="199" t="s">
        <v>3336</v>
      </c>
      <c r="H217" s="5"/>
      <c r="I217" s="5"/>
      <c r="J217" s="5"/>
      <c r="K217" s="5"/>
    </row>
    <row r="218" spans="1:11">
      <c r="A218" s="196" t="s">
        <v>3338</v>
      </c>
      <c r="B218" s="37">
        <v>2</v>
      </c>
      <c r="C218" s="204" t="s">
        <v>3339</v>
      </c>
      <c r="D218" s="71" t="s">
        <v>2064</v>
      </c>
      <c r="E218" s="193"/>
      <c r="F218" s="37" t="b">
        <v>1</v>
      </c>
      <c r="G218" s="196" t="s">
        <v>3338</v>
      </c>
      <c r="H218" s="5"/>
      <c r="I218" s="5"/>
      <c r="J218" s="5"/>
      <c r="K218" s="5"/>
    </row>
    <row r="219" spans="1:11">
      <c r="A219" s="199" t="s">
        <v>3340</v>
      </c>
      <c r="B219" s="200">
        <v>2</v>
      </c>
      <c r="C219" s="205" t="s">
        <v>3341</v>
      </c>
      <c r="D219" s="202" t="s">
        <v>2064</v>
      </c>
      <c r="E219" s="203"/>
      <c r="F219" s="200" t="b">
        <v>1</v>
      </c>
      <c r="G219" s="199" t="s">
        <v>3340</v>
      </c>
      <c r="H219" s="5"/>
      <c r="I219" s="5"/>
      <c r="J219" s="5"/>
      <c r="K219" s="5"/>
    </row>
    <row r="220" spans="1:11">
      <c r="A220" s="196" t="s">
        <v>3342</v>
      </c>
      <c r="B220" s="37">
        <v>2</v>
      </c>
      <c r="C220" s="204" t="s">
        <v>3343</v>
      </c>
      <c r="D220" s="71" t="s">
        <v>2064</v>
      </c>
      <c r="E220" s="193"/>
      <c r="F220" s="37" t="b">
        <v>1</v>
      </c>
      <c r="G220" s="196" t="s">
        <v>3342</v>
      </c>
      <c r="H220" s="5"/>
      <c r="I220" s="5"/>
      <c r="J220" s="5"/>
      <c r="K220" s="5"/>
    </row>
    <row r="221" spans="1:11">
      <c r="A221" s="199" t="s">
        <v>3344</v>
      </c>
      <c r="B221" s="200">
        <v>2</v>
      </c>
      <c r="C221" s="205" t="s">
        <v>3345</v>
      </c>
      <c r="D221" s="202" t="s">
        <v>2064</v>
      </c>
      <c r="E221" s="203"/>
      <c r="F221" s="200" t="b">
        <v>1</v>
      </c>
      <c r="G221" s="199" t="s">
        <v>3344</v>
      </c>
      <c r="H221" s="5"/>
      <c r="I221" s="5"/>
      <c r="J221" s="5"/>
      <c r="K221" s="5"/>
    </row>
    <row r="222" spans="1:11">
      <c r="A222" s="196" t="s">
        <v>3346</v>
      </c>
      <c r="B222" s="37">
        <v>2</v>
      </c>
      <c r="C222" s="204" t="s">
        <v>3347</v>
      </c>
      <c r="D222" s="71" t="s">
        <v>2064</v>
      </c>
      <c r="E222" s="193"/>
      <c r="F222" s="37" t="b">
        <v>1</v>
      </c>
      <c r="G222" s="196" t="s">
        <v>3346</v>
      </c>
      <c r="H222" s="5"/>
      <c r="I222" s="5"/>
      <c r="J222" s="5"/>
      <c r="K222" s="5"/>
    </row>
    <row r="223" spans="1:11">
      <c r="A223" s="199" t="s">
        <v>3348</v>
      </c>
      <c r="B223" s="200">
        <v>2</v>
      </c>
      <c r="C223" s="205" t="s">
        <v>3349</v>
      </c>
      <c r="D223" s="202" t="s">
        <v>2064</v>
      </c>
      <c r="E223" s="203"/>
      <c r="F223" s="200" t="b">
        <v>1</v>
      </c>
      <c r="G223" s="199" t="s">
        <v>3348</v>
      </c>
      <c r="H223" s="5"/>
      <c r="I223" s="5"/>
      <c r="J223" s="5"/>
      <c r="K223" s="5"/>
    </row>
    <row r="224" spans="1:11">
      <c r="A224" s="196" t="s">
        <v>3350</v>
      </c>
      <c r="B224" s="37">
        <v>2</v>
      </c>
      <c r="C224" s="204" t="s">
        <v>3351</v>
      </c>
      <c r="D224" s="71" t="s">
        <v>2064</v>
      </c>
      <c r="E224" s="193"/>
      <c r="F224" s="37" t="b">
        <v>1</v>
      </c>
      <c r="G224" s="196" t="s">
        <v>3350</v>
      </c>
      <c r="H224" s="5"/>
      <c r="I224" s="5"/>
      <c r="J224" s="5"/>
      <c r="K224" s="5"/>
    </row>
    <row r="225" spans="1:11">
      <c r="A225" s="199" t="s">
        <v>3352</v>
      </c>
      <c r="B225" s="200">
        <v>2</v>
      </c>
      <c r="C225" s="205" t="s">
        <v>3353</v>
      </c>
      <c r="D225" s="202" t="s">
        <v>2064</v>
      </c>
      <c r="E225" s="203"/>
      <c r="F225" s="200" t="b">
        <v>1</v>
      </c>
      <c r="G225" s="199" t="s">
        <v>3352</v>
      </c>
      <c r="H225" s="5"/>
      <c r="I225" s="5"/>
      <c r="J225" s="5"/>
      <c r="K225" s="5"/>
    </row>
    <row r="226" spans="1:11">
      <c r="A226" s="196" t="s">
        <v>3354</v>
      </c>
      <c r="B226" s="37">
        <v>2</v>
      </c>
      <c r="C226" s="204" t="s">
        <v>3355</v>
      </c>
      <c r="D226" s="71" t="s">
        <v>2064</v>
      </c>
      <c r="E226" s="193"/>
      <c r="F226" s="37" t="b">
        <v>1</v>
      </c>
      <c r="G226" s="196" t="s">
        <v>3354</v>
      </c>
      <c r="H226" s="5"/>
      <c r="I226" s="5"/>
      <c r="J226" s="5"/>
      <c r="K226" s="5"/>
    </row>
    <row r="227" spans="1:11">
      <c r="A227" s="199" t="s">
        <v>3356</v>
      </c>
      <c r="B227" s="200">
        <v>2</v>
      </c>
      <c r="C227" s="205" t="s">
        <v>3357</v>
      </c>
      <c r="D227" s="202" t="s">
        <v>2064</v>
      </c>
      <c r="E227" s="203"/>
      <c r="F227" s="200" t="b">
        <v>1</v>
      </c>
      <c r="G227" s="199" t="s">
        <v>3356</v>
      </c>
      <c r="H227" s="5"/>
      <c r="I227" s="5"/>
      <c r="J227" s="5"/>
      <c r="K227" s="5"/>
    </row>
    <row r="228" spans="1:11">
      <c r="A228" s="196" t="s">
        <v>3358</v>
      </c>
      <c r="B228" s="37">
        <v>2</v>
      </c>
      <c r="C228" s="204" t="s">
        <v>3359</v>
      </c>
      <c r="D228" s="71" t="s">
        <v>2064</v>
      </c>
      <c r="E228" s="193"/>
      <c r="F228" s="37" t="b">
        <v>1</v>
      </c>
      <c r="G228" s="196" t="s">
        <v>3358</v>
      </c>
      <c r="H228" s="5"/>
      <c r="I228" s="5"/>
      <c r="J228" s="5"/>
      <c r="K228" s="5"/>
    </row>
    <row r="229" spans="1:11">
      <c r="A229" s="199" t="s">
        <v>3360</v>
      </c>
      <c r="B229" s="200">
        <v>2</v>
      </c>
      <c r="C229" s="205" t="s">
        <v>3361</v>
      </c>
      <c r="D229" s="202" t="s">
        <v>2064</v>
      </c>
      <c r="E229" s="203"/>
      <c r="F229" s="200" t="b">
        <v>1</v>
      </c>
      <c r="G229" s="199" t="s">
        <v>3360</v>
      </c>
      <c r="H229" s="5"/>
      <c r="I229" s="5"/>
      <c r="J229" s="5"/>
      <c r="K229" s="5"/>
    </row>
    <row r="230" spans="1:11">
      <c r="A230" s="196" t="s">
        <v>3362</v>
      </c>
      <c r="B230" s="37">
        <v>2</v>
      </c>
      <c r="C230" s="204" t="s">
        <v>3363</v>
      </c>
      <c r="D230" s="71" t="s">
        <v>2064</v>
      </c>
      <c r="E230" s="193"/>
      <c r="F230" s="37" t="b">
        <v>1</v>
      </c>
      <c r="G230" s="196" t="s">
        <v>3362</v>
      </c>
      <c r="H230" s="5"/>
      <c r="I230" s="5"/>
      <c r="J230" s="5"/>
      <c r="K230" s="5"/>
    </row>
    <row r="231" spans="1:11">
      <c r="A231" s="199" t="s">
        <v>3364</v>
      </c>
      <c r="B231" s="200">
        <v>2</v>
      </c>
      <c r="C231" s="205" t="s">
        <v>3365</v>
      </c>
      <c r="D231" s="202" t="s">
        <v>2064</v>
      </c>
      <c r="E231" s="203"/>
      <c r="F231" s="200" t="b">
        <v>1</v>
      </c>
      <c r="G231" s="199" t="s">
        <v>3364</v>
      </c>
      <c r="H231" s="5"/>
      <c r="I231" s="5"/>
      <c r="J231" s="5"/>
      <c r="K231" s="5"/>
    </row>
    <row r="232" spans="1:11">
      <c r="A232" s="196" t="s">
        <v>3366</v>
      </c>
      <c r="B232" s="37">
        <v>2</v>
      </c>
      <c r="C232" s="204" t="s">
        <v>3367</v>
      </c>
      <c r="D232" s="71" t="s">
        <v>2064</v>
      </c>
      <c r="E232" s="193"/>
      <c r="F232" s="37" t="b">
        <v>1</v>
      </c>
      <c r="G232" s="196" t="s">
        <v>3366</v>
      </c>
      <c r="H232" s="5"/>
      <c r="I232" s="5"/>
      <c r="J232" s="5"/>
      <c r="K232" s="5"/>
    </row>
    <row r="233" spans="1:11">
      <c r="A233" s="199" t="s">
        <v>3368</v>
      </c>
      <c r="B233" s="200">
        <v>2</v>
      </c>
      <c r="C233" s="205" t="s">
        <v>3369</v>
      </c>
      <c r="D233" s="202" t="s">
        <v>2064</v>
      </c>
      <c r="E233" s="203"/>
      <c r="F233" s="200" t="b">
        <v>1</v>
      </c>
      <c r="G233" s="199" t="s">
        <v>3368</v>
      </c>
      <c r="H233" s="5"/>
      <c r="I233" s="5"/>
      <c r="J233" s="5"/>
      <c r="K233" s="5"/>
    </row>
    <row r="234" spans="1:11">
      <c r="A234" s="196" t="s">
        <v>3370</v>
      </c>
      <c r="B234" s="37">
        <v>2</v>
      </c>
      <c r="C234" s="204" t="s">
        <v>3371</v>
      </c>
      <c r="D234" s="71" t="s">
        <v>2064</v>
      </c>
      <c r="E234" s="193"/>
      <c r="F234" s="37" t="b">
        <v>1</v>
      </c>
      <c r="G234" s="196" t="s">
        <v>3370</v>
      </c>
      <c r="H234" s="5"/>
      <c r="I234" s="5"/>
      <c r="J234" s="5"/>
      <c r="K234" s="5"/>
    </row>
    <row r="235" spans="1:11">
      <c r="A235" s="199" t="s">
        <v>3372</v>
      </c>
      <c r="B235" s="200">
        <v>2</v>
      </c>
      <c r="C235" s="205" t="s">
        <v>3373</v>
      </c>
      <c r="D235" s="202" t="s">
        <v>2064</v>
      </c>
      <c r="E235" s="203"/>
      <c r="F235" s="200" t="b">
        <v>1</v>
      </c>
      <c r="G235" s="199" t="s">
        <v>3372</v>
      </c>
      <c r="H235" s="5"/>
      <c r="I235" s="5"/>
      <c r="J235" s="5"/>
      <c r="K235" s="5"/>
    </row>
    <row r="236" spans="1:11">
      <c r="A236" s="196" t="s">
        <v>3374</v>
      </c>
      <c r="B236" s="37">
        <v>2</v>
      </c>
      <c r="C236" s="204" t="s">
        <v>3375</v>
      </c>
      <c r="D236" s="71" t="s">
        <v>2064</v>
      </c>
      <c r="E236" s="193"/>
      <c r="F236" s="37" t="b">
        <v>1</v>
      </c>
      <c r="G236" s="196" t="s">
        <v>3374</v>
      </c>
      <c r="H236" s="5"/>
      <c r="I236" s="5"/>
      <c r="J236" s="5"/>
      <c r="K236" s="5"/>
    </row>
    <row r="237" spans="1:11">
      <c r="A237" s="199" t="s">
        <v>3376</v>
      </c>
      <c r="B237" s="200">
        <v>2</v>
      </c>
      <c r="C237" s="205" t="s">
        <v>3377</v>
      </c>
      <c r="D237" s="202" t="s">
        <v>2064</v>
      </c>
      <c r="E237" s="203"/>
      <c r="F237" s="200" t="b">
        <v>1</v>
      </c>
      <c r="G237" s="199" t="s">
        <v>3376</v>
      </c>
      <c r="H237" s="5"/>
      <c r="I237" s="5"/>
      <c r="J237" s="5"/>
      <c r="K237" s="5"/>
    </row>
    <row r="238" spans="1:11">
      <c r="A238" s="196" t="s">
        <v>3378</v>
      </c>
      <c r="B238" s="37">
        <v>2</v>
      </c>
      <c r="C238" s="204" t="s">
        <v>3379</v>
      </c>
      <c r="D238" s="71" t="s">
        <v>2064</v>
      </c>
      <c r="E238" s="193"/>
      <c r="F238" s="37" t="b">
        <v>1</v>
      </c>
      <c r="G238" s="196" t="s">
        <v>3378</v>
      </c>
      <c r="H238" s="5"/>
      <c r="I238" s="5"/>
      <c r="J238" s="5"/>
      <c r="K238" s="5"/>
    </row>
    <row r="239" spans="1:11">
      <c r="A239" s="199" t="s">
        <v>3380</v>
      </c>
      <c r="B239" s="200">
        <v>2</v>
      </c>
      <c r="C239" s="205" t="s">
        <v>3381</v>
      </c>
      <c r="D239" s="202" t="s">
        <v>2064</v>
      </c>
      <c r="E239" s="203"/>
      <c r="F239" s="200" t="b">
        <v>1</v>
      </c>
      <c r="G239" s="199" t="s">
        <v>3380</v>
      </c>
      <c r="H239" s="5"/>
      <c r="I239" s="5"/>
      <c r="J239" s="5"/>
      <c r="K239" s="5"/>
    </row>
    <row r="240" spans="1:11">
      <c r="A240" s="196" t="s">
        <v>3382</v>
      </c>
      <c r="B240" s="37">
        <v>2</v>
      </c>
      <c r="C240" s="204" t="s">
        <v>3383</v>
      </c>
      <c r="D240" s="71" t="s">
        <v>2064</v>
      </c>
      <c r="E240" s="193"/>
      <c r="F240" s="37" t="b">
        <v>1</v>
      </c>
      <c r="G240" s="196" t="s">
        <v>3382</v>
      </c>
      <c r="H240" s="5"/>
      <c r="I240" s="5"/>
      <c r="J240" s="5"/>
      <c r="K240" s="5"/>
    </row>
    <row r="241" spans="1:11">
      <c r="A241" s="199" t="s">
        <v>3384</v>
      </c>
      <c r="B241" s="200">
        <v>2</v>
      </c>
      <c r="C241" s="205" t="s">
        <v>3385</v>
      </c>
      <c r="D241" s="202" t="s">
        <v>2064</v>
      </c>
      <c r="E241" s="203"/>
      <c r="F241" s="200" t="b">
        <v>1</v>
      </c>
      <c r="G241" s="199" t="s">
        <v>3384</v>
      </c>
      <c r="H241" s="5"/>
      <c r="I241" s="5"/>
      <c r="J241" s="5"/>
      <c r="K241" s="5"/>
    </row>
    <row r="242" spans="1:11">
      <c r="A242" s="196" t="s">
        <v>3386</v>
      </c>
      <c r="B242" s="37">
        <v>2</v>
      </c>
      <c r="C242" s="204" t="s">
        <v>3387</v>
      </c>
      <c r="D242" s="71" t="s">
        <v>2064</v>
      </c>
      <c r="E242" s="193"/>
      <c r="F242" s="37" t="b">
        <v>1</v>
      </c>
      <c r="G242" s="196" t="s">
        <v>3386</v>
      </c>
      <c r="H242" s="5"/>
      <c r="I242" s="5"/>
      <c r="J242" s="5"/>
      <c r="K242" s="5"/>
    </row>
    <row r="243" spans="1:11">
      <c r="A243" s="199" t="s">
        <v>3388</v>
      </c>
      <c r="B243" s="37">
        <v>2</v>
      </c>
      <c r="C243" s="205" t="s">
        <v>3389</v>
      </c>
      <c r="D243" s="202" t="s">
        <v>2064</v>
      </c>
      <c r="E243" s="203"/>
      <c r="F243" s="200" t="b">
        <v>1</v>
      </c>
      <c r="G243" s="199" t="s">
        <v>3388</v>
      </c>
      <c r="H243" s="5"/>
      <c r="I243" s="5"/>
      <c r="J243" s="5"/>
      <c r="K243" s="5"/>
    </row>
    <row r="244" spans="1:11">
      <c r="A244" s="196" t="s">
        <v>3390</v>
      </c>
      <c r="B244" s="37">
        <v>2</v>
      </c>
      <c r="C244" s="204" t="s">
        <v>3391</v>
      </c>
      <c r="D244" s="71" t="s">
        <v>2064</v>
      </c>
      <c r="E244" s="193"/>
      <c r="F244" s="37" t="b">
        <v>1</v>
      </c>
      <c r="G244" s="196" t="s">
        <v>3390</v>
      </c>
      <c r="H244" s="5"/>
      <c r="I244" s="5"/>
      <c r="J244" s="5"/>
      <c r="K244" s="5"/>
    </row>
    <row r="245" spans="1:11">
      <c r="A245" s="199" t="s">
        <v>3392</v>
      </c>
      <c r="B245" s="200">
        <v>3</v>
      </c>
      <c r="C245" s="205" t="s">
        <v>3393</v>
      </c>
      <c r="D245" s="202" t="s">
        <v>2064</v>
      </c>
      <c r="E245" s="203"/>
      <c r="F245" s="200" t="b">
        <v>1</v>
      </c>
      <c r="G245" s="199" t="s">
        <v>3392</v>
      </c>
      <c r="H245" s="5"/>
      <c r="I245" s="5"/>
      <c r="J245" s="5"/>
      <c r="K245" s="5"/>
    </row>
    <row r="246" spans="1:11">
      <c r="A246" s="196" t="s">
        <v>3394</v>
      </c>
      <c r="B246" s="37">
        <v>3</v>
      </c>
      <c r="C246" s="204" t="s">
        <v>3395</v>
      </c>
      <c r="D246" s="71" t="s">
        <v>2064</v>
      </c>
      <c r="E246" s="193"/>
      <c r="F246" s="37" t="b">
        <v>1</v>
      </c>
      <c r="G246" s="196" t="s">
        <v>3394</v>
      </c>
      <c r="H246" s="5"/>
      <c r="I246" s="5"/>
      <c r="J246" s="5"/>
      <c r="K246" s="5"/>
    </row>
    <row r="247" spans="1:11">
      <c r="A247" s="199" t="s">
        <v>3396</v>
      </c>
      <c r="B247" s="200">
        <v>3</v>
      </c>
      <c r="C247" s="205" t="s">
        <v>3397</v>
      </c>
      <c r="D247" s="202" t="s">
        <v>2064</v>
      </c>
      <c r="E247" s="203"/>
      <c r="F247" s="200" t="b">
        <v>1</v>
      </c>
      <c r="G247" s="199" t="s">
        <v>3396</v>
      </c>
      <c r="H247" s="5"/>
      <c r="I247" s="5"/>
      <c r="J247" s="5"/>
      <c r="K247" s="5"/>
    </row>
    <row r="248" spans="1:11">
      <c r="A248" s="196" t="s">
        <v>3398</v>
      </c>
      <c r="B248" s="37">
        <v>3</v>
      </c>
      <c r="C248" s="204" t="s">
        <v>3399</v>
      </c>
      <c r="D248" s="71" t="s">
        <v>2064</v>
      </c>
      <c r="E248" s="193"/>
      <c r="F248" s="37" t="b">
        <v>1</v>
      </c>
      <c r="G248" s="196" t="s">
        <v>3398</v>
      </c>
      <c r="H248" s="5"/>
      <c r="I248" s="5"/>
      <c r="J248" s="5"/>
      <c r="K248" s="5"/>
    </row>
    <row r="249" spans="1:11">
      <c r="A249" s="199" t="s">
        <v>3400</v>
      </c>
      <c r="B249" s="200">
        <v>3</v>
      </c>
      <c r="C249" s="205" t="s">
        <v>3401</v>
      </c>
      <c r="D249" s="202" t="s">
        <v>2064</v>
      </c>
      <c r="E249" s="203"/>
      <c r="F249" s="200" t="b">
        <v>1</v>
      </c>
      <c r="G249" s="199" t="s">
        <v>3400</v>
      </c>
      <c r="H249" s="5"/>
      <c r="I249" s="5"/>
      <c r="J249" s="5"/>
      <c r="K249" s="5"/>
    </row>
    <row r="250" spans="1:11">
      <c r="A250" s="196" t="s">
        <v>3402</v>
      </c>
      <c r="B250" s="37">
        <v>3</v>
      </c>
      <c r="C250" s="204" t="s">
        <v>3403</v>
      </c>
      <c r="D250" s="71" t="s">
        <v>2064</v>
      </c>
      <c r="E250" s="193"/>
      <c r="F250" s="37" t="b">
        <v>1</v>
      </c>
      <c r="G250" s="196" t="s">
        <v>3402</v>
      </c>
      <c r="H250" s="5"/>
      <c r="I250" s="5"/>
      <c r="J250" s="5"/>
      <c r="K250" s="5"/>
    </row>
    <row r="251" spans="1:11">
      <c r="A251" s="199" t="s">
        <v>3404</v>
      </c>
      <c r="B251" s="200">
        <v>3</v>
      </c>
      <c r="C251" s="205" t="s">
        <v>3405</v>
      </c>
      <c r="D251" s="202" t="s">
        <v>2064</v>
      </c>
      <c r="E251" s="203"/>
      <c r="F251" s="200" t="b">
        <v>1</v>
      </c>
      <c r="G251" s="199" t="s">
        <v>3404</v>
      </c>
      <c r="H251" s="5"/>
      <c r="I251" s="5"/>
      <c r="J251" s="5"/>
      <c r="K251" s="5"/>
    </row>
    <row r="252" spans="1:11">
      <c r="A252" s="196" t="s">
        <v>3406</v>
      </c>
      <c r="B252" s="37">
        <v>3</v>
      </c>
      <c r="C252" s="204" t="s">
        <v>3407</v>
      </c>
      <c r="D252" s="71" t="s">
        <v>2064</v>
      </c>
      <c r="E252" s="193"/>
      <c r="F252" s="37" t="b">
        <v>1</v>
      </c>
      <c r="G252" s="196" t="s">
        <v>3406</v>
      </c>
      <c r="H252" s="5"/>
      <c r="I252" s="5"/>
      <c r="J252" s="5"/>
      <c r="K252" s="5"/>
    </row>
    <row r="253" spans="1:11">
      <c r="A253" s="199" t="s">
        <v>3408</v>
      </c>
      <c r="B253" s="200">
        <v>3</v>
      </c>
      <c r="C253" s="205" t="s">
        <v>3409</v>
      </c>
      <c r="D253" s="202" t="s">
        <v>2064</v>
      </c>
      <c r="E253" s="203"/>
      <c r="F253" s="200" t="b">
        <v>1</v>
      </c>
      <c r="G253" s="199" t="s">
        <v>3408</v>
      </c>
      <c r="H253" s="5"/>
      <c r="I253" s="5"/>
      <c r="J253" s="5"/>
      <c r="K253" s="5"/>
    </row>
    <row r="254" spans="1:11">
      <c r="A254" s="196" t="s">
        <v>3410</v>
      </c>
      <c r="B254" s="37">
        <v>3</v>
      </c>
      <c r="C254" s="204" t="s">
        <v>3411</v>
      </c>
      <c r="D254" s="71" t="s">
        <v>2064</v>
      </c>
      <c r="E254" s="193"/>
      <c r="F254" s="37" t="b">
        <v>1</v>
      </c>
      <c r="G254" s="196" t="s">
        <v>3410</v>
      </c>
      <c r="H254" s="5"/>
      <c r="I254" s="5"/>
      <c r="J254" s="5"/>
      <c r="K254" s="5"/>
    </row>
    <row r="255" spans="1:11">
      <c r="A255" s="199" t="s">
        <v>3412</v>
      </c>
      <c r="B255" s="200">
        <v>3</v>
      </c>
      <c r="C255" s="205" t="s">
        <v>3413</v>
      </c>
      <c r="D255" s="202" t="s">
        <v>2064</v>
      </c>
      <c r="E255" s="203"/>
      <c r="F255" s="200" t="b">
        <v>1</v>
      </c>
      <c r="G255" s="199" t="s">
        <v>3412</v>
      </c>
      <c r="H255" s="5"/>
      <c r="I255" s="5"/>
      <c r="J255" s="5"/>
      <c r="K255" s="5"/>
    </row>
    <row r="256" spans="1:11">
      <c r="A256" s="196" t="s">
        <v>3414</v>
      </c>
      <c r="B256" s="37">
        <v>3</v>
      </c>
      <c r="C256" s="204" t="s">
        <v>3415</v>
      </c>
      <c r="D256" s="71" t="s">
        <v>2064</v>
      </c>
      <c r="E256" s="193"/>
      <c r="F256" s="37" t="b">
        <v>1</v>
      </c>
      <c r="G256" s="196" t="s">
        <v>3414</v>
      </c>
      <c r="H256" s="5"/>
      <c r="I256" s="5"/>
      <c r="J256" s="5"/>
      <c r="K256" s="5"/>
    </row>
    <row r="257" spans="1:11">
      <c r="A257" s="199" t="s">
        <v>3416</v>
      </c>
      <c r="B257" s="200">
        <v>3</v>
      </c>
      <c r="C257" s="205" t="s">
        <v>3417</v>
      </c>
      <c r="D257" s="202" t="s">
        <v>2064</v>
      </c>
      <c r="E257" s="203"/>
      <c r="F257" s="200" t="b">
        <v>1</v>
      </c>
      <c r="G257" s="199" t="s">
        <v>3416</v>
      </c>
      <c r="H257" s="5"/>
      <c r="I257" s="5"/>
      <c r="J257" s="5"/>
      <c r="K257" s="5"/>
    </row>
    <row r="258" spans="1:11">
      <c r="A258" s="196" t="s">
        <v>3418</v>
      </c>
      <c r="B258" s="37">
        <v>3</v>
      </c>
      <c r="C258" s="204" t="s">
        <v>3419</v>
      </c>
      <c r="D258" s="71" t="s">
        <v>2064</v>
      </c>
      <c r="E258" s="193"/>
      <c r="F258" s="37" t="b">
        <v>1</v>
      </c>
      <c r="G258" s="196" t="s">
        <v>3418</v>
      </c>
      <c r="H258" s="5"/>
      <c r="I258" s="5"/>
      <c r="J258" s="5"/>
      <c r="K258" s="5"/>
    </row>
    <row r="259" spans="1:11">
      <c r="A259" s="199" t="s">
        <v>3420</v>
      </c>
      <c r="B259" s="200">
        <v>3</v>
      </c>
      <c r="C259" s="205" t="s">
        <v>3421</v>
      </c>
      <c r="D259" s="202" t="s">
        <v>2064</v>
      </c>
      <c r="E259" s="203"/>
      <c r="F259" s="200" t="b">
        <v>1</v>
      </c>
      <c r="G259" s="199" t="s">
        <v>3420</v>
      </c>
      <c r="H259" s="5"/>
      <c r="I259" s="5"/>
      <c r="J259" s="5"/>
      <c r="K259" s="5"/>
    </row>
    <row r="260" spans="1:11">
      <c r="A260" s="196" t="s">
        <v>3422</v>
      </c>
      <c r="B260" s="37">
        <v>3</v>
      </c>
      <c r="C260" s="204" t="s">
        <v>3423</v>
      </c>
      <c r="D260" s="71" t="s">
        <v>2064</v>
      </c>
      <c r="E260" s="193"/>
      <c r="F260" s="37" t="b">
        <v>1</v>
      </c>
      <c r="G260" s="196" t="s">
        <v>3422</v>
      </c>
      <c r="H260" s="5"/>
      <c r="I260" s="5"/>
      <c r="J260" s="5"/>
      <c r="K260" s="5"/>
    </row>
    <row r="261" spans="1:11">
      <c r="A261" s="199" t="s">
        <v>3424</v>
      </c>
      <c r="B261" s="200">
        <v>3</v>
      </c>
      <c r="C261" s="205" t="s">
        <v>3425</v>
      </c>
      <c r="D261" s="202" t="s">
        <v>2064</v>
      </c>
      <c r="E261" s="203"/>
      <c r="F261" s="200" t="b">
        <v>1</v>
      </c>
      <c r="G261" s="199" t="s">
        <v>3424</v>
      </c>
      <c r="H261" s="5"/>
      <c r="I261" s="5"/>
      <c r="J261" s="5"/>
      <c r="K261" s="5"/>
    </row>
    <row r="262" spans="1:11">
      <c r="A262" s="196" t="s">
        <v>3426</v>
      </c>
      <c r="B262" s="37">
        <v>3</v>
      </c>
      <c r="C262" s="204" t="s">
        <v>3427</v>
      </c>
      <c r="D262" s="71" t="s">
        <v>2064</v>
      </c>
      <c r="E262" s="193"/>
      <c r="F262" s="37" t="b">
        <v>1</v>
      </c>
      <c r="G262" s="196" t="s">
        <v>3426</v>
      </c>
      <c r="H262" s="5"/>
      <c r="I262" s="5"/>
      <c r="J262" s="5"/>
      <c r="K262" s="5"/>
    </row>
    <row r="263" spans="1:11">
      <c r="A263" s="199" t="s">
        <v>3428</v>
      </c>
      <c r="B263" s="200">
        <v>3</v>
      </c>
      <c r="C263" s="205" t="s">
        <v>3429</v>
      </c>
      <c r="D263" s="202" t="s">
        <v>2064</v>
      </c>
      <c r="E263" s="203"/>
      <c r="F263" s="200" t="b">
        <v>1</v>
      </c>
      <c r="G263" s="199" t="s">
        <v>3428</v>
      </c>
      <c r="H263" s="5"/>
      <c r="I263" s="5"/>
      <c r="J263" s="5"/>
      <c r="K263" s="5"/>
    </row>
    <row r="264" spans="1:11">
      <c r="A264" s="196" t="s">
        <v>3430</v>
      </c>
      <c r="B264" s="37">
        <v>3</v>
      </c>
      <c r="C264" s="204" t="s">
        <v>3431</v>
      </c>
      <c r="D264" s="71" t="s">
        <v>2064</v>
      </c>
      <c r="E264" s="193"/>
      <c r="F264" s="37" t="b">
        <v>1</v>
      </c>
      <c r="G264" s="196" t="s">
        <v>3430</v>
      </c>
      <c r="H264" s="5"/>
      <c r="I264" s="5"/>
      <c r="J264" s="5"/>
      <c r="K264" s="5"/>
    </row>
    <row r="265" spans="1:11">
      <c r="A265" s="199" t="s">
        <v>3432</v>
      </c>
      <c r="B265" s="200">
        <v>3</v>
      </c>
      <c r="C265" s="205" t="s">
        <v>3433</v>
      </c>
      <c r="D265" s="202" t="s">
        <v>2064</v>
      </c>
      <c r="E265" s="203"/>
      <c r="F265" s="200" t="b">
        <v>1</v>
      </c>
      <c r="G265" s="199" t="s">
        <v>3432</v>
      </c>
      <c r="H265" s="5"/>
      <c r="I265" s="5"/>
      <c r="J265" s="5"/>
      <c r="K265" s="5"/>
    </row>
    <row r="266" spans="1:11">
      <c r="A266" s="196" t="s">
        <v>3434</v>
      </c>
      <c r="B266" s="37">
        <v>3</v>
      </c>
      <c r="C266" s="204" t="s">
        <v>3435</v>
      </c>
      <c r="D266" s="71" t="s">
        <v>2064</v>
      </c>
      <c r="E266" s="193"/>
      <c r="F266" s="37" t="b">
        <v>1</v>
      </c>
      <c r="G266" s="196" t="s">
        <v>3434</v>
      </c>
      <c r="H266" s="5"/>
      <c r="I266" s="5"/>
      <c r="J266" s="5"/>
      <c r="K266" s="5"/>
    </row>
    <row r="267" spans="1:11">
      <c r="A267" s="199" t="s">
        <v>3436</v>
      </c>
      <c r="B267" s="200">
        <v>3</v>
      </c>
      <c r="C267" s="205" t="s">
        <v>3437</v>
      </c>
      <c r="D267" s="202" t="s">
        <v>2064</v>
      </c>
      <c r="E267" s="203"/>
      <c r="F267" s="200" t="b">
        <v>1</v>
      </c>
      <c r="G267" s="199" t="s">
        <v>3436</v>
      </c>
      <c r="H267" s="5"/>
      <c r="I267" s="5"/>
      <c r="J267" s="5"/>
      <c r="K267" s="5"/>
    </row>
    <row r="268" spans="1:11">
      <c r="A268" s="196" t="s">
        <v>3438</v>
      </c>
      <c r="B268" s="37">
        <v>3</v>
      </c>
      <c r="C268" s="204" t="s">
        <v>3439</v>
      </c>
      <c r="D268" s="71" t="s">
        <v>2064</v>
      </c>
      <c r="E268" s="193"/>
      <c r="F268" s="37" t="b">
        <v>1</v>
      </c>
      <c r="G268" s="196" t="s">
        <v>3438</v>
      </c>
      <c r="H268" s="5"/>
      <c r="I268" s="5"/>
      <c r="J268" s="5"/>
      <c r="K268" s="5"/>
    </row>
    <row r="269" spans="1:11">
      <c r="A269" s="199" t="s">
        <v>3440</v>
      </c>
      <c r="B269" s="200">
        <v>3</v>
      </c>
      <c r="C269" s="205" t="s">
        <v>3441</v>
      </c>
      <c r="D269" s="202" t="s">
        <v>2064</v>
      </c>
      <c r="E269" s="203"/>
      <c r="F269" s="200" t="b">
        <v>1</v>
      </c>
      <c r="G269" s="199" t="s">
        <v>3440</v>
      </c>
      <c r="H269" s="5"/>
      <c r="I269" s="5"/>
      <c r="J269" s="5"/>
      <c r="K269" s="5"/>
    </row>
    <row r="270" spans="1:11">
      <c r="A270" s="196" t="s">
        <v>3442</v>
      </c>
      <c r="B270" s="37">
        <v>3</v>
      </c>
      <c r="C270" s="204" t="s">
        <v>3443</v>
      </c>
      <c r="D270" s="71" t="s">
        <v>2064</v>
      </c>
      <c r="E270" s="193"/>
      <c r="F270" s="37" t="b">
        <v>1</v>
      </c>
      <c r="G270" s="196" t="s">
        <v>3442</v>
      </c>
      <c r="H270" s="5"/>
      <c r="I270" s="5"/>
      <c r="J270" s="5"/>
      <c r="K270" s="5"/>
    </row>
    <row r="271" spans="1:11">
      <c r="A271" s="199" t="s">
        <v>3444</v>
      </c>
      <c r="B271" s="200">
        <v>3</v>
      </c>
      <c r="C271" s="205" t="s">
        <v>3445</v>
      </c>
      <c r="D271" s="202" t="s">
        <v>2064</v>
      </c>
      <c r="E271" s="203"/>
      <c r="F271" s="200" t="b">
        <v>1</v>
      </c>
      <c r="G271" s="199" t="s">
        <v>3444</v>
      </c>
      <c r="H271" s="5"/>
      <c r="I271" s="5"/>
      <c r="J271" s="5"/>
      <c r="K271" s="5"/>
    </row>
    <row r="272" spans="1:11">
      <c r="A272" s="196" t="s">
        <v>3446</v>
      </c>
      <c r="B272" s="37">
        <v>3</v>
      </c>
      <c r="C272" s="204" t="s">
        <v>3447</v>
      </c>
      <c r="D272" s="71" t="s">
        <v>2064</v>
      </c>
      <c r="E272" s="193"/>
      <c r="F272" s="37" t="b">
        <v>1</v>
      </c>
      <c r="G272" s="196" t="s">
        <v>3446</v>
      </c>
      <c r="H272" s="5"/>
      <c r="I272" s="5"/>
      <c r="J272" s="5"/>
      <c r="K272" s="5"/>
    </row>
    <row r="273" spans="1:11">
      <c r="A273" s="199" t="s">
        <v>3448</v>
      </c>
      <c r="B273" s="200">
        <v>3</v>
      </c>
      <c r="C273" s="205" t="s">
        <v>3449</v>
      </c>
      <c r="D273" s="202" t="s">
        <v>2064</v>
      </c>
      <c r="E273" s="203"/>
      <c r="F273" s="200" t="b">
        <v>1</v>
      </c>
      <c r="G273" s="199" t="s">
        <v>3448</v>
      </c>
      <c r="H273" s="5"/>
      <c r="I273" s="5"/>
      <c r="J273" s="5"/>
      <c r="K273" s="5"/>
    </row>
    <row r="274" spans="1:11">
      <c r="A274" s="196" t="s">
        <v>3450</v>
      </c>
      <c r="B274" s="37">
        <v>3</v>
      </c>
      <c r="C274" s="204" t="s">
        <v>3451</v>
      </c>
      <c r="D274" s="71" t="s">
        <v>2064</v>
      </c>
      <c r="E274" s="193"/>
      <c r="F274" s="37" t="b">
        <v>1</v>
      </c>
      <c r="G274" s="196" t="s">
        <v>3450</v>
      </c>
      <c r="H274" s="5"/>
      <c r="I274" s="5"/>
      <c r="J274" s="5"/>
      <c r="K274" s="5"/>
    </row>
    <row r="275" spans="1:11">
      <c r="A275" s="199" t="s">
        <v>3452</v>
      </c>
      <c r="B275" s="200">
        <v>3</v>
      </c>
      <c r="C275" s="205" t="s">
        <v>3453</v>
      </c>
      <c r="D275" s="202" t="s">
        <v>2064</v>
      </c>
      <c r="E275" s="203"/>
      <c r="F275" s="200" t="b">
        <v>1</v>
      </c>
      <c r="G275" s="199" t="s">
        <v>3452</v>
      </c>
      <c r="H275" s="5"/>
      <c r="I275" s="5"/>
      <c r="J275" s="5"/>
      <c r="K275" s="5"/>
    </row>
    <row r="276" spans="1:11">
      <c r="A276" s="196" t="s">
        <v>3454</v>
      </c>
      <c r="B276" s="37">
        <v>3</v>
      </c>
      <c r="C276" s="204" t="s">
        <v>3455</v>
      </c>
      <c r="D276" s="71" t="s">
        <v>2064</v>
      </c>
      <c r="E276" s="193"/>
      <c r="F276" s="37" t="b">
        <v>1</v>
      </c>
      <c r="G276" s="196" t="s">
        <v>3454</v>
      </c>
      <c r="H276" s="5"/>
      <c r="I276" s="5"/>
      <c r="J276" s="5"/>
      <c r="K276" s="5"/>
    </row>
    <row r="277" spans="1:11">
      <c r="A277" s="199" t="s">
        <v>3456</v>
      </c>
      <c r="B277" s="200">
        <v>3</v>
      </c>
      <c r="C277" s="205" t="s">
        <v>3457</v>
      </c>
      <c r="D277" s="202" t="s">
        <v>2064</v>
      </c>
      <c r="E277" s="203"/>
      <c r="F277" s="200" t="b">
        <v>1</v>
      </c>
      <c r="G277" s="199" t="s">
        <v>3456</v>
      </c>
      <c r="H277" s="5"/>
      <c r="I277" s="5"/>
      <c r="J277" s="5"/>
      <c r="K277" s="5"/>
    </row>
    <row r="278" spans="1:11">
      <c r="A278" s="196" t="s">
        <v>3458</v>
      </c>
      <c r="B278" s="37">
        <v>3</v>
      </c>
      <c r="C278" s="204" t="s">
        <v>3459</v>
      </c>
      <c r="D278" s="71" t="s">
        <v>2064</v>
      </c>
      <c r="E278" s="193"/>
      <c r="F278" s="37" t="b">
        <v>1</v>
      </c>
      <c r="G278" s="196" t="s">
        <v>3458</v>
      </c>
      <c r="H278" s="5"/>
      <c r="I278" s="5"/>
      <c r="J278" s="5"/>
      <c r="K278" s="5"/>
    </row>
    <row r="279" spans="1:11">
      <c r="A279" s="199" t="s">
        <v>3460</v>
      </c>
      <c r="B279" s="200">
        <v>3</v>
      </c>
      <c r="C279" s="205" t="s">
        <v>3461</v>
      </c>
      <c r="D279" s="202" t="s">
        <v>2064</v>
      </c>
      <c r="E279" s="203"/>
      <c r="F279" s="200" t="b">
        <v>1</v>
      </c>
      <c r="G279" s="199" t="s">
        <v>3460</v>
      </c>
      <c r="H279" s="5"/>
      <c r="I279" s="5"/>
      <c r="J279" s="5"/>
      <c r="K279" s="5"/>
    </row>
    <row r="280" spans="1:11">
      <c r="A280" s="196" t="s">
        <v>3462</v>
      </c>
      <c r="B280" s="37">
        <v>3</v>
      </c>
      <c r="C280" s="204" t="s">
        <v>3463</v>
      </c>
      <c r="D280" s="71" t="s">
        <v>2064</v>
      </c>
      <c r="E280" s="193"/>
      <c r="F280" s="37" t="b">
        <v>1</v>
      </c>
      <c r="G280" s="196" t="s">
        <v>3462</v>
      </c>
      <c r="H280" s="5"/>
      <c r="I280" s="5"/>
      <c r="J280" s="5"/>
      <c r="K280" s="5"/>
    </row>
    <row r="281" spans="1:11">
      <c r="A281" s="199" t="s">
        <v>3464</v>
      </c>
      <c r="B281" s="200">
        <v>3</v>
      </c>
      <c r="C281" s="205" t="s">
        <v>3465</v>
      </c>
      <c r="D281" s="202" t="s">
        <v>2064</v>
      </c>
      <c r="E281" s="203"/>
      <c r="F281" s="200" t="b">
        <v>1</v>
      </c>
      <c r="G281" s="199" t="s">
        <v>3464</v>
      </c>
      <c r="H281" s="5"/>
      <c r="I281" s="5"/>
      <c r="J281" s="5"/>
      <c r="K281" s="5"/>
    </row>
    <row r="282" spans="1:11">
      <c r="A282" s="196" t="s">
        <v>3466</v>
      </c>
      <c r="B282" s="37">
        <v>3</v>
      </c>
      <c r="C282" s="204" t="s">
        <v>3467</v>
      </c>
      <c r="D282" s="71" t="s">
        <v>2064</v>
      </c>
      <c r="E282" s="193"/>
      <c r="F282" s="37" t="b">
        <v>1</v>
      </c>
      <c r="G282" s="196" t="s">
        <v>3466</v>
      </c>
      <c r="H282" s="5"/>
      <c r="I282" s="5"/>
      <c r="J282" s="5"/>
      <c r="K282" s="5"/>
    </row>
    <row r="283" spans="1:11">
      <c r="A283" s="199" t="s">
        <v>3468</v>
      </c>
      <c r="B283" s="200">
        <v>3</v>
      </c>
      <c r="C283" s="205" t="s">
        <v>3469</v>
      </c>
      <c r="D283" s="202" t="s">
        <v>2064</v>
      </c>
      <c r="E283" s="203"/>
      <c r="F283" s="200" t="b">
        <v>1</v>
      </c>
      <c r="G283" s="199" t="s">
        <v>3468</v>
      </c>
      <c r="H283" s="5"/>
      <c r="I283" s="5"/>
      <c r="J283" s="5"/>
      <c r="K283" s="5"/>
    </row>
    <row r="284" spans="1:11">
      <c r="A284" s="196" t="s">
        <v>3470</v>
      </c>
      <c r="B284" s="37">
        <v>3</v>
      </c>
      <c r="C284" s="204" t="s">
        <v>3471</v>
      </c>
      <c r="D284" s="71" t="s">
        <v>2064</v>
      </c>
      <c r="E284" s="193"/>
      <c r="F284" s="37" t="b">
        <v>1</v>
      </c>
      <c r="G284" s="196" t="s">
        <v>3470</v>
      </c>
      <c r="H284" s="5"/>
      <c r="I284" s="5"/>
      <c r="J284" s="5"/>
      <c r="K284" s="5"/>
    </row>
    <row r="285" spans="1:11">
      <c r="A285" s="199" t="s">
        <v>3472</v>
      </c>
      <c r="B285" s="200">
        <v>3</v>
      </c>
      <c r="C285" s="205" t="s">
        <v>3473</v>
      </c>
      <c r="D285" s="202" t="s">
        <v>2064</v>
      </c>
      <c r="E285" s="203"/>
      <c r="F285" s="200" t="b">
        <v>1</v>
      </c>
      <c r="G285" s="199" t="s">
        <v>3472</v>
      </c>
      <c r="H285" s="5"/>
      <c r="I285" s="5"/>
      <c r="J285" s="5"/>
      <c r="K285" s="5"/>
    </row>
    <row r="286" spans="1:11">
      <c r="A286" s="196" t="s">
        <v>3474</v>
      </c>
      <c r="B286" s="37">
        <v>3</v>
      </c>
      <c r="C286" s="204" t="s">
        <v>3475</v>
      </c>
      <c r="D286" s="71" t="s">
        <v>2064</v>
      </c>
      <c r="E286" s="193"/>
      <c r="F286" s="37" t="b">
        <v>1</v>
      </c>
      <c r="G286" s="196" t="s">
        <v>3474</v>
      </c>
      <c r="H286" s="5"/>
      <c r="I286" s="5"/>
      <c r="J286" s="5"/>
      <c r="K286" s="5"/>
    </row>
    <row r="287" spans="1:11">
      <c r="A287" s="199" t="s">
        <v>3476</v>
      </c>
      <c r="B287" s="200">
        <v>3</v>
      </c>
      <c r="C287" s="205" t="s">
        <v>3477</v>
      </c>
      <c r="D287" s="202" t="s">
        <v>2064</v>
      </c>
      <c r="E287" s="203"/>
      <c r="F287" s="200" t="b">
        <v>1</v>
      </c>
      <c r="G287" s="199" t="s">
        <v>3476</v>
      </c>
      <c r="H287" s="5"/>
      <c r="I287" s="5"/>
      <c r="J287" s="5"/>
      <c r="K287" s="5"/>
    </row>
    <row r="288" spans="1:11">
      <c r="A288" s="196" t="s">
        <v>3478</v>
      </c>
      <c r="B288" s="37">
        <v>3</v>
      </c>
      <c r="C288" s="204" t="s">
        <v>3479</v>
      </c>
      <c r="D288" s="71" t="s">
        <v>2064</v>
      </c>
      <c r="E288" s="193"/>
      <c r="F288" s="37" t="b">
        <v>1</v>
      </c>
      <c r="G288" s="196" t="s">
        <v>3478</v>
      </c>
      <c r="H288" s="5"/>
      <c r="I288" s="5"/>
      <c r="J288" s="5"/>
      <c r="K288" s="5"/>
    </row>
    <row r="289" spans="1:11">
      <c r="A289" s="199" t="s">
        <v>3480</v>
      </c>
      <c r="B289" s="200">
        <v>3</v>
      </c>
      <c r="C289" s="205" t="s">
        <v>3481</v>
      </c>
      <c r="D289" s="202" t="s">
        <v>2064</v>
      </c>
      <c r="E289" s="203"/>
      <c r="F289" s="200" t="b">
        <v>1</v>
      </c>
      <c r="G289" s="199" t="s">
        <v>3480</v>
      </c>
      <c r="H289" s="5"/>
      <c r="I289" s="5"/>
      <c r="J289" s="5"/>
      <c r="K289" s="5"/>
    </row>
    <row r="290" spans="1:11">
      <c r="A290" s="196" t="s">
        <v>3482</v>
      </c>
      <c r="B290" s="37">
        <v>3</v>
      </c>
      <c r="C290" s="204" t="s">
        <v>3483</v>
      </c>
      <c r="D290" s="71" t="s">
        <v>2064</v>
      </c>
      <c r="E290" s="193"/>
      <c r="F290" s="37" t="b">
        <v>1</v>
      </c>
      <c r="G290" s="196" t="s">
        <v>3482</v>
      </c>
      <c r="H290" s="5"/>
      <c r="I290" s="5"/>
      <c r="J290" s="5"/>
      <c r="K290" s="5"/>
    </row>
    <row r="291" spans="1:11">
      <c r="A291" s="199" t="s">
        <v>3484</v>
      </c>
      <c r="B291" s="200">
        <v>3</v>
      </c>
      <c r="C291" s="205" t="s">
        <v>3485</v>
      </c>
      <c r="D291" s="202" t="s">
        <v>2064</v>
      </c>
      <c r="E291" s="203"/>
      <c r="F291" s="200" t="b">
        <v>1</v>
      </c>
      <c r="G291" s="199" t="s">
        <v>3484</v>
      </c>
      <c r="H291" s="5"/>
      <c r="I291" s="5"/>
      <c r="J291" s="5"/>
      <c r="K291" s="5"/>
    </row>
    <row r="292" spans="1:11">
      <c r="A292" s="196" t="s">
        <v>3486</v>
      </c>
      <c r="B292" s="37">
        <v>3</v>
      </c>
      <c r="C292" s="204" t="s">
        <v>3487</v>
      </c>
      <c r="D292" s="71" t="s">
        <v>2064</v>
      </c>
      <c r="E292" s="193"/>
      <c r="F292" s="37" t="b">
        <v>1</v>
      </c>
      <c r="G292" s="196" t="s">
        <v>3486</v>
      </c>
      <c r="H292" s="5"/>
      <c r="I292" s="5"/>
      <c r="J292" s="5"/>
      <c r="K292" s="5"/>
    </row>
    <row r="293" spans="1:11">
      <c r="A293" s="199" t="s">
        <v>3488</v>
      </c>
      <c r="B293" s="200">
        <v>3</v>
      </c>
      <c r="C293" s="205" t="s">
        <v>3489</v>
      </c>
      <c r="D293" s="202" t="s">
        <v>2064</v>
      </c>
      <c r="E293" s="203"/>
      <c r="F293" s="200" t="b">
        <v>1</v>
      </c>
      <c r="G293" s="199" t="s">
        <v>3488</v>
      </c>
      <c r="H293" s="5"/>
      <c r="I293" s="5"/>
      <c r="J293" s="5"/>
      <c r="K293" s="5"/>
    </row>
    <row r="294" spans="1:11">
      <c r="A294" s="196" t="s">
        <v>3490</v>
      </c>
      <c r="B294" s="37">
        <v>3</v>
      </c>
      <c r="C294" s="204" t="s">
        <v>3491</v>
      </c>
      <c r="D294" s="71" t="s">
        <v>2064</v>
      </c>
      <c r="E294" s="193"/>
      <c r="F294" s="37" t="b">
        <v>1</v>
      </c>
      <c r="G294" s="196" t="s">
        <v>3490</v>
      </c>
      <c r="H294" s="5"/>
      <c r="I294" s="5"/>
      <c r="J294" s="5"/>
      <c r="K294" s="5"/>
    </row>
    <row r="295" spans="1:11">
      <c r="A295" s="199" t="s">
        <v>3492</v>
      </c>
      <c r="B295" s="200">
        <v>3</v>
      </c>
      <c r="C295" s="205" t="s">
        <v>3493</v>
      </c>
      <c r="D295" s="202" t="s">
        <v>2064</v>
      </c>
      <c r="E295" s="203"/>
      <c r="F295" s="200" t="b">
        <v>1</v>
      </c>
      <c r="G295" s="199" t="s">
        <v>3492</v>
      </c>
      <c r="H295" s="5"/>
      <c r="I295" s="5"/>
      <c r="J295" s="5"/>
      <c r="K295" s="5"/>
    </row>
    <row r="296" spans="1:11">
      <c r="A296" s="196" t="s">
        <v>3494</v>
      </c>
      <c r="B296" s="37">
        <v>3</v>
      </c>
      <c r="C296" s="204" t="s">
        <v>3495</v>
      </c>
      <c r="D296" s="71" t="s">
        <v>2064</v>
      </c>
      <c r="E296" s="193"/>
      <c r="F296" s="37" t="b">
        <v>1</v>
      </c>
      <c r="G296" s="196" t="s">
        <v>3494</v>
      </c>
      <c r="H296" s="5"/>
      <c r="I296" s="5"/>
      <c r="J296" s="5"/>
      <c r="K296" s="5"/>
    </row>
    <row r="297" spans="1:11">
      <c r="A297" s="199" t="s">
        <v>3496</v>
      </c>
      <c r="B297" s="200">
        <v>3</v>
      </c>
      <c r="C297" s="205" t="s">
        <v>3497</v>
      </c>
      <c r="D297" s="202" t="s">
        <v>2064</v>
      </c>
      <c r="E297" s="203"/>
      <c r="F297" s="200" t="b">
        <v>1</v>
      </c>
      <c r="G297" s="199" t="s">
        <v>3496</v>
      </c>
      <c r="H297" s="5"/>
      <c r="I297" s="5"/>
      <c r="J297" s="5"/>
      <c r="K297" s="5"/>
    </row>
    <row r="298" spans="1:11">
      <c r="A298" s="196" t="s">
        <v>3498</v>
      </c>
      <c r="B298" s="37">
        <v>3</v>
      </c>
      <c r="C298" s="204" t="s">
        <v>3499</v>
      </c>
      <c r="D298" s="71" t="s">
        <v>2064</v>
      </c>
      <c r="E298" s="193"/>
      <c r="F298" s="37" t="b">
        <v>1</v>
      </c>
      <c r="G298" s="196" t="s">
        <v>3498</v>
      </c>
      <c r="H298" s="5"/>
      <c r="I298" s="5"/>
      <c r="J298" s="5"/>
      <c r="K298" s="5"/>
    </row>
    <row r="299" spans="1:11">
      <c r="A299" s="199" t="s">
        <v>3500</v>
      </c>
      <c r="B299" s="200">
        <v>3</v>
      </c>
      <c r="C299" s="205" t="s">
        <v>3501</v>
      </c>
      <c r="D299" s="202" t="s">
        <v>2064</v>
      </c>
      <c r="E299" s="203"/>
      <c r="F299" s="200" t="b">
        <v>1</v>
      </c>
      <c r="G299" s="199" t="s">
        <v>3500</v>
      </c>
      <c r="H299" s="5"/>
      <c r="I299" s="5"/>
      <c r="J299" s="5"/>
      <c r="K299" s="5"/>
    </row>
    <row r="300" spans="1:11">
      <c r="A300" s="196" t="s">
        <v>3502</v>
      </c>
      <c r="B300" s="37">
        <v>3</v>
      </c>
      <c r="C300" s="204" t="s">
        <v>3503</v>
      </c>
      <c r="D300" s="71" t="s">
        <v>2064</v>
      </c>
      <c r="E300" s="193"/>
      <c r="F300" s="37" t="b">
        <v>1</v>
      </c>
      <c r="G300" s="196" t="s">
        <v>3502</v>
      </c>
      <c r="H300" s="5"/>
      <c r="I300" s="5"/>
      <c r="J300" s="5"/>
      <c r="K300" s="5"/>
    </row>
    <row r="301" spans="1:11">
      <c r="A301" s="199" t="s">
        <v>3504</v>
      </c>
      <c r="B301" s="200">
        <v>3</v>
      </c>
      <c r="C301" s="205" t="s">
        <v>3505</v>
      </c>
      <c r="D301" s="202" t="s">
        <v>2064</v>
      </c>
      <c r="E301" s="203"/>
      <c r="F301" s="200" t="b">
        <v>1</v>
      </c>
      <c r="G301" s="199" t="s">
        <v>3504</v>
      </c>
      <c r="H301" s="5"/>
      <c r="I301" s="5"/>
      <c r="J301" s="5"/>
      <c r="K301" s="5"/>
    </row>
    <row r="302" spans="1:11">
      <c r="A302" s="196" t="s">
        <v>3506</v>
      </c>
      <c r="B302" s="37">
        <v>3</v>
      </c>
      <c r="C302" s="204" t="s">
        <v>3507</v>
      </c>
      <c r="D302" s="71" t="s">
        <v>2064</v>
      </c>
      <c r="E302" s="193"/>
      <c r="F302" s="37" t="b">
        <v>1</v>
      </c>
      <c r="G302" s="196" t="s">
        <v>3506</v>
      </c>
      <c r="H302" s="5"/>
      <c r="I302" s="5"/>
      <c r="J302" s="5"/>
      <c r="K302" s="5"/>
    </row>
    <row r="303" spans="1:11">
      <c r="A303" s="199" t="s">
        <v>3508</v>
      </c>
      <c r="B303" s="200">
        <v>3</v>
      </c>
      <c r="C303" s="205" t="s">
        <v>3509</v>
      </c>
      <c r="D303" s="202" t="s">
        <v>2064</v>
      </c>
      <c r="E303" s="203"/>
      <c r="F303" s="200" t="b">
        <v>1</v>
      </c>
      <c r="G303" s="199" t="s">
        <v>3508</v>
      </c>
      <c r="H303" s="5"/>
      <c r="I303" s="5"/>
      <c r="J303" s="5"/>
      <c r="K303" s="5"/>
    </row>
    <row r="304" spans="1:11">
      <c r="A304" s="196" t="s">
        <v>3510</v>
      </c>
      <c r="B304" s="37">
        <v>3</v>
      </c>
      <c r="C304" s="204" t="s">
        <v>3511</v>
      </c>
      <c r="D304" s="71" t="s">
        <v>2064</v>
      </c>
      <c r="E304" s="193"/>
      <c r="F304" s="37" t="b">
        <v>1</v>
      </c>
      <c r="G304" s="196" t="s">
        <v>3510</v>
      </c>
      <c r="H304" s="5"/>
      <c r="I304" s="5"/>
      <c r="J304" s="5"/>
      <c r="K304" s="5"/>
    </row>
    <row r="305" spans="1:11">
      <c r="A305" s="199" t="s">
        <v>3512</v>
      </c>
      <c r="B305" s="200">
        <v>3</v>
      </c>
      <c r="C305" s="205" t="s">
        <v>3513</v>
      </c>
      <c r="D305" s="202" t="s">
        <v>2064</v>
      </c>
      <c r="E305" s="203"/>
      <c r="F305" s="200" t="b">
        <v>1</v>
      </c>
      <c r="G305" s="199" t="s">
        <v>3512</v>
      </c>
      <c r="H305" s="5"/>
      <c r="I305" s="5"/>
      <c r="J305" s="5"/>
      <c r="K305" s="5"/>
    </row>
    <row r="306" spans="1:11">
      <c r="A306" s="196" t="s">
        <v>3514</v>
      </c>
      <c r="B306" s="37">
        <v>3</v>
      </c>
      <c r="C306" s="204" t="s">
        <v>3515</v>
      </c>
      <c r="D306" s="71" t="s">
        <v>2064</v>
      </c>
      <c r="E306" s="193"/>
      <c r="F306" s="37" t="b">
        <v>1</v>
      </c>
      <c r="G306" s="196" t="s">
        <v>3514</v>
      </c>
      <c r="H306" s="5"/>
      <c r="I306" s="5"/>
      <c r="J306" s="5"/>
      <c r="K306" s="5"/>
    </row>
    <row r="307" spans="1:11">
      <c r="A307" s="199" t="s">
        <v>3516</v>
      </c>
      <c r="B307" s="200">
        <v>3</v>
      </c>
      <c r="C307" s="205" t="s">
        <v>3517</v>
      </c>
      <c r="D307" s="202" t="s">
        <v>2064</v>
      </c>
      <c r="E307" s="203"/>
      <c r="F307" s="200" t="b">
        <v>1</v>
      </c>
      <c r="G307" s="199" t="s">
        <v>3516</v>
      </c>
      <c r="H307" s="5"/>
      <c r="I307" s="5"/>
      <c r="J307" s="5"/>
      <c r="K307" s="5"/>
    </row>
    <row r="308" spans="1:11">
      <c r="A308" s="196" t="s">
        <v>3518</v>
      </c>
      <c r="B308" s="37">
        <v>3</v>
      </c>
      <c r="C308" s="204" t="s">
        <v>3519</v>
      </c>
      <c r="D308" s="71" t="s">
        <v>2064</v>
      </c>
      <c r="E308" s="193"/>
      <c r="F308" s="37" t="b">
        <v>1</v>
      </c>
      <c r="G308" s="196" t="s">
        <v>3518</v>
      </c>
      <c r="H308" s="5"/>
      <c r="I308" s="5"/>
      <c r="J308" s="5"/>
      <c r="K308" s="5"/>
    </row>
    <row r="309" spans="1:11">
      <c r="A309" s="199" t="s">
        <v>3520</v>
      </c>
      <c r="B309" s="200">
        <v>3</v>
      </c>
      <c r="C309" s="205" t="s">
        <v>3521</v>
      </c>
      <c r="D309" s="202" t="s">
        <v>2064</v>
      </c>
      <c r="E309" s="203"/>
      <c r="F309" s="200" t="b">
        <v>1</v>
      </c>
      <c r="G309" s="199" t="s">
        <v>3520</v>
      </c>
      <c r="H309" s="5"/>
      <c r="I309" s="5"/>
      <c r="J309" s="5"/>
      <c r="K309" s="5"/>
    </row>
    <row r="310" spans="1:11">
      <c r="A310" s="196" t="s">
        <v>3522</v>
      </c>
      <c r="B310" s="37">
        <v>3</v>
      </c>
      <c r="C310" s="204" t="s">
        <v>3523</v>
      </c>
      <c r="D310" s="71" t="s">
        <v>2064</v>
      </c>
      <c r="E310" s="193"/>
      <c r="F310" s="37" t="b">
        <v>1</v>
      </c>
      <c r="G310" s="196" t="s">
        <v>3522</v>
      </c>
      <c r="H310" s="5"/>
      <c r="I310" s="5"/>
      <c r="J310" s="5"/>
      <c r="K310" s="5"/>
    </row>
    <row r="311" spans="1:11">
      <c r="A311" s="199" t="s">
        <v>3524</v>
      </c>
      <c r="B311" s="200">
        <v>3</v>
      </c>
      <c r="C311" s="205" t="s">
        <v>3525</v>
      </c>
      <c r="D311" s="202" t="s">
        <v>2064</v>
      </c>
      <c r="E311" s="203"/>
      <c r="F311" s="200" t="b">
        <v>1</v>
      </c>
      <c r="G311" s="199" t="s">
        <v>3524</v>
      </c>
      <c r="H311" s="5"/>
      <c r="I311" s="5"/>
      <c r="J311" s="5"/>
      <c r="K311" s="5"/>
    </row>
    <row r="312" spans="1:11">
      <c r="A312" s="196" t="s">
        <v>3526</v>
      </c>
      <c r="B312" s="37">
        <v>3</v>
      </c>
      <c r="C312" s="204" t="s">
        <v>3527</v>
      </c>
      <c r="D312" s="71" t="s">
        <v>2064</v>
      </c>
      <c r="E312" s="193"/>
      <c r="F312" s="37" t="b">
        <v>1</v>
      </c>
      <c r="G312" s="196" t="s">
        <v>3526</v>
      </c>
      <c r="H312" s="5"/>
      <c r="I312" s="5"/>
      <c r="J312" s="5"/>
      <c r="K312" s="5"/>
    </row>
    <row r="313" spans="1:11">
      <c r="A313" s="199" t="s">
        <v>3528</v>
      </c>
      <c r="B313" s="200">
        <v>3</v>
      </c>
      <c r="C313" s="205" t="s">
        <v>3529</v>
      </c>
      <c r="D313" s="202" t="s">
        <v>2064</v>
      </c>
      <c r="E313" s="203"/>
      <c r="F313" s="200" t="b">
        <v>1</v>
      </c>
      <c r="G313" s="199" t="s">
        <v>3528</v>
      </c>
      <c r="H313" s="5"/>
      <c r="I313" s="5"/>
      <c r="J313" s="5"/>
      <c r="K313" s="5"/>
    </row>
    <row r="314" spans="1:11">
      <c r="A314" s="196" t="s">
        <v>3530</v>
      </c>
      <c r="B314" s="37">
        <v>4</v>
      </c>
      <c r="C314" s="204" t="s">
        <v>3531</v>
      </c>
      <c r="D314" s="71" t="s">
        <v>2064</v>
      </c>
      <c r="E314" s="193"/>
      <c r="F314" s="37" t="b">
        <v>1</v>
      </c>
      <c r="G314" s="196" t="s">
        <v>3530</v>
      </c>
      <c r="H314" s="5"/>
      <c r="I314" s="5"/>
      <c r="J314" s="5"/>
      <c r="K314" s="5"/>
    </row>
    <row r="315" spans="1:11">
      <c r="A315" s="199" t="s">
        <v>3532</v>
      </c>
      <c r="B315" s="200">
        <v>4</v>
      </c>
      <c r="C315" s="205" t="s">
        <v>3533</v>
      </c>
      <c r="D315" s="202" t="s">
        <v>2064</v>
      </c>
      <c r="E315" s="203"/>
      <c r="F315" s="200" t="b">
        <v>1</v>
      </c>
      <c r="G315" s="199" t="s">
        <v>3532</v>
      </c>
      <c r="H315" s="5"/>
      <c r="I315" s="5"/>
      <c r="J315" s="5"/>
      <c r="K315" s="5"/>
    </row>
    <row r="316" spans="1:11">
      <c r="A316" s="196" t="s">
        <v>3534</v>
      </c>
      <c r="B316" s="37">
        <v>4</v>
      </c>
      <c r="C316" s="204" t="s">
        <v>3535</v>
      </c>
      <c r="D316" s="71" t="s">
        <v>2064</v>
      </c>
      <c r="E316" s="193"/>
      <c r="F316" s="37" t="b">
        <v>1</v>
      </c>
      <c r="G316" s="196" t="s">
        <v>3534</v>
      </c>
      <c r="H316" s="5"/>
      <c r="I316" s="5"/>
      <c r="J316" s="5"/>
      <c r="K316" s="5"/>
    </row>
    <row r="317" spans="1:11">
      <c r="A317" s="199" t="s">
        <v>3536</v>
      </c>
      <c r="B317" s="200">
        <v>4</v>
      </c>
      <c r="C317" s="205" t="s">
        <v>3537</v>
      </c>
      <c r="D317" s="202" t="s">
        <v>2064</v>
      </c>
      <c r="E317" s="203"/>
      <c r="F317" s="200" t="b">
        <v>1</v>
      </c>
      <c r="G317" s="199" t="s">
        <v>3536</v>
      </c>
      <c r="H317" s="5"/>
      <c r="I317" s="5"/>
      <c r="J317" s="5"/>
      <c r="K317" s="5"/>
    </row>
    <row r="318" spans="1:11">
      <c r="A318" s="196" t="s">
        <v>3538</v>
      </c>
      <c r="B318" s="37">
        <v>4</v>
      </c>
      <c r="C318" s="204" t="s">
        <v>3539</v>
      </c>
      <c r="D318" s="71" t="s">
        <v>2064</v>
      </c>
      <c r="E318" s="193"/>
      <c r="F318" s="37" t="b">
        <v>1</v>
      </c>
      <c r="G318" s="196" t="s">
        <v>3538</v>
      </c>
      <c r="H318" s="5"/>
      <c r="I318" s="5"/>
      <c r="J318" s="5"/>
      <c r="K318" s="5"/>
    </row>
    <row r="319" spans="1:11">
      <c r="A319" s="199" t="s">
        <v>3540</v>
      </c>
      <c r="B319" s="200">
        <v>4</v>
      </c>
      <c r="C319" s="205" t="s">
        <v>3541</v>
      </c>
      <c r="D319" s="202" t="s">
        <v>2064</v>
      </c>
      <c r="E319" s="203"/>
      <c r="F319" s="200" t="b">
        <v>1</v>
      </c>
      <c r="G319" s="199" t="s">
        <v>3540</v>
      </c>
      <c r="H319" s="5"/>
      <c r="I319" s="5"/>
      <c r="J319" s="5"/>
      <c r="K319" s="5"/>
    </row>
    <row r="320" spans="1:11">
      <c r="A320" s="196" t="s">
        <v>3542</v>
      </c>
      <c r="B320" s="37">
        <v>4</v>
      </c>
      <c r="C320" s="204" t="s">
        <v>3543</v>
      </c>
      <c r="D320" s="71" t="s">
        <v>2064</v>
      </c>
      <c r="E320" s="193"/>
      <c r="F320" s="37" t="b">
        <v>1</v>
      </c>
      <c r="G320" s="196" t="s">
        <v>3542</v>
      </c>
      <c r="H320" s="5"/>
      <c r="I320" s="5"/>
      <c r="J320" s="5"/>
      <c r="K320" s="5"/>
    </row>
    <row r="321" spans="1:11">
      <c r="A321" s="199" t="s">
        <v>3544</v>
      </c>
      <c r="B321" s="200">
        <v>4</v>
      </c>
      <c r="C321" s="205" t="s">
        <v>3545</v>
      </c>
      <c r="D321" s="202" t="s">
        <v>2064</v>
      </c>
      <c r="E321" s="203"/>
      <c r="F321" s="200" t="b">
        <v>1</v>
      </c>
      <c r="G321" s="199" t="s">
        <v>3544</v>
      </c>
      <c r="H321" s="5"/>
      <c r="I321" s="5"/>
      <c r="J321" s="5"/>
      <c r="K321" s="5"/>
    </row>
    <row r="322" spans="1:11">
      <c r="A322" s="196" t="s">
        <v>3546</v>
      </c>
      <c r="B322" s="37">
        <v>4</v>
      </c>
      <c r="C322" s="204" t="s">
        <v>3547</v>
      </c>
      <c r="D322" s="71" t="s">
        <v>2064</v>
      </c>
      <c r="E322" s="193"/>
      <c r="F322" s="37" t="b">
        <v>1</v>
      </c>
      <c r="G322" s="196" t="s">
        <v>3546</v>
      </c>
      <c r="H322" s="5"/>
      <c r="I322" s="5"/>
      <c r="J322" s="5"/>
      <c r="K322" s="5"/>
    </row>
    <row r="323" spans="1:11">
      <c r="A323" s="199" t="s">
        <v>3548</v>
      </c>
      <c r="B323" s="200">
        <v>4</v>
      </c>
      <c r="C323" s="205" t="s">
        <v>3549</v>
      </c>
      <c r="D323" s="202" t="s">
        <v>2064</v>
      </c>
      <c r="E323" s="203"/>
      <c r="F323" s="200" t="b">
        <v>1</v>
      </c>
      <c r="G323" s="199" t="s">
        <v>3548</v>
      </c>
      <c r="H323" s="5"/>
      <c r="I323" s="5"/>
      <c r="J323" s="5"/>
      <c r="K323" s="5"/>
    </row>
    <row r="324" spans="1:11">
      <c r="A324" s="196" t="s">
        <v>3550</v>
      </c>
      <c r="B324" s="37">
        <v>4</v>
      </c>
      <c r="C324" s="204" t="s">
        <v>3551</v>
      </c>
      <c r="D324" s="71" t="s">
        <v>2064</v>
      </c>
      <c r="E324" s="193"/>
      <c r="F324" s="37" t="b">
        <v>1</v>
      </c>
      <c r="G324" s="196" t="s">
        <v>3550</v>
      </c>
      <c r="H324" s="5"/>
      <c r="I324" s="5"/>
      <c r="J324" s="5"/>
      <c r="K324" s="5"/>
    </row>
    <row r="325" spans="1:11">
      <c r="A325" s="199" t="s">
        <v>3552</v>
      </c>
      <c r="B325" s="200">
        <v>4</v>
      </c>
      <c r="C325" s="205" t="s">
        <v>3553</v>
      </c>
      <c r="D325" s="202" t="s">
        <v>2064</v>
      </c>
      <c r="E325" s="203"/>
      <c r="F325" s="200" t="b">
        <v>1</v>
      </c>
      <c r="G325" s="199" t="s">
        <v>3552</v>
      </c>
      <c r="H325" s="5"/>
      <c r="I325" s="5"/>
      <c r="J325" s="5"/>
      <c r="K325" s="5"/>
    </row>
    <row r="326" spans="1:11">
      <c r="A326" s="196" t="s">
        <v>3554</v>
      </c>
      <c r="B326" s="37">
        <v>4</v>
      </c>
      <c r="C326" s="204" t="s">
        <v>3555</v>
      </c>
      <c r="D326" s="71" t="s">
        <v>2064</v>
      </c>
      <c r="E326" s="193"/>
      <c r="F326" s="37" t="b">
        <v>1</v>
      </c>
      <c r="G326" s="196" t="s">
        <v>3554</v>
      </c>
      <c r="H326" s="5"/>
      <c r="I326" s="5"/>
      <c r="J326" s="5"/>
      <c r="K326" s="5"/>
    </row>
    <row r="327" spans="1:11">
      <c r="A327" s="199" t="s">
        <v>3556</v>
      </c>
      <c r="B327" s="200">
        <v>4</v>
      </c>
      <c r="C327" s="205" t="s">
        <v>3557</v>
      </c>
      <c r="D327" s="202" t="s">
        <v>2064</v>
      </c>
      <c r="E327" s="203"/>
      <c r="F327" s="200" t="b">
        <v>1</v>
      </c>
      <c r="G327" s="199" t="s">
        <v>3556</v>
      </c>
      <c r="H327" s="5"/>
      <c r="I327" s="5"/>
      <c r="J327" s="5"/>
      <c r="K327" s="5"/>
    </row>
    <row r="328" spans="1:11">
      <c r="A328" s="196" t="s">
        <v>3558</v>
      </c>
      <c r="B328" s="37">
        <v>4</v>
      </c>
      <c r="C328" s="204" t="s">
        <v>3559</v>
      </c>
      <c r="D328" s="71" t="s">
        <v>2064</v>
      </c>
      <c r="E328" s="193"/>
      <c r="F328" s="37" t="b">
        <v>1</v>
      </c>
      <c r="G328" s="196" t="s">
        <v>3558</v>
      </c>
      <c r="H328" s="5"/>
      <c r="I328" s="5"/>
      <c r="J328" s="5"/>
      <c r="K328" s="5"/>
    </row>
    <row r="329" spans="1:11">
      <c r="A329" s="199" t="s">
        <v>3560</v>
      </c>
      <c r="B329" s="200">
        <v>4</v>
      </c>
      <c r="C329" s="205" t="s">
        <v>3561</v>
      </c>
      <c r="D329" s="202" t="s">
        <v>2064</v>
      </c>
      <c r="E329" s="203"/>
      <c r="F329" s="200" t="b">
        <v>1</v>
      </c>
      <c r="G329" s="199" t="s">
        <v>3560</v>
      </c>
      <c r="H329" s="5"/>
      <c r="I329" s="5"/>
      <c r="J329" s="5"/>
      <c r="K329" s="5"/>
    </row>
    <row r="330" spans="1:11">
      <c r="A330" s="196" t="s">
        <v>3562</v>
      </c>
      <c r="B330" s="37">
        <v>4</v>
      </c>
      <c r="C330" s="204" t="s">
        <v>3563</v>
      </c>
      <c r="D330" s="71" t="s">
        <v>2064</v>
      </c>
      <c r="E330" s="193"/>
      <c r="F330" s="37" t="b">
        <v>1</v>
      </c>
      <c r="G330" s="196" t="s">
        <v>3562</v>
      </c>
      <c r="H330" s="5"/>
      <c r="I330" s="5"/>
      <c r="J330" s="5"/>
      <c r="K330" s="5"/>
    </row>
    <row r="331" spans="1:11">
      <c r="A331" s="199" t="s">
        <v>3564</v>
      </c>
      <c r="B331" s="200">
        <v>4</v>
      </c>
      <c r="C331" s="205" t="s">
        <v>3565</v>
      </c>
      <c r="D331" s="202" t="s">
        <v>2064</v>
      </c>
      <c r="E331" s="203"/>
      <c r="F331" s="200" t="b">
        <v>1</v>
      </c>
      <c r="G331" s="199" t="s">
        <v>3564</v>
      </c>
      <c r="H331" s="5"/>
      <c r="I331" s="5"/>
      <c r="J331" s="5"/>
      <c r="K331" s="5"/>
    </row>
    <row r="332" spans="1:11">
      <c r="A332" s="196" t="s">
        <v>3566</v>
      </c>
      <c r="B332" s="37">
        <v>4</v>
      </c>
      <c r="C332" s="204" t="s">
        <v>3567</v>
      </c>
      <c r="D332" s="71" t="s">
        <v>2064</v>
      </c>
      <c r="E332" s="193"/>
      <c r="F332" s="37" t="b">
        <v>1</v>
      </c>
      <c r="G332" s="196" t="s">
        <v>3566</v>
      </c>
      <c r="H332" s="5"/>
      <c r="I332" s="5"/>
      <c r="J332" s="5"/>
      <c r="K332" s="5"/>
    </row>
    <row r="333" spans="1:11">
      <c r="A333" s="199" t="s">
        <v>3568</v>
      </c>
      <c r="B333" s="200">
        <v>4</v>
      </c>
      <c r="C333" s="205" t="s">
        <v>3569</v>
      </c>
      <c r="D333" s="202" t="s">
        <v>2064</v>
      </c>
      <c r="E333" s="203"/>
      <c r="F333" s="200" t="b">
        <v>1</v>
      </c>
      <c r="G333" s="199" t="s">
        <v>3568</v>
      </c>
      <c r="H333" s="5"/>
      <c r="I333" s="5"/>
      <c r="J333" s="5"/>
      <c r="K333" s="5"/>
    </row>
    <row r="334" spans="1:11">
      <c r="A334" s="196" t="s">
        <v>3570</v>
      </c>
      <c r="B334" s="37">
        <v>4</v>
      </c>
      <c r="C334" s="204" t="s">
        <v>3571</v>
      </c>
      <c r="D334" s="71" t="s">
        <v>2064</v>
      </c>
      <c r="E334" s="193"/>
      <c r="F334" s="37" t="b">
        <v>1</v>
      </c>
      <c r="G334" s="196" t="s">
        <v>3570</v>
      </c>
      <c r="H334" s="5"/>
      <c r="I334" s="5"/>
      <c r="J334" s="5"/>
      <c r="K334" s="5"/>
    </row>
    <row r="335" spans="1:11">
      <c r="A335" s="199" t="s">
        <v>3572</v>
      </c>
      <c r="B335" s="200">
        <v>4</v>
      </c>
      <c r="C335" s="205" t="s">
        <v>3573</v>
      </c>
      <c r="D335" s="202" t="s">
        <v>2064</v>
      </c>
      <c r="E335" s="203"/>
      <c r="F335" s="200" t="b">
        <v>1</v>
      </c>
      <c r="G335" s="199" t="s">
        <v>3572</v>
      </c>
      <c r="H335" s="5"/>
      <c r="I335" s="5"/>
      <c r="J335" s="5"/>
      <c r="K335" s="5"/>
    </row>
    <row r="336" spans="1:11">
      <c r="A336" s="196" t="s">
        <v>3574</v>
      </c>
      <c r="B336" s="37">
        <v>4</v>
      </c>
      <c r="C336" s="204" t="s">
        <v>3575</v>
      </c>
      <c r="D336" s="71" t="s">
        <v>2064</v>
      </c>
      <c r="E336" s="193"/>
      <c r="F336" s="37" t="b">
        <v>1</v>
      </c>
      <c r="G336" s="196" t="s">
        <v>3574</v>
      </c>
      <c r="H336" s="5"/>
      <c r="I336" s="5"/>
      <c r="J336" s="5"/>
      <c r="K336" s="5"/>
    </row>
    <row r="337" spans="1:11">
      <c r="A337" s="199" t="s">
        <v>3576</v>
      </c>
      <c r="B337" s="200">
        <v>4</v>
      </c>
      <c r="C337" s="205" t="s">
        <v>3577</v>
      </c>
      <c r="D337" s="202" t="s">
        <v>2064</v>
      </c>
      <c r="E337" s="203"/>
      <c r="F337" s="200" t="b">
        <v>1</v>
      </c>
      <c r="G337" s="199" t="s">
        <v>3576</v>
      </c>
      <c r="H337" s="5"/>
      <c r="I337" s="5"/>
      <c r="J337" s="5"/>
      <c r="K337" s="5"/>
    </row>
    <row r="338" spans="1:11">
      <c r="A338" s="196" t="s">
        <v>3578</v>
      </c>
      <c r="B338" s="37">
        <v>4</v>
      </c>
      <c r="C338" s="204" t="s">
        <v>3579</v>
      </c>
      <c r="D338" s="71" t="s">
        <v>2064</v>
      </c>
      <c r="E338" s="193"/>
      <c r="F338" s="37" t="b">
        <v>1</v>
      </c>
      <c r="G338" s="196" t="s">
        <v>3578</v>
      </c>
      <c r="H338" s="5"/>
      <c r="I338" s="5"/>
      <c r="J338" s="5"/>
      <c r="K338" s="5"/>
    </row>
    <row r="339" spans="1:11">
      <c r="A339" s="199" t="s">
        <v>3580</v>
      </c>
      <c r="B339" s="200">
        <v>4</v>
      </c>
      <c r="C339" s="205" t="s">
        <v>3581</v>
      </c>
      <c r="D339" s="202" t="s">
        <v>2064</v>
      </c>
      <c r="E339" s="203"/>
      <c r="F339" s="200" t="b">
        <v>1</v>
      </c>
      <c r="G339" s="199" t="s">
        <v>3580</v>
      </c>
      <c r="H339" s="5"/>
      <c r="I339" s="5"/>
      <c r="J339" s="5"/>
      <c r="K339" s="5"/>
    </row>
    <row r="340" spans="1:11">
      <c r="A340" s="196" t="s">
        <v>3582</v>
      </c>
      <c r="B340" s="37">
        <v>4</v>
      </c>
      <c r="C340" s="204" t="s">
        <v>3583</v>
      </c>
      <c r="D340" s="71" t="s">
        <v>2064</v>
      </c>
      <c r="E340" s="193"/>
      <c r="F340" s="37" t="b">
        <v>1</v>
      </c>
      <c r="G340" s="196" t="s">
        <v>3582</v>
      </c>
      <c r="H340" s="5"/>
      <c r="I340" s="5"/>
      <c r="J340" s="5"/>
      <c r="K340" s="5"/>
    </row>
    <row r="341" spans="1:11">
      <c r="A341" s="199" t="s">
        <v>3584</v>
      </c>
      <c r="B341" s="200">
        <v>4</v>
      </c>
      <c r="C341" s="205" t="s">
        <v>3585</v>
      </c>
      <c r="D341" s="202" t="s">
        <v>2064</v>
      </c>
      <c r="E341" s="203"/>
      <c r="F341" s="200" t="b">
        <v>1</v>
      </c>
      <c r="G341" s="199" t="s">
        <v>3584</v>
      </c>
      <c r="H341" s="5"/>
      <c r="I341" s="5"/>
      <c r="J341" s="5"/>
      <c r="K341" s="5"/>
    </row>
    <row r="342" spans="1:11">
      <c r="A342" s="196" t="s">
        <v>3586</v>
      </c>
      <c r="B342" s="37">
        <v>4</v>
      </c>
      <c r="C342" s="204" t="s">
        <v>3587</v>
      </c>
      <c r="D342" s="71" t="s">
        <v>2064</v>
      </c>
      <c r="E342" s="193"/>
      <c r="F342" s="37" t="b">
        <v>1</v>
      </c>
      <c r="G342" s="196" t="s">
        <v>3586</v>
      </c>
      <c r="H342" s="5"/>
      <c r="I342" s="5"/>
      <c r="J342" s="5"/>
      <c r="K342" s="5"/>
    </row>
    <row r="343" spans="1:11">
      <c r="A343" s="199" t="s">
        <v>3588</v>
      </c>
      <c r="B343" s="200">
        <v>4</v>
      </c>
      <c r="C343" s="205" t="s">
        <v>3589</v>
      </c>
      <c r="D343" s="202" t="s">
        <v>2064</v>
      </c>
      <c r="E343" s="203"/>
      <c r="F343" s="200" t="b">
        <v>1</v>
      </c>
      <c r="G343" s="199" t="s">
        <v>3588</v>
      </c>
      <c r="H343" s="5"/>
      <c r="I343" s="5"/>
      <c r="J343" s="5"/>
      <c r="K343" s="5"/>
    </row>
    <row r="344" spans="1:11">
      <c r="A344" s="196" t="s">
        <v>3590</v>
      </c>
      <c r="B344" s="37">
        <v>4</v>
      </c>
      <c r="C344" s="204" t="s">
        <v>3591</v>
      </c>
      <c r="D344" s="71" t="s">
        <v>2064</v>
      </c>
      <c r="E344" s="193"/>
      <c r="F344" s="37" t="b">
        <v>1</v>
      </c>
      <c r="G344" s="196" t="s">
        <v>3590</v>
      </c>
      <c r="H344" s="5"/>
      <c r="I344" s="5"/>
      <c r="J344" s="5"/>
      <c r="K344" s="5"/>
    </row>
    <row r="345" spans="1:11">
      <c r="A345" s="199" t="s">
        <v>3592</v>
      </c>
      <c r="B345" s="200">
        <v>4</v>
      </c>
      <c r="C345" s="205" t="s">
        <v>3593</v>
      </c>
      <c r="D345" s="202" t="s">
        <v>2064</v>
      </c>
      <c r="E345" s="203"/>
      <c r="F345" s="200" t="b">
        <v>1</v>
      </c>
      <c r="G345" s="199" t="s">
        <v>3592</v>
      </c>
      <c r="H345" s="5"/>
      <c r="I345" s="5"/>
      <c r="J345" s="5"/>
      <c r="K345" s="5"/>
    </row>
    <row r="346" spans="1:11">
      <c r="A346" s="196" t="s">
        <v>3594</v>
      </c>
      <c r="B346" s="37">
        <v>4</v>
      </c>
      <c r="C346" s="204" t="s">
        <v>3595</v>
      </c>
      <c r="D346" s="71" t="s">
        <v>2064</v>
      </c>
      <c r="E346" s="193"/>
      <c r="F346" s="37" t="b">
        <v>1</v>
      </c>
      <c r="G346" s="196" t="s">
        <v>3594</v>
      </c>
      <c r="H346" s="5"/>
      <c r="I346" s="5"/>
      <c r="J346" s="5"/>
      <c r="K346" s="5"/>
    </row>
    <row r="347" spans="1:11">
      <c r="A347" s="199" t="s">
        <v>3596</v>
      </c>
      <c r="B347" s="200">
        <v>4</v>
      </c>
      <c r="C347" s="205" t="s">
        <v>3597</v>
      </c>
      <c r="D347" s="202" t="s">
        <v>2064</v>
      </c>
      <c r="E347" s="203"/>
      <c r="F347" s="200" t="b">
        <v>1</v>
      </c>
      <c r="G347" s="199" t="s">
        <v>3596</v>
      </c>
      <c r="H347" s="5"/>
      <c r="I347" s="5"/>
      <c r="J347" s="5"/>
      <c r="K347" s="5"/>
    </row>
    <row r="348" spans="1:11">
      <c r="A348" s="196" t="s">
        <v>3598</v>
      </c>
      <c r="B348" s="37">
        <v>4</v>
      </c>
      <c r="C348" s="204" t="s">
        <v>3599</v>
      </c>
      <c r="D348" s="71" t="s">
        <v>2064</v>
      </c>
      <c r="E348" s="193"/>
      <c r="F348" s="37" t="b">
        <v>1</v>
      </c>
      <c r="G348" s="196" t="s">
        <v>3598</v>
      </c>
      <c r="H348" s="5"/>
      <c r="I348" s="5"/>
      <c r="J348" s="5"/>
      <c r="K348" s="5"/>
    </row>
    <row r="349" spans="1:11">
      <c r="A349" s="199" t="s">
        <v>3600</v>
      </c>
      <c r="B349" s="200">
        <v>4</v>
      </c>
      <c r="C349" s="205" t="s">
        <v>3601</v>
      </c>
      <c r="D349" s="202" t="s">
        <v>2064</v>
      </c>
      <c r="E349" s="203"/>
      <c r="F349" s="200" t="b">
        <v>1</v>
      </c>
      <c r="G349" s="199" t="s">
        <v>3600</v>
      </c>
      <c r="H349" s="5"/>
      <c r="I349" s="5"/>
      <c r="J349" s="5"/>
      <c r="K349" s="5"/>
    </row>
    <row r="350" spans="1:11">
      <c r="A350" s="196" t="s">
        <v>3602</v>
      </c>
      <c r="B350" s="37">
        <v>4</v>
      </c>
      <c r="C350" s="204" t="s">
        <v>3603</v>
      </c>
      <c r="D350" s="71" t="s">
        <v>2064</v>
      </c>
      <c r="E350" s="193"/>
      <c r="F350" s="37" t="b">
        <v>1</v>
      </c>
      <c r="G350" s="196" t="s">
        <v>3602</v>
      </c>
      <c r="H350" s="5"/>
      <c r="I350" s="5"/>
      <c r="J350" s="5"/>
      <c r="K350" s="5"/>
    </row>
    <row r="351" spans="1:11">
      <c r="A351" s="199" t="s">
        <v>3604</v>
      </c>
      <c r="B351" s="200">
        <v>4</v>
      </c>
      <c r="C351" s="205" t="s">
        <v>3605</v>
      </c>
      <c r="D351" s="202" t="s">
        <v>2064</v>
      </c>
      <c r="E351" s="203"/>
      <c r="F351" s="200" t="b">
        <v>1</v>
      </c>
      <c r="G351" s="199" t="s">
        <v>3604</v>
      </c>
      <c r="H351" s="5"/>
      <c r="I351" s="5"/>
      <c r="J351" s="5"/>
      <c r="K351" s="5"/>
    </row>
    <row r="352" spans="1:11">
      <c r="A352" s="196" t="s">
        <v>3606</v>
      </c>
      <c r="B352" s="37">
        <v>5</v>
      </c>
      <c r="C352" s="204" t="s">
        <v>3607</v>
      </c>
      <c r="D352" s="71" t="s">
        <v>2099</v>
      </c>
      <c r="E352" s="193"/>
      <c r="F352" s="37" t="b">
        <v>1</v>
      </c>
      <c r="G352" s="196" t="s">
        <v>3606</v>
      </c>
      <c r="H352" s="5"/>
      <c r="I352" s="5"/>
      <c r="J352" s="5"/>
      <c r="K352" s="5"/>
    </row>
    <row r="353" spans="1:11">
      <c r="A353" s="199" t="s">
        <v>3608</v>
      </c>
      <c r="B353" s="200">
        <v>5</v>
      </c>
      <c r="C353" s="205" t="s">
        <v>3609</v>
      </c>
      <c r="D353" s="202" t="s">
        <v>2099</v>
      </c>
      <c r="E353" s="203"/>
      <c r="F353" s="200" t="b">
        <v>1</v>
      </c>
      <c r="G353" s="199" t="s">
        <v>3608</v>
      </c>
      <c r="H353" s="5"/>
      <c r="I353" s="5"/>
      <c r="J353" s="5"/>
      <c r="K353" s="5"/>
    </row>
    <row r="354" spans="1:11">
      <c r="A354" s="196" t="s">
        <v>3610</v>
      </c>
      <c r="B354" s="37">
        <v>5</v>
      </c>
      <c r="C354" s="204" t="s">
        <v>3611</v>
      </c>
      <c r="D354" s="71" t="s">
        <v>2099</v>
      </c>
      <c r="E354" s="193"/>
      <c r="F354" s="37" t="b">
        <v>1</v>
      </c>
      <c r="G354" s="196" t="s">
        <v>3610</v>
      </c>
      <c r="H354" s="5"/>
      <c r="I354" s="5"/>
      <c r="J354" s="5"/>
      <c r="K354" s="5"/>
    </row>
    <row r="355" spans="1:11">
      <c r="A355" s="199" t="s">
        <v>3612</v>
      </c>
      <c r="B355" s="200">
        <v>5</v>
      </c>
      <c r="C355" s="205" t="s">
        <v>3613</v>
      </c>
      <c r="D355" s="202" t="s">
        <v>2099</v>
      </c>
      <c r="E355" s="203"/>
      <c r="F355" s="200" t="b">
        <v>1</v>
      </c>
      <c r="G355" s="199" t="s">
        <v>3612</v>
      </c>
      <c r="H355" s="5"/>
      <c r="I355" s="5"/>
      <c r="J355" s="5"/>
      <c r="K355" s="5"/>
    </row>
    <row r="356" spans="1:11">
      <c r="A356" s="196" t="s">
        <v>3614</v>
      </c>
      <c r="B356" s="37">
        <v>5</v>
      </c>
      <c r="C356" s="204" t="s">
        <v>3615</v>
      </c>
      <c r="D356" s="71" t="s">
        <v>2099</v>
      </c>
      <c r="E356" s="193"/>
      <c r="F356" s="37" t="b">
        <v>1</v>
      </c>
      <c r="G356" s="196" t="s">
        <v>3614</v>
      </c>
      <c r="H356" s="5"/>
      <c r="I356" s="5"/>
      <c r="J356" s="5"/>
      <c r="K356" s="5"/>
    </row>
    <row r="357" spans="1:11">
      <c r="A357" s="199" t="s">
        <v>3616</v>
      </c>
      <c r="B357" s="200">
        <v>5</v>
      </c>
      <c r="C357" s="205" t="s">
        <v>3617</v>
      </c>
      <c r="D357" s="202" t="s">
        <v>2099</v>
      </c>
      <c r="E357" s="203"/>
      <c r="F357" s="200" t="b">
        <v>1</v>
      </c>
      <c r="G357" s="199" t="s">
        <v>3616</v>
      </c>
      <c r="H357" s="5"/>
      <c r="I357" s="5"/>
      <c r="J357" s="5"/>
      <c r="K357" s="5"/>
    </row>
    <row r="358" spans="1:11">
      <c r="A358" s="196" t="s">
        <v>3618</v>
      </c>
      <c r="B358" s="37">
        <v>5</v>
      </c>
      <c r="C358" s="204" t="s">
        <v>3619</v>
      </c>
      <c r="D358" s="71" t="s">
        <v>2099</v>
      </c>
      <c r="E358" s="193"/>
      <c r="F358" s="37" t="b">
        <v>1</v>
      </c>
      <c r="G358" s="196" t="s">
        <v>3618</v>
      </c>
      <c r="H358" s="5"/>
      <c r="I358" s="5"/>
      <c r="J358" s="5"/>
      <c r="K358" s="5"/>
    </row>
    <row r="359" spans="1:11">
      <c r="A359" s="199" t="s">
        <v>3620</v>
      </c>
      <c r="B359" s="200">
        <v>5</v>
      </c>
      <c r="C359" s="205" t="s">
        <v>3621</v>
      </c>
      <c r="D359" s="202" t="s">
        <v>2099</v>
      </c>
      <c r="E359" s="203"/>
      <c r="F359" s="200" t="b">
        <v>1</v>
      </c>
      <c r="G359" s="199" t="s">
        <v>3620</v>
      </c>
      <c r="H359" s="5"/>
      <c r="I359" s="5"/>
      <c r="J359" s="5"/>
      <c r="K359" s="5"/>
    </row>
    <row r="360" spans="1:11">
      <c r="A360" s="196" t="s">
        <v>3622</v>
      </c>
      <c r="B360" s="37">
        <v>5</v>
      </c>
      <c r="C360" s="204" t="s">
        <v>3623</v>
      </c>
      <c r="D360" s="71" t="s">
        <v>2099</v>
      </c>
      <c r="E360" s="193"/>
      <c r="F360" s="37" t="b">
        <v>1</v>
      </c>
      <c r="G360" s="196" t="s">
        <v>3622</v>
      </c>
      <c r="H360" s="5"/>
      <c r="I360" s="5"/>
      <c r="J360" s="5"/>
      <c r="K360" s="5"/>
    </row>
    <row r="361" spans="1:11">
      <c r="A361" s="199" t="s">
        <v>3624</v>
      </c>
      <c r="B361" s="200">
        <v>5</v>
      </c>
      <c r="C361" s="205" t="s">
        <v>3625</v>
      </c>
      <c r="D361" s="202" t="s">
        <v>2099</v>
      </c>
      <c r="E361" s="203"/>
      <c r="F361" s="200" t="b">
        <v>1</v>
      </c>
      <c r="G361" s="199" t="s">
        <v>3624</v>
      </c>
      <c r="H361" s="5"/>
      <c r="I361" s="5"/>
      <c r="J361" s="5"/>
      <c r="K361" s="5"/>
    </row>
    <row r="362" spans="1:11">
      <c r="A362" s="196" t="s">
        <v>3626</v>
      </c>
      <c r="B362" s="37">
        <v>5</v>
      </c>
      <c r="C362" s="204" t="s">
        <v>3627</v>
      </c>
      <c r="D362" s="71" t="s">
        <v>2099</v>
      </c>
      <c r="E362" s="193"/>
      <c r="F362" s="37" t="b">
        <v>1</v>
      </c>
      <c r="G362" s="196" t="s">
        <v>3626</v>
      </c>
      <c r="H362" s="5"/>
      <c r="I362" s="5"/>
      <c r="J362" s="5"/>
      <c r="K362" s="5"/>
    </row>
    <row r="363" spans="1:11">
      <c r="A363" s="199" t="s">
        <v>3628</v>
      </c>
      <c r="B363" s="200">
        <v>5</v>
      </c>
      <c r="C363" s="205" t="s">
        <v>3629</v>
      </c>
      <c r="D363" s="202" t="s">
        <v>2099</v>
      </c>
      <c r="E363" s="203"/>
      <c r="F363" s="200" t="b">
        <v>1</v>
      </c>
      <c r="G363" s="199" t="s">
        <v>3628</v>
      </c>
      <c r="H363" s="5"/>
      <c r="I363" s="5"/>
      <c r="J363" s="5"/>
      <c r="K363" s="5"/>
    </row>
    <row r="364" spans="1:11">
      <c r="A364" s="196" t="s">
        <v>3630</v>
      </c>
      <c r="B364" s="37">
        <v>6</v>
      </c>
      <c r="C364" s="204" t="s">
        <v>3631</v>
      </c>
      <c r="D364" s="71" t="s">
        <v>2099</v>
      </c>
      <c r="E364" s="193"/>
      <c r="F364" s="37" t="b">
        <v>1</v>
      </c>
      <c r="G364" s="196" t="s">
        <v>3630</v>
      </c>
      <c r="H364" s="5"/>
      <c r="I364" s="5"/>
      <c r="J364" s="5"/>
      <c r="K364" s="5"/>
    </row>
    <row r="365" spans="1:11">
      <c r="A365" s="199" t="s">
        <v>3632</v>
      </c>
      <c r="B365" s="200">
        <v>6</v>
      </c>
      <c r="C365" s="205" t="s">
        <v>3633</v>
      </c>
      <c r="D365" s="202" t="s">
        <v>2099</v>
      </c>
      <c r="E365" s="203"/>
      <c r="F365" s="200" t="b">
        <v>1</v>
      </c>
      <c r="G365" s="199" t="s">
        <v>3632</v>
      </c>
      <c r="H365" s="5"/>
      <c r="I365" s="5"/>
      <c r="J365" s="5"/>
      <c r="K365" s="5"/>
    </row>
    <row r="366" spans="1:11">
      <c r="A366" s="196" t="s">
        <v>3634</v>
      </c>
      <c r="B366" s="37">
        <v>6</v>
      </c>
      <c r="C366" s="204" t="s">
        <v>3635</v>
      </c>
      <c r="D366" s="71" t="s">
        <v>2099</v>
      </c>
      <c r="E366" s="193"/>
      <c r="F366" s="37" t="b">
        <v>1</v>
      </c>
      <c r="G366" s="196" t="s">
        <v>3634</v>
      </c>
      <c r="H366" s="5"/>
      <c r="I366" s="5"/>
      <c r="J366" s="5"/>
      <c r="K366" s="5"/>
    </row>
    <row r="367" spans="1:11">
      <c r="A367" s="199" t="s">
        <v>3636</v>
      </c>
      <c r="B367" s="200">
        <v>6</v>
      </c>
      <c r="C367" s="205" t="s">
        <v>3637</v>
      </c>
      <c r="D367" s="202" t="s">
        <v>2099</v>
      </c>
      <c r="E367" s="203"/>
      <c r="F367" s="200" t="b">
        <v>1</v>
      </c>
      <c r="G367" s="199" t="s">
        <v>3636</v>
      </c>
      <c r="H367" s="5"/>
      <c r="I367" s="5"/>
      <c r="J367" s="5"/>
      <c r="K367" s="5"/>
    </row>
    <row r="368" spans="1:11">
      <c r="A368" s="196" t="s">
        <v>3638</v>
      </c>
      <c r="B368" s="37">
        <v>6</v>
      </c>
      <c r="C368" s="204" t="s">
        <v>3639</v>
      </c>
      <c r="D368" s="71" t="s">
        <v>2099</v>
      </c>
      <c r="E368" s="193"/>
      <c r="F368" s="37" t="b">
        <v>1</v>
      </c>
      <c r="G368" s="196" t="s">
        <v>3638</v>
      </c>
      <c r="H368" s="5"/>
      <c r="I368" s="5"/>
      <c r="J368" s="5"/>
      <c r="K368" s="5"/>
    </row>
    <row r="369" spans="1:11">
      <c r="A369" s="199" t="s">
        <v>3640</v>
      </c>
      <c r="B369" s="200">
        <v>6</v>
      </c>
      <c r="C369" s="205" t="s">
        <v>3641</v>
      </c>
      <c r="D369" s="202" t="s">
        <v>2099</v>
      </c>
      <c r="E369" s="203"/>
      <c r="F369" s="200" t="b">
        <v>1</v>
      </c>
      <c r="G369" s="199" t="s">
        <v>3640</v>
      </c>
      <c r="H369" s="5"/>
      <c r="I369" s="5"/>
      <c r="J369" s="5"/>
      <c r="K369" s="5"/>
    </row>
    <row r="370" spans="1:11">
      <c r="A370" s="196" t="s">
        <v>3642</v>
      </c>
      <c r="B370" s="37">
        <v>6</v>
      </c>
      <c r="C370" s="204" t="s">
        <v>3643</v>
      </c>
      <c r="D370" s="71" t="s">
        <v>2099</v>
      </c>
      <c r="E370" s="193"/>
      <c r="F370" s="37" t="b">
        <v>1</v>
      </c>
      <c r="G370" s="196" t="s">
        <v>3642</v>
      </c>
      <c r="H370" s="5"/>
      <c r="I370" s="5"/>
      <c r="J370" s="5"/>
      <c r="K370" s="5"/>
    </row>
    <row r="371" spans="1:11">
      <c r="A371" s="199" t="s">
        <v>3644</v>
      </c>
      <c r="B371" s="200">
        <v>6</v>
      </c>
      <c r="C371" s="205" t="s">
        <v>3645</v>
      </c>
      <c r="D371" s="202" t="s">
        <v>2099</v>
      </c>
      <c r="E371" s="203"/>
      <c r="F371" s="200" t="b">
        <v>1</v>
      </c>
      <c r="G371" s="199" t="s">
        <v>3644</v>
      </c>
      <c r="H371" s="5"/>
      <c r="I371" s="5"/>
      <c r="J371" s="5"/>
      <c r="K371" s="5"/>
    </row>
    <row r="372" spans="1:11">
      <c r="A372" s="196" t="s">
        <v>3646</v>
      </c>
      <c r="B372" s="37">
        <v>6</v>
      </c>
      <c r="C372" s="204" t="s">
        <v>3647</v>
      </c>
      <c r="D372" s="71" t="s">
        <v>2099</v>
      </c>
      <c r="E372" s="193"/>
      <c r="F372" s="37" t="b">
        <v>1</v>
      </c>
      <c r="G372" s="196" t="s">
        <v>3646</v>
      </c>
      <c r="H372" s="5"/>
      <c r="I372" s="5"/>
      <c r="J372" s="5"/>
      <c r="K372" s="5"/>
    </row>
    <row r="373" spans="1:11">
      <c r="A373" s="199" t="s">
        <v>3648</v>
      </c>
      <c r="B373" s="200">
        <v>7</v>
      </c>
      <c r="C373" s="205" t="s">
        <v>3649</v>
      </c>
      <c r="D373" s="202" t="s">
        <v>2099</v>
      </c>
      <c r="E373" s="203"/>
      <c r="F373" s="200" t="b">
        <v>1</v>
      </c>
      <c r="G373" s="199" t="s">
        <v>3648</v>
      </c>
      <c r="H373" s="5"/>
      <c r="I373" s="5"/>
      <c r="J373" s="5"/>
      <c r="K373" s="5"/>
    </row>
    <row r="374" spans="1:11">
      <c r="A374" s="196" t="s">
        <v>3650</v>
      </c>
      <c r="B374" s="37">
        <v>10</v>
      </c>
      <c r="C374" s="204" t="s">
        <v>3651</v>
      </c>
      <c r="D374" s="71" t="s">
        <v>2099</v>
      </c>
      <c r="E374" s="193"/>
      <c r="F374" s="37" t="b">
        <v>1</v>
      </c>
      <c r="G374" s="196" t="s">
        <v>3650</v>
      </c>
      <c r="H374" s="5"/>
      <c r="I374" s="5"/>
      <c r="J374" s="5"/>
      <c r="K374" s="5"/>
    </row>
    <row r="375" spans="1:11" ht="22.5" customHeight="1">
      <c r="A375" s="206"/>
      <c r="B375" s="23"/>
      <c r="C375" s="207"/>
      <c r="D375" s="198"/>
      <c r="E375" s="144"/>
      <c r="F375" s="23"/>
      <c r="G375" s="23"/>
      <c r="H375" s="5"/>
      <c r="I375" s="5"/>
      <c r="J375" s="5"/>
      <c r="K375" s="5"/>
    </row>
  </sheetData>
  <mergeCells count="1">
    <mergeCell ref="A1:J1"/>
  </mergeCells>
  <conditionalFormatting sqref="B3:B375 I4:I27 I36:I375">
    <cfRule type="colorScale" priority="1">
      <colorScale>
        <cfvo type="min"/>
        <cfvo type="formula" val="5"/>
        <cfvo type="formula" val="35"/>
        <color rgb="FFFFFFFF"/>
        <color rgb="FFABDDC5"/>
        <color rgb="FF57BB8A"/>
      </colorScale>
    </cfRule>
  </conditionalFormatting>
  <conditionalFormatting sqref="F2:F375 G2 G103:G104 G375">
    <cfRule type="cellIs" dxfId="3" priority="2" operator="equal">
      <formula>"TRUE"</formula>
    </cfRule>
  </conditionalFormatting>
  <conditionalFormatting sqref="E3:E375">
    <cfRule type="notContainsBlanks" dxfId="2" priority="3">
      <formula>LEN(TRIM(E3))&gt;0</formula>
    </cfRule>
  </conditionalFormatting>
  <conditionalFormatting sqref="D3:D375">
    <cfRule type="notContainsBlanks" dxfId="1" priority="4">
      <formula>LEN(TRIM(D3))&gt;0</formula>
    </cfRule>
  </conditionalFormatting>
  <pageMargins left="0.7" right="0.7" top="0.75" bottom="0.75" header="0.3" footer="0.3"/>
  <legacy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D9"/>
  <sheetViews>
    <sheetView workbookViewId="0"/>
  </sheetViews>
  <sheetFormatPr defaultColWidth="12.5703125" defaultRowHeight="15.75" customHeight="1"/>
  <cols>
    <col min="1" max="1" width="22.42578125" customWidth="1"/>
    <col min="2" max="2" width="14.28515625" customWidth="1"/>
    <col min="3" max="3" width="70.42578125" customWidth="1"/>
    <col min="4" max="4" width="6.42578125" customWidth="1"/>
  </cols>
  <sheetData>
    <row r="1" spans="1:4" ht="18.75">
      <c r="A1" s="335" t="s">
        <v>3652</v>
      </c>
      <c r="B1" s="302"/>
      <c r="C1" s="302"/>
      <c r="D1" s="208"/>
    </row>
    <row r="2" spans="1:4" ht="18.75">
      <c r="A2" s="336" t="s">
        <v>3653</v>
      </c>
      <c r="B2" s="306"/>
      <c r="C2" s="209" t="s">
        <v>3654</v>
      </c>
      <c r="D2" s="64"/>
    </row>
    <row r="3" spans="1:4" ht="36.75" customHeight="1">
      <c r="A3" s="209" t="s">
        <v>3655</v>
      </c>
      <c r="B3" s="210"/>
      <c r="C3" s="210" t="s">
        <v>3656</v>
      </c>
      <c r="D3" s="208"/>
    </row>
    <row r="4" spans="1:4" ht="36.75" customHeight="1">
      <c r="A4" s="209" t="s">
        <v>3657</v>
      </c>
      <c r="B4" s="210"/>
      <c r="C4" s="210" t="s">
        <v>3658</v>
      </c>
      <c r="D4" s="208"/>
    </row>
    <row r="5" spans="1:4" ht="36.75" customHeight="1">
      <c r="A5" s="209" t="s">
        <v>3659</v>
      </c>
      <c r="B5" s="210"/>
      <c r="C5" s="210" t="s">
        <v>3660</v>
      </c>
      <c r="D5" s="208"/>
    </row>
    <row r="6" spans="1:4" ht="36.75" customHeight="1">
      <c r="A6" s="209" t="s">
        <v>3661</v>
      </c>
      <c r="B6" s="210"/>
      <c r="C6" s="210" t="s">
        <v>3662</v>
      </c>
      <c r="D6" s="208"/>
    </row>
    <row r="7" spans="1:4" ht="18.75">
      <c r="A7" s="209" t="s">
        <v>3663</v>
      </c>
      <c r="B7" s="210"/>
      <c r="C7" s="210" t="s">
        <v>3664</v>
      </c>
      <c r="D7" s="208"/>
    </row>
    <row r="8" spans="1:4" ht="18.75">
      <c r="A8" s="209" t="s">
        <v>3665</v>
      </c>
      <c r="B8" s="210"/>
      <c r="C8" s="210" t="s">
        <v>3666</v>
      </c>
      <c r="D8" s="208"/>
    </row>
    <row r="9" spans="1:4" ht="22.5" customHeight="1">
      <c r="A9" s="64"/>
      <c r="B9" s="208"/>
      <c r="C9" s="208"/>
      <c r="D9" s="208"/>
    </row>
  </sheetData>
  <mergeCells count="2">
    <mergeCell ref="A1:C1"/>
    <mergeCell ref="A2:B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E127"/>
  <sheetViews>
    <sheetView workbookViewId="0"/>
  </sheetViews>
  <sheetFormatPr defaultColWidth="12.5703125" defaultRowHeight="15.75" customHeight="1"/>
  <cols>
    <col min="1" max="1" width="35.85546875" customWidth="1"/>
    <col min="2" max="2" width="36.42578125" customWidth="1"/>
    <col min="3" max="3" width="46.85546875" customWidth="1"/>
    <col min="4" max="4" width="51.85546875" customWidth="1"/>
    <col min="5" max="5" width="6.42578125" customWidth="1"/>
  </cols>
  <sheetData>
    <row r="1" spans="1:5" ht="26.25">
      <c r="A1" s="344" t="s">
        <v>3667</v>
      </c>
      <c r="B1" s="302"/>
      <c r="C1" s="302"/>
      <c r="D1" s="302"/>
      <c r="E1" s="211"/>
    </row>
    <row r="2" spans="1:5" ht="18.75">
      <c r="A2" s="345" t="s">
        <v>3668</v>
      </c>
      <c r="B2" s="302"/>
      <c r="C2" s="302"/>
      <c r="D2" s="302"/>
      <c r="E2" s="213"/>
    </row>
    <row r="3" spans="1:5" ht="18.75">
      <c r="A3" s="212"/>
      <c r="B3" s="212"/>
      <c r="C3" s="212"/>
      <c r="D3" s="212"/>
      <c r="E3" s="213"/>
    </row>
    <row r="4" spans="1:5" ht="17.25">
      <c r="A4" s="346" t="s">
        <v>3669</v>
      </c>
      <c r="B4" s="302"/>
      <c r="C4" s="302"/>
      <c r="D4" s="24"/>
      <c r="E4" s="67"/>
    </row>
    <row r="5" spans="1:5">
      <c r="A5" s="338" t="s">
        <v>3670</v>
      </c>
      <c r="B5" s="302"/>
      <c r="C5" s="302"/>
      <c r="D5" s="302"/>
      <c r="E5" s="73"/>
    </row>
    <row r="6" spans="1:5">
      <c r="A6" s="308" t="s">
        <v>3671</v>
      </c>
      <c r="B6" s="302"/>
      <c r="C6" s="302"/>
      <c r="D6" s="302"/>
      <c r="E6" s="73"/>
    </row>
    <row r="7" spans="1:5" ht="18.75">
      <c r="A7" s="214" t="s">
        <v>3672</v>
      </c>
      <c r="B7" s="339" t="s">
        <v>3673</v>
      </c>
      <c r="C7" s="306"/>
      <c r="D7" s="214" t="s">
        <v>3674</v>
      </c>
      <c r="E7" s="216"/>
    </row>
    <row r="8" spans="1:5">
      <c r="A8" s="217" t="s">
        <v>3675</v>
      </c>
      <c r="B8" s="337" t="s">
        <v>3676</v>
      </c>
      <c r="C8" s="306"/>
      <c r="D8" s="40" t="s">
        <v>3677</v>
      </c>
      <c r="E8" s="73"/>
    </row>
    <row r="9" spans="1:5">
      <c r="A9" s="218" t="s">
        <v>3678</v>
      </c>
      <c r="B9" s="337" t="s">
        <v>3679</v>
      </c>
      <c r="C9" s="306"/>
      <c r="D9" s="40"/>
      <c r="E9" s="73"/>
    </row>
    <row r="10" spans="1:5">
      <c r="A10" s="217" t="s">
        <v>3680</v>
      </c>
      <c r="B10" s="337" t="s">
        <v>3681</v>
      </c>
      <c r="C10" s="306"/>
      <c r="D10" s="40"/>
      <c r="E10" s="73"/>
    </row>
    <row r="11" spans="1:5" ht="31.5">
      <c r="A11" s="218" t="s">
        <v>3682</v>
      </c>
      <c r="B11" s="337" t="s">
        <v>3683</v>
      </c>
      <c r="C11" s="306"/>
      <c r="D11" s="40" t="s">
        <v>3684</v>
      </c>
      <c r="E11" s="73"/>
    </row>
    <row r="12" spans="1:5">
      <c r="A12" s="219" t="s">
        <v>3685</v>
      </c>
      <c r="B12" s="337" t="s">
        <v>3686</v>
      </c>
      <c r="C12" s="306"/>
      <c r="D12" s="40"/>
      <c r="E12" s="73"/>
    </row>
    <row r="13" spans="1:5" ht="47.25">
      <c r="A13" s="217" t="s">
        <v>3687</v>
      </c>
      <c r="B13" s="337" t="s">
        <v>3688</v>
      </c>
      <c r="C13" s="306"/>
      <c r="D13" s="40" t="s">
        <v>3689</v>
      </c>
      <c r="E13" s="73"/>
    </row>
    <row r="14" spans="1:5">
      <c r="A14" s="4" t="s">
        <v>3690</v>
      </c>
      <c r="B14" s="337" t="s">
        <v>3691</v>
      </c>
      <c r="C14" s="306"/>
      <c r="D14" s="40"/>
      <c r="E14" s="73"/>
    </row>
    <row r="15" spans="1:5" ht="27" customHeight="1">
      <c r="A15" s="23"/>
      <c r="B15" s="23"/>
      <c r="C15" s="29"/>
      <c r="D15" s="29"/>
      <c r="E15" s="73"/>
    </row>
    <row r="16" spans="1:5" ht="23.25">
      <c r="A16" s="220" t="s">
        <v>3692</v>
      </c>
      <c r="B16" s="23"/>
      <c r="C16" s="29"/>
      <c r="D16" s="29"/>
      <c r="E16" s="73"/>
    </row>
    <row r="17" spans="1:5" ht="21">
      <c r="A17" s="342" t="s">
        <v>3693</v>
      </c>
      <c r="B17" s="302"/>
      <c r="C17" s="302"/>
      <c r="D17" s="29"/>
      <c r="E17" s="73"/>
    </row>
    <row r="18" spans="1:5">
      <c r="A18" s="343" t="s">
        <v>3694</v>
      </c>
      <c r="B18" s="302"/>
      <c r="C18" s="302"/>
      <c r="D18" s="302"/>
      <c r="E18" s="5"/>
    </row>
    <row r="19" spans="1:5">
      <c r="A19" s="308" t="s">
        <v>3695</v>
      </c>
      <c r="B19" s="302"/>
      <c r="C19" s="302"/>
      <c r="D19" s="29"/>
      <c r="E19" s="73"/>
    </row>
    <row r="20" spans="1:5" ht="18.75">
      <c r="A20" s="214" t="s">
        <v>3672</v>
      </c>
      <c r="B20" s="339" t="s">
        <v>3673</v>
      </c>
      <c r="C20" s="305"/>
      <c r="D20" s="306"/>
      <c r="E20" s="216"/>
    </row>
    <row r="21" spans="1:5">
      <c r="A21" s="222" t="s">
        <v>3696</v>
      </c>
      <c r="B21" s="340" t="s">
        <v>3697</v>
      </c>
      <c r="C21" s="305"/>
      <c r="D21" s="306"/>
      <c r="E21" s="223"/>
    </row>
    <row r="22" spans="1:5">
      <c r="A22" s="224" t="s">
        <v>3698</v>
      </c>
      <c r="B22" s="337" t="s">
        <v>3699</v>
      </c>
      <c r="C22" s="305"/>
      <c r="D22" s="306"/>
      <c r="E22" s="73"/>
    </row>
    <row r="23" spans="1:5">
      <c r="A23" s="225" t="s">
        <v>3700</v>
      </c>
      <c r="B23" s="337" t="s">
        <v>3701</v>
      </c>
      <c r="C23" s="305"/>
      <c r="D23" s="306"/>
      <c r="E23" s="73"/>
    </row>
    <row r="24" spans="1:5" ht="33.75" customHeight="1">
      <c r="A24" s="29"/>
      <c r="B24" s="29"/>
      <c r="C24" s="29"/>
      <c r="D24" s="29"/>
      <c r="E24" s="73"/>
    </row>
    <row r="25" spans="1:5" ht="21">
      <c r="A25" s="226" t="s">
        <v>3702</v>
      </c>
      <c r="B25" s="29"/>
      <c r="C25" s="29"/>
      <c r="D25" s="29"/>
      <c r="E25" s="73"/>
    </row>
    <row r="26" spans="1:5">
      <c r="A26" s="341" t="s">
        <v>3703</v>
      </c>
      <c r="B26" s="302"/>
      <c r="C26" s="302"/>
      <c r="D26" s="302"/>
      <c r="E26" s="73"/>
    </row>
    <row r="27" spans="1:5" ht="18.75">
      <c r="A27" s="227" t="s">
        <v>3704</v>
      </c>
      <c r="B27" s="29"/>
      <c r="C27" s="29"/>
      <c r="D27" s="29"/>
      <c r="E27" s="73"/>
    </row>
    <row r="28" spans="1:5">
      <c r="A28" s="338" t="s">
        <v>3705</v>
      </c>
      <c r="B28" s="302"/>
      <c r="C28" s="302"/>
      <c r="D28" s="302"/>
      <c r="E28" s="73"/>
    </row>
    <row r="29" spans="1:5">
      <c r="A29" s="308" t="s">
        <v>3706</v>
      </c>
      <c r="B29" s="302"/>
      <c r="C29" s="302"/>
      <c r="D29" s="29"/>
      <c r="E29" s="73"/>
    </row>
    <row r="30" spans="1:5" ht="18.75">
      <c r="A30" s="214" t="s">
        <v>3672</v>
      </c>
      <c r="B30" s="339" t="s">
        <v>3673</v>
      </c>
      <c r="C30" s="306"/>
      <c r="D30" s="214" t="s">
        <v>3674</v>
      </c>
      <c r="E30" s="216"/>
    </row>
    <row r="31" spans="1:5" ht="94.5">
      <c r="A31" s="222" t="s">
        <v>3707</v>
      </c>
      <c r="B31" s="340" t="s">
        <v>3708</v>
      </c>
      <c r="C31" s="306"/>
      <c r="D31" s="142" t="s">
        <v>3709</v>
      </c>
      <c r="E31" s="228"/>
    </row>
    <row r="32" spans="1:5" ht="78.75">
      <c r="A32" s="219" t="s">
        <v>3710</v>
      </c>
      <c r="B32" s="337" t="s">
        <v>3711</v>
      </c>
      <c r="C32" s="306"/>
      <c r="D32" s="40" t="s">
        <v>3712</v>
      </c>
      <c r="E32" s="73"/>
    </row>
    <row r="33" spans="1:5">
      <c r="C33" s="29"/>
      <c r="D33" s="29"/>
      <c r="E33" s="73"/>
    </row>
    <row r="34" spans="1:5" ht="18.75">
      <c r="A34" s="227" t="s">
        <v>3713</v>
      </c>
      <c r="C34" s="29"/>
      <c r="D34" s="29"/>
      <c r="E34" s="73"/>
    </row>
    <row r="35" spans="1:5">
      <c r="A35" s="338" t="s">
        <v>3714</v>
      </c>
      <c r="B35" s="302"/>
      <c r="C35" s="302"/>
      <c r="D35" s="302"/>
      <c r="E35" s="73"/>
    </row>
    <row r="36" spans="1:5">
      <c r="A36" s="308" t="s">
        <v>3715</v>
      </c>
      <c r="B36" s="302"/>
      <c r="C36" s="302"/>
      <c r="D36" s="29"/>
      <c r="E36" s="73"/>
    </row>
    <row r="37" spans="1:5" ht="18.75">
      <c r="A37" s="214" t="s">
        <v>3672</v>
      </c>
      <c r="B37" s="339" t="s">
        <v>3673</v>
      </c>
      <c r="C37" s="306"/>
      <c r="D37" s="214" t="s">
        <v>3674</v>
      </c>
      <c r="E37" s="216"/>
    </row>
    <row r="38" spans="1:5" ht="110.25">
      <c r="A38" s="217" t="s">
        <v>3716</v>
      </c>
      <c r="B38" s="340" t="s">
        <v>3717</v>
      </c>
      <c r="C38" s="306"/>
      <c r="D38" s="142" t="s">
        <v>3718</v>
      </c>
      <c r="E38" s="228"/>
    </row>
    <row r="39" spans="1:5" ht="110.25">
      <c r="A39" s="219" t="s">
        <v>3710</v>
      </c>
      <c r="B39" s="337" t="s">
        <v>3719</v>
      </c>
      <c r="C39" s="306"/>
      <c r="D39" s="40" t="s">
        <v>3720</v>
      </c>
      <c r="E39" s="73"/>
    </row>
    <row r="40" spans="1:5">
      <c r="A40" s="29"/>
      <c r="B40" s="29"/>
      <c r="C40" s="29"/>
      <c r="D40" s="29"/>
      <c r="E40" s="73"/>
    </row>
    <row r="41" spans="1:5" ht="18.75">
      <c r="A41" s="227" t="s">
        <v>3721</v>
      </c>
      <c r="C41" s="29"/>
      <c r="D41" s="29"/>
      <c r="E41" s="73"/>
    </row>
    <row r="42" spans="1:5">
      <c r="A42" s="338" t="s">
        <v>3722</v>
      </c>
      <c r="B42" s="302"/>
      <c r="C42" s="302"/>
      <c r="D42" s="302"/>
      <c r="E42" s="73"/>
    </row>
    <row r="43" spans="1:5">
      <c r="A43" s="308" t="s">
        <v>3723</v>
      </c>
      <c r="B43" s="302"/>
      <c r="C43" s="302"/>
      <c r="D43" s="29"/>
      <c r="E43" s="73"/>
    </row>
    <row r="44" spans="1:5" ht="18.75">
      <c r="A44" s="214" t="s">
        <v>3672</v>
      </c>
      <c r="B44" s="339" t="s">
        <v>3673</v>
      </c>
      <c r="C44" s="306"/>
      <c r="D44" s="214" t="s">
        <v>3674</v>
      </c>
      <c r="E44" s="216"/>
    </row>
    <row r="45" spans="1:5" ht="110.25">
      <c r="A45" s="217" t="s">
        <v>3724</v>
      </c>
      <c r="B45" s="340" t="s">
        <v>3725</v>
      </c>
      <c r="C45" s="306"/>
      <c r="D45" s="142" t="s">
        <v>3726</v>
      </c>
      <c r="E45" s="228"/>
    </row>
    <row r="46" spans="1:5" ht="126">
      <c r="A46" s="219" t="s">
        <v>3710</v>
      </c>
      <c r="B46" s="337" t="s">
        <v>3727</v>
      </c>
      <c r="C46" s="306"/>
      <c r="D46" s="40" t="s">
        <v>3728</v>
      </c>
      <c r="E46" s="73"/>
    </row>
    <row r="47" spans="1:5">
      <c r="A47" s="29"/>
      <c r="B47" s="29"/>
      <c r="C47" s="29"/>
      <c r="D47" s="29"/>
      <c r="E47" s="73"/>
    </row>
    <row r="48" spans="1:5" ht="18.75">
      <c r="A48" s="348" t="s">
        <v>3729</v>
      </c>
      <c r="B48" s="302"/>
      <c r="C48" s="302"/>
      <c r="D48" s="302"/>
      <c r="E48" s="216"/>
    </row>
    <row r="49" spans="1:5">
      <c r="A49" s="338" t="s">
        <v>3730</v>
      </c>
      <c r="B49" s="302"/>
      <c r="C49" s="302"/>
      <c r="D49" s="302"/>
      <c r="E49" s="73"/>
    </row>
    <row r="50" spans="1:5">
      <c r="A50" s="308" t="s">
        <v>3731</v>
      </c>
      <c r="B50" s="302"/>
      <c r="C50" s="302"/>
      <c r="D50" s="29"/>
      <c r="E50" s="73"/>
    </row>
    <row r="51" spans="1:5" ht="18.75">
      <c r="A51" s="339" t="s">
        <v>3672</v>
      </c>
      <c r="B51" s="306"/>
      <c r="C51" s="339" t="s">
        <v>3673</v>
      </c>
      <c r="D51" s="306"/>
      <c r="E51" s="216"/>
    </row>
    <row r="52" spans="1:5">
      <c r="A52" s="350" t="s">
        <v>3732</v>
      </c>
      <c r="B52" s="306"/>
      <c r="C52" s="340" t="s">
        <v>3733</v>
      </c>
      <c r="D52" s="306"/>
      <c r="E52" s="223"/>
    </row>
    <row r="53" spans="1:5">
      <c r="A53" s="350" t="s">
        <v>3734</v>
      </c>
      <c r="B53" s="306"/>
      <c r="C53" s="337" t="s">
        <v>3735</v>
      </c>
      <c r="D53" s="306"/>
      <c r="E53" s="73"/>
    </row>
    <row r="54" spans="1:5">
      <c r="A54" s="29"/>
      <c r="B54" s="29"/>
      <c r="C54" s="29"/>
      <c r="D54" s="29"/>
      <c r="E54" s="73"/>
    </row>
    <row r="55" spans="1:5" ht="18.75">
      <c r="A55" s="348" t="s">
        <v>3736</v>
      </c>
      <c r="B55" s="302"/>
      <c r="C55" s="302"/>
      <c r="D55" s="302"/>
      <c r="E55" s="216"/>
    </row>
    <row r="56" spans="1:5">
      <c r="A56" s="338" t="s">
        <v>3737</v>
      </c>
      <c r="B56" s="302"/>
      <c r="C56" s="302"/>
      <c r="D56" s="302"/>
      <c r="E56" s="73"/>
    </row>
    <row r="57" spans="1:5">
      <c r="A57" s="308" t="s">
        <v>3738</v>
      </c>
      <c r="B57" s="302"/>
      <c r="C57" s="302"/>
      <c r="D57" s="29"/>
      <c r="E57" s="73"/>
    </row>
    <row r="58" spans="1:5" ht="18.75">
      <c r="A58" s="214" t="s">
        <v>3672</v>
      </c>
      <c r="B58" s="339" t="s">
        <v>3673</v>
      </c>
      <c r="C58" s="306"/>
      <c r="D58" s="227"/>
      <c r="E58" s="216"/>
    </row>
    <row r="59" spans="1:5">
      <c r="A59" s="225" t="s">
        <v>3739</v>
      </c>
      <c r="B59" s="340" t="s">
        <v>3740</v>
      </c>
      <c r="C59" s="306"/>
      <c r="D59" s="230"/>
      <c r="E59" s="228"/>
    </row>
    <row r="60" spans="1:5">
      <c r="A60" s="219" t="s">
        <v>3741</v>
      </c>
      <c r="B60" s="337" t="s">
        <v>3742</v>
      </c>
      <c r="C60" s="306"/>
      <c r="D60" s="29"/>
      <c r="E60" s="73"/>
    </row>
    <row r="61" spans="1:5">
      <c r="A61" s="24"/>
      <c r="B61" s="24"/>
      <c r="C61" s="24"/>
      <c r="D61" s="24"/>
      <c r="E61" s="67"/>
    </row>
    <row r="62" spans="1:5" ht="18.75">
      <c r="A62" s="348" t="s">
        <v>3743</v>
      </c>
      <c r="B62" s="302"/>
      <c r="C62" s="302"/>
      <c r="D62" s="302"/>
      <c r="E62" s="216"/>
    </row>
    <row r="63" spans="1:5">
      <c r="A63" s="338" t="s">
        <v>3744</v>
      </c>
      <c r="B63" s="302"/>
      <c r="C63" s="302"/>
      <c r="D63" s="302"/>
      <c r="E63" s="73"/>
    </row>
    <row r="64" spans="1:5">
      <c r="A64" s="308" t="s">
        <v>3745</v>
      </c>
      <c r="B64" s="302"/>
      <c r="C64" s="302"/>
      <c r="D64" s="29"/>
      <c r="E64" s="73"/>
    </row>
    <row r="65" spans="1:5" ht="18.75">
      <c r="A65" s="214" t="s">
        <v>3672</v>
      </c>
      <c r="B65" s="339" t="s">
        <v>3673</v>
      </c>
      <c r="C65" s="306"/>
      <c r="D65" s="214" t="s">
        <v>3674</v>
      </c>
      <c r="E65" s="216"/>
    </row>
    <row r="66" spans="1:5" ht="60" customHeight="1">
      <c r="A66" s="219" t="s">
        <v>3746</v>
      </c>
      <c r="B66" s="340" t="s">
        <v>3747</v>
      </c>
      <c r="C66" s="306"/>
      <c r="D66" s="349" t="s">
        <v>3748</v>
      </c>
      <c r="E66" s="228"/>
    </row>
    <row r="67" spans="1:5" ht="60" customHeight="1">
      <c r="A67" s="219" t="s">
        <v>3749</v>
      </c>
      <c r="B67" s="337" t="s">
        <v>3750</v>
      </c>
      <c r="C67" s="306"/>
      <c r="D67" s="311"/>
      <c r="E67" s="228"/>
    </row>
    <row r="68" spans="1:5">
      <c r="A68" s="29"/>
      <c r="B68" s="29"/>
      <c r="C68" s="29"/>
      <c r="D68" s="29"/>
      <c r="E68" s="73"/>
    </row>
    <row r="69" spans="1:5" ht="18.75">
      <c r="A69" s="348" t="s">
        <v>3751</v>
      </c>
      <c r="B69" s="302"/>
      <c r="C69" s="302"/>
      <c r="D69" s="302"/>
      <c r="E69" s="216"/>
    </row>
    <row r="70" spans="1:5">
      <c r="A70" s="338" t="s">
        <v>3752</v>
      </c>
      <c r="B70" s="302"/>
      <c r="C70" s="302"/>
      <c r="D70" s="302"/>
      <c r="E70" s="73"/>
    </row>
    <row r="71" spans="1:5">
      <c r="A71" s="308" t="s">
        <v>3753</v>
      </c>
      <c r="B71" s="302"/>
      <c r="C71" s="302"/>
      <c r="D71" s="29"/>
      <c r="E71" s="73"/>
    </row>
    <row r="72" spans="1:5" ht="18.75">
      <c r="A72" s="214" t="s">
        <v>3672</v>
      </c>
      <c r="B72" s="339" t="s">
        <v>3673</v>
      </c>
      <c r="C72" s="306"/>
      <c r="D72" s="227"/>
      <c r="E72" s="216"/>
    </row>
    <row r="73" spans="1:5">
      <c r="A73" s="225">
        <v>53</v>
      </c>
      <c r="B73" s="340" t="s">
        <v>3754</v>
      </c>
      <c r="C73" s="306"/>
      <c r="D73" s="230"/>
      <c r="E73" s="228"/>
    </row>
    <row r="74" spans="1:5">
      <c r="A74" s="231"/>
      <c r="B74" s="223"/>
      <c r="C74" s="223"/>
      <c r="D74" s="230"/>
      <c r="E74" s="228"/>
    </row>
    <row r="75" spans="1:5" ht="18.75">
      <c r="A75" s="348" t="s">
        <v>3755</v>
      </c>
      <c r="B75" s="302"/>
      <c r="C75" s="302"/>
      <c r="D75" s="302"/>
      <c r="E75" s="216"/>
    </row>
    <row r="76" spans="1:5">
      <c r="A76" s="338" t="s">
        <v>3756</v>
      </c>
      <c r="B76" s="302"/>
      <c r="C76" s="302"/>
      <c r="D76" s="302"/>
      <c r="E76" s="73"/>
    </row>
    <row r="77" spans="1:5">
      <c r="A77" s="308" t="s">
        <v>3757</v>
      </c>
      <c r="B77" s="302"/>
      <c r="C77" s="302"/>
      <c r="D77" s="29"/>
      <c r="E77" s="73"/>
    </row>
    <row r="78" spans="1:5" ht="18.75">
      <c r="A78" s="214" t="s">
        <v>3672</v>
      </c>
      <c r="B78" s="339" t="s">
        <v>3673</v>
      </c>
      <c r="C78" s="306"/>
      <c r="D78" s="227"/>
      <c r="E78" s="216"/>
    </row>
    <row r="79" spans="1:5">
      <c r="A79" s="219">
        <v>840</v>
      </c>
      <c r="B79" s="340" t="s">
        <v>3758</v>
      </c>
      <c r="C79" s="306"/>
      <c r="D79" s="230"/>
      <c r="E79" s="228"/>
    </row>
    <row r="80" spans="1:5">
      <c r="A80" s="231"/>
      <c r="B80" s="223"/>
      <c r="C80" s="223"/>
      <c r="D80" s="230"/>
      <c r="E80" s="228"/>
    </row>
    <row r="81" spans="1:5" ht="18.75">
      <c r="A81" s="348" t="s">
        <v>3759</v>
      </c>
      <c r="B81" s="302"/>
      <c r="C81" s="302"/>
      <c r="D81" s="302"/>
      <c r="E81" s="216"/>
    </row>
    <row r="82" spans="1:5">
      <c r="A82" s="338" t="s">
        <v>3760</v>
      </c>
      <c r="B82" s="302"/>
      <c r="C82" s="302"/>
      <c r="D82" s="302"/>
      <c r="E82" s="73"/>
    </row>
    <row r="83" spans="1:5">
      <c r="A83" s="308" t="s">
        <v>3761</v>
      </c>
      <c r="B83" s="302"/>
      <c r="C83" s="302"/>
      <c r="D83" s="29"/>
      <c r="E83" s="73"/>
    </row>
    <row r="84" spans="1:5" ht="18.75">
      <c r="A84" s="214" t="s">
        <v>3672</v>
      </c>
      <c r="B84" s="339" t="s">
        <v>3673</v>
      </c>
      <c r="C84" s="306"/>
      <c r="D84" s="214" t="s">
        <v>3674</v>
      </c>
      <c r="E84" s="216"/>
    </row>
    <row r="85" spans="1:5" ht="94.5">
      <c r="A85" s="219" t="s">
        <v>3762</v>
      </c>
      <c r="B85" s="340" t="s">
        <v>3763</v>
      </c>
      <c r="C85" s="306"/>
      <c r="D85" s="142" t="s">
        <v>3764</v>
      </c>
      <c r="E85" s="228"/>
    </row>
    <row r="86" spans="1:5">
      <c r="A86" s="231"/>
      <c r="B86" s="223"/>
      <c r="C86" s="223"/>
      <c r="D86" s="230"/>
      <c r="E86" s="228"/>
    </row>
    <row r="87" spans="1:5" ht="18.75">
      <c r="A87" s="348" t="s">
        <v>3765</v>
      </c>
      <c r="B87" s="302"/>
      <c r="C87" s="302"/>
      <c r="D87" s="302"/>
      <c r="E87" s="216"/>
    </row>
    <row r="88" spans="1:5">
      <c r="A88" s="338" t="s">
        <v>3766</v>
      </c>
      <c r="B88" s="302"/>
      <c r="C88" s="302"/>
      <c r="D88" s="302"/>
      <c r="E88" s="73"/>
    </row>
    <row r="89" spans="1:5">
      <c r="A89" s="308" t="s">
        <v>3767</v>
      </c>
      <c r="B89" s="302"/>
      <c r="C89" s="302"/>
      <c r="D89" s="302"/>
      <c r="E89" s="73"/>
    </row>
    <row r="90" spans="1:5" ht="18.75">
      <c r="A90" s="214" t="s">
        <v>3672</v>
      </c>
      <c r="B90" s="339" t="s">
        <v>3673</v>
      </c>
      <c r="C90" s="306"/>
      <c r="D90" s="214" t="s">
        <v>3674</v>
      </c>
      <c r="E90" s="216"/>
    </row>
    <row r="91" spans="1:5" ht="94.5">
      <c r="A91" s="219" t="s">
        <v>3768</v>
      </c>
      <c r="B91" s="340" t="s">
        <v>3769</v>
      </c>
      <c r="C91" s="306"/>
      <c r="D91" s="142" t="s">
        <v>3770</v>
      </c>
      <c r="E91" s="228"/>
    </row>
    <row r="92" spans="1:5">
      <c r="A92" s="231"/>
      <c r="B92" s="223"/>
      <c r="C92" s="223"/>
      <c r="D92" s="230"/>
      <c r="E92" s="228"/>
    </row>
    <row r="93" spans="1:5" ht="18.75">
      <c r="A93" s="348" t="s">
        <v>3771</v>
      </c>
      <c r="B93" s="302"/>
      <c r="C93" s="302"/>
      <c r="D93" s="302"/>
      <c r="E93" s="216"/>
    </row>
    <row r="94" spans="1:5">
      <c r="A94" s="338" t="s">
        <v>3772</v>
      </c>
      <c r="B94" s="302"/>
      <c r="C94" s="302"/>
      <c r="D94" s="302"/>
      <c r="E94" s="73"/>
    </row>
    <row r="95" spans="1:5">
      <c r="A95" s="308" t="s">
        <v>3773</v>
      </c>
      <c r="B95" s="302"/>
      <c r="C95" s="302"/>
      <c r="D95" s="302"/>
      <c r="E95" s="73"/>
    </row>
    <row r="96" spans="1:5" ht="18.75">
      <c r="A96" s="214" t="s">
        <v>3672</v>
      </c>
      <c r="B96" s="339" t="s">
        <v>3673</v>
      </c>
      <c r="C96" s="306"/>
      <c r="D96" s="227"/>
      <c r="E96" s="216"/>
    </row>
    <row r="97" spans="1:5">
      <c r="A97" s="219">
        <v>6</v>
      </c>
      <c r="B97" s="340" t="s">
        <v>3774</v>
      </c>
      <c r="C97" s="306"/>
      <c r="D97" s="230"/>
      <c r="E97" s="228"/>
    </row>
    <row r="98" spans="1:5">
      <c r="A98" s="231"/>
      <c r="B98" s="223"/>
      <c r="C98" s="223"/>
      <c r="D98" s="230"/>
      <c r="E98" s="228"/>
    </row>
    <row r="99" spans="1:5" ht="18.75">
      <c r="A99" s="348" t="s">
        <v>3775</v>
      </c>
      <c r="B99" s="302"/>
      <c r="C99" s="302"/>
      <c r="D99" s="302"/>
      <c r="E99" s="216"/>
    </row>
    <row r="100" spans="1:5">
      <c r="A100" s="338" t="s">
        <v>3776</v>
      </c>
      <c r="B100" s="302"/>
      <c r="C100" s="302"/>
      <c r="D100" s="302"/>
      <c r="E100" s="73"/>
    </row>
    <row r="101" spans="1:5">
      <c r="A101" s="308" t="s">
        <v>3777</v>
      </c>
      <c r="B101" s="302"/>
      <c r="C101" s="302"/>
      <c r="D101" s="302"/>
      <c r="E101" s="73"/>
    </row>
    <row r="102" spans="1:5" ht="18.75">
      <c r="A102" s="215" t="s">
        <v>3672</v>
      </c>
      <c r="B102" s="215" t="s">
        <v>3673</v>
      </c>
      <c r="C102" s="339" t="s">
        <v>3674</v>
      </c>
      <c r="D102" s="306"/>
      <c r="E102" s="216"/>
    </row>
    <row r="103" spans="1:5" ht="126">
      <c r="A103" s="229" t="s">
        <v>3778</v>
      </c>
      <c r="B103" s="232" t="s">
        <v>3779</v>
      </c>
      <c r="C103" s="347" t="s">
        <v>3780</v>
      </c>
      <c r="D103" s="306"/>
      <c r="E103" s="228"/>
    </row>
    <row r="104" spans="1:5" ht="26.25" customHeight="1">
      <c r="A104" s="29"/>
      <c r="B104" s="29"/>
      <c r="C104" s="29"/>
      <c r="D104" s="29"/>
      <c r="E104" s="73"/>
    </row>
    <row r="105" spans="1:5" ht="18.75">
      <c r="A105" s="348" t="s">
        <v>3781</v>
      </c>
      <c r="B105" s="302"/>
      <c r="C105" s="302"/>
      <c r="D105" s="302"/>
      <c r="E105" s="216"/>
    </row>
    <row r="106" spans="1:5">
      <c r="A106" s="84" t="s">
        <v>3782</v>
      </c>
      <c r="B106" s="84" t="s">
        <v>3783</v>
      </c>
      <c r="C106" s="29"/>
      <c r="D106" s="29"/>
      <c r="E106" s="73"/>
    </row>
    <row r="107" spans="1:5">
      <c r="A107" s="40" t="s">
        <v>3784</v>
      </c>
      <c r="B107" s="117" t="s">
        <v>3785</v>
      </c>
      <c r="C107" s="29"/>
      <c r="D107" s="29"/>
      <c r="E107" s="73"/>
    </row>
    <row r="108" spans="1:5">
      <c r="A108" s="40" t="s">
        <v>3786</v>
      </c>
      <c r="B108" s="117" t="s">
        <v>3787</v>
      </c>
      <c r="C108" s="29"/>
      <c r="D108" s="29"/>
      <c r="E108" s="73"/>
    </row>
    <row r="109" spans="1:5">
      <c r="A109" s="40" t="s">
        <v>3788</v>
      </c>
      <c r="B109" s="117" t="s">
        <v>3789</v>
      </c>
      <c r="C109" s="29"/>
      <c r="D109" s="29"/>
      <c r="E109" s="73"/>
    </row>
    <row r="110" spans="1:5">
      <c r="A110" s="40" t="s">
        <v>3790</v>
      </c>
      <c r="B110" s="117" t="s">
        <v>3791</v>
      </c>
      <c r="C110" s="29"/>
      <c r="D110" s="29"/>
      <c r="E110" s="73"/>
    </row>
    <row r="111" spans="1:5">
      <c r="A111" s="40" t="s">
        <v>3792</v>
      </c>
      <c r="B111" s="117" t="s">
        <v>3793</v>
      </c>
      <c r="C111" s="29"/>
      <c r="D111" s="29"/>
      <c r="E111" s="73"/>
    </row>
    <row r="112" spans="1:5">
      <c r="A112" s="40" t="s">
        <v>3794</v>
      </c>
      <c r="B112" s="117" t="s">
        <v>3795</v>
      </c>
      <c r="C112" s="29"/>
      <c r="D112" s="29"/>
      <c r="E112" s="73"/>
    </row>
    <row r="113" spans="1:5">
      <c r="A113" s="40" t="s">
        <v>3796</v>
      </c>
      <c r="B113" s="117" t="s">
        <v>3797</v>
      </c>
      <c r="C113" s="29"/>
      <c r="D113" s="29"/>
      <c r="E113" s="73"/>
    </row>
    <row r="114" spans="1:5">
      <c r="A114" s="40" t="s">
        <v>3798</v>
      </c>
      <c r="B114" s="117" t="s">
        <v>3799</v>
      </c>
      <c r="C114" s="29"/>
      <c r="D114" s="29"/>
      <c r="E114" s="73"/>
    </row>
    <row r="115" spans="1:5">
      <c r="A115" s="40" t="s">
        <v>3800</v>
      </c>
      <c r="B115" s="117" t="s">
        <v>3801</v>
      </c>
      <c r="C115" s="29"/>
      <c r="D115" s="29"/>
      <c r="E115" s="73"/>
    </row>
    <row r="116" spans="1:5">
      <c r="A116" s="40" t="s">
        <v>3802</v>
      </c>
      <c r="B116" s="117" t="s">
        <v>3803</v>
      </c>
      <c r="C116" s="29"/>
      <c r="D116" s="29"/>
      <c r="E116" s="73"/>
    </row>
    <row r="117" spans="1:5">
      <c r="A117" s="40" t="s">
        <v>3804</v>
      </c>
      <c r="B117" s="117" t="s">
        <v>3805</v>
      </c>
      <c r="C117" s="29"/>
      <c r="D117" s="29"/>
      <c r="E117" s="73"/>
    </row>
    <row r="118" spans="1:5">
      <c r="A118" s="40" t="s">
        <v>3806</v>
      </c>
      <c r="B118" s="117" t="s">
        <v>3807</v>
      </c>
      <c r="C118" s="29"/>
      <c r="D118" s="29"/>
      <c r="E118" s="73"/>
    </row>
    <row r="119" spans="1:5">
      <c r="A119" s="29"/>
      <c r="B119" s="29"/>
      <c r="C119" s="29"/>
      <c r="D119" s="29"/>
      <c r="E119" s="73"/>
    </row>
    <row r="120" spans="1:5">
      <c r="A120" s="84" t="s">
        <v>3808</v>
      </c>
      <c r="B120" s="84" t="s">
        <v>3783</v>
      </c>
      <c r="C120" s="29"/>
      <c r="D120" s="29"/>
      <c r="E120" s="73"/>
    </row>
    <row r="121" spans="1:5">
      <c r="A121" s="40" t="s">
        <v>3809</v>
      </c>
      <c r="B121" s="40" t="s">
        <v>3810</v>
      </c>
      <c r="C121" s="29"/>
      <c r="D121" s="29"/>
      <c r="E121" s="73"/>
    </row>
    <row r="122" spans="1:5">
      <c r="A122" s="233" t="s">
        <v>3811</v>
      </c>
      <c r="B122" s="40" t="s">
        <v>3812</v>
      </c>
      <c r="C122" s="29"/>
      <c r="D122" s="29"/>
      <c r="E122" s="73"/>
    </row>
    <row r="123" spans="1:5">
      <c r="A123" s="233" t="s">
        <v>3813</v>
      </c>
      <c r="B123" s="40" t="s">
        <v>3814</v>
      </c>
      <c r="C123" s="29"/>
      <c r="D123" s="29"/>
      <c r="E123" s="73"/>
    </row>
    <row r="124" spans="1:5" ht="47.25">
      <c r="A124" s="40" t="s">
        <v>3815</v>
      </c>
      <c r="B124" s="40" t="s">
        <v>3816</v>
      </c>
      <c r="C124" s="29"/>
      <c r="D124" s="29"/>
      <c r="E124" s="73"/>
    </row>
    <row r="125" spans="1:5">
      <c r="A125" s="40" t="s">
        <v>2134</v>
      </c>
      <c r="B125" s="40" t="s">
        <v>2134</v>
      </c>
      <c r="C125" s="29"/>
      <c r="D125" s="29"/>
      <c r="E125" s="73"/>
    </row>
    <row r="126" spans="1:5" ht="63">
      <c r="A126" s="40" t="s">
        <v>3817</v>
      </c>
      <c r="B126" s="40" t="s">
        <v>3818</v>
      </c>
      <c r="C126" s="29"/>
      <c r="D126" s="29"/>
      <c r="E126" s="73"/>
    </row>
    <row r="127" spans="1:5" ht="22.5" customHeight="1">
      <c r="A127" s="29"/>
      <c r="B127" s="29"/>
      <c r="C127" s="29"/>
      <c r="D127" s="29"/>
      <c r="E127" s="73"/>
    </row>
  </sheetData>
  <mergeCells count="89">
    <mergeCell ref="B46:C46"/>
    <mergeCell ref="A48:D48"/>
    <mergeCell ref="A49:D49"/>
    <mergeCell ref="A50:C50"/>
    <mergeCell ref="A51:B51"/>
    <mergeCell ref="C51:D51"/>
    <mergeCell ref="C52:D52"/>
    <mergeCell ref="C53:D53"/>
    <mergeCell ref="A55:D55"/>
    <mergeCell ref="A56:D56"/>
    <mergeCell ref="A57:C57"/>
    <mergeCell ref="A52:B52"/>
    <mergeCell ref="A53:B53"/>
    <mergeCell ref="B58:C58"/>
    <mergeCell ref="B59:C59"/>
    <mergeCell ref="B60:C60"/>
    <mergeCell ref="A69:D69"/>
    <mergeCell ref="A70:D70"/>
    <mergeCell ref="A62:D62"/>
    <mergeCell ref="A63:D63"/>
    <mergeCell ref="A64:C64"/>
    <mergeCell ref="B65:C65"/>
    <mergeCell ref="B66:C66"/>
    <mergeCell ref="D66:D67"/>
    <mergeCell ref="B67:C67"/>
    <mergeCell ref="A71:C71"/>
    <mergeCell ref="B72:C72"/>
    <mergeCell ref="B73:C73"/>
    <mergeCell ref="A75:D75"/>
    <mergeCell ref="A76:D76"/>
    <mergeCell ref="A77:C77"/>
    <mergeCell ref="B78:C78"/>
    <mergeCell ref="B79:C79"/>
    <mergeCell ref="A81:D81"/>
    <mergeCell ref="A82:D82"/>
    <mergeCell ref="A83:C83"/>
    <mergeCell ref="B84:C84"/>
    <mergeCell ref="B85:C85"/>
    <mergeCell ref="A87:D87"/>
    <mergeCell ref="A88:D88"/>
    <mergeCell ref="A89:D89"/>
    <mergeCell ref="B90:C90"/>
    <mergeCell ref="B91:C91"/>
    <mergeCell ref="A93:D93"/>
    <mergeCell ref="C102:D102"/>
    <mergeCell ref="C103:D103"/>
    <mergeCell ref="A105:D105"/>
    <mergeCell ref="A94:D94"/>
    <mergeCell ref="A95:D95"/>
    <mergeCell ref="B96:C96"/>
    <mergeCell ref="B97:C97"/>
    <mergeCell ref="A99:D99"/>
    <mergeCell ref="A100:D100"/>
    <mergeCell ref="A101:D101"/>
    <mergeCell ref="A1:D1"/>
    <mergeCell ref="A2:D2"/>
    <mergeCell ref="A4:C4"/>
    <mergeCell ref="A5:D5"/>
    <mergeCell ref="A6:D6"/>
    <mergeCell ref="B7:C7"/>
    <mergeCell ref="B8:C8"/>
    <mergeCell ref="B9:C9"/>
    <mergeCell ref="B10:C10"/>
    <mergeCell ref="B11:C11"/>
    <mergeCell ref="B12:C12"/>
    <mergeCell ref="B13:C13"/>
    <mergeCell ref="B14:C14"/>
    <mergeCell ref="A17:C17"/>
    <mergeCell ref="A18:D18"/>
    <mergeCell ref="A19:C19"/>
    <mergeCell ref="B20:D20"/>
    <mergeCell ref="B21:D21"/>
    <mergeCell ref="B22:D22"/>
    <mergeCell ref="B23:D23"/>
    <mergeCell ref="A26:D26"/>
    <mergeCell ref="A28:D28"/>
    <mergeCell ref="A29:C29"/>
    <mergeCell ref="B30:C30"/>
    <mergeCell ref="B31:C31"/>
    <mergeCell ref="B32:C32"/>
    <mergeCell ref="A35:D35"/>
    <mergeCell ref="A36:C36"/>
    <mergeCell ref="B37:C37"/>
    <mergeCell ref="B38:C38"/>
    <mergeCell ref="B39:C39"/>
    <mergeCell ref="A42:D42"/>
    <mergeCell ref="A43:C43"/>
    <mergeCell ref="B44:C44"/>
    <mergeCell ref="B45:C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T145"/>
  <sheetViews>
    <sheetView workbookViewId="0">
      <pane xSplit="3" ySplit="4" topLeftCell="D5" activePane="bottomRight" state="frozen"/>
      <selection pane="topRight" activeCell="D1" sqref="D1"/>
      <selection pane="bottomLeft" activeCell="A5" sqref="A5"/>
      <selection pane="bottomRight" activeCell="D5" sqref="D5"/>
    </sheetView>
  </sheetViews>
  <sheetFormatPr defaultColWidth="12.5703125" defaultRowHeight="15.75" customHeight="1"/>
  <cols>
    <col min="1" max="1" width="3.42578125" customWidth="1"/>
    <col min="2" max="2" width="9.85546875" customWidth="1"/>
    <col min="3" max="3" width="15.28515625" customWidth="1"/>
    <col min="4" max="4" width="13.28515625" customWidth="1"/>
    <col min="5" max="5" width="10.7109375" customWidth="1"/>
    <col min="6" max="6" width="12.42578125" customWidth="1"/>
    <col min="7" max="18" width="10.7109375" customWidth="1"/>
    <col min="21" max="21" width="12.5703125" hidden="1"/>
    <col min="23" max="24" width="12.5703125" hidden="1"/>
    <col min="26" max="26" width="12.5703125" hidden="1"/>
  </cols>
  <sheetData>
    <row r="1" spans="1:46">
      <c r="A1" s="23"/>
      <c r="B1" s="23"/>
      <c r="C1" s="23"/>
      <c r="D1" s="23" t="s">
        <v>3819</v>
      </c>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row>
    <row r="2" spans="1:46">
      <c r="A2" s="23"/>
      <c r="B2" s="356" t="s">
        <v>3820</v>
      </c>
      <c r="C2" s="302"/>
      <c r="D2" s="357" t="e">
        <f ca="1">"{"&amp;IF(D4="In-combat (One turn only)",AE46,"")&amp;"d:{l:{"&amp;AC39&amp;"}"&amp;T10&amp;",p:{"&amp;T17&amp;AD22&amp;"}"&amp;T13&amp;AC10&amp;"},p:["&amp;IF(D4="Pre-combat (with prompts)","""2{ps:["&amp;TEXTJOIN(",",TRUE,AC81:AC96)&amp;"]}"",3",IF(D4="In-combat (one turn only)","1"&amp;AE50,"""2{}"",3"))&amp;"],s:"&amp;IF(D4="In-combat (one turn only)",AE48,"0")&amp;T9&amp;"}"</f>
        <v>#NAME?</v>
      </c>
      <c r="E2" s="302"/>
      <c r="F2" s="302"/>
      <c r="G2" s="302"/>
      <c r="H2" s="302"/>
      <c r="I2" s="302"/>
      <c r="J2" s="302"/>
      <c r="K2" s="302"/>
      <c r="L2" s="302"/>
      <c r="M2" s="302"/>
      <c r="N2" s="302"/>
      <c r="O2" s="302"/>
      <c r="P2" s="302"/>
      <c r="Q2" s="302"/>
      <c r="R2" s="302"/>
      <c r="S2" s="302"/>
      <c r="T2" s="302"/>
      <c r="U2" s="302"/>
      <c r="V2" s="302"/>
      <c r="W2" s="234"/>
      <c r="X2" s="234"/>
      <c r="Y2" s="234"/>
      <c r="Z2" s="234"/>
      <c r="AA2" s="234"/>
      <c r="AB2" s="234"/>
      <c r="AC2" s="234"/>
      <c r="AD2" s="234"/>
      <c r="AE2" s="23"/>
      <c r="AF2" s="23"/>
      <c r="AG2" s="23"/>
      <c r="AH2" s="23"/>
      <c r="AI2" s="23"/>
      <c r="AJ2" s="23"/>
      <c r="AK2" s="23"/>
      <c r="AL2" s="23"/>
      <c r="AM2" s="23"/>
      <c r="AN2" s="23"/>
      <c r="AO2" s="23"/>
      <c r="AP2" s="23"/>
      <c r="AQ2" s="23"/>
      <c r="AR2" s="23"/>
      <c r="AS2" s="23"/>
      <c r="AT2" s="23"/>
    </row>
    <row r="3" spans="1:46">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row>
    <row r="4" spans="1:46">
      <c r="A4" s="23"/>
      <c r="B4" s="22" t="s">
        <v>3821</v>
      </c>
      <c r="C4" s="22"/>
      <c r="D4" s="358" t="s">
        <v>3822</v>
      </c>
      <c r="E4" s="302"/>
      <c r="F4" s="302"/>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row>
    <row r="5" spans="1:46">
      <c r="A5" s="23"/>
      <c r="B5" s="23"/>
      <c r="C5" s="23" t="s">
        <v>3823</v>
      </c>
      <c r="D5" s="354">
        <f>COUNTIF($E$39:$E$43,"&lt;&gt;")</f>
        <v>1</v>
      </c>
      <c r="E5" s="306"/>
      <c r="F5" s="23"/>
      <c r="G5" s="23"/>
      <c r="H5" s="23"/>
      <c r="I5" s="23"/>
      <c r="J5" s="23"/>
      <c r="K5" s="23"/>
      <c r="L5" s="23"/>
      <c r="M5" s="23"/>
      <c r="N5" s="23"/>
      <c r="O5" s="23"/>
      <c r="P5" s="23"/>
      <c r="Q5" s="23"/>
      <c r="R5" s="23"/>
      <c r="S5" s="23"/>
      <c r="T5" s="356" t="s">
        <v>3824</v>
      </c>
      <c r="U5" s="302"/>
      <c r="V5" s="302"/>
      <c r="W5" s="302"/>
      <c r="X5" s="302"/>
      <c r="Y5" s="302"/>
      <c r="Z5" s="302"/>
      <c r="AA5" s="302"/>
      <c r="AB5" s="302"/>
      <c r="AC5" s="302"/>
      <c r="AD5" s="302"/>
      <c r="AE5" s="23"/>
      <c r="AF5" s="23"/>
      <c r="AG5" s="23"/>
      <c r="AH5" s="23"/>
      <c r="AI5" s="23"/>
      <c r="AJ5" s="23"/>
      <c r="AK5" s="23"/>
      <c r="AL5" s="23"/>
      <c r="AM5" s="23"/>
      <c r="AN5" s="23"/>
      <c r="AO5" s="23"/>
      <c r="AP5" s="23"/>
      <c r="AQ5" s="23"/>
      <c r="AR5" s="23"/>
      <c r="AS5" s="23"/>
      <c r="AT5" s="23"/>
    </row>
    <row r="6" spans="1:46">
      <c r="A6" s="23"/>
      <c r="B6" s="23"/>
      <c r="C6" s="23" t="s">
        <v>3825</v>
      </c>
      <c r="D6" s="354">
        <f>COUNTIF($E$22:$E$37,"&lt;&gt;")</f>
        <v>6</v>
      </c>
      <c r="E6" s="306"/>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row>
    <row r="7" spans="1:46" ht="47.25">
      <c r="A7" s="23"/>
      <c r="B7" s="23"/>
      <c r="C7" s="29" t="s">
        <v>3826</v>
      </c>
      <c r="D7" s="354">
        <f>COUNTIF($D$17:$K$20,"&lt;&gt;")</f>
        <v>1</v>
      </c>
      <c r="E7" s="306"/>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row>
    <row r="8" spans="1:46">
      <c r="A8" s="23"/>
      <c r="B8" s="23"/>
      <c r="C8" s="23" t="s">
        <v>3827</v>
      </c>
      <c r="D8" s="354">
        <f>COUNTIF($D$12:$K$15,"&lt;&gt;")</f>
        <v>5</v>
      </c>
      <c r="E8" s="306"/>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row>
    <row r="9" spans="1:46">
      <c r="A9" s="23"/>
      <c r="B9" s="23"/>
      <c r="C9" s="23" t="s">
        <v>3828</v>
      </c>
      <c r="D9" s="355" t="s">
        <v>3829</v>
      </c>
      <c r="E9" s="306"/>
      <c r="F9" s="23"/>
      <c r="G9" s="23"/>
      <c r="H9" s="23"/>
      <c r="I9" s="23"/>
      <c r="J9" s="23"/>
      <c r="K9" s="23"/>
      <c r="L9" s="23"/>
      <c r="M9" s="23"/>
      <c r="N9" s="23"/>
      <c r="O9" s="23"/>
      <c r="P9" s="23"/>
      <c r="Q9" s="23"/>
      <c r="R9" s="23"/>
      <c r="S9" s="23"/>
      <c r="T9" s="235" t="str">
        <f>",v:"&amp;D9</f>
        <v>,v:amongus</v>
      </c>
      <c r="U9" s="235"/>
      <c r="V9" s="235"/>
      <c r="W9" s="235"/>
      <c r="X9" s="235"/>
      <c r="Y9" s="235"/>
      <c r="Z9" s="235"/>
      <c r="AA9" s="235"/>
      <c r="AB9" s="235"/>
      <c r="AC9" s="23"/>
      <c r="AD9" s="23"/>
      <c r="AE9" s="23"/>
      <c r="AF9" s="23"/>
      <c r="AG9" s="23"/>
      <c r="AH9" s="23"/>
      <c r="AI9" s="23"/>
      <c r="AJ9" s="23"/>
      <c r="AK9" s="23"/>
      <c r="AL9" s="23"/>
      <c r="AM9" s="23"/>
      <c r="AN9" s="23"/>
      <c r="AO9" s="23"/>
      <c r="AP9" s="23"/>
      <c r="AQ9" s="23"/>
      <c r="AR9" s="23"/>
      <c r="AS9" s="23"/>
      <c r="AT9" s="23"/>
    </row>
    <row r="10" spans="1:46">
      <c r="A10" s="23"/>
      <c r="B10" s="23"/>
      <c r="C10" s="23" t="s">
        <v>3830</v>
      </c>
      <c r="D10" s="355">
        <v>10000000</v>
      </c>
      <c r="E10" s="306"/>
      <c r="F10" s="23"/>
      <c r="G10" s="23"/>
      <c r="H10" s="23"/>
      <c r="I10" s="23"/>
      <c r="J10" s="23"/>
      <c r="K10" s="23"/>
      <c r="L10" s="23"/>
      <c r="M10" s="23"/>
      <c r="N10" s="23"/>
      <c r="O10" s="23"/>
      <c r="P10" s="23"/>
      <c r="Q10" s="23"/>
      <c r="R10" s="23"/>
      <c r="S10" s="23"/>
      <c r="T10" s="235" t="str">
        <f>IF($D$10&gt;1,","&amp;CONCATENATE("n:",$D$10-1),"")</f>
        <v>,n:9999999</v>
      </c>
      <c r="U10" s="235"/>
      <c r="V10" s="235"/>
      <c r="W10" s="235"/>
      <c r="X10" s="235"/>
      <c r="Y10" s="235"/>
      <c r="Z10" s="235"/>
      <c r="AA10" s="235"/>
      <c r="AB10" s="235"/>
      <c r="AC10" s="235" t="str">
        <f>IF($D$10&gt;1,","&amp;CONCATENATE("sl:",$D$10-1),"")</f>
        <v>,sl:9999999</v>
      </c>
      <c r="AD10" s="23"/>
      <c r="AE10" s="23"/>
      <c r="AF10" s="23"/>
      <c r="AG10" s="23"/>
      <c r="AH10" s="23"/>
      <c r="AI10" s="23"/>
      <c r="AJ10" s="23"/>
      <c r="AK10" s="23"/>
      <c r="AL10" s="23"/>
      <c r="AM10" s="23"/>
      <c r="AN10" s="23"/>
      <c r="AO10" s="23"/>
      <c r="AP10" s="23"/>
      <c r="AQ10" s="23"/>
      <c r="AR10" s="23"/>
      <c r="AS10" s="23"/>
      <c r="AT10" s="23"/>
    </row>
    <row r="11" spans="1:46">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row>
    <row r="12" spans="1:46">
      <c r="A12" s="23"/>
      <c r="B12" s="221" t="s">
        <v>3831</v>
      </c>
      <c r="C12" s="23" t="s">
        <v>1587</v>
      </c>
      <c r="D12" s="236" t="s">
        <v>3109</v>
      </c>
      <c r="E12" s="237" t="s">
        <v>3041</v>
      </c>
      <c r="F12" s="237" t="s">
        <v>2885</v>
      </c>
      <c r="G12" s="237" t="s">
        <v>3041</v>
      </c>
      <c r="H12" s="237" t="s">
        <v>3041</v>
      </c>
      <c r="I12" s="236"/>
      <c r="J12" s="236"/>
      <c r="K12" s="238"/>
      <c r="L12" s="239"/>
      <c r="M12" s="239"/>
      <c r="N12" s="239"/>
      <c r="O12" s="239"/>
      <c r="P12" s="239"/>
      <c r="Q12" s="239"/>
      <c r="R12" s="239"/>
      <c r="S12" s="23"/>
      <c r="T12" s="235" t="e">
        <f t="array" aca="1" ref="T12" ca="1">CONCATENATE(",m:[",TEXTJOIN(",",TRUE,MAP($D$12:$R$15,LAMBDA(x,IFERROR(INDEX('HIDDEN Hidden Helpsheet'!$C$4:$C$794,MATCH(x,'HIDDEN Hidden Helpsheet'!$B$4:$B$794,0)),"")))),"]")</f>
        <v>#NAME?</v>
      </c>
      <c r="U12" s="235"/>
      <c r="V12" s="235"/>
      <c r="W12" s="235"/>
      <c r="X12" s="235"/>
      <c r="Y12" s="235"/>
      <c r="Z12" s="235"/>
      <c r="AA12" s="235"/>
      <c r="AB12" s="235"/>
      <c r="AC12" s="23"/>
      <c r="AD12" s="23"/>
      <c r="AE12" s="23"/>
      <c r="AF12" s="23"/>
      <c r="AG12" s="23"/>
      <c r="AH12" s="23"/>
      <c r="AI12" s="23"/>
      <c r="AJ12" s="23"/>
      <c r="AK12" s="23"/>
      <c r="AL12" s="23"/>
      <c r="AM12" s="23"/>
      <c r="AN12" s="23"/>
      <c r="AO12" s="23"/>
      <c r="AP12" s="23"/>
      <c r="AQ12" s="23"/>
      <c r="AR12" s="23"/>
      <c r="AS12" s="23"/>
      <c r="AT12" s="23"/>
    </row>
    <row r="13" spans="1:46">
      <c r="A13" s="23"/>
      <c r="B13" s="221"/>
      <c r="C13" s="23"/>
      <c r="D13" s="236"/>
      <c r="E13" s="236"/>
      <c r="F13" s="236"/>
      <c r="G13" s="236"/>
      <c r="H13" s="236"/>
      <c r="I13" s="236"/>
      <c r="J13" s="236"/>
      <c r="K13" s="240"/>
      <c r="L13" s="241"/>
      <c r="M13" s="241"/>
      <c r="N13" s="241"/>
      <c r="O13" s="241"/>
      <c r="P13" s="241"/>
      <c r="Q13" s="241"/>
      <c r="R13" s="241"/>
      <c r="S13" s="23"/>
      <c r="T13" s="235" t="e">
        <f ca="1">IF(T12&lt;&gt;",m:[]",T12,"")</f>
        <v>#NAME?</v>
      </c>
      <c r="U13" s="235"/>
      <c r="V13" s="235"/>
      <c r="W13" s="235"/>
      <c r="X13" s="235"/>
      <c r="Y13" s="235"/>
      <c r="Z13" s="235"/>
      <c r="AA13" s="235"/>
      <c r="AB13" s="235"/>
      <c r="AC13" s="23"/>
      <c r="AD13" s="23"/>
      <c r="AE13" s="23"/>
      <c r="AF13" s="23"/>
      <c r="AG13" s="23"/>
      <c r="AH13" s="231" t="e">
        <f t="array" aca="1" ref="AH13" ca="1">MAP(F81,LAMBDA(x,IFERROR(INDEX('HIDDEN Hidden Helpsheet'!$C$3:$C$850,MATCH(x,'HIDDEN Hidden Helpsheet'!$B$3:$B$850,0)),"")))</f>
        <v>#NAME?</v>
      </c>
      <c r="AI13" s="23"/>
      <c r="AJ13" s="23"/>
      <c r="AK13" s="23"/>
      <c r="AL13" s="23"/>
      <c r="AM13" s="23"/>
      <c r="AN13" s="23"/>
      <c r="AO13" s="23"/>
      <c r="AP13" s="23"/>
      <c r="AQ13" s="23"/>
      <c r="AR13" s="23"/>
      <c r="AS13" s="23"/>
      <c r="AT13" s="23"/>
    </row>
    <row r="14" spans="1:46">
      <c r="A14" s="23"/>
      <c r="B14" s="221"/>
      <c r="C14" s="23"/>
      <c r="D14" s="236"/>
      <c r="E14" s="236"/>
      <c r="F14" s="236"/>
      <c r="G14" s="236"/>
      <c r="H14" s="236"/>
      <c r="I14" s="236"/>
      <c r="J14" s="236"/>
      <c r="K14" s="240"/>
      <c r="L14" s="241"/>
      <c r="M14" s="241"/>
      <c r="N14" s="241"/>
      <c r="O14" s="241"/>
      <c r="P14" s="241"/>
      <c r="Q14" s="241"/>
      <c r="R14" s="241"/>
      <c r="S14" s="23"/>
      <c r="T14" s="235"/>
      <c r="U14" s="235"/>
      <c r="V14" s="235"/>
      <c r="W14" s="235"/>
      <c r="X14" s="235"/>
      <c r="Y14" s="235"/>
      <c r="Z14" s="235"/>
      <c r="AA14" s="235"/>
      <c r="AB14" s="235"/>
      <c r="AC14" s="23"/>
      <c r="AD14" s="23"/>
      <c r="AE14" s="23"/>
      <c r="AF14" s="23"/>
      <c r="AG14" s="23"/>
      <c r="AH14" s="23"/>
      <c r="AI14" s="23"/>
      <c r="AJ14" s="23"/>
      <c r="AK14" s="23"/>
      <c r="AL14" s="23"/>
      <c r="AM14" s="23"/>
      <c r="AN14" s="23"/>
      <c r="AO14" s="23"/>
      <c r="AP14" s="23"/>
      <c r="AQ14" s="23"/>
      <c r="AR14" s="23"/>
      <c r="AS14" s="23"/>
      <c r="AT14" s="23"/>
    </row>
    <row r="15" spans="1:46">
      <c r="A15" s="23"/>
      <c r="B15" s="221"/>
      <c r="C15" s="23"/>
      <c r="D15" s="236"/>
      <c r="E15" s="236"/>
      <c r="F15" s="236"/>
      <c r="G15" s="236"/>
      <c r="H15" s="236"/>
      <c r="I15" s="236"/>
      <c r="J15" s="236"/>
      <c r="K15" s="240"/>
      <c r="L15" s="241"/>
      <c r="M15" s="241"/>
      <c r="N15" s="241"/>
      <c r="O15" s="241"/>
      <c r="P15" s="241"/>
      <c r="Q15" s="241"/>
      <c r="R15" s="241"/>
      <c r="S15" s="23"/>
      <c r="T15" s="235"/>
      <c r="U15" s="235"/>
      <c r="V15" s="235"/>
      <c r="W15" s="235"/>
      <c r="X15" s="235"/>
      <c r="Y15" s="235"/>
      <c r="Z15" s="235"/>
      <c r="AA15" s="235"/>
      <c r="AB15" s="235"/>
      <c r="AC15" s="23"/>
      <c r="AD15" s="23"/>
      <c r="AE15" s="23"/>
      <c r="AF15" s="23"/>
      <c r="AG15" s="23"/>
      <c r="AH15" s="23"/>
      <c r="AI15" s="23"/>
      <c r="AJ15" s="23"/>
      <c r="AK15" s="23"/>
      <c r="AL15" s="23"/>
      <c r="AM15" s="23"/>
      <c r="AN15" s="23"/>
      <c r="AO15" s="23"/>
      <c r="AP15" s="23"/>
      <c r="AQ15" s="23"/>
      <c r="AR15" s="23"/>
      <c r="AS15" s="23"/>
      <c r="AT15" s="23"/>
    </row>
    <row r="16" spans="1:46">
      <c r="A16" s="23"/>
      <c r="B16" s="221"/>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row>
    <row r="17" spans="1:46">
      <c r="A17" s="23"/>
      <c r="B17" s="221"/>
      <c r="C17" s="23" t="s">
        <v>3832</v>
      </c>
      <c r="D17" s="236" t="s">
        <v>1577</v>
      </c>
      <c r="E17" s="236"/>
      <c r="F17" s="236"/>
      <c r="G17" s="236"/>
      <c r="H17" s="236"/>
      <c r="I17" s="236"/>
      <c r="J17" s="236"/>
      <c r="K17" s="236"/>
      <c r="L17" s="236"/>
      <c r="M17" s="236"/>
      <c r="N17" s="236"/>
      <c r="O17" s="236"/>
      <c r="P17" s="236"/>
      <c r="Q17" s="236"/>
      <c r="R17" s="236"/>
      <c r="S17" s="23"/>
      <c r="T17" s="235" t="e">
        <f ca="1">IF(COUNTIF($D$17:$R$20,"&lt;&gt;")=0,"",CONCATENATE("e:[",TEXTJOIN(",",TRUE,$D$17:$K$20),"]")&amp;",")</f>
        <v>#NAME?</v>
      </c>
      <c r="U17" s="235"/>
      <c r="V17" s="235"/>
      <c r="W17" s="235"/>
      <c r="X17" s="235"/>
      <c r="Y17" s="235"/>
      <c r="Z17" s="235"/>
      <c r="AA17" s="235"/>
      <c r="AB17" s="235"/>
      <c r="AC17" s="23"/>
      <c r="AD17" s="23"/>
      <c r="AE17" s="23"/>
      <c r="AF17" s="23"/>
      <c r="AG17" s="23"/>
      <c r="AH17" s="23"/>
      <c r="AI17" s="23"/>
      <c r="AJ17" s="23"/>
      <c r="AK17" s="23"/>
      <c r="AL17" s="23"/>
      <c r="AM17" s="23"/>
      <c r="AN17" s="23"/>
      <c r="AO17" s="23"/>
      <c r="AP17" s="23"/>
      <c r="AQ17" s="23"/>
      <c r="AR17" s="23"/>
      <c r="AS17" s="23"/>
      <c r="AT17" s="23"/>
    </row>
    <row r="18" spans="1:46">
      <c r="A18" s="23"/>
      <c r="B18" s="221"/>
      <c r="C18" s="23"/>
      <c r="D18" s="236"/>
      <c r="E18" s="236"/>
      <c r="F18" s="236"/>
      <c r="G18" s="236"/>
      <c r="H18" s="236"/>
      <c r="I18" s="236"/>
      <c r="J18" s="236"/>
      <c r="K18" s="236"/>
      <c r="L18" s="236"/>
      <c r="M18" s="236"/>
      <c r="N18" s="236"/>
      <c r="O18" s="236"/>
      <c r="P18" s="236"/>
      <c r="Q18" s="236"/>
      <c r="R18" s="236"/>
      <c r="S18" s="23"/>
      <c r="T18" s="235"/>
      <c r="U18" s="235"/>
      <c r="V18" s="235"/>
      <c r="W18" s="235"/>
      <c r="X18" s="235"/>
      <c r="Y18" s="235"/>
      <c r="Z18" s="235"/>
      <c r="AA18" s="235"/>
      <c r="AB18" s="235"/>
      <c r="AC18" s="23"/>
      <c r="AD18" s="23"/>
      <c r="AE18" s="23"/>
      <c r="AF18" s="23"/>
      <c r="AG18" s="23"/>
      <c r="AH18" s="23"/>
      <c r="AI18" s="23"/>
      <c r="AJ18" s="23"/>
      <c r="AK18" s="23"/>
      <c r="AL18" s="23"/>
      <c r="AM18" s="23"/>
      <c r="AN18" s="23"/>
      <c r="AO18" s="23"/>
      <c r="AP18" s="23"/>
      <c r="AQ18" s="23"/>
      <c r="AR18" s="23"/>
      <c r="AS18" s="23"/>
      <c r="AT18" s="23"/>
    </row>
    <row r="19" spans="1:46">
      <c r="A19" s="23"/>
      <c r="B19" s="221"/>
      <c r="C19" s="23"/>
      <c r="D19" s="236"/>
      <c r="E19" s="236"/>
      <c r="F19" s="236"/>
      <c r="G19" s="236"/>
      <c r="H19" s="236"/>
      <c r="I19" s="236"/>
      <c r="J19" s="236"/>
      <c r="K19" s="236"/>
      <c r="L19" s="236"/>
      <c r="M19" s="236"/>
      <c r="N19" s="236"/>
      <c r="O19" s="236"/>
      <c r="P19" s="236"/>
      <c r="Q19" s="236"/>
      <c r="R19" s="236"/>
      <c r="S19" s="23"/>
      <c r="T19" s="235"/>
      <c r="U19" s="235"/>
      <c r="V19" s="235"/>
      <c r="W19" s="235"/>
      <c r="X19" s="235"/>
      <c r="Y19" s="235"/>
      <c r="Z19" s="235"/>
      <c r="AA19" s="235"/>
      <c r="AB19" s="235"/>
      <c r="AC19" s="23"/>
      <c r="AD19" s="23"/>
      <c r="AE19" s="23"/>
      <c r="AF19" s="23"/>
      <c r="AG19" s="23"/>
      <c r="AH19" s="23"/>
      <c r="AI19" s="23"/>
      <c r="AJ19" s="23"/>
      <c r="AK19" s="23"/>
      <c r="AL19" s="23"/>
      <c r="AM19" s="23"/>
      <c r="AN19" s="23"/>
      <c r="AO19" s="23"/>
      <c r="AP19" s="23"/>
      <c r="AQ19" s="23"/>
      <c r="AR19" s="23"/>
      <c r="AS19" s="23"/>
      <c r="AT19" s="23"/>
    </row>
    <row r="20" spans="1:46">
      <c r="A20" s="23"/>
      <c r="B20" s="221"/>
      <c r="C20" s="23"/>
      <c r="D20" s="236"/>
      <c r="E20" s="236"/>
      <c r="F20" s="236"/>
      <c r="G20" s="236"/>
      <c r="H20" s="236"/>
      <c r="I20" s="236"/>
      <c r="J20" s="236"/>
      <c r="K20" s="236"/>
      <c r="L20" s="236"/>
      <c r="M20" s="236"/>
      <c r="N20" s="236"/>
      <c r="O20" s="236"/>
      <c r="P20" s="236"/>
      <c r="Q20" s="236"/>
      <c r="R20" s="236"/>
      <c r="S20" s="23"/>
      <c r="T20" s="235"/>
      <c r="U20" s="235"/>
      <c r="V20" s="235"/>
      <c r="W20" s="235"/>
      <c r="X20" s="235"/>
      <c r="Y20" s="235"/>
      <c r="Z20" s="235"/>
      <c r="AA20" s="235"/>
      <c r="AB20" s="235"/>
      <c r="AC20" s="23"/>
      <c r="AD20" s="23"/>
      <c r="AE20" s="23"/>
      <c r="AF20" s="23"/>
      <c r="AG20" s="23"/>
      <c r="AH20" s="23"/>
      <c r="AI20" s="23"/>
      <c r="AJ20" s="23"/>
      <c r="AK20" s="23"/>
      <c r="AL20" s="23"/>
      <c r="AM20" s="23"/>
      <c r="AN20" s="23"/>
      <c r="AO20" s="23"/>
      <c r="AP20" s="23"/>
      <c r="AQ20" s="23"/>
      <c r="AR20" s="23"/>
      <c r="AS20" s="23"/>
      <c r="AT20" s="23"/>
    </row>
    <row r="21" spans="1:46">
      <c r="A21" s="23"/>
      <c r="B21" s="221"/>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row>
    <row r="22" spans="1:46" ht="36.75" customHeight="1">
      <c r="A22" s="23"/>
      <c r="B22" s="221"/>
      <c r="C22" s="308" t="s">
        <v>3833</v>
      </c>
      <c r="D22" s="37">
        <f t="array" ref="D22">IF(E22="",'HIDDEN Hidden Helpsheet'!A4,IFERROR(INDEX(Heroes!$D$4:$D$105,MATCH(E22,Heroes!$E$4:$E$105,0)),"Generated"))</f>
        <v>0</v>
      </c>
      <c r="E22" s="7" t="s">
        <v>579</v>
      </c>
      <c r="F22" s="40" t="s">
        <v>3834</v>
      </c>
      <c r="G22" s="40" t="s">
        <v>3835</v>
      </c>
      <c r="H22" s="4" t="s">
        <v>995</v>
      </c>
      <c r="I22" s="219" t="s">
        <v>822</v>
      </c>
      <c r="J22" s="4"/>
      <c r="K22" s="4"/>
      <c r="L22" s="4"/>
      <c r="M22" s="4"/>
      <c r="N22" s="4"/>
      <c r="O22" s="4"/>
      <c r="P22" s="4"/>
      <c r="Q22" s="4"/>
      <c r="R22" s="4"/>
      <c r="S22" s="23"/>
      <c r="T22" s="235" t="e">
        <f t="shared" ref="T22:T37" ca="1" si="0">IF($E22&lt;&gt;"",TEXTJOIN("~",TRUE,$E22,IF($F22="With death penalty","D",""),$H22:$R22),"")</f>
        <v>#NAME?</v>
      </c>
      <c r="U22" s="23"/>
      <c r="V22" s="23"/>
      <c r="W22" s="23"/>
      <c r="X22" s="23"/>
      <c r="Y22" s="23"/>
      <c r="Z22" s="23"/>
      <c r="AA22" s="23"/>
      <c r="AB22" s="23"/>
      <c r="AC22" s="23"/>
      <c r="AD22" s="242" t="e">
        <f ca="1">CONCATENATE("h:[",TEXTJOIN(",",TRUE,$T$22:$T$37),"]")</f>
        <v>#NAME?</v>
      </c>
      <c r="AE22" s="23"/>
      <c r="AF22" s="23"/>
      <c r="AG22" s="23"/>
      <c r="AH22" s="23"/>
      <c r="AI22" s="23"/>
      <c r="AJ22" s="23"/>
      <c r="AK22" s="23"/>
      <c r="AL22" s="23"/>
      <c r="AM22" s="23"/>
      <c r="AN22" s="23"/>
      <c r="AO22" s="36"/>
      <c r="AP22" s="195" t="s">
        <v>3836</v>
      </c>
      <c r="AQ22" s="23"/>
      <c r="AR22" s="23"/>
      <c r="AS22" s="23"/>
      <c r="AT22" s="23"/>
    </row>
    <row r="23" spans="1:46" ht="36.75" customHeight="1">
      <c r="A23" s="23"/>
      <c r="B23" s="221"/>
      <c r="C23" s="302"/>
      <c r="D23" s="37">
        <f t="array" ref="D23">IF(E23="",'HIDDEN Hidden Helpsheet'!A5,IFERROR(INDEX(Heroes!$D$4:$D$105,MATCH(E23,Heroes!$E$4:$E$105,0)),"Generated"))</f>
        <v>0</v>
      </c>
      <c r="E23" s="7" t="s">
        <v>550</v>
      </c>
      <c r="F23" s="40" t="s">
        <v>3834</v>
      </c>
      <c r="G23" s="40" t="s">
        <v>3835</v>
      </c>
      <c r="H23" s="219" t="s">
        <v>997</v>
      </c>
      <c r="I23" s="219" t="s">
        <v>1001</v>
      </c>
      <c r="J23" s="4"/>
      <c r="K23" s="4"/>
      <c r="L23" s="4"/>
      <c r="M23" s="4"/>
      <c r="N23" s="4"/>
      <c r="O23" s="4"/>
      <c r="P23" s="4"/>
      <c r="Q23" s="4"/>
      <c r="R23" s="4"/>
      <c r="S23" s="23"/>
      <c r="T23" s="235" t="e">
        <f t="shared" ca="1" si="0"/>
        <v>#NAME?</v>
      </c>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row>
    <row r="24" spans="1:46" ht="36.75" customHeight="1">
      <c r="A24" s="23"/>
      <c r="B24" s="221"/>
      <c r="C24" s="302"/>
      <c r="D24" s="37">
        <f t="array" ref="D24">IF(E24="",'HIDDEN Hidden Helpsheet'!A6,IFERROR(INDEX(Heroes!$D$4:$D$105,MATCH(E24,Heroes!$E$4:$E$105,0)),"Generated"))</f>
        <v>0</v>
      </c>
      <c r="E24" s="7" t="s">
        <v>585</v>
      </c>
      <c r="F24" s="40" t="s">
        <v>3834</v>
      </c>
      <c r="G24" s="40" t="s">
        <v>3835</v>
      </c>
      <c r="H24" s="219" t="s">
        <v>1083</v>
      </c>
      <c r="I24" s="219" t="s">
        <v>1001</v>
      </c>
      <c r="J24" s="4"/>
      <c r="K24" s="4"/>
      <c r="L24" s="4"/>
      <c r="M24" s="4"/>
      <c r="N24" s="4"/>
      <c r="O24" s="4"/>
      <c r="P24" s="4"/>
      <c r="Q24" s="4"/>
      <c r="R24" s="4"/>
      <c r="S24" s="23"/>
      <c r="T24" s="235" t="e">
        <f t="shared" ca="1" si="0"/>
        <v>#NAME?</v>
      </c>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row>
    <row r="25" spans="1:46" ht="36.75" customHeight="1">
      <c r="A25" s="23"/>
      <c r="B25" s="221"/>
      <c r="C25" s="23"/>
      <c r="D25" s="37">
        <f t="array" ref="D25">IF(E25="",'HIDDEN Hidden Helpsheet'!A7,IFERROR(INDEX(Heroes!$D$4:$D$105,MATCH(E25,Heroes!$E$4:$E$105,0)),"Generated"))</f>
        <v>0</v>
      </c>
      <c r="E25" s="7" t="s">
        <v>607</v>
      </c>
      <c r="F25" s="40" t="s">
        <v>3834</v>
      </c>
      <c r="G25" s="40" t="s">
        <v>3835</v>
      </c>
      <c r="H25" s="219" t="s">
        <v>946</v>
      </c>
      <c r="I25" s="219" t="s">
        <v>1305</v>
      </c>
      <c r="J25" s="4"/>
      <c r="K25" s="4"/>
      <c r="L25" s="4"/>
      <c r="M25" s="4"/>
      <c r="N25" s="4"/>
      <c r="O25" s="4"/>
      <c r="P25" s="4"/>
      <c r="Q25" s="4"/>
      <c r="R25" s="4"/>
      <c r="S25" s="23"/>
      <c r="T25" s="235" t="e">
        <f t="shared" ca="1" si="0"/>
        <v>#NAME?</v>
      </c>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row>
    <row r="26" spans="1:46" ht="36.75" customHeight="1">
      <c r="A26" s="23"/>
      <c r="B26" s="221"/>
      <c r="C26" s="23"/>
      <c r="D26" s="37">
        <f t="array" ref="D26">IF(E26="",'HIDDEN Hidden Helpsheet'!A8,IFERROR(INDEX(Heroes!$D$4:$D$105,MATCH(E26,Heroes!$E$4:$E$105,0)),"Generated"))</f>
        <v>0</v>
      </c>
      <c r="E26" s="7" t="s">
        <v>600</v>
      </c>
      <c r="F26" s="40" t="s">
        <v>3834</v>
      </c>
      <c r="G26" s="40" t="s">
        <v>3835</v>
      </c>
      <c r="H26" s="219" t="s">
        <v>997</v>
      </c>
      <c r="I26" s="219" t="s">
        <v>854</v>
      </c>
      <c r="J26" s="4"/>
      <c r="K26" s="4"/>
      <c r="L26" s="4"/>
      <c r="M26" s="4"/>
      <c r="N26" s="4"/>
      <c r="O26" s="4"/>
      <c r="P26" s="4"/>
      <c r="Q26" s="4"/>
      <c r="R26" s="4"/>
      <c r="S26" s="23"/>
      <c r="T26" s="235" t="e">
        <f t="shared" ca="1" si="0"/>
        <v>#NAME?</v>
      </c>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row>
    <row r="27" spans="1:46" ht="36.75" customHeight="1">
      <c r="A27" s="23"/>
      <c r="B27" s="221"/>
      <c r="C27" s="23"/>
      <c r="D27" s="37">
        <f t="array" ref="D27">IF(E27="",'HIDDEN Hidden Helpsheet'!A9,IFERROR(INDEX(Heroes!$D$4:$D$105,MATCH(E27,Heroes!$E$4:$E$105,0)),"Generated"))</f>
        <v>0</v>
      </c>
      <c r="E27" s="7" t="s">
        <v>242</v>
      </c>
      <c r="F27" s="40" t="s">
        <v>3834</v>
      </c>
      <c r="G27" s="40" t="s">
        <v>3835</v>
      </c>
      <c r="H27" s="4"/>
      <c r="I27" s="4"/>
      <c r="J27" s="4"/>
      <c r="K27" s="4"/>
      <c r="L27" s="4"/>
      <c r="M27" s="4"/>
      <c r="N27" s="4"/>
      <c r="O27" s="4"/>
      <c r="P27" s="4"/>
      <c r="Q27" s="4"/>
      <c r="R27" s="4"/>
      <c r="S27" s="23"/>
      <c r="T27" s="235" t="e">
        <f t="shared" ca="1" si="0"/>
        <v>#NAME?</v>
      </c>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row>
    <row r="28" spans="1:46" ht="36.75" customHeight="1">
      <c r="A28" s="23"/>
      <c r="B28" s="221"/>
      <c r="C28" s="23"/>
      <c r="D28" s="37" t="str">
        <f t="array" ref="D28">IF(E28="",'HIDDEN Hidden Helpsheet'!A10,IFERROR(INDEX(Heroes!$D$4:$D$105,MATCH(E28,Heroes!$E$4:$E$105,0)),"Generated"))</f>
        <v>#7</v>
      </c>
      <c r="E28" s="7"/>
      <c r="F28" s="40" t="s">
        <v>3834</v>
      </c>
      <c r="G28" s="40" t="s">
        <v>3835</v>
      </c>
      <c r="H28" s="4"/>
      <c r="I28" s="4"/>
      <c r="J28" s="4"/>
      <c r="K28" s="4"/>
      <c r="L28" s="4"/>
      <c r="M28" s="4"/>
      <c r="N28" s="4"/>
      <c r="O28" s="4"/>
      <c r="P28" s="4"/>
      <c r="Q28" s="4"/>
      <c r="R28" s="4"/>
      <c r="S28" s="23"/>
      <c r="T28" s="235" t="str">
        <f t="shared" si="0"/>
        <v/>
      </c>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row>
    <row r="29" spans="1:46" ht="36.75" customHeight="1">
      <c r="A29" s="23"/>
      <c r="B29" s="221"/>
      <c r="C29" s="23"/>
      <c r="D29" s="37" t="str">
        <f t="array" ref="D29">IF(E29="",'HIDDEN Hidden Helpsheet'!A11,IFERROR(INDEX(Heroes!$D$4:$D$105,MATCH(E29,Heroes!$E$4:$E$105,0)),"Generated"))</f>
        <v>#8</v>
      </c>
      <c r="E29" s="7"/>
      <c r="F29" s="40" t="s">
        <v>3834</v>
      </c>
      <c r="G29" s="40" t="s">
        <v>3835</v>
      </c>
      <c r="H29" s="4"/>
      <c r="I29" s="4"/>
      <c r="J29" s="4"/>
      <c r="K29" s="4"/>
      <c r="L29" s="4"/>
      <c r="M29" s="4"/>
      <c r="N29" s="4"/>
      <c r="O29" s="4"/>
      <c r="P29" s="4"/>
      <c r="Q29" s="4"/>
      <c r="R29" s="4"/>
      <c r="S29" s="23"/>
      <c r="T29" s="235" t="str">
        <f t="shared" si="0"/>
        <v/>
      </c>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row>
    <row r="30" spans="1:46" ht="36.75" customHeight="1">
      <c r="A30" s="23"/>
      <c r="B30" s="221"/>
      <c r="C30" s="23"/>
      <c r="D30" s="37" t="str">
        <f t="array" ref="D30">IF(E30="",'HIDDEN Hidden Helpsheet'!A12,IFERROR(INDEX(Heroes!$D$4:$D$105,MATCH(E30,Heroes!$E$4:$E$105,0)),"Generated"))</f>
        <v>#9</v>
      </c>
      <c r="E30" s="7"/>
      <c r="F30" s="40" t="s">
        <v>3834</v>
      </c>
      <c r="G30" s="40" t="s">
        <v>3835</v>
      </c>
      <c r="H30" s="4"/>
      <c r="I30" s="4"/>
      <c r="J30" s="4"/>
      <c r="K30" s="4"/>
      <c r="L30" s="4"/>
      <c r="M30" s="4"/>
      <c r="N30" s="4"/>
      <c r="O30" s="4"/>
      <c r="P30" s="4"/>
      <c r="Q30" s="4"/>
      <c r="R30" s="4"/>
      <c r="S30" s="23"/>
      <c r="T30" s="235" t="str">
        <f t="shared" si="0"/>
        <v/>
      </c>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row>
    <row r="31" spans="1:46" ht="36.75" customHeight="1">
      <c r="A31" s="23"/>
      <c r="B31" s="221"/>
      <c r="C31" s="23"/>
      <c r="D31" s="37" t="str">
        <f t="array" ref="D31">IF(E31="",'HIDDEN Hidden Helpsheet'!A13,IFERROR(INDEX(Heroes!$D$4:$D$105,MATCH(E31,Heroes!$E$4:$E$105,0)),"Generated"))</f>
        <v>#10</v>
      </c>
      <c r="E31" s="7"/>
      <c r="F31" s="40" t="s">
        <v>3834</v>
      </c>
      <c r="G31" s="40" t="s">
        <v>3835</v>
      </c>
      <c r="H31" s="4"/>
      <c r="I31" s="4"/>
      <c r="J31" s="4"/>
      <c r="K31" s="4"/>
      <c r="L31" s="4"/>
      <c r="M31" s="4"/>
      <c r="N31" s="4"/>
      <c r="O31" s="4"/>
      <c r="P31" s="4"/>
      <c r="Q31" s="4"/>
      <c r="R31" s="4"/>
      <c r="S31" s="23"/>
      <c r="T31" s="235" t="str">
        <f t="shared" si="0"/>
        <v/>
      </c>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row>
    <row r="32" spans="1:46" ht="36.75" customHeight="1">
      <c r="A32" s="23"/>
      <c r="B32" s="221"/>
      <c r="C32" s="23"/>
      <c r="D32" s="37" t="str">
        <f t="array" ref="D32">IF(E32="",'HIDDEN Hidden Helpsheet'!A14,IFERROR(INDEX(Heroes!$D$4:$D$105,MATCH(E32,Heroes!$E$4:$E$105,0)),"Generated"))</f>
        <v>#11</v>
      </c>
      <c r="E32" s="7"/>
      <c r="F32" s="40" t="s">
        <v>3834</v>
      </c>
      <c r="G32" s="40" t="s">
        <v>3835</v>
      </c>
      <c r="H32" s="4"/>
      <c r="I32" s="4"/>
      <c r="J32" s="4"/>
      <c r="K32" s="4"/>
      <c r="L32" s="4"/>
      <c r="M32" s="4"/>
      <c r="N32" s="4"/>
      <c r="O32" s="4"/>
      <c r="P32" s="4"/>
      <c r="Q32" s="4"/>
      <c r="R32" s="4"/>
      <c r="S32" s="23"/>
      <c r="T32" s="235" t="str">
        <f t="shared" si="0"/>
        <v/>
      </c>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row>
    <row r="33" spans="1:46" ht="36.75" customHeight="1">
      <c r="A33" s="23"/>
      <c r="B33" s="221"/>
      <c r="C33" s="23"/>
      <c r="D33" s="37" t="str">
        <f t="array" ref="D33">IF(E33="",'HIDDEN Hidden Helpsheet'!A15,IFERROR(INDEX(Heroes!$D$4:$D$105,MATCH(E33,Heroes!$E$4:$E$105,0)),"Generated"))</f>
        <v>#12</v>
      </c>
      <c r="E33" s="7"/>
      <c r="F33" s="40" t="s">
        <v>3834</v>
      </c>
      <c r="G33" s="40" t="s">
        <v>3835</v>
      </c>
      <c r="H33" s="4"/>
      <c r="I33" s="4"/>
      <c r="J33" s="4"/>
      <c r="K33" s="4"/>
      <c r="L33" s="4"/>
      <c r="M33" s="4"/>
      <c r="N33" s="4"/>
      <c r="O33" s="4"/>
      <c r="P33" s="4"/>
      <c r="Q33" s="4"/>
      <c r="R33" s="4"/>
      <c r="S33" s="23"/>
      <c r="T33" s="235" t="str">
        <f t="shared" si="0"/>
        <v/>
      </c>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row>
    <row r="34" spans="1:46" ht="36.75" customHeight="1">
      <c r="A34" s="23"/>
      <c r="B34" s="221"/>
      <c r="C34" s="23"/>
      <c r="D34" s="37" t="str">
        <f t="array" ref="D34">IF(E34="",'HIDDEN Hidden Helpsheet'!A16,IFERROR(INDEX(Heroes!$D$4:$D$105,MATCH(E34,Heroes!$E$4:$E$105,0)),"Generated"))</f>
        <v>#13</v>
      </c>
      <c r="E34" s="7"/>
      <c r="F34" s="40" t="s">
        <v>3834</v>
      </c>
      <c r="G34" s="40" t="s">
        <v>3835</v>
      </c>
      <c r="H34" s="4"/>
      <c r="I34" s="4"/>
      <c r="J34" s="4"/>
      <c r="K34" s="4"/>
      <c r="L34" s="4"/>
      <c r="M34" s="4"/>
      <c r="N34" s="4"/>
      <c r="O34" s="4"/>
      <c r="P34" s="4"/>
      <c r="Q34" s="4"/>
      <c r="R34" s="4"/>
      <c r="S34" s="23"/>
      <c r="T34" s="235" t="str">
        <f t="shared" si="0"/>
        <v/>
      </c>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row>
    <row r="35" spans="1:46" ht="36.75" customHeight="1">
      <c r="A35" s="23"/>
      <c r="B35" s="221"/>
      <c r="C35" s="23"/>
      <c r="D35" s="37" t="str">
        <f t="array" ref="D35">IF(E35="",'HIDDEN Hidden Helpsheet'!A17,IFERROR(INDEX(Heroes!$D$4:$D$105,MATCH(E35,Heroes!$E$4:$E$105,0)),"Generated"))</f>
        <v>#14</v>
      </c>
      <c r="E35" s="7"/>
      <c r="F35" s="40" t="s">
        <v>3834</v>
      </c>
      <c r="G35" s="40" t="s">
        <v>3835</v>
      </c>
      <c r="H35" s="4"/>
      <c r="I35" s="4"/>
      <c r="J35" s="4"/>
      <c r="K35" s="4"/>
      <c r="L35" s="4"/>
      <c r="M35" s="4"/>
      <c r="N35" s="4"/>
      <c r="O35" s="4"/>
      <c r="P35" s="4"/>
      <c r="Q35" s="4"/>
      <c r="R35" s="4"/>
      <c r="S35" s="23"/>
      <c r="T35" s="235" t="str">
        <f t="shared" si="0"/>
        <v/>
      </c>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row>
    <row r="36" spans="1:46" ht="36.75" customHeight="1">
      <c r="A36" s="23"/>
      <c r="B36" s="221"/>
      <c r="C36" s="23"/>
      <c r="D36" s="37" t="str">
        <f t="array" ref="D36">IF(E36="",'HIDDEN Hidden Helpsheet'!A18,IFERROR(INDEX(Heroes!$D$4:$D$105,MATCH(E36,Heroes!$E$4:$E$105,0)),"Generated"))</f>
        <v>#15</v>
      </c>
      <c r="E36" s="7"/>
      <c r="F36" s="40" t="s">
        <v>3834</v>
      </c>
      <c r="G36" s="40" t="s">
        <v>3835</v>
      </c>
      <c r="H36" s="4"/>
      <c r="I36" s="4"/>
      <c r="J36" s="4"/>
      <c r="K36" s="4"/>
      <c r="L36" s="4"/>
      <c r="M36" s="4"/>
      <c r="N36" s="4"/>
      <c r="O36" s="4"/>
      <c r="P36" s="4"/>
      <c r="Q36" s="4"/>
      <c r="R36" s="4"/>
      <c r="S36" s="23"/>
      <c r="T36" s="235" t="str">
        <f t="shared" si="0"/>
        <v/>
      </c>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row>
    <row r="37" spans="1:46" ht="36.75" customHeight="1">
      <c r="A37" s="23"/>
      <c r="B37" s="221"/>
      <c r="C37" s="23"/>
      <c r="D37" s="37" t="str">
        <f t="array" ref="D37">IF(E37="",'HIDDEN Hidden Helpsheet'!A19,IFERROR(INDEX(Heroes!$D$4:$D$105,MATCH(E37,Heroes!$E$4:$E$105,0)),"Generated"))</f>
        <v>#16</v>
      </c>
      <c r="E37" s="7"/>
      <c r="F37" s="40" t="s">
        <v>3834</v>
      </c>
      <c r="G37" s="40" t="s">
        <v>3835</v>
      </c>
      <c r="H37" s="4"/>
      <c r="I37" s="4"/>
      <c r="J37" s="4"/>
      <c r="K37" s="4"/>
      <c r="L37" s="4"/>
      <c r="M37" s="4"/>
      <c r="N37" s="4"/>
      <c r="O37" s="4"/>
      <c r="P37" s="4"/>
      <c r="Q37" s="4"/>
      <c r="R37" s="4"/>
      <c r="S37" s="23"/>
      <c r="T37" s="235" t="str">
        <f t="shared" si="0"/>
        <v/>
      </c>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row>
    <row r="38" spans="1:46" ht="36.75" customHeight="1">
      <c r="A38" s="23"/>
      <c r="B38" s="221"/>
      <c r="C38" s="23"/>
      <c r="D38" s="23"/>
      <c r="E38" s="23"/>
      <c r="F38" s="23"/>
      <c r="G38" s="23"/>
      <c r="H38" s="23"/>
      <c r="I38" s="23"/>
      <c r="J38" s="23"/>
      <c r="K38" s="23"/>
      <c r="L38" s="23"/>
      <c r="M38" s="23"/>
      <c r="N38" s="23"/>
      <c r="O38" s="23"/>
      <c r="P38" s="23"/>
      <c r="Q38" s="23"/>
      <c r="R38" s="23"/>
      <c r="S38" s="23"/>
      <c r="T38" s="23" t="s">
        <v>3837</v>
      </c>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row>
    <row r="39" spans="1:46" ht="36.75" customHeight="1">
      <c r="A39" s="23"/>
      <c r="B39" s="221"/>
      <c r="C39" s="23" t="s">
        <v>3838</v>
      </c>
      <c r="D39" s="37">
        <f t="array" ref="D39">IF(E39="",'HIDDEN Hidden Helpsheet'!A4,IFERROR(INDEX(Monsters!$D$4:$D$67,MATCH(E39,Monsters!$C$4:$C$67,0)),"HUH"))</f>
        <v>0</v>
      </c>
      <c r="E39" s="7" t="s">
        <v>746</v>
      </c>
      <c r="F39" s="37" t="str">
        <f t="array" ref="F39">IF(G39="",'HIDDEN Hidden Helpsheet'!A9,IFERROR(INDEX(Monsters!$D$4:$D$67,MATCH(G39,Monsters!$C$4:$C$67,0)),"HUH"))</f>
        <v>#6</v>
      </c>
      <c r="G39" s="7"/>
      <c r="H39" s="37" t="str">
        <f t="array" ref="H39">IF(I39="",'HIDDEN Hidden Helpsheet'!A14,IFERROR(INDEX(Monsters!$D$4:$D$67,MATCH(I39,Monsters!$C$4:$C$67,0)),"HUH"))</f>
        <v>#11</v>
      </c>
      <c r="I39" s="7"/>
      <c r="J39" s="37" t="str">
        <f t="array" ref="J39">IF(K39="",'HIDDEN Hidden Helpsheet'!A19,IFERROR(INDEX(Monsters!$D$4:$D$67,MATCH(K39,Monsters!$C$4:$C$67,0)),"HUH"))</f>
        <v>#16</v>
      </c>
      <c r="K39" s="7"/>
      <c r="L39" s="37" t="str">
        <f t="array" ref="L39">IF(M39="",'HIDDEN Hidden Helpsheet'!A24,IFERROR(INDEX(Monsters!$D$4:$D$67,MATCH(M39,Monsters!$C$4:$C$67,0)),"HUH"))</f>
        <v>#21</v>
      </c>
      <c r="M39" s="7"/>
      <c r="N39" s="23"/>
      <c r="O39" s="23"/>
      <c r="P39" s="23"/>
      <c r="Q39" s="23"/>
      <c r="R39" s="23"/>
      <c r="S39" s="23"/>
      <c r="T39" s="243">
        <f>M43</f>
        <v>0</v>
      </c>
      <c r="U39" s="235"/>
      <c r="V39" s="235">
        <f>K43</f>
        <v>0</v>
      </c>
      <c r="W39" s="235"/>
      <c r="X39" s="235"/>
      <c r="Y39" s="235">
        <f>I43</f>
        <v>0</v>
      </c>
      <c r="Z39" s="235"/>
      <c r="AA39" s="235">
        <f>G43</f>
        <v>0</v>
      </c>
      <c r="AB39" s="235">
        <f>E43</f>
        <v>0</v>
      </c>
      <c r="AC39" s="235" t="s">
        <v>4354</v>
      </c>
      <c r="AD39" s="23"/>
      <c r="AE39" s="23"/>
      <c r="AF39" s="23"/>
      <c r="AG39" s="23"/>
      <c r="AH39" s="23"/>
      <c r="AI39" s="23"/>
      <c r="AJ39" s="23"/>
      <c r="AK39" s="23"/>
      <c r="AL39" s="23"/>
      <c r="AM39" s="23"/>
      <c r="AN39" s="23"/>
      <c r="AO39" s="23"/>
      <c r="AP39" s="23"/>
      <c r="AQ39" s="23"/>
      <c r="AR39" s="23"/>
      <c r="AS39" s="23"/>
      <c r="AT39" s="23"/>
    </row>
    <row r="40" spans="1:46" ht="36.75" customHeight="1">
      <c r="A40" s="23"/>
      <c r="B40" s="221"/>
      <c r="C40" s="23"/>
      <c r="D40" s="37" t="str">
        <f t="array" ref="D40">IF(E40="",'HIDDEN Hidden Helpsheet'!A5,IFERROR(INDEX(Monsters!$D$4:$D$67,MATCH(E40,Monsters!$C$4:$C$67,0)),"HUH"))</f>
        <v>#2</v>
      </c>
      <c r="E40" s="7"/>
      <c r="F40" s="37" t="str">
        <f t="array" ref="F40">IF(G40="",'HIDDEN Hidden Helpsheet'!A10,IFERROR(INDEX(Monsters!$D$4:$D$67,MATCH(G40,Monsters!$C$4:$C$67,0)),"HUH"))</f>
        <v>#7</v>
      </c>
      <c r="G40" s="7"/>
      <c r="H40" s="37" t="str">
        <f t="array" ref="H40">IF(I40="",'HIDDEN Hidden Helpsheet'!A15,IFERROR(INDEX(Monsters!$D$4:$D$67,MATCH(I40,Monsters!$C$4:$C$67,0)),"HUH"))</f>
        <v>#12</v>
      </c>
      <c r="I40" s="7"/>
      <c r="J40" s="37" t="str">
        <f t="array" ref="J40">IF(K40="",'HIDDEN Hidden Helpsheet'!A20,IFERROR(INDEX(Monsters!$D$4:$D$67,MATCH(K40,Monsters!$C$4:$C$67,0)),"HUH"))</f>
        <v>#17</v>
      </c>
      <c r="K40" s="7"/>
      <c r="L40" s="37" t="str">
        <f t="array" ref="L40">IF(M40="",'HIDDEN Hidden Helpsheet'!A25,IFERROR(INDEX(Monsters!$D$4:$D$67,MATCH(M40,Monsters!$C$4:$C$67,0)),"HUH"))</f>
        <v>#22</v>
      </c>
      <c r="M40" s="7"/>
      <c r="N40" s="23"/>
      <c r="O40" s="23"/>
      <c r="P40" s="23"/>
      <c r="Q40" s="23"/>
      <c r="R40" s="23"/>
      <c r="S40" s="23"/>
      <c r="T40" s="243">
        <f>M42</f>
        <v>0</v>
      </c>
      <c r="U40" s="235"/>
      <c r="V40" s="235">
        <f>K42</f>
        <v>0</v>
      </c>
      <c r="W40" s="235"/>
      <c r="X40" s="235"/>
      <c r="Y40" s="235">
        <f>I42</f>
        <v>0</v>
      </c>
      <c r="Z40" s="235"/>
      <c r="AA40" s="235">
        <f>G42</f>
        <v>0</v>
      </c>
      <c r="AB40" s="235">
        <f>E42</f>
        <v>0</v>
      </c>
      <c r="AC40" s="235"/>
      <c r="AD40" s="23"/>
      <c r="AE40" s="23"/>
      <c r="AF40" s="23"/>
      <c r="AG40" s="23"/>
      <c r="AH40" s="23"/>
      <c r="AI40" s="23"/>
      <c r="AJ40" s="23"/>
      <c r="AK40" s="23"/>
      <c r="AL40" s="23"/>
      <c r="AM40" s="23"/>
      <c r="AN40" s="23"/>
      <c r="AO40" s="23"/>
      <c r="AP40" s="23"/>
      <c r="AQ40" s="23"/>
      <c r="AR40" s="23"/>
      <c r="AS40" s="23"/>
      <c r="AT40" s="23"/>
    </row>
    <row r="41" spans="1:46" ht="36.75" customHeight="1">
      <c r="A41" s="23"/>
      <c r="B41" s="221"/>
      <c r="C41" s="23"/>
      <c r="D41" s="37" t="str">
        <f t="array" ref="D41">IF(E41="",'HIDDEN Hidden Helpsheet'!A6,IFERROR(INDEX(Monsters!$D$4:$D$67,MATCH(E41,Monsters!$C$4:$C$67,0)),"HUH"))</f>
        <v>#3</v>
      </c>
      <c r="E41" s="7"/>
      <c r="F41" s="37" t="str">
        <f t="array" ref="F41">IF(G41="",'HIDDEN Hidden Helpsheet'!A11,IFERROR(INDEX(Monsters!$D$4:$D$67,MATCH(G41,Monsters!$C$4:$C$67,0)),"HUH"))</f>
        <v>#8</v>
      </c>
      <c r="G41" s="7"/>
      <c r="H41" s="37" t="str">
        <f t="array" ref="H41">IF(I41="",'HIDDEN Hidden Helpsheet'!A16,IFERROR(INDEX(Monsters!$D$4:$D$67,MATCH(I41,Monsters!$C$4:$C$67,0)),"HUH"))</f>
        <v>#13</v>
      </c>
      <c r="I41" s="7"/>
      <c r="J41" s="37" t="str">
        <f t="array" ref="J41">IF(K41="",'HIDDEN Hidden Helpsheet'!A21,IFERROR(INDEX(Monsters!$D$4:$D$67,MATCH(K41,Monsters!$C$4:$C$67,0)),"HUH"))</f>
        <v>#18</v>
      </c>
      <c r="K41" s="7"/>
      <c r="L41" s="37" t="str">
        <f t="array" ref="L41">IF(M41="",'HIDDEN Hidden Helpsheet'!A26,IFERROR(INDEX(Monsters!$D$4:$D$67,MATCH(M41,Monsters!$C$4:$C$67,0)),"HUH"))</f>
        <v>#23</v>
      </c>
      <c r="M41" s="7"/>
      <c r="N41" s="23"/>
      <c r="O41" s="23"/>
      <c r="P41" s="23"/>
      <c r="Q41" s="23"/>
      <c r="R41" s="23"/>
      <c r="S41" s="23"/>
      <c r="T41" s="243">
        <f>M41</f>
        <v>0</v>
      </c>
      <c r="U41" s="235"/>
      <c r="V41" s="235">
        <f>K41</f>
        <v>0</v>
      </c>
      <c r="W41" s="235"/>
      <c r="X41" s="235"/>
      <c r="Y41" s="235">
        <f>I41</f>
        <v>0</v>
      </c>
      <c r="Z41" s="235"/>
      <c r="AA41" s="235">
        <f>G41</f>
        <v>0</v>
      </c>
      <c r="AB41" s="235">
        <f>E41</f>
        <v>0</v>
      </c>
      <c r="AC41" s="235"/>
      <c r="AD41" s="23"/>
      <c r="AE41" s="23"/>
      <c r="AF41" s="23"/>
      <c r="AG41" s="23"/>
      <c r="AH41" s="23"/>
      <c r="AI41" s="23"/>
      <c r="AJ41" s="23"/>
      <c r="AK41" s="23"/>
      <c r="AL41" s="23"/>
      <c r="AM41" s="23"/>
      <c r="AN41" s="23"/>
      <c r="AO41" s="23"/>
      <c r="AP41" s="23"/>
      <c r="AQ41" s="23"/>
      <c r="AR41" s="23"/>
      <c r="AS41" s="23"/>
      <c r="AT41" s="23"/>
    </row>
    <row r="42" spans="1:46" ht="36.75" customHeight="1">
      <c r="A42" s="23"/>
      <c r="B42" s="221"/>
      <c r="C42" s="23"/>
      <c r="D42" s="37" t="str">
        <f t="array" ref="D42">IF(E42="",'HIDDEN Hidden Helpsheet'!A7,IFERROR(INDEX(Monsters!$D$4:$D$67,MATCH(E42,Monsters!$C$4:$C$67,0)),"HUH"))</f>
        <v>#4</v>
      </c>
      <c r="E42" s="7"/>
      <c r="F42" s="37" t="str">
        <f t="array" ref="F42">IF(G42="",'HIDDEN Hidden Helpsheet'!A12,IFERROR(INDEX(Monsters!$D$4:$D$67,MATCH(G42,Monsters!$C$4:$C$67,0)),"HUH"))</f>
        <v>#9</v>
      </c>
      <c r="G42" s="7"/>
      <c r="H42" s="37" t="str">
        <f t="array" ref="H42">IF(I42="",'HIDDEN Hidden Helpsheet'!A17,IFERROR(INDEX(Monsters!$D$4:$D$67,MATCH(I42,Monsters!$C$4:$C$67,0)),"HUH"))</f>
        <v>#14</v>
      </c>
      <c r="I42" s="7"/>
      <c r="J42" s="37" t="str">
        <f t="array" ref="J42">IF(K42="",'HIDDEN Hidden Helpsheet'!A22,IFERROR(INDEX(Monsters!$D$4:$D$67,MATCH(K42,Monsters!$C$4:$C$67,0)),"HUH"))</f>
        <v>#19</v>
      </c>
      <c r="K42" s="7"/>
      <c r="L42" s="37" t="str">
        <f t="array" ref="L42">IF(M42="",'HIDDEN Hidden Helpsheet'!A27,IFERROR(INDEX(Monsters!$D$4:$D$67,MATCH(M42,Monsters!$C$4:$C$67,0)),"HUH"))</f>
        <v>#24</v>
      </c>
      <c r="M42" s="7"/>
      <c r="N42" s="23"/>
      <c r="O42" s="23"/>
      <c r="P42" s="23"/>
      <c r="Q42" s="23"/>
      <c r="R42" s="23"/>
      <c r="S42" s="23"/>
      <c r="T42" s="243">
        <f>M40</f>
        <v>0</v>
      </c>
      <c r="U42" s="235"/>
      <c r="V42" s="235">
        <f>K40</f>
        <v>0</v>
      </c>
      <c r="W42" s="235"/>
      <c r="X42" s="235"/>
      <c r="Y42" s="235">
        <f>I40</f>
        <v>0</v>
      </c>
      <c r="Z42" s="235"/>
      <c r="AA42" s="235">
        <f>G40</f>
        <v>0</v>
      </c>
      <c r="AB42" s="235">
        <f>E40</f>
        <v>0</v>
      </c>
      <c r="AC42" s="235"/>
      <c r="AD42" s="23"/>
      <c r="AE42" s="23"/>
      <c r="AF42" s="23"/>
      <c r="AG42" s="23"/>
      <c r="AH42" s="23"/>
      <c r="AI42" s="23"/>
      <c r="AJ42" s="23"/>
      <c r="AK42" s="23"/>
      <c r="AL42" s="23"/>
      <c r="AM42" s="23"/>
      <c r="AN42" s="23"/>
      <c r="AO42" s="23"/>
      <c r="AP42" s="23"/>
      <c r="AQ42" s="23"/>
      <c r="AR42" s="23"/>
      <c r="AS42" s="23"/>
      <c r="AT42" s="23"/>
    </row>
    <row r="43" spans="1:46" ht="36.75" customHeight="1">
      <c r="A43" s="23"/>
      <c r="B43" s="221"/>
      <c r="C43" s="23"/>
      <c r="D43" s="37" t="str">
        <f t="array" ref="D43">IF(E43="",'HIDDEN Hidden Helpsheet'!A8,IFERROR(INDEX(Monsters!$D$4:$D$67,MATCH(E43,Monsters!$C$4:$C$67,0)),"HUH"))</f>
        <v>#5</v>
      </c>
      <c r="E43" s="7"/>
      <c r="F43" s="37" t="str">
        <f t="array" ref="F43">IF(G43="",'HIDDEN Hidden Helpsheet'!A13,IFERROR(INDEX(Monsters!$D$4:$D$67,MATCH(G43,Monsters!$C$4:$C$67,0)),"HUH"))</f>
        <v>#10</v>
      </c>
      <c r="G43" s="7"/>
      <c r="H43" s="37" t="str">
        <f t="array" ref="H43">IF(I43="",'HIDDEN Hidden Helpsheet'!A18,IFERROR(INDEX(Monsters!$D$4:$D$67,MATCH(I43,Monsters!$C$4:$C$67,0)),"HUH"))</f>
        <v>#15</v>
      </c>
      <c r="I43" s="7"/>
      <c r="J43" s="37" t="str">
        <f t="array" ref="J43">IF(K43="",'HIDDEN Hidden Helpsheet'!A23,IFERROR(INDEX(Monsters!$D$4:$D$67,MATCH(K43,Monsters!$C$4:$C$67,0)),"HUH"))</f>
        <v>#20</v>
      </c>
      <c r="K43" s="7"/>
      <c r="L43" s="37" t="str">
        <f t="array" ref="L43">IF(M43="",'HIDDEN Hidden Helpsheet'!A28,IFERROR(INDEX(Monsters!$D$4:$D$67,MATCH(M43,Monsters!$C$4:$C$67,0)),"HUH"))</f>
        <v>#25</v>
      </c>
      <c r="M43" s="7"/>
      <c r="N43" s="23"/>
      <c r="O43" s="23"/>
      <c r="P43" s="23"/>
      <c r="Q43" s="23"/>
      <c r="R43" s="23"/>
      <c r="S43" s="23"/>
      <c r="T43" s="243">
        <f>M39</f>
        <v>0</v>
      </c>
      <c r="U43" s="235"/>
      <c r="V43" s="235">
        <f>K39</f>
        <v>0</v>
      </c>
      <c r="W43" s="235"/>
      <c r="X43" s="235"/>
      <c r="Y43" s="235">
        <f>I39</f>
        <v>0</v>
      </c>
      <c r="Z43" s="235"/>
      <c r="AA43" s="235">
        <f>G39</f>
        <v>0</v>
      </c>
      <c r="AB43" s="235" t="str">
        <f>E39</f>
        <v>Slate</v>
      </c>
      <c r="AC43" s="235"/>
      <c r="AD43" s="23"/>
      <c r="AE43" s="23"/>
      <c r="AF43" s="23"/>
      <c r="AG43" s="23"/>
      <c r="AH43" s="23"/>
      <c r="AI43" s="23"/>
      <c r="AJ43" s="23"/>
      <c r="AK43" s="23"/>
      <c r="AL43" s="23"/>
      <c r="AM43" s="23"/>
      <c r="AN43" s="23"/>
      <c r="AO43" s="23"/>
      <c r="AP43" s="23"/>
      <c r="AQ43" s="23"/>
      <c r="AR43" s="23"/>
      <c r="AS43" s="23"/>
      <c r="AT43" s="23"/>
    </row>
    <row r="44" spans="1:46">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row>
    <row r="45" spans="1:46" ht="47.25">
      <c r="A45" s="23"/>
      <c r="B45" s="351" t="s">
        <v>3839</v>
      </c>
      <c r="C45" s="29" t="s">
        <v>3840</v>
      </c>
      <c r="D45" s="37" t="s">
        <v>3841</v>
      </c>
      <c r="E45" s="40" t="s">
        <v>3842</v>
      </c>
      <c r="H45" s="40" t="s">
        <v>3843</v>
      </c>
      <c r="I45" s="37" t="s">
        <v>3844</v>
      </c>
      <c r="J45" s="37" t="s">
        <v>3845</v>
      </c>
      <c r="K45" s="37" t="s">
        <v>3846</v>
      </c>
      <c r="L45" s="37" t="s">
        <v>3847</v>
      </c>
      <c r="M45" s="37" t="s">
        <v>3848</v>
      </c>
      <c r="N45" s="23"/>
      <c r="O45" s="23"/>
      <c r="P45" s="23"/>
      <c r="Q45" s="23"/>
      <c r="R45" s="23"/>
      <c r="S45" s="23"/>
      <c r="T45" s="244" t="s">
        <v>3849</v>
      </c>
      <c r="V45" s="245" t="s">
        <v>3850</v>
      </c>
      <c r="Y45" s="245" t="s">
        <v>3851</v>
      </c>
      <c r="AA45" s="245" t="s">
        <v>3852</v>
      </c>
      <c r="AB45" s="245" t="s">
        <v>3853</v>
      </c>
      <c r="AC45" s="245" t="s">
        <v>3854</v>
      </c>
      <c r="AD45" s="244" t="s">
        <v>3855</v>
      </c>
      <c r="AE45" s="23" t="s">
        <v>3856</v>
      </c>
      <c r="AG45" s="23"/>
      <c r="AH45" s="23"/>
      <c r="AI45" s="23"/>
      <c r="AJ45" s="23"/>
      <c r="AK45" s="23"/>
      <c r="AL45" s="23"/>
      <c r="AM45" s="23"/>
      <c r="AN45" s="23"/>
      <c r="AO45" s="23"/>
      <c r="AP45" s="23"/>
      <c r="AQ45" s="23"/>
      <c r="AR45" s="23"/>
      <c r="AS45" s="23"/>
      <c r="AT45" s="23"/>
    </row>
    <row r="46" spans="1:46">
      <c r="A46" s="23"/>
      <c r="B46" s="302"/>
      <c r="C46" s="221">
        <v>2</v>
      </c>
      <c r="D46" s="37" t="str">
        <f ca="1">IFERROR(__xludf.DUMMYFUNCTION("{FILTER({'HIDDEN Hidden Helpsheet'!U3:U19;'HIDDEN Hidden Helpsheet'!O3:O19},{'HIDDEN Hidden Helpsheet'!V3:V19;'HIDDEN Hidden Helpsheet'!P3:P19}&lt;&gt;"""")}"),"Slate (0)")</f>
        <v>Slate (0)</v>
      </c>
      <c r="E46" s="7" t="s">
        <v>3857</v>
      </c>
      <c r="H46" s="37" t="s">
        <v>3858</v>
      </c>
      <c r="I46" s="7" t="s">
        <v>3859</v>
      </c>
      <c r="J46" s="7" t="s">
        <v>3860</v>
      </c>
      <c r="K46" s="7" t="s">
        <v>3861</v>
      </c>
      <c r="L46" s="7" t="s">
        <v>3857</v>
      </c>
      <c r="M46" s="7"/>
      <c r="N46" s="23"/>
      <c r="O46" s="23"/>
      <c r="P46" s="23"/>
      <c r="Q46" s="23"/>
      <c r="R46" s="23"/>
      <c r="S46" s="23"/>
      <c r="T46" s="235">
        <f ca="1">IF(AND(E46&lt;&gt;"",D46&lt;&gt;""),VLOOKUP(E46,'HIDDEN Hidden Helpsheet'!$O$22:$P$27,2,0),IF(D46&lt;&gt;"","0",""))</f>
        <v>5</v>
      </c>
      <c r="V46" s="235">
        <f>IF(I46&lt;&gt;"",VLOOKUP(I46,'HIDDEN Hidden Helpsheet'!$O$29:$P$31,2,0),"")</f>
        <v>2</v>
      </c>
      <c r="Y46" s="235">
        <f ca="1">IF(AND(OR(I46="Monster",I46="Hero"),J46&lt;&gt;""),VLOOKUP(J46,'HIDDEN Hidden Helpsheet'!$Y$3:$Z$80,2,0),IF(I46="Spell",IF(ISTEXT(J46)=TRUE,"",J46),""))</f>
        <v>0</v>
      </c>
      <c r="AA46" s="235">
        <f ca="1">IF(K46&lt;&gt;"",VLOOKUP(K46,'HIDDEN Hidden Helpsheet'!$Y$4:$Z$40,2,0),"")</f>
        <v>1</v>
      </c>
      <c r="AB46" s="235">
        <f>IF(AND(OR(I46="Monster",I46="Hero"),L46&lt;&gt;""),VLOOKUP(L46,'HIDDEN Hidden Helpsheet'!$O$22:$P$27,2,0),IF(AND(OR(I46="Monster",I46="Hero"),J46&lt;&gt;""),VLOOKUP(J46,'HIDDEN Hidden Helpsheet'!$Y$3:$AC$35,5,0),""))</f>
        <v>5</v>
      </c>
      <c r="AC46" s="235" t="str">
        <f>IF(AND(OR(I46="Hero"),M46=TRUE),"c","")</f>
        <v/>
      </c>
      <c r="AD46" s="235" t="str">
        <f t="shared" ref="AD46:AD79" ca="1" si="1">IF(AND(OR(I46="Monster",I46="Hero"),V46&lt;&gt;"",Y46&lt;&gt;"",AA46&lt;&gt;"",AB46&lt;&gt;""),V46&amp;Y46&amp;AA46&amp;AB46&amp;AC46,IF(AND(I46="Spell",V46&lt;&gt;"",Y46&lt;&gt;"",AA46&lt;&gt;""),V46&amp;Y46&amp;AA46,""))</f>
        <v>2015</v>
      </c>
      <c r="AE46" s="235" t="e">
        <f ca="1">"c:["&amp;TEXTJOIN(",",TRUE,AD46:AD79)&amp;",4],"</f>
        <v>#NAME?</v>
      </c>
      <c r="AG46" s="23"/>
      <c r="AH46" s="23"/>
      <c r="AI46" s="23"/>
      <c r="AJ46" s="23"/>
      <c r="AK46" s="23"/>
      <c r="AL46" s="23"/>
      <c r="AM46" s="23"/>
      <c r="AN46" s="23"/>
      <c r="AO46" s="23"/>
      <c r="AP46" s="23"/>
      <c r="AQ46" s="23"/>
      <c r="AR46" s="23"/>
      <c r="AS46" s="23"/>
      <c r="AT46" s="23"/>
    </row>
    <row r="47" spans="1:46">
      <c r="A47" s="23"/>
      <c r="B47" s="302"/>
      <c r="C47" s="23"/>
      <c r="D47" s="37" t="str">
        <f ca="1">IFERROR(__xludf.DUMMYFUNCTION("""COMPUTED_VALUE"""),"Gambler (1)")</f>
        <v>Gambler (1)</v>
      </c>
      <c r="E47" s="7" t="s">
        <v>3857</v>
      </c>
      <c r="H47" s="37" t="s">
        <v>3862</v>
      </c>
      <c r="I47" s="7"/>
      <c r="J47" s="7"/>
      <c r="K47" s="7"/>
      <c r="L47" s="7"/>
      <c r="M47" s="7"/>
      <c r="N47" s="23"/>
      <c r="O47" s="23"/>
      <c r="P47" s="23"/>
      <c r="Q47" s="23"/>
      <c r="R47" s="23"/>
      <c r="S47" s="23"/>
      <c r="T47" s="235">
        <f ca="1">IF(AND(E47&lt;&gt;"",D47&lt;&gt;""),VLOOKUP(E47,'HIDDEN Hidden Helpsheet'!$O$22:$P$27,2,0),IF(D47&lt;&gt;"","0",""))</f>
        <v>5</v>
      </c>
      <c r="V47" s="235" t="str">
        <f>IF(I47&lt;&gt;"",VLOOKUP(I47,'HIDDEN Hidden Helpsheet'!$O$29:$P$31,2,0),"")</f>
        <v/>
      </c>
      <c r="Y47" s="235" t="str">
        <f>IF(AND(OR(I47="Monster",I47="Hero"),J47&lt;&gt;""),VLOOKUP(J47,'HIDDEN Hidden Helpsheet'!$Y$3:$Z$80,2,0),IF(I47="Spell",IF(ISTEXT(J47)=TRUE,"",J47),""))</f>
        <v/>
      </c>
      <c r="AA47" s="235" t="str">
        <f>IF(K47&lt;&gt;"",VLOOKUP(K47,'HIDDEN Hidden Helpsheet'!$Y$4:$Z$80,2,0),"")</f>
        <v/>
      </c>
      <c r="AB47" s="235" t="str">
        <f>IF(AND(OR(I47="Monster",I47="Hero"),L47&lt;&gt;""),VLOOKUP(L47,'HIDDEN Hidden Helpsheet'!$O$22:$P$27,2,0),IF(AND(OR(I47="Monster",I47="Hero"),J47&lt;&gt;""),VLOOKUP(J47,'HIDDEN Hidden Helpsheet'!$Y$3:$AC$35,5,0),""))</f>
        <v/>
      </c>
      <c r="AC47" s="235" t="str">
        <f t="shared" ref="AC47:AC79" si="2">IF(AND(OR(I47="Monster",I47="Hero"),M47=TRUE),"c","")</f>
        <v/>
      </c>
      <c r="AD47" s="235" t="str">
        <f t="shared" si="1"/>
        <v/>
      </c>
      <c r="AE47" s="23" t="s">
        <v>3863</v>
      </c>
      <c r="AG47" s="23"/>
      <c r="AH47" s="23"/>
      <c r="AI47" s="23"/>
      <c r="AJ47" s="23"/>
      <c r="AK47" s="23"/>
      <c r="AL47" s="23"/>
      <c r="AM47" s="23"/>
      <c r="AN47" s="23"/>
      <c r="AO47" s="23"/>
      <c r="AP47" s="23"/>
      <c r="AQ47" s="23"/>
      <c r="AR47" s="23"/>
      <c r="AS47" s="23"/>
      <c r="AT47" s="23"/>
    </row>
    <row r="48" spans="1:46">
      <c r="A48" s="23"/>
      <c r="B48" s="352" t="s">
        <v>3864</v>
      </c>
      <c r="C48" s="302"/>
      <c r="D48" s="37" t="str">
        <f ca="1">IFERROR(__xludf.DUMMYFUNCTION("""COMPUTED_VALUE"""),"Hoarder (2)")</f>
        <v>Hoarder (2)</v>
      </c>
      <c r="E48" s="7" t="s">
        <v>3857</v>
      </c>
      <c r="H48" s="37" t="s">
        <v>3865</v>
      </c>
      <c r="I48" s="7"/>
      <c r="J48" s="7"/>
      <c r="K48" s="7"/>
      <c r="L48" s="7"/>
      <c r="M48" s="7"/>
      <c r="N48" s="23"/>
      <c r="O48" s="23"/>
      <c r="P48" s="23"/>
      <c r="Q48" s="23"/>
      <c r="R48" s="23"/>
      <c r="S48" s="23"/>
      <c r="T48" s="235">
        <f ca="1">IF(AND(E48&lt;&gt;"",D48&lt;&gt;""),VLOOKUP(E48,'HIDDEN Hidden Helpsheet'!$O$22:$P$27,2,0),IF(D48&lt;&gt;"","0",""))</f>
        <v>5</v>
      </c>
      <c r="V48" s="235" t="str">
        <f>IF(I48&lt;&gt;"",VLOOKUP(I48,'HIDDEN Hidden Helpsheet'!$O$29:$P$31,2,0),"")</f>
        <v/>
      </c>
      <c r="Y48" s="235" t="str">
        <f>IF(AND(OR(I48="Monster",I48="Hero"),J48&lt;&gt;""),VLOOKUP(J48,'HIDDEN Hidden Helpsheet'!$Y$3:$Z$80,2,0),IF(I48="Spell",IF(ISTEXT(J48)=TRUE,"",J48),""))</f>
        <v/>
      </c>
      <c r="AA48" s="235" t="str">
        <f>IF(K48&lt;&gt;"",VLOOKUP(K48,'HIDDEN Hidden Helpsheet'!$Y$4:$Z$80,2,0),"")</f>
        <v/>
      </c>
      <c r="AB48" s="235" t="str">
        <f>IF(AND(OR(I48="Monster",I48="Hero"),L48&lt;&gt;""),VLOOKUP(L48,'HIDDEN Hidden Helpsheet'!$O$22:$P$27,2,0),IF(AND(OR(I48="Monster",I48="Hero"),J48&lt;&gt;""),VLOOKUP(J48,'HIDDEN Hidden Helpsheet'!$Y$3:$AC$35,5,0),""))</f>
        <v/>
      </c>
      <c r="AC48" s="235" t="str">
        <f t="shared" si="2"/>
        <v/>
      </c>
      <c r="AD48" s="235" t="str">
        <f t="shared" si="1"/>
        <v/>
      </c>
      <c r="AE48" s="235" t="e">
        <f ca="1">TEXTJOIN("",TRUE,T46:T79)</f>
        <v>#NAME?</v>
      </c>
      <c r="AG48" s="23"/>
      <c r="AH48" s="23"/>
      <c r="AI48" s="23"/>
      <c r="AJ48" s="23"/>
      <c r="AK48" s="23"/>
      <c r="AL48" s="23"/>
      <c r="AM48" s="23"/>
      <c r="AN48" s="23"/>
      <c r="AO48" s="23"/>
      <c r="AP48" s="23"/>
      <c r="AQ48" s="23"/>
      <c r="AR48" s="23"/>
      <c r="AS48" s="23"/>
      <c r="AT48" s="23"/>
    </row>
    <row r="49" spans="1:46">
      <c r="A49" s="23"/>
      <c r="B49" s="302"/>
      <c r="C49" s="302"/>
      <c r="D49" s="37" t="str">
        <f ca="1">IFERROR(__xludf.DUMMYFUNCTION("""COMPUTED_VALUE"""),"Whirl (3)")</f>
        <v>Whirl (3)</v>
      </c>
      <c r="E49" s="7" t="s">
        <v>3857</v>
      </c>
      <c r="H49" s="37" t="s">
        <v>3866</v>
      </c>
      <c r="I49" s="7"/>
      <c r="J49" s="7"/>
      <c r="K49" s="7"/>
      <c r="L49" s="7"/>
      <c r="M49" s="7"/>
      <c r="N49" s="23"/>
      <c r="O49" s="23"/>
      <c r="P49" s="23"/>
      <c r="Q49" s="23"/>
      <c r="R49" s="23"/>
      <c r="S49" s="23"/>
      <c r="T49" s="235">
        <f ca="1">IF(AND(E49&lt;&gt;"",D49&lt;&gt;""),VLOOKUP(E49,'HIDDEN Hidden Helpsheet'!$O$22:$P$27,2,0),IF(D49&lt;&gt;"","0",""))</f>
        <v>5</v>
      </c>
      <c r="V49" s="235" t="str">
        <f>IF(I49&lt;&gt;"",VLOOKUP(I49,'HIDDEN Hidden Helpsheet'!$O$29:$P$31,2,0),"")</f>
        <v/>
      </c>
      <c r="Y49" s="235" t="str">
        <f>IF(AND(OR(I49="Monster",I49="Hero"),J49&lt;&gt;""),VLOOKUP(J49,'HIDDEN Hidden Helpsheet'!$Y$3:$Z$80,2,0),IF(I49="Spell",IF(ISTEXT(J49)=TRUE,"",J49),""))</f>
        <v/>
      </c>
      <c r="AA49" s="235" t="str">
        <f>IF(K49&lt;&gt;"",VLOOKUP(K49,'HIDDEN Hidden Helpsheet'!$Y$4:$Z$80,2,0),"")</f>
        <v/>
      </c>
      <c r="AB49" s="235" t="str">
        <f>IF(AND(OR(I49="Monster",I49="Hero"),L49&lt;&gt;""),VLOOKUP(L49,'HIDDEN Hidden Helpsheet'!$O$22:$P$27,2,0),IF(AND(OR(I49="Monster",I49="Hero"),J49&lt;&gt;""),VLOOKUP(J49,'HIDDEN Hidden Helpsheet'!$Y$3:$AC$35,5,0),""))</f>
        <v/>
      </c>
      <c r="AC49" s="235" t="str">
        <f t="shared" si="2"/>
        <v/>
      </c>
      <c r="AD49" s="235" t="str">
        <f t="shared" si="1"/>
        <v/>
      </c>
      <c r="AE49" s="23" t="s">
        <v>3867</v>
      </c>
      <c r="AG49" s="23"/>
      <c r="AH49" s="23"/>
      <c r="AI49" s="23"/>
      <c r="AJ49" s="23"/>
      <c r="AK49" s="23"/>
      <c r="AL49" s="23"/>
      <c r="AM49" s="23"/>
      <c r="AN49" s="23"/>
      <c r="AO49" s="23"/>
      <c r="AP49" s="23"/>
      <c r="AQ49" s="23"/>
      <c r="AR49" s="23"/>
      <c r="AS49" s="23"/>
      <c r="AT49" s="23"/>
    </row>
    <row r="50" spans="1:46">
      <c r="A50" s="23"/>
      <c r="B50" s="302"/>
      <c r="C50" s="302"/>
      <c r="D50" s="37" t="str">
        <f ca="1">IFERROR(__xludf.DUMMYFUNCTION("""COMPUTED_VALUE"""),"Jester (4)")</f>
        <v>Jester (4)</v>
      </c>
      <c r="E50" s="7" t="s">
        <v>3857</v>
      </c>
      <c r="H50" s="37" t="s">
        <v>3868</v>
      </c>
      <c r="I50" s="7"/>
      <c r="J50" s="7"/>
      <c r="K50" s="7"/>
      <c r="L50" s="7"/>
      <c r="M50" s="7"/>
      <c r="N50" s="23"/>
      <c r="O50" s="23"/>
      <c r="P50" s="23"/>
      <c r="Q50" s="23"/>
      <c r="R50" s="23"/>
      <c r="S50" s="23"/>
      <c r="T50" s="235">
        <f ca="1">IF(AND(E50&lt;&gt;"",D50&lt;&gt;""),VLOOKUP(E50,'HIDDEN Hidden Helpsheet'!$O$22:$P$27,2,0),IF(D50&lt;&gt;"","0",""))</f>
        <v>5</v>
      </c>
      <c r="V50" s="235" t="str">
        <f>IF(I50&lt;&gt;"",VLOOKUP(I50,'HIDDEN Hidden Helpsheet'!$O$29:$P$31,2,0),"")</f>
        <v/>
      </c>
      <c r="Y50" s="235" t="str">
        <f>IF(AND(OR(I50="Monster",I50="Hero"),J50&lt;&gt;""),VLOOKUP(J50,'HIDDEN Hidden Helpsheet'!$Y$3:$Z$80,2,0),IF(I50="Spell",IF(ISTEXT(J50)=TRUE,"",J50),""))</f>
        <v/>
      </c>
      <c r="AA50" s="235" t="str">
        <f>IF(K50&lt;&gt;"",VLOOKUP(K50,'HIDDEN Hidden Helpsheet'!$Y$4:$Z$80,2,0),"")</f>
        <v/>
      </c>
      <c r="AB50" s="235" t="str">
        <f>IF(AND(OR(I50="Monster",I50="Hero"),L50&lt;&gt;""),VLOOKUP(L50,'HIDDEN Hidden Helpsheet'!$O$22:$P$27,2,0),IF(AND(OR(I50="Monster",I50="Hero"),J50&lt;&gt;""),VLOOKUP(J50,'HIDDEN Hidden Helpsheet'!$Y$3:$AC$35,5,0),""))</f>
        <v/>
      </c>
      <c r="AC50" s="235" t="str">
        <f t="shared" si="2"/>
        <v/>
      </c>
      <c r="AD50" s="235" t="str">
        <f t="shared" si="1"/>
        <v/>
      </c>
      <c r="AE50" s="235">
        <f>IF(C46&lt;&gt;"",C46,"0")</f>
        <v>2</v>
      </c>
      <c r="AG50" s="23"/>
      <c r="AH50" s="23"/>
      <c r="AI50" s="23"/>
      <c r="AJ50" s="23"/>
      <c r="AK50" s="23"/>
      <c r="AL50" s="23"/>
      <c r="AM50" s="23"/>
      <c r="AN50" s="23"/>
      <c r="AO50" s="23"/>
      <c r="AP50" s="23"/>
      <c r="AQ50" s="23"/>
      <c r="AR50" s="23"/>
      <c r="AS50" s="23"/>
      <c r="AT50" s="23"/>
    </row>
    <row r="51" spans="1:46">
      <c r="A51" s="23"/>
      <c r="B51" s="302"/>
      <c r="C51" s="302"/>
      <c r="D51" s="37" t="str">
        <f ca="1">IFERROR(__xludf.DUMMYFUNCTION("""COMPUTED_VALUE"""),"Vampire (5)")</f>
        <v>Vampire (5)</v>
      </c>
      <c r="E51" s="7" t="s">
        <v>3857</v>
      </c>
      <c r="H51" s="37" t="s">
        <v>3869</v>
      </c>
      <c r="I51" s="7"/>
      <c r="J51" s="7"/>
      <c r="K51" s="7"/>
      <c r="L51" s="7"/>
      <c r="M51" s="7"/>
      <c r="N51" s="23"/>
      <c r="O51" s="23"/>
      <c r="P51" s="23"/>
      <c r="Q51" s="23"/>
      <c r="R51" s="23"/>
      <c r="S51" s="23"/>
      <c r="T51" s="235">
        <f ca="1">IF(AND(E51&lt;&gt;"",D51&lt;&gt;""),VLOOKUP(E51,'HIDDEN Hidden Helpsheet'!$O$22:$P$27,2,0),IF(D51&lt;&gt;"","0",""))</f>
        <v>5</v>
      </c>
      <c r="V51" s="235" t="str">
        <f>IF(I51&lt;&gt;"",VLOOKUP(I51,'HIDDEN Hidden Helpsheet'!$O$29:$P$31,2,0),"")</f>
        <v/>
      </c>
      <c r="Y51" s="235" t="str">
        <f>IF(AND(OR(I51="Monster",I51="Hero"),J51&lt;&gt;""),VLOOKUP(J51,'HIDDEN Hidden Helpsheet'!$Y$3:$Z$80,2,0),IF(I51="Spell",IF(ISTEXT(J51)=TRUE,"",J51),""))</f>
        <v/>
      </c>
      <c r="AA51" s="235" t="str">
        <f>IF(K51&lt;&gt;"",VLOOKUP(K51,'HIDDEN Hidden Helpsheet'!$Y$4:$Z$80,2,0),"")</f>
        <v/>
      </c>
      <c r="AB51" s="235" t="str">
        <f>IF(AND(OR(I51="Monster",I51="Hero"),L51&lt;&gt;""),VLOOKUP(L51,'HIDDEN Hidden Helpsheet'!$O$22:$P$27,2,0),IF(AND(OR(I51="Monster",I51="Hero"),J51&lt;&gt;""),VLOOKUP(J51,'HIDDEN Hidden Helpsheet'!$Y$3:$AC$35,5,0),""))</f>
        <v/>
      </c>
      <c r="AC51" s="235" t="str">
        <f t="shared" si="2"/>
        <v/>
      </c>
      <c r="AD51" s="235" t="str">
        <f t="shared" si="1"/>
        <v/>
      </c>
      <c r="AE51" s="23"/>
      <c r="AF51" s="23"/>
      <c r="AG51" s="23"/>
      <c r="AH51" s="23"/>
      <c r="AI51" s="23"/>
      <c r="AJ51" s="23"/>
      <c r="AK51" s="23"/>
      <c r="AL51" s="23"/>
      <c r="AM51" s="23"/>
      <c r="AN51" s="23"/>
      <c r="AO51" s="23"/>
      <c r="AP51" s="23"/>
      <c r="AQ51" s="23"/>
      <c r="AR51" s="23"/>
      <c r="AS51" s="23"/>
      <c r="AT51" s="23"/>
    </row>
    <row r="52" spans="1:46">
      <c r="A52" s="23"/>
      <c r="B52" s="302"/>
      <c r="C52" s="302"/>
      <c r="D52" s="37" t="str">
        <f ca="1">IFERROR(__xludf.DUMMYFUNCTION("""COMPUTED_VALUE"""),"Statue (6)")</f>
        <v>Statue (6)</v>
      </c>
      <c r="E52" s="7" t="s">
        <v>3870</v>
      </c>
      <c r="H52" s="37" t="s">
        <v>3871</v>
      </c>
      <c r="I52" s="7"/>
      <c r="J52" s="7"/>
      <c r="K52" s="7"/>
      <c r="L52" s="7"/>
      <c r="M52" s="7"/>
      <c r="N52" s="23"/>
      <c r="O52" s="23"/>
      <c r="P52" s="23"/>
      <c r="Q52" s="23"/>
      <c r="R52" s="23"/>
      <c r="S52" s="23"/>
      <c r="T52" s="235">
        <f ca="1">IF(AND(E52&lt;&gt;"",D52&lt;&gt;""),VLOOKUP(E52,'HIDDEN Hidden Helpsheet'!$O$22:$P$27,2,0),IF(D52&lt;&gt;"","0",""))</f>
        <v>0</v>
      </c>
      <c r="V52" s="235" t="str">
        <f>IF(I52&lt;&gt;"",VLOOKUP(I52,'HIDDEN Hidden Helpsheet'!$O$29:$P$31,2,0),"")</f>
        <v/>
      </c>
      <c r="Y52" s="235" t="str">
        <f>IF(AND(OR(I52="Monster",I52="Hero"),J52&lt;&gt;""),VLOOKUP(J52,'HIDDEN Hidden Helpsheet'!$Y$3:$Z$80,2,0),IF(I52="Spell",IF(ISTEXT(J52)=TRUE,"",J52),""))</f>
        <v/>
      </c>
      <c r="AA52" s="235" t="str">
        <f>IF(K52&lt;&gt;"",VLOOKUP(K52,'HIDDEN Hidden Helpsheet'!$Y$4:$Z$80,2,0),"")</f>
        <v/>
      </c>
      <c r="AB52" s="235" t="str">
        <f>IF(AND(OR(I52="Monster",I52="Hero"),L52&lt;&gt;""),VLOOKUP(L52,'HIDDEN Hidden Helpsheet'!$O$22:$P$27,2,0),IF(AND(OR(I52="Monster",I52="Hero"),J52&lt;&gt;""),VLOOKUP(J52,'HIDDEN Hidden Helpsheet'!$Y$3:$AC$35,5,0),""))</f>
        <v/>
      </c>
      <c r="AC52" s="235" t="str">
        <f t="shared" si="2"/>
        <v/>
      </c>
      <c r="AD52" s="235" t="str">
        <f t="shared" si="1"/>
        <v/>
      </c>
      <c r="AE52" s="23"/>
      <c r="AG52" s="23"/>
      <c r="AH52" s="23"/>
      <c r="AI52" s="23"/>
      <c r="AJ52" s="23"/>
      <c r="AK52" s="23"/>
      <c r="AL52" s="23"/>
      <c r="AM52" s="23"/>
      <c r="AN52" s="23"/>
      <c r="AO52" s="23"/>
      <c r="AP52" s="23"/>
      <c r="AQ52" s="23"/>
      <c r="AR52" s="23"/>
      <c r="AS52" s="23"/>
      <c r="AT52" s="23"/>
    </row>
    <row r="53" spans="1:46">
      <c r="A53" s="23"/>
      <c r="B53" s="302"/>
      <c r="C53" s="302"/>
      <c r="D53" s="37"/>
      <c r="E53" s="7" t="s">
        <v>3870</v>
      </c>
      <c r="H53" s="37" t="s">
        <v>3872</v>
      </c>
      <c r="I53" s="7"/>
      <c r="J53" s="7"/>
      <c r="K53" s="7"/>
      <c r="L53" s="7"/>
      <c r="M53" s="7"/>
      <c r="N53" s="23"/>
      <c r="O53" s="23"/>
      <c r="P53" s="23"/>
      <c r="Q53" s="23"/>
      <c r="R53" s="23"/>
      <c r="S53" s="23"/>
      <c r="T53" s="235" t="str">
        <f>IF(AND(E53&lt;&gt;"",D53&lt;&gt;""),VLOOKUP(E53,'HIDDEN Hidden Helpsheet'!$O$22:$P$27,2,0),IF(D53&lt;&gt;"","0",""))</f>
        <v/>
      </c>
      <c r="V53" s="235" t="str">
        <f>IF(I53&lt;&gt;"",VLOOKUP(I53,'HIDDEN Hidden Helpsheet'!$O$29:$P$31,2,0),"")</f>
        <v/>
      </c>
      <c r="Y53" s="235" t="str">
        <f>IF(AND(OR(I53="Monster",I53="Hero"),J53&lt;&gt;""),VLOOKUP(J53,'HIDDEN Hidden Helpsheet'!$Y$3:$Z$80,2,0),IF(I53="Spell",IF(ISTEXT(J53)=TRUE,"",J53),""))</f>
        <v/>
      </c>
      <c r="AA53" s="235" t="str">
        <f>IF(K53&lt;&gt;"",VLOOKUP(K53,'HIDDEN Hidden Helpsheet'!$Y$4:$Z$80,2,0),"")</f>
        <v/>
      </c>
      <c r="AB53" s="235" t="str">
        <f>IF(AND(OR(I53="Monster",I53="Hero"),L53&lt;&gt;""),VLOOKUP(L53,'HIDDEN Hidden Helpsheet'!$O$22:$P$27,2,0),IF(AND(OR(I53="Monster",I53="Hero"),J53&lt;&gt;""),VLOOKUP(J53,'HIDDEN Hidden Helpsheet'!$Y$3:$AC$35,5,0),""))</f>
        <v/>
      </c>
      <c r="AC53" s="235" t="str">
        <f t="shared" si="2"/>
        <v/>
      </c>
      <c r="AD53" s="235" t="str">
        <f t="shared" si="1"/>
        <v/>
      </c>
      <c r="AE53" s="23"/>
      <c r="AG53" s="23"/>
      <c r="AH53" s="23"/>
      <c r="AI53" s="23"/>
      <c r="AJ53" s="23"/>
      <c r="AK53" s="23"/>
      <c r="AL53" s="23"/>
      <c r="AM53" s="23"/>
      <c r="AN53" s="23"/>
      <c r="AO53" s="23"/>
      <c r="AP53" s="23"/>
      <c r="AQ53" s="23"/>
      <c r="AR53" s="23"/>
      <c r="AS53" s="23"/>
      <c r="AT53" s="23"/>
    </row>
    <row r="54" spans="1:46">
      <c r="A54" s="23"/>
      <c r="B54" s="302"/>
      <c r="C54" s="302"/>
      <c r="D54" s="37"/>
      <c r="E54" s="7"/>
      <c r="H54" s="37" t="s">
        <v>3873</v>
      </c>
      <c r="I54" s="7"/>
      <c r="J54" s="7"/>
      <c r="K54" s="7"/>
      <c r="L54" s="7"/>
      <c r="M54" s="7"/>
      <c r="N54" s="23"/>
      <c r="O54" s="23"/>
      <c r="P54" s="23"/>
      <c r="Q54" s="23"/>
      <c r="R54" s="23"/>
      <c r="S54" s="23"/>
      <c r="T54" s="235" t="str">
        <f>IF(AND(E54&lt;&gt;"",D54&lt;&gt;""),VLOOKUP(E54,'HIDDEN Hidden Helpsheet'!$O$22:$P$27,2,0),IF(D54&lt;&gt;"","0",""))</f>
        <v/>
      </c>
      <c r="V54" s="235" t="str">
        <f>IF(I54&lt;&gt;"",VLOOKUP(I54,'HIDDEN Hidden Helpsheet'!$O$29:$P$31,2,0),"")</f>
        <v/>
      </c>
      <c r="Y54" s="235" t="str">
        <f>IF(AND(OR(I54="Monster",I54="Hero"),J54&lt;&gt;""),VLOOKUP(J54,'HIDDEN Hidden Helpsheet'!$Y$3:$Z$80,2,0),IF(I54="Spell",IF(ISTEXT(J54)=TRUE,"",J54),""))</f>
        <v/>
      </c>
      <c r="AA54" s="235" t="str">
        <f>IF(K54&lt;&gt;"",VLOOKUP(K54,'HIDDEN Hidden Helpsheet'!$Y$4:$Z$80,2,0),"")</f>
        <v/>
      </c>
      <c r="AB54" s="235" t="str">
        <f>IF(AND(OR(I54="Monster",I54="Hero"),L54&lt;&gt;""),VLOOKUP(L54,'HIDDEN Hidden Helpsheet'!$O$22:$P$27,2,0),IF(AND(OR(I54="Monster",I54="Hero"),J54&lt;&gt;""),VLOOKUP(J54,'HIDDEN Hidden Helpsheet'!$Y$3:$AC$35,5,0),""))</f>
        <v/>
      </c>
      <c r="AC54" s="235" t="str">
        <f t="shared" si="2"/>
        <v/>
      </c>
      <c r="AD54" s="235" t="str">
        <f t="shared" si="1"/>
        <v/>
      </c>
      <c r="AE54" s="23"/>
      <c r="AG54" s="23"/>
      <c r="AH54" s="23"/>
      <c r="AI54" s="23"/>
      <c r="AJ54" s="23"/>
      <c r="AK54" s="23"/>
      <c r="AL54" s="23"/>
      <c r="AM54" s="23"/>
      <c r="AN54" s="23"/>
      <c r="AO54" s="23"/>
      <c r="AP54" s="23"/>
      <c r="AQ54" s="23"/>
      <c r="AR54" s="23"/>
      <c r="AS54" s="23"/>
      <c r="AT54" s="23"/>
    </row>
    <row r="55" spans="1:46">
      <c r="A55" s="23"/>
      <c r="B55" s="302"/>
      <c r="C55" s="302"/>
      <c r="D55" s="37"/>
      <c r="E55" s="7"/>
      <c r="H55" s="37" t="s">
        <v>3874</v>
      </c>
      <c r="I55" s="7"/>
      <c r="J55" s="7"/>
      <c r="K55" s="7"/>
      <c r="L55" s="7"/>
      <c r="M55" s="7"/>
      <c r="N55" s="23"/>
      <c r="O55" s="23"/>
      <c r="P55" s="23"/>
      <c r="Q55" s="23"/>
      <c r="R55" s="23"/>
      <c r="S55" s="23"/>
      <c r="T55" s="235" t="str">
        <f>IF(AND(E55&lt;&gt;"",D55&lt;&gt;""),VLOOKUP(E55,'HIDDEN Hidden Helpsheet'!$O$22:$P$27,2,0),IF(D55&lt;&gt;"","0",""))</f>
        <v/>
      </c>
      <c r="V55" s="235" t="str">
        <f>IF(I55&lt;&gt;"",VLOOKUP(I55,'HIDDEN Hidden Helpsheet'!$O$29:$P$31,2,0),"")</f>
        <v/>
      </c>
      <c r="Y55" s="235" t="str">
        <f>IF(AND(OR(I55="Monster",I55="Hero"),J55&lt;&gt;""),VLOOKUP(J55,'HIDDEN Hidden Helpsheet'!$Y$3:$Z$80,2,0),IF(I55="Spell",IF(ISTEXT(J55)=TRUE,"",J55),""))</f>
        <v/>
      </c>
      <c r="AA55" s="235" t="str">
        <f>IF(K55&lt;&gt;"",VLOOKUP(K55,'HIDDEN Hidden Helpsheet'!$Y$4:$Z$80,2,0),"")</f>
        <v/>
      </c>
      <c r="AB55" s="235" t="str">
        <f>IF(AND(OR(I55="Monster",I55="Hero"),L55&lt;&gt;""),VLOOKUP(L55,'HIDDEN Hidden Helpsheet'!$O$22:$P$27,2,0),IF(AND(OR(I55="Monster",I55="Hero"),J55&lt;&gt;""),VLOOKUP(J55,'HIDDEN Hidden Helpsheet'!$Y$3:$AC$35,5,0),""))</f>
        <v/>
      </c>
      <c r="AC55" s="235" t="str">
        <f t="shared" si="2"/>
        <v/>
      </c>
      <c r="AD55" s="235" t="str">
        <f t="shared" si="1"/>
        <v/>
      </c>
      <c r="AE55" s="23"/>
      <c r="AF55" s="23"/>
      <c r="AG55" s="23"/>
      <c r="AH55" s="23"/>
      <c r="AI55" s="23"/>
      <c r="AJ55" s="23"/>
      <c r="AK55" s="23"/>
      <c r="AL55" s="23"/>
      <c r="AM55" s="23"/>
      <c r="AN55" s="23"/>
      <c r="AO55" s="23"/>
      <c r="AP55" s="23"/>
      <c r="AQ55" s="23"/>
      <c r="AR55" s="23"/>
      <c r="AS55" s="23"/>
      <c r="AT55" s="23"/>
    </row>
    <row r="56" spans="1:46">
      <c r="A56" s="23"/>
      <c r="B56" s="302"/>
      <c r="C56" s="302"/>
      <c r="D56" s="37"/>
      <c r="E56" s="7"/>
      <c r="H56" s="37" t="s">
        <v>3875</v>
      </c>
      <c r="I56" s="7"/>
      <c r="J56" s="7"/>
      <c r="K56" s="7"/>
      <c r="L56" s="7"/>
      <c r="M56" s="7"/>
      <c r="N56" s="23"/>
      <c r="O56" s="23"/>
      <c r="P56" s="23"/>
      <c r="Q56" s="23"/>
      <c r="R56" s="23"/>
      <c r="S56" s="23"/>
      <c r="T56" s="235" t="str">
        <f>IF(AND(E56&lt;&gt;"",D56&lt;&gt;""),VLOOKUP(E56,'HIDDEN Hidden Helpsheet'!$O$22:$P$27,2,0),IF(D56&lt;&gt;"","0",""))</f>
        <v/>
      </c>
      <c r="V56" s="235" t="str">
        <f>IF(I56&lt;&gt;"",VLOOKUP(I56,'HIDDEN Hidden Helpsheet'!$O$29:$P$31,2,0),"")</f>
        <v/>
      </c>
      <c r="Y56" s="235" t="str">
        <f>IF(AND(OR(I56="Monster",I56="Hero"),J56&lt;&gt;""),VLOOKUP(J56,'HIDDEN Hidden Helpsheet'!$Y$3:$Z$80,2,0),IF(I56="Spell",IF(ISTEXT(J56)=TRUE,"",J56),""))</f>
        <v/>
      </c>
      <c r="AA56" s="235" t="str">
        <f>IF(K56&lt;&gt;"",VLOOKUP(K56,'HIDDEN Hidden Helpsheet'!$Y$4:$Z$80,2,0),"")</f>
        <v/>
      </c>
      <c r="AB56" s="235" t="str">
        <f>IF(AND(OR(I56="Monster",I56="Hero"),L56&lt;&gt;""),VLOOKUP(L56,'HIDDEN Hidden Helpsheet'!$O$22:$P$27,2,0),IF(AND(OR(I56="Monster",I56="Hero"),J56&lt;&gt;""),VLOOKUP(J56,'HIDDEN Hidden Helpsheet'!$Y$3:$AC$35,5,0),""))</f>
        <v/>
      </c>
      <c r="AC56" s="235" t="str">
        <f t="shared" si="2"/>
        <v/>
      </c>
      <c r="AD56" s="235" t="str">
        <f t="shared" si="1"/>
        <v/>
      </c>
      <c r="AE56" s="23"/>
      <c r="AF56" s="23"/>
      <c r="AG56" s="23"/>
      <c r="AH56" s="23"/>
      <c r="AI56" s="23"/>
      <c r="AJ56" s="23"/>
      <c r="AK56" s="23"/>
      <c r="AL56" s="23"/>
      <c r="AM56" s="23"/>
      <c r="AN56" s="23"/>
      <c r="AO56" s="23"/>
      <c r="AP56" s="23"/>
      <c r="AQ56" s="23"/>
      <c r="AR56" s="23"/>
      <c r="AS56" s="23"/>
      <c r="AT56" s="23"/>
    </row>
    <row r="57" spans="1:46">
      <c r="A57" s="23"/>
      <c r="B57" s="302"/>
      <c r="C57" s="302"/>
      <c r="D57" s="37"/>
      <c r="E57" s="7"/>
      <c r="H57" s="37" t="s">
        <v>3876</v>
      </c>
      <c r="I57" s="7"/>
      <c r="J57" s="7"/>
      <c r="K57" s="7"/>
      <c r="L57" s="7"/>
      <c r="M57" s="7"/>
      <c r="N57" s="23"/>
      <c r="O57" s="23"/>
      <c r="P57" s="23"/>
      <c r="Q57" s="23"/>
      <c r="R57" s="23"/>
      <c r="S57" s="23"/>
      <c r="T57" s="235" t="str">
        <f>IF(AND(E57&lt;&gt;"",D57&lt;&gt;""),VLOOKUP(E57,'HIDDEN Hidden Helpsheet'!$O$22:$P$27,2,0),IF(D57&lt;&gt;"","0",""))</f>
        <v/>
      </c>
      <c r="V57" s="235" t="str">
        <f>IF(I57&lt;&gt;"",VLOOKUP(I57,'HIDDEN Hidden Helpsheet'!$O$29:$P$31,2,0),"")</f>
        <v/>
      </c>
      <c r="Y57" s="235" t="str">
        <f>IF(AND(OR(I57="Monster",I57="Hero"),J57&lt;&gt;""),VLOOKUP(J57,'HIDDEN Hidden Helpsheet'!$Y$3:$Z$80,2,0),IF(I57="Spell",IF(ISTEXT(J57)=TRUE,"",J57),""))</f>
        <v/>
      </c>
      <c r="AA57" s="235" t="str">
        <f>IF(K57&lt;&gt;"",VLOOKUP(K57,'HIDDEN Hidden Helpsheet'!$Y$4:$Z$80,2,0),"")</f>
        <v/>
      </c>
      <c r="AB57" s="235" t="str">
        <f>IF(AND(OR(I57="Monster",I57="Hero"),L57&lt;&gt;""),VLOOKUP(L57,'HIDDEN Hidden Helpsheet'!$O$22:$P$27,2,0),IF(AND(OR(I57="Monster",I57="Hero"),J57&lt;&gt;""),VLOOKUP(J57,'HIDDEN Hidden Helpsheet'!$Y$3:$AC$35,5,0),""))</f>
        <v/>
      </c>
      <c r="AC57" s="235" t="str">
        <f t="shared" si="2"/>
        <v/>
      </c>
      <c r="AD57" s="235" t="str">
        <f t="shared" si="1"/>
        <v/>
      </c>
      <c r="AE57" s="23"/>
      <c r="AF57" s="23"/>
      <c r="AG57" s="23"/>
      <c r="AH57" s="23"/>
      <c r="AI57" s="23"/>
      <c r="AJ57" s="23"/>
      <c r="AK57" s="23"/>
      <c r="AL57" s="23"/>
      <c r="AM57" s="23"/>
      <c r="AN57" s="23"/>
      <c r="AO57" s="23"/>
      <c r="AP57" s="23"/>
      <c r="AQ57" s="23"/>
      <c r="AR57" s="23"/>
      <c r="AS57" s="23"/>
      <c r="AT57" s="23"/>
    </row>
    <row r="58" spans="1:46">
      <c r="A58" s="23"/>
      <c r="B58" s="302"/>
      <c r="C58" s="302"/>
      <c r="D58" s="37"/>
      <c r="E58" s="7"/>
      <c r="H58" s="37" t="s">
        <v>3877</v>
      </c>
      <c r="I58" s="7"/>
      <c r="J58" s="7"/>
      <c r="K58" s="7"/>
      <c r="L58" s="7"/>
      <c r="M58" s="7"/>
      <c r="N58" s="23"/>
      <c r="O58" s="23"/>
      <c r="P58" s="23"/>
      <c r="Q58" s="23"/>
      <c r="R58" s="23"/>
      <c r="S58" s="23"/>
      <c r="T58" s="235" t="str">
        <f>IF(AND(E58&lt;&gt;"",D58&lt;&gt;""),VLOOKUP(E58,'HIDDEN Hidden Helpsheet'!$O$22:$P$27,2,0),IF(D58&lt;&gt;"","0",""))</f>
        <v/>
      </c>
      <c r="V58" s="235" t="str">
        <f>IF(I58&lt;&gt;"",VLOOKUP(I58,'HIDDEN Hidden Helpsheet'!$O$29:$P$31,2,0),"")</f>
        <v/>
      </c>
      <c r="Y58" s="235" t="str">
        <f>IF(AND(OR(I58="Monster",I58="Hero"),J58&lt;&gt;""),VLOOKUP(J58,'HIDDEN Hidden Helpsheet'!$Y$3:$Z$80,2,0),IF(I58="Spell",IF(ISTEXT(J58)=TRUE,"",J58),""))</f>
        <v/>
      </c>
      <c r="AA58" s="235" t="str">
        <f>IF(K58&lt;&gt;"",VLOOKUP(K58,'HIDDEN Hidden Helpsheet'!$Y$4:$Z$80,2,0),"")</f>
        <v/>
      </c>
      <c r="AB58" s="235" t="str">
        <f>IF(AND(OR(I58="Monster",I58="Hero"),L58&lt;&gt;""),VLOOKUP(L58,'HIDDEN Hidden Helpsheet'!$O$22:$P$27,2,0),IF(AND(OR(I58="Monster",I58="Hero"),J58&lt;&gt;""),VLOOKUP(J58,'HIDDEN Hidden Helpsheet'!$Y$3:$AC$35,5,0),""))</f>
        <v/>
      </c>
      <c r="AC58" s="235" t="str">
        <f t="shared" si="2"/>
        <v/>
      </c>
      <c r="AD58" s="235" t="str">
        <f t="shared" si="1"/>
        <v/>
      </c>
      <c r="AE58" s="23"/>
      <c r="AF58" s="23"/>
      <c r="AG58" s="23"/>
      <c r="AH58" s="23"/>
      <c r="AI58" s="23"/>
      <c r="AJ58" s="23"/>
      <c r="AK58" s="23"/>
      <c r="AL58" s="23"/>
      <c r="AM58" s="23"/>
      <c r="AN58" s="23"/>
      <c r="AO58" s="23"/>
      <c r="AP58" s="23"/>
      <c r="AQ58" s="23"/>
      <c r="AR58" s="23"/>
      <c r="AS58" s="23"/>
      <c r="AT58" s="23"/>
    </row>
    <row r="59" spans="1:46">
      <c r="A59" s="23"/>
      <c r="B59" s="302"/>
      <c r="C59" s="302"/>
      <c r="D59" s="37"/>
      <c r="E59" s="7"/>
      <c r="H59" s="37" t="s">
        <v>3878</v>
      </c>
      <c r="I59" s="7"/>
      <c r="J59" s="7"/>
      <c r="K59" s="7"/>
      <c r="L59" s="7"/>
      <c r="M59" s="7"/>
      <c r="N59" s="23"/>
      <c r="O59" s="23"/>
      <c r="P59" s="23"/>
      <c r="Q59" s="23"/>
      <c r="R59" s="23"/>
      <c r="S59" s="23"/>
      <c r="T59" s="235" t="str">
        <f>IF(AND(E59&lt;&gt;"",D59&lt;&gt;""),VLOOKUP(E59,'HIDDEN Hidden Helpsheet'!$O$22:$P$27,2,0),IF(D59&lt;&gt;"","0",""))</f>
        <v/>
      </c>
      <c r="V59" s="235" t="str">
        <f>IF(I59&lt;&gt;"",VLOOKUP(I59,'HIDDEN Hidden Helpsheet'!$O$29:$P$31,2,0),"")</f>
        <v/>
      </c>
      <c r="Y59" s="235" t="str">
        <f>IF(AND(OR(I59="Monster",I59="Hero"),J59&lt;&gt;""),VLOOKUP(J59,'HIDDEN Hidden Helpsheet'!$Y$3:$Z$80,2,0),IF(I59="Spell",IF(ISTEXT(J59)=TRUE,"",J59),""))</f>
        <v/>
      </c>
      <c r="AA59" s="235" t="str">
        <f>IF(K59&lt;&gt;"",VLOOKUP(K59,'HIDDEN Hidden Helpsheet'!$Y$4:$Z$80,2,0),"")</f>
        <v/>
      </c>
      <c r="AB59" s="235" t="str">
        <f>IF(AND(OR(I59="Monster",I59="Hero"),L59&lt;&gt;""),VLOOKUP(L59,'HIDDEN Hidden Helpsheet'!$O$22:$P$27,2,0),IF(AND(OR(I59="Monster",I59="Hero"),J59&lt;&gt;""),VLOOKUP(J59,'HIDDEN Hidden Helpsheet'!$Y$3:$AC$35,5,0),""))</f>
        <v/>
      </c>
      <c r="AC59" s="235" t="str">
        <f t="shared" si="2"/>
        <v/>
      </c>
      <c r="AD59" s="235" t="str">
        <f t="shared" si="1"/>
        <v/>
      </c>
      <c r="AE59" s="23"/>
      <c r="AF59" s="23"/>
      <c r="AG59" s="23"/>
      <c r="AH59" s="23"/>
      <c r="AI59" s="23"/>
      <c r="AJ59" s="23"/>
      <c r="AK59" s="23"/>
      <c r="AL59" s="23"/>
      <c r="AM59" s="23"/>
      <c r="AN59" s="23"/>
      <c r="AO59" s="23"/>
      <c r="AP59" s="23"/>
      <c r="AQ59" s="23"/>
      <c r="AR59" s="23"/>
      <c r="AS59" s="23"/>
      <c r="AT59" s="23"/>
    </row>
    <row r="60" spans="1:46">
      <c r="A60" s="23"/>
      <c r="B60" s="302"/>
      <c r="C60" s="302"/>
      <c r="D60" s="37"/>
      <c r="E60" s="7"/>
      <c r="H60" s="37" t="s">
        <v>3879</v>
      </c>
      <c r="I60" s="7"/>
      <c r="J60" s="7"/>
      <c r="K60" s="7"/>
      <c r="L60" s="7"/>
      <c r="M60" s="7"/>
      <c r="N60" s="23"/>
      <c r="O60" s="23"/>
      <c r="P60" s="23"/>
      <c r="Q60" s="23"/>
      <c r="R60" s="23"/>
      <c r="S60" s="23"/>
      <c r="T60" s="235" t="str">
        <f>IF(AND(E60&lt;&gt;"",D60&lt;&gt;""),VLOOKUP(E60,'HIDDEN Hidden Helpsheet'!$O$22:$P$27,2,0),IF(D60&lt;&gt;"","0",""))</f>
        <v/>
      </c>
      <c r="V60" s="235" t="str">
        <f>IF(I60&lt;&gt;"",VLOOKUP(I60,'HIDDEN Hidden Helpsheet'!$O$29:$P$31,2,0),"")</f>
        <v/>
      </c>
      <c r="Y60" s="235" t="str">
        <f>IF(AND(OR(I60="Monster",I60="Hero"),J60&lt;&gt;""),VLOOKUP(J60,'HIDDEN Hidden Helpsheet'!$Y$3:$Z$80,2,0),IF(I60="Spell",IF(ISTEXT(J60)=TRUE,"",J60),""))</f>
        <v/>
      </c>
      <c r="AA60" s="235" t="str">
        <f>IF(K60&lt;&gt;"",VLOOKUP(K60,'HIDDEN Hidden Helpsheet'!$Y$4:$Z$80,2,0),"")</f>
        <v/>
      </c>
      <c r="AB60" s="235" t="str">
        <f>IF(AND(OR(I60="Monster",I60="Hero"),L60&lt;&gt;""),VLOOKUP(L60,'HIDDEN Hidden Helpsheet'!$O$22:$P$27,2,0),IF(AND(OR(I60="Monster",I60="Hero"),J60&lt;&gt;""),VLOOKUP(J60,'HIDDEN Hidden Helpsheet'!$Y$3:$AC$35,5,0),""))</f>
        <v/>
      </c>
      <c r="AC60" s="235" t="str">
        <f t="shared" si="2"/>
        <v/>
      </c>
      <c r="AD60" s="235" t="str">
        <f t="shared" si="1"/>
        <v/>
      </c>
      <c r="AE60" s="23"/>
      <c r="AF60" s="23"/>
      <c r="AG60" s="23"/>
      <c r="AH60" s="23"/>
      <c r="AI60" s="23"/>
      <c r="AJ60" s="23"/>
      <c r="AK60" s="23"/>
      <c r="AL60" s="23"/>
      <c r="AM60" s="23"/>
      <c r="AN60" s="23"/>
      <c r="AO60" s="23"/>
      <c r="AP60" s="23"/>
      <c r="AQ60" s="23"/>
      <c r="AR60" s="23"/>
      <c r="AS60" s="23"/>
      <c r="AT60" s="23"/>
    </row>
    <row r="61" spans="1:46">
      <c r="A61" s="23"/>
      <c r="B61" s="302"/>
      <c r="C61" s="302"/>
      <c r="D61" s="37"/>
      <c r="E61" s="7"/>
      <c r="H61" s="37" t="s">
        <v>3880</v>
      </c>
      <c r="I61" s="7"/>
      <c r="J61" s="7"/>
      <c r="K61" s="7"/>
      <c r="L61" s="7"/>
      <c r="M61" s="7"/>
      <c r="N61" s="23"/>
      <c r="O61" s="23"/>
      <c r="P61" s="23"/>
      <c r="Q61" s="23"/>
      <c r="R61" s="23"/>
      <c r="S61" s="23"/>
      <c r="T61" s="235" t="str">
        <f>IF(AND(E61&lt;&gt;"",D61&lt;&gt;""),VLOOKUP(E61,'HIDDEN Hidden Helpsheet'!$O$22:$P$27,2,0),IF(D61&lt;&gt;"","0",""))</f>
        <v/>
      </c>
      <c r="V61" s="235" t="str">
        <f>IF(I61&lt;&gt;"",VLOOKUP(I61,'HIDDEN Hidden Helpsheet'!$O$29:$P$31,2,0),"")</f>
        <v/>
      </c>
      <c r="Y61" s="235" t="str">
        <f>IF(AND(OR(I61="Monster",I61="Hero"),J61&lt;&gt;""),VLOOKUP(J61,'HIDDEN Hidden Helpsheet'!$Y$3:$Z$80,2,0),IF(I61="Spell",IF(ISTEXT(J61)=TRUE,"",J61),""))</f>
        <v/>
      </c>
      <c r="AA61" s="235" t="str">
        <f>IF(K61&lt;&gt;"",VLOOKUP(K61,'HIDDEN Hidden Helpsheet'!$Y$4:$Z$80,2,0),"")</f>
        <v/>
      </c>
      <c r="AB61" s="235" t="str">
        <f>IF(AND(OR(I61="Monster",I61="Hero"),L61&lt;&gt;""),VLOOKUP(L61,'HIDDEN Hidden Helpsheet'!$O$22:$P$27,2,0),IF(AND(OR(I61="Monster",I61="Hero"),J61&lt;&gt;""),VLOOKUP(J61,'HIDDEN Hidden Helpsheet'!$Y$3:$AC$35,5,0),""))</f>
        <v/>
      </c>
      <c r="AC61" s="235" t="str">
        <f t="shared" si="2"/>
        <v/>
      </c>
      <c r="AD61" s="235" t="str">
        <f t="shared" si="1"/>
        <v/>
      </c>
      <c r="AE61" s="23"/>
      <c r="AF61" s="23"/>
      <c r="AG61" s="23"/>
      <c r="AH61" s="23"/>
      <c r="AI61" s="23"/>
      <c r="AJ61" s="23"/>
      <c r="AK61" s="23"/>
      <c r="AL61" s="23"/>
      <c r="AM61" s="23"/>
      <c r="AN61" s="23"/>
      <c r="AO61" s="23"/>
      <c r="AP61" s="23"/>
      <c r="AQ61" s="23"/>
      <c r="AR61" s="23"/>
      <c r="AS61" s="23"/>
      <c r="AT61" s="23"/>
    </row>
    <row r="62" spans="1:46">
      <c r="A62" s="23"/>
      <c r="B62" s="302"/>
      <c r="C62" s="302"/>
      <c r="D62" s="37"/>
      <c r="E62" s="7"/>
      <c r="H62" s="37" t="s">
        <v>3881</v>
      </c>
      <c r="I62" s="7"/>
      <c r="J62" s="7"/>
      <c r="K62" s="7"/>
      <c r="L62" s="7"/>
      <c r="M62" s="7"/>
      <c r="N62" s="23"/>
      <c r="O62" s="23"/>
      <c r="P62" s="23"/>
      <c r="Q62" s="23"/>
      <c r="R62" s="23"/>
      <c r="S62" s="23"/>
      <c r="T62" s="235" t="str">
        <f>IF(AND(E62&lt;&gt;"",D62&lt;&gt;""),VLOOKUP(E62,'HIDDEN Hidden Helpsheet'!$O$22:$P$27,2,0),IF(D62&lt;&gt;"","0",""))</f>
        <v/>
      </c>
      <c r="V62" s="235" t="str">
        <f>IF(I62&lt;&gt;"",VLOOKUP(I62,'HIDDEN Hidden Helpsheet'!$O$29:$P$31,2,0),"")</f>
        <v/>
      </c>
      <c r="Y62" s="235" t="str">
        <f>IF(AND(OR(I62="Monster",I62="Hero"),J62&lt;&gt;""),VLOOKUP(J62,'HIDDEN Hidden Helpsheet'!$Y$3:$Z$80,2,0),IF(I62="Spell",IF(ISTEXT(J62)=TRUE,"",J62),""))</f>
        <v/>
      </c>
      <c r="AA62" s="235" t="str">
        <f>IF(K62&lt;&gt;"",VLOOKUP(K62,'HIDDEN Hidden Helpsheet'!$Y$4:$Z$80,2,0),"")</f>
        <v/>
      </c>
      <c r="AB62" s="235" t="str">
        <f>IF(AND(OR(I62="Monster",I62="Hero"),L62&lt;&gt;""),VLOOKUP(L62,'HIDDEN Hidden Helpsheet'!$O$22:$P$27,2,0),IF(AND(OR(I62="Monster",I62="Hero"),J62&lt;&gt;""),VLOOKUP(J62,'HIDDEN Hidden Helpsheet'!$Y$3:$AC$35,5,0),""))</f>
        <v/>
      </c>
      <c r="AC62" s="235" t="str">
        <f t="shared" si="2"/>
        <v/>
      </c>
      <c r="AD62" s="235" t="str">
        <f t="shared" si="1"/>
        <v/>
      </c>
      <c r="AE62" s="23"/>
      <c r="AF62" s="23"/>
      <c r="AG62" s="23"/>
      <c r="AH62" s="23"/>
      <c r="AI62" s="23"/>
      <c r="AJ62" s="23"/>
      <c r="AK62" s="23"/>
      <c r="AL62" s="23"/>
      <c r="AM62" s="23"/>
      <c r="AN62" s="23"/>
      <c r="AO62" s="23"/>
      <c r="AP62" s="23"/>
      <c r="AQ62" s="23"/>
      <c r="AR62" s="23"/>
      <c r="AS62" s="23"/>
      <c r="AT62" s="23"/>
    </row>
    <row r="63" spans="1:46">
      <c r="A63" s="23"/>
      <c r="B63" s="302"/>
      <c r="C63" s="302"/>
      <c r="D63" s="37"/>
      <c r="E63" s="7"/>
      <c r="H63" s="37" t="s">
        <v>3882</v>
      </c>
      <c r="I63" s="7"/>
      <c r="J63" s="7"/>
      <c r="K63" s="7"/>
      <c r="L63" s="7"/>
      <c r="M63" s="7"/>
      <c r="N63" s="23"/>
      <c r="O63" s="23"/>
      <c r="P63" s="23"/>
      <c r="Q63" s="23"/>
      <c r="R63" s="23"/>
      <c r="S63" s="23"/>
      <c r="T63" s="235" t="str">
        <f>IF(AND(E63&lt;&gt;"",D63&lt;&gt;""),VLOOKUP(E63,'HIDDEN Hidden Helpsheet'!$O$22:$P$27,2,0),IF(D63&lt;&gt;"","0",""))</f>
        <v/>
      </c>
      <c r="V63" s="235" t="str">
        <f>IF(I63&lt;&gt;"",VLOOKUP(I63,'HIDDEN Hidden Helpsheet'!$O$29:$P$31,2,0),"")</f>
        <v/>
      </c>
      <c r="Y63" s="235" t="str">
        <f>IF(AND(OR(I63="Monster",I63="Hero"),J63&lt;&gt;""),VLOOKUP(J63,'HIDDEN Hidden Helpsheet'!$Y$3:$Z$80,2,0),IF(I63="Spell",IF(ISTEXT(J63)=TRUE,"",J63),""))</f>
        <v/>
      </c>
      <c r="AA63" s="235" t="str">
        <f>IF(K63&lt;&gt;"",VLOOKUP(K63,'HIDDEN Hidden Helpsheet'!$Y$4:$Z$80,2,0),"")</f>
        <v/>
      </c>
      <c r="AB63" s="235" t="str">
        <f>IF(AND(OR(I63="Monster",I63="Hero"),L63&lt;&gt;""),VLOOKUP(L63,'HIDDEN Hidden Helpsheet'!$O$22:$P$27,2,0),IF(AND(OR(I63="Monster",I63="Hero"),J63&lt;&gt;""),VLOOKUP(J63,'HIDDEN Hidden Helpsheet'!$Y$3:$AC$35,5,0),""))</f>
        <v/>
      </c>
      <c r="AC63" s="235" t="str">
        <f t="shared" si="2"/>
        <v/>
      </c>
      <c r="AD63" s="235" t="str">
        <f t="shared" si="1"/>
        <v/>
      </c>
      <c r="AE63" s="23"/>
      <c r="AF63" s="23"/>
      <c r="AG63" s="23"/>
      <c r="AH63" s="23"/>
      <c r="AI63" s="23"/>
      <c r="AJ63" s="23"/>
      <c r="AK63" s="23"/>
      <c r="AL63" s="23"/>
      <c r="AM63" s="23"/>
      <c r="AN63" s="23"/>
      <c r="AO63" s="23"/>
      <c r="AP63" s="23"/>
      <c r="AQ63" s="23"/>
      <c r="AR63" s="23"/>
      <c r="AS63" s="23"/>
      <c r="AT63" s="23"/>
    </row>
    <row r="64" spans="1:46">
      <c r="A64" s="23"/>
      <c r="B64" s="302"/>
      <c r="C64" s="302"/>
      <c r="D64" s="37"/>
      <c r="E64" s="7"/>
      <c r="H64" s="37" t="s">
        <v>3883</v>
      </c>
      <c r="I64" s="7"/>
      <c r="J64" s="7"/>
      <c r="K64" s="7"/>
      <c r="L64" s="7"/>
      <c r="M64" s="7"/>
      <c r="N64" s="23"/>
      <c r="O64" s="23"/>
      <c r="P64" s="23"/>
      <c r="Q64" s="23"/>
      <c r="R64" s="23"/>
      <c r="S64" s="23"/>
      <c r="T64" s="235" t="str">
        <f>IF(AND(E64&lt;&gt;"",D64&lt;&gt;""),VLOOKUP(E64,'HIDDEN Hidden Helpsheet'!$O$22:$P$27,2,0),IF(D64&lt;&gt;"","0",""))</f>
        <v/>
      </c>
      <c r="V64" s="235" t="str">
        <f>IF(I64&lt;&gt;"",VLOOKUP(I64,'HIDDEN Hidden Helpsheet'!$O$29:$P$31,2,0),"")</f>
        <v/>
      </c>
      <c r="Y64" s="235" t="str">
        <f>IF(AND(OR(I64="Monster",I64="Hero"),J64&lt;&gt;""),VLOOKUP(J64,'HIDDEN Hidden Helpsheet'!$Y$3:$Z$80,2,0),IF(I64="Spell",IF(ISTEXT(J64)=TRUE,"",J64),""))</f>
        <v/>
      </c>
      <c r="AA64" s="235" t="str">
        <f>IF(K64&lt;&gt;"",VLOOKUP(K64,'HIDDEN Hidden Helpsheet'!$Y$4:$Z$80,2,0),"")</f>
        <v/>
      </c>
      <c r="AB64" s="235" t="str">
        <f>IF(AND(OR(I64="Monster",I64="Hero"),L64&lt;&gt;""),VLOOKUP(L64,'HIDDEN Hidden Helpsheet'!$O$22:$P$27,2,0),IF(AND(OR(I64="Monster",I64="Hero"),J64&lt;&gt;""),VLOOKUP(J64,'HIDDEN Hidden Helpsheet'!$Y$3:$AC$35,5,0),""))</f>
        <v/>
      </c>
      <c r="AC64" s="235" t="str">
        <f t="shared" si="2"/>
        <v/>
      </c>
      <c r="AD64" s="235" t="str">
        <f t="shared" si="1"/>
        <v/>
      </c>
      <c r="AE64" s="23"/>
      <c r="AF64" s="23"/>
      <c r="AG64" s="23"/>
      <c r="AH64" s="23"/>
      <c r="AI64" s="23"/>
      <c r="AJ64" s="23"/>
      <c r="AK64" s="23"/>
      <c r="AL64" s="23"/>
      <c r="AM64" s="23"/>
      <c r="AN64" s="23"/>
      <c r="AO64" s="23"/>
      <c r="AP64" s="23"/>
      <c r="AQ64" s="23"/>
      <c r="AR64" s="23"/>
      <c r="AS64" s="23"/>
      <c r="AT64" s="23"/>
    </row>
    <row r="65" spans="1:46">
      <c r="A65" s="23"/>
      <c r="B65" s="302"/>
      <c r="C65" s="302"/>
      <c r="D65" s="37"/>
      <c r="E65" s="7"/>
      <c r="H65" s="37" t="s">
        <v>3884</v>
      </c>
      <c r="I65" s="7"/>
      <c r="J65" s="7"/>
      <c r="K65" s="7"/>
      <c r="L65" s="7"/>
      <c r="M65" s="7"/>
      <c r="N65" s="23"/>
      <c r="O65" s="23"/>
      <c r="P65" s="23"/>
      <c r="Q65" s="23"/>
      <c r="R65" s="23"/>
      <c r="S65" s="23"/>
      <c r="T65" s="235" t="str">
        <f>IF(AND(E65&lt;&gt;"",D65&lt;&gt;""),VLOOKUP(E65,'HIDDEN Hidden Helpsheet'!$O$22:$P$27,2,0),IF(D65&lt;&gt;"","0",""))</f>
        <v/>
      </c>
      <c r="V65" s="235" t="str">
        <f>IF(I65&lt;&gt;"",VLOOKUP(I65,'HIDDEN Hidden Helpsheet'!$O$29:$P$31,2,0),"")</f>
        <v/>
      </c>
      <c r="Y65" s="235" t="str">
        <f>IF(AND(OR(I65="Monster",I65="Hero"),J65&lt;&gt;""),VLOOKUP(J65,'HIDDEN Hidden Helpsheet'!$Y$3:$Z$80,2,0),IF(I65="Spell",IF(ISTEXT(J65)=TRUE,"",J65),""))</f>
        <v/>
      </c>
      <c r="AA65" s="235" t="str">
        <f>IF(K65&lt;&gt;"",VLOOKUP(K65,'HIDDEN Hidden Helpsheet'!$Y$4:$Z$80,2,0),"")</f>
        <v/>
      </c>
      <c r="AB65" s="235" t="str">
        <f>IF(AND(OR(I65="Monster",I65="Hero"),L65&lt;&gt;""),VLOOKUP(L65,'HIDDEN Hidden Helpsheet'!$O$22:$P$27,2,0),IF(AND(OR(I65="Monster",I65="Hero"),J65&lt;&gt;""),VLOOKUP(J65,'HIDDEN Hidden Helpsheet'!$Y$3:$AC$35,5,0),""))</f>
        <v/>
      </c>
      <c r="AC65" s="235" t="str">
        <f t="shared" si="2"/>
        <v/>
      </c>
      <c r="AD65" s="235" t="str">
        <f t="shared" si="1"/>
        <v/>
      </c>
      <c r="AE65" s="23"/>
      <c r="AF65" s="23"/>
      <c r="AG65" s="23"/>
      <c r="AH65" s="23"/>
      <c r="AI65" s="23"/>
      <c r="AJ65" s="23"/>
      <c r="AK65" s="23"/>
      <c r="AL65" s="23"/>
      <c r="AM65" s="23"/>
      <c r="AN65" s="23"/>
      <c r="AO65" s="23"/>
      <c r="AP65" s="23"/>
      <c r="AQ65" s="23"/>
      <c r="AR65" s="23"/>
      <c r="AS65" s="23"/>
      <c r="AT65" s="23"/>
    </row>
    <row r="66" spans="1:46">
      <c r="A66" s="23"/>
      <c r="B66" s="302"/>
      <c r="C66" s="302"/>
      <c r="D66" s="37"/>
      <c r="E66" s="7"/>
      <c r="H66" s="37" t="s">
        <v>3885</v>
      </c>
      <c r="I66" s="7"/>
      <c r="J66" s="7"/>
      <c r="K66" s="7"/>
      <c r="L66" s="7"/>
      <c r="M66" s="7"/>
      <c r="N66" s="23"/>
      <c r="O66" s="23"/>
      <c r="P66" s="23"/>
      <c r="Q66" s="23"/>
      <c r="R66" s="23"/>
      <c r="S66" s="23"/>
      <c r="T66" s="235" t="str">
        <f>IF(AND(E66&lt;&gt;"",D66&lt;&gt;""),VLOOKUP(E66,'HIDDEN Hidden Helpsheet'!$O$22:$P$27,2,0),IF(D66&lt;&gt;"","0",""))</f>
        <v/>
      </c>
      <c r="V66" s="235" t="str">
        <f>IF(I66&lt;&gt;"",VLOOKUP(I66,'HIDDEN Hidden Helpsheet'!$O$29:$P$31,2,0),"")</f>
        <v/>
      </c>
      <c r="Y66" s="235" t="str">
        <f>IF(AND(OR(I66="Monster",I66="Hero"),J66&lt;&gt;""),VLOOKUP(J66,'HIDDEN Hidden Helpsheet'!$Y$3:$Z$80,2,0),IF(I66="Spell",IF(ISTEXT(J66)=TRUE,"",J66),""))</f>
        <v/>
      </c>
      <c r="AA66" s="235" t="str">
        <f>IF(K66&lt;&gt;"",VLOOKUP(K66,'HIDDEN Hidden Helpsheet'!$Y$4:$Z$80,2,0),"")</f>
        <v/>
      </c>
      <c r="AB66" s="235" t="str">
        <f>IF(AND(OR(I66="Monster",I66="Hero"),L66&lt;&gt;""),VLOOKUP(L66,'HIDDEN Hidden Helpsheet'!$O$22:$P$27,2,0),IF(AND(OR(I66="Monster",I66="Hero"),J66&lt;&gt;""),VLOOKUP(J66,'HIDDEN Hidden Helpsheet'!$Y$3:$AC$35,5,0),""))</f>
        <v/>
      </c>
      <c r="AC66" s="235" t="str">
        <f t="shared" si="2"/>
        <v/>
      </c>
      <c r="AD66" s="235" t="str">
        <f t="shared" si="1"/>
        <v/>
      </c>
      <c r="AE66" s="23"/>
      <c r="AF66" s="23"/>
      <c r="AG66" s="23"/>
      <c r="AH66" s="23"/>
      <c r="AI66" s="23"/>
      <c r="AJ66" s="23"/>
      <c r="AK66" s="23"/>
      <c r="AL66" s="23"/>
      <c r="AM66" s="23"/>
      <c r="AN66" s="23"/>
      <c r="AO66" s="23"/>
      <c r="AP66" s="23"/>
      <c r="AQ66" s="23"/>
      <c r="AR66" s="23"/>
      <c r="AS66" s="23"/>
      <c r="AT66" s="23"/>
    </row>
    <row r="67" spans="1:46">
      <c r="A67" s="23"/>
      <c r="B67" s="302"/>
      <c r="C67" s="302"/>
      <c r="D67" s="37"/>
      <c r="E67" s="7"/>
      <c r="H67" s="37" t="s">
        <v>3886</v>
      </c>
      <c r="I67" s="7"/>
      <c r="J67" s="7"/>
      <c r="K67" s="7"/>
      <c r="L67" s="7"/>
      <c r="M67" s="7"/>
      <c r="N67" s="23"/>
      <c r="O67" s="23"/>
      <c r="P67" s="23"/>
      <c r="Q67" s="23"/>
      <c r="R67" s="23"/>
      <c r="S67" s="23"/>
      <c r="T67" s="235" t="str">
        <f>IF(AND(E67&lt;&gt;"",D67&lt;&gt;""),VLOOKUP(E67,'HIDDEN Hidden Helpsheet'!$O$22:$P$27,2,0),IF(D67&lt;&gt;"","0",""))</f>
        <v/>
      </c>
      <c r="V67" s="235" t="str">
        <f>IF(I67&lt;&gt;"",VLOOKUP(I67,'HIDDEN Hidden Helpsheet'!$O$29:$P$31,2,0),"")</f>
        <v/>
      </c>
      <c r="Y67" s="235" t="str">
        <f>IF(AND(OR(I67="Monster",I67="Hero"),J67&lt;&gt;""),VLOOKUP(J67,'HIDDEN Hidden Helpsheet'!$Y$3:$Z$80,2,0),IF(I67="Spell",IF(ISTEXT(J67)=TRUE,"",J67),""))</f>
        <v/>
      </c>
      <c r="AA67" s="235" t="str">
        <f>IF(K67&lt;&gt;"",VLOOKUP(K67,'HIDDEN Hidden Helpsheet'!$Y$4:$Z$80,2,0),"")</f>
        <v/>
      </c>
      <c r="AB67" s="235" t="str">
        <f>IF(AND(OR(I67="Monster",I67="Hero"),L67&lt;&gt;""),VLOOKUP(L67,'HIDDEN Hidden Helpsheet'!$O$22:$P$27,2,0),IF(AND(OR(I67="Monster",I67="Hero"),J67&lt;&gt;""),VLOOKUP(J67,'HIDDEN Hidden Helpsheet'!$Y$3:$AC$35,5,0),""))</f>
        <v/>
      </c>
      <c r="AC67" s="235" t="str">
        <f t="shared" si="2"/>
        <v/>
      </c>
      <c r="AD67" s="235" t="str">
        <f t="shared" si="1"/>
        <v/>
      </c>
      <c r="AE67" s="23"/>
      <c r="AF67" s="23"/>
      <c r="AG67" s="23"/>
      <c r="AH67" s="23"/>
      <c r="AI67" s="23"/>
      <c r="AJ67" s="23"/>
      <c r="AK67" s="23"/>
      <c r="AL67" s="23"/>
      <c r="AM67" s="23"/>
      <c r="AN67" s="23"/>
      <c r="AO67" s="23"/>
      <c r="AP67" s="23"/>
      <c r="AQ67" s="23"/>
      <c r="AR67" s="23"/>
      <c r="AS67" s="23"/>
      <c r="AT67" s="23"/>
    </row>
    <row r="68" spans="1:46">
      <c r="A68" s="23"/>
      <c r="B68" s="302"/>
      <c r="C68" s="302"/>
      <c r="D68" s="37"/>
      <c r="E68" s="7"/>
      <c r="H68" s="37" t="s">
        <v>3887</v>
      </c>
      <c r="I68" s="7"/>
      <c r="J68" s="7"/>
      <c r="K68" s="7"/>
      <c r="L68" s="7"/>
      <c r="M68" s="7"/>
      <c r="N68" s="23"/>
      <c r="O68" s="23"/>
      <c r="P68" s="23"/>
      <c r="Q68" s="23"/>
      <c r="R68" s="23"/>
      <c r="S68" s="23"/>
      <c r="T68" s="235" t="str">
        <f>IF(AND(E68&lt;&gt;"",D68&lt;&gt;""),VLOOKUP(E68,'HIDDEN Hidden Helpsheet'!$O$22:$P$27,2,0),IF(D68&lt;&gt;"","0",""))</f>
        <v/>
      </c>
      <c r="V68" s="235" t="str">
        <f>IF(I68&lt;&gt;"",VLOOKUP(I68,'HIDDEN Hidden Helpsheet'!$O$29:$P$31,2,0),"")</f>
        <v/>
      </c>
      <c r="Y68" s="235" t="str">
        <f>IF(AND(OR(I68="Monster",I68="Hero"),J68&lt;&gt;""),VLOOKUP(J68,'HIDDEN Hidden Helpsheet'!$Y$3:$Z$80,2,0),IF(I68="Spell",IF(ISTEXT(J68)=TRUE,"",J68),""))</f>
        <v/>
      </c>
      <c r="AA68" s="235" t="str">
        <f>IF(K68&lt;&gt;"",VLOOKUP(K68,'HIDDEN Hidden Helpsheet'!$Y$4:$Z$80,2,0),"")</f>
        <v/>
      </c>
      <c r="AB68" s="235" t="str">
        <f>IF(AND(OR(I68="Monster",I68="Hero"),L68&lt;&gt;""),VLOOKUP(L68,'HIDDEN Hidden Helpsheet'!$O$22:$P$27,2,0),IF(AND(OR(I68="Monster",I68="Hero"),J68&lt;&gt;""),VLOOKUP(J68,'HIDDEN Hidden Helpsheet'!$Y$3:$AC$35,5,0),""))</f>
        <v/>
      </c>
      <c r="AC68" s="235" t="str">
        <f t="shared" si="2"/>
        <v/>
      </c>
      <c r="AD68" s="235" t="str">
        <f t="shared" si="1"/>
        <v/>
      </c>
      <c r="AE68" s="23"/>
      <c r="AF68" s="23"/>
      <c r="AG68" s="23"/>
      <c r="AH68" s="23"/>
      <c r="AI68" s="23"/>
      <c r="AJ68" s="23"/>
      <c r="AK68" s="23"/>
      <c r="AL68" s="23"/>
      <c r="AM68" s="23"/>
      <c r="AN68" s="23"/>
      <c r="AO68" s="23"/>
      <c r="AP68" s="23"/>
      <c r="AQ68" s="23"/>
      <c r="AR68" s="23"/>
      <c r="AS68" s="23"/>
      <c r="AT68" s="23"/>
    </row>
    <row r="69" spans="1:46">
      <c r="A69" s="23"/>
      <c r="B69" s="302"/>
      <c r="C69" s="302"/>
      <c r="D69" s="37"/>
      <c r="E69" s="7"/>
      <c r="H69" s="37" t="s">
        <v>3888</v>
      </c>
      <c r="I69" s="7"/>
      <c r="J69" s="7"/>
      <c r="K69" s="7"/>
      <c r="L69" s="7"/>
      <c r="M69" s="7"/>
      <c r="N69" s="23"/>
      <c r="O69" s="23"/>
      <c r="P69" s="23"/>
      <c r="Q69" s="23"/>
      <c r="R69" s="23"/>
      <c r="S69" s="23"/>
      <c r="T69" s="235" t="str">
        <f>IF(AND(E69&lt;&gt;"",D69&lt;&gt;""),VLOOKUP(E69,'HIDDEN Hidden Helpsheet'!$O$22:$P$27,2,0),IF(D69&lt;&gt;"","0",""))</f>
        <v/>
      </c>
      <c r="V69" s="235" t="str">
        <f>IF(I69&lt;&gt;"",VLOOKUP(I69,'HIDDEN Hidden Helpsheet'!$O$29:$P$31,2,0),"")</f>
        <v/>
      </c>
      <c r="Y69" s="235" t="str">
        <f>IF(AND(OR(I69="Monster",I69="Hero"),J69&lt;&gt;""),VLOOKUP(J69,'HIDDEN Hidden Helpsheet'!$Y$3:$Z$80,2,0),IF(I69="Spell",IF(ISTEXT(J69)=TRUE,"",J69),""))</f>
        <v/>
      </c>
      <c r="AA69" s="235" t="str">
        <f>IF(K69&lt;&gt;"",VLOOKUP(K69,'HIDDEN Hidden Helpsheet'!$Y$4:$Z$80,2,0),"")</f>
        <v/>
      </c>
      <c r="AB69" s="235" t="str">
        <f>IF(AND(OR(I69="Monster",I69="Hero"),L69&lt;&gt;""),VLOOKUP(L69,'HIDDEN Hidden Helpsheet'!$O$22:$P$27,2,0),IF(AND(OR(I69="Monster",I69="Hero"),J69&lt;&gt;""),VLOOKUP(J69,'HIDDEN Hidden Helpsheet'!$Y$3:$AC$35,5,0),""))</f>
        <v/>
      </c>
      <c r="AC69" s="235" t="str">
        <f t="shared" si="2"/>
        <v/>
      </c>
      <c r="AD69" s="235" t="str">
        <f t="shared" si="1"/>
        <v/>
      </c>
      <c r="AE69" s="23"/>
      <c r="AF69" s="23"/>
      <c r="AG69" s="23"/>
      <c r="AH69" s="23"/>
      <c r="AI69" s="23"/>
      <c r="AJ69" s="23"/>
      <c r="AK69" s="23"/>
      <c r="AL69" s="23"/>
      <c r="AM69" s="23"/>
      <c r="AN69" s="23"/>
      <c r="AO69" s="23"/>
      <c r="AP69" s="23"/>
      <c r="AQ69" s="23"/>
      <c r="AR69" s="23"/>
      <c r="AS69" s="23"/>
      <c r="AT69" s="23"/>
    </row>
    <row r="70" spans="1:46">
      <c r="A70" s="23"/>
      <c r="B70" s="302"/>
      <c r="C70" s="302"/>
      <c r="D70" s="37"/>
      <c r="E70" s="7"/>
      <c r="H70" s="37" t="s">
        <v>3889</v>
      </c>
      <c r="I70" s="7"/>
      <c r="J70" s="7"/>
      <c r="K70" s="7"/>
      <c r="L70" s="7"/>
      <c r="M70" s="7"/>
      <c r="N70" s="23"/>
      <c r="O70" s="23"/>
      <c r="P70" s="23"/>
      <c r="Q70" s="23"/>
      <c r="R70" s="23"/>
      <c r="S70" s="23"/>
      <c r="T70" s="235" t="str">
        <f>IF(AND(E70&lt;&gt;"",D70&lt;&gt;""),VLOOKUP(E70,'HIDDEN Hidden Helpsheet'!$O$22:$P$27,2,0),IF(D70&lt;&gt;"","0",""))</f>
        <v/>
      </c>
      <c r="V70" s="235" t="str">
        <f>IF(I70&lt;&gt;"",VLOOKUP(I70,'HIDDEN Hidden Helpsheet'!$O$29:$P$31,2,0),"")</f>
        <v/>
      </c>
      <c r="Y70" s="235" t="str">
        <f>IF(AND(OR(I70="Monster",I70="Hero"),J70&lt;&gt;""),VLOOKUP(J70,'HIDDEN Hidden Helpsheet'!$Y$3:$Z$80,2,0),IF(I70="Spell",IF(ISTEXT(J70)=TRUE,"",J70),""))</f>
        <v/>
      </c>
      <c r="AA70" s="235" t="str">
        <f>IF(K70&lt;&gt;"",VLOOKUP(K70,'HIDDEN Hidden Helpsheet'!$Y$4:$Z$80,2,0),"")</f>
        <v/>
      </c>
      <c r="AB70" s="235" t="str">
        <f>IF(AND(OR(I70="Monster",I70="Hero"),L70&lt;&gt;""),VLOOKUP(L70,'HIDDEN Hidden Helpsheet'!$O$22:$P$27,2,0),IF(AND(OR(I70="Monster",I70="Hero"),J70&lt;&gt;""),VLOOKUP(J70,'HIDDEN Hidden Helpsheet'!$Y$3:$AC$35,5,0),""))</f>
        <v/>
      </c>
      <c r="AC70" s="235" t="str">
        <f t="shared" si="2"/>
        <v/>
      </c>
      <c r="AD70" s="235" t="str">
        <f t="shared" si="1"/>
        <v/>
      </c>
      <c r="AE70" s="23"/>
      <c r="AF70" s="23"/>
      <c r="AG70" s="23"/>
      <c r="AH70" s="23"/>
      <c r="AI70" s="23"/>
      <c r="AJ70" s="23"/>
      <c r="AK70" s="23"/>
      <c r="AL70" s="23"/>
      <c r="AM70" s="23"/>
      <c r="AN70" s="23"/>
      <c r="AO70" s="23"/>
      <c r="AP70" s="23"/>
      <c r="AQ70" s="23"/>
      <c r="AR70" s="23"/>
      <c r="AS70" s="23"/>
      <c r="AT70" s="23"/>
    </row>
    <row r="71" spans="1:46">
      <c r="A71" s="23"/>
      <c r="B71" s="302"/>
      <c r="C71" s="302"/>
      <c r="D71" s="37"/>
      <c r="E71" s="7"/>
      <c r="H71" s="37" t="s">
        <v>3890</v>
      </c>
      <c r="I71" s="7"/>
      <c r="J71" s="7"/>
      <c r="K71" s="7"/>
      <c r="L71" s="7"/>
      <c r="M71" s="7"/>
      <c r="N71" s="23"/>
      <c r="O71" s="23"/>
      <c r="P71" s="23"/>
      <c r="Q71" s="23"/>
      <c r="R71" s="23"/>
      <c r="S71" s="23"/>
      <c r="T71" s="235" t="str">
        <f>IF(AND(E71&lt;&gt;"",D71&lt;&gt;""),VLOOKUP(E71,'HIDDEN Hidden Helpsheet'!$O$22:$P$27,2,0),IF(D71&lt;&gt;"","0",""))</f>
        <v/>
      </c>
      <c r="V71" s="235" t="str">
        <f>IF(I71&lt;&gt;"",VLOOKUP(I71,'HIDDEN Hidden Helpsheet'!$O$29:$P$31,2,0),"")</f>
        <v/>
      </c>
      <c r="Y71" s="235" t="str">
        <f>IF(AND(OR(I71="Monster",I71="Hero"),J71&lt;&gt;""),VLOOKUP(J71,'HIDDEN Hidden Helpsheet'!$Y$3:$Z$80,2,0),IF(I71="Spell",IF(ISTEXT(J71)=TRUE,"",J71),""))</f>
        <v/>
      </c>
      <c r="AA71" s="235" t="str">
        <f>IF(K71&lt;&gt;"",VLOOKUP(K71,'HIDDEN Hidden Helpsheet'!$Y$4:$Z$80,2,0),"")</f>
        <v/>
      </c>
      <c r="AB71" s="235" t="str">
        <f>IF(AND(OR(I71="Monster",I71="Hero"),L71&lt;&gt;""),VLOOKUP(L71,'HIDDEN Hidden Helpsheet'!$O$22:$P$27,2,0),IF(AND(OR(I71="Monster",I71="Hero"),J71&lt;&gt;""),VLOOKUP(J71,'HIDDEN Hidden Helpsheet'!$Y$3:$AC$35,5,0),""))</f>
        <v/>
      </c>
      <c r="AC71" s="235" t="str">
        <f t="shared" si="2"/>
        <v/>
      </c>
      <c r="AD71" s="235" t="str">
        <f t="shared" si="1"/>
        <v/>
      </c>
      <c r="AE71" s="23"/>
      <c r="AF71" s="23"/>
      <c r="AG71" s="23"/>
      <c r="AH71" s="23"/>
      <c r="AI71" s="23"/>
      <c r="AJ71" s="23"/>
      <c r="AK71" s="23"/>
      <c r="AL71" s="23"/>
      <c r="AM71" s="23"/>
      <c r="AN71" s="23"/>
      <c r="AO71" s="23"/>
      <c r="AP71" s="23"/>
      <c r="AQ71" s="23"/>
      <c r="AR71" s="23"/>
      <c r="AS71" s="23"/>
      <c r="AT71" s="23"/>
    </row>
    <row r="72" spans="1:46">
      <c r="A72" s="23"/>
      <c r="B72" s="302"/>
      <c r="C72" s="302"/>
      <c r="D72" s="37"/>
      <c r="E72" s="7"/>
      <c r="H72" s="37" t="s">
        <v>3891</v>
      </c>
      <c r="I72" s="7"/>
      <c r="J72" s="7"/>
      <c r="K72" s="7"/>
      <c r="L72" s="7"/>
      <c r="M72" s="7"/>
      <c r="N72" s="23"/>
      <c r="O72" s="23"/>
      <c r="P72" s="23"/>
      <c r="Q72" s="23"/>
      <c r="R72" s="23"/>
      <c r="S72" s="23"/>
      <c r="T72" s="235" t="str">
        <f>IF(AND(E72&lt;&gt;"",D72&lt;&gt;""),VLOOKUP(E72,'HIDDEN Hidden Helpsheet'!$O$22:$P$27,2,0),IF(D72&lt;&gt;"","0",""))</f>
        <v/>
      </c>
      <c r="V72" s="235" t="str">
        <f>IF(I72&lt;&gt;"",VLOOKUP(I72,'HIDDEN Hidden Helpsheet'!$O$29:$P$31,2,0),"")</f>
        <v/>
      </c>
      <c r="Y72" s="235" t="str">
        <f>IF(AND(OR(I72="Monster",I72="Hero"),J72&lt;&gt;""),VLOOKUP(J72,'HIDDEN Hidden Helpsheet'!$Y$3:$Z$80,2,0),IF(I72="Spell",IF(ISTEXT(J72)=TRUE,"",J72),""))</f>
        <v/>
      </c>
      <c r="AA72" s="235" t="str">
        <f>IF(K72&lt;&gt;"",VLOOKUP(K72,'HIDDEN Hidden Helpsheet'!$Y$4:$Z$80,2,0),"")</f>
        <v/>
      </c>
      <c r="AB72" s="235" t="str">
        <f>IF(AND(OR(I72="Monster",I72="Hero"),L72&lt;&gt;""),VLOOKUP(L72,'HIDDEN Hidden Helpsheet'!$O$22:$P$27,2,0),IF(AND(OR(I72="Monster",I72="Hero"),J72&lt;&gt;""),VLOOKUP(J72,'HIDDEN Hidden Helpsheet'!$Y$3:$AC$35,5,0),""))</f>
        <v/>
      </c>
      <c r="AC72" s="235" t="str">
        <f t="shared" si="2"/>
        <v/>
      </c>
      <c r="AD72" s="235" t="str">
        <f t="shared" si="1"/>
        <v/>
      </c>
      <c r="AE72" s="23"/>
      <c r="AF72" s="23"/>
      <c r="AG72" s="23"/>
      <c r="AH72" s="23"/>
      <c r="AI72" s="23"/>
      <c r="AJ72" s="23"/>
      <c r="AK72" s="23"/>
      <c r="AL72" s="23"/>
      <c r="AM72" s="23"/>
      <c r="AN72" s="23"/>
      <c r="AO72" s="23"/>
      <c r="AP72" s="23"/>
      <c r="AQ72" s="23"/>
      <c r="AR72" s="23"/>
      <c r="AS72" s="23"/>
      <c r="AT72" s="23"/>
    </row>
    <row r="73" spans="1:46">
      <c r="A73" s="23"/>
      <c r="B73" s="302"/>
      <c r="C73" s="302"/>
      <c r="D73" s="37"/>
      <c r="E73" s="7"/>
      <c r="H73" s="37" t="s">
        <v>3892</v>
      </c>
      <c r="I73" s="7"/>
      <c r="J73" s="7"/>
      <c r="K73" s="7"/>
      <c r="L73" s="7"/>
      <c r="M73" s="7"/>
      <c r="N73" s="23"/>
      <c r="O73" s="23"/>
      <c r="P73" s="23"/>
      <c r="Q73" s="23"/>
      <c r="R73" s="23"/>
      <c r="S73" s="23"/>
      <c r="T73" s="235" t="str">
        <f>IF(AND(E73&lt;&gt;"",D73&lt;&gt;""),VLOOKUP(E73,'HIDDEN Hidden Helpsheet'!$O$22:$P$27,2,0),IF(D73&lt;&gt;"","0",""))</f>
        <v/>
      </c>
      <c r="V73" s="235" t="str">
        <f>IF(I73&lt;&gt;"",VLOOKUP(I73,'HIDDEN Hidden Helpsheet'!$O$29:$P$31,2,0),"")</f>
        <v/>
      </c>
      <c r="Y73" s="235" t="str">
        <f>IF(AND(OR(I73="Monster",I73="Hero"),J73&lt;&gt;""),VLOOKUP(J73,'HIDDEN Hidden Helpsheet'!$Y$3:$Z$80,2,0),IF(I73="Spell",IF(ISTEXT(J73)=TRUE,"",J73),""))</f>
        <v/>
      </c>
      <c r="AA73" s="235" t="str">
        <f>IF(K73&lt;&gt;"",VLOOKUP(K73,'HIDDEN Hidden Helpsheet'!$Y$4:$Z$80,2,0),"")</f>
        <v/>
      </c>
      <c r="AB73" s="235" t="str">
        <f>IF(AND(OR(I73="Monster",I73="Hero"),L73&lt;&gt;""),VLOOKUP(L73,'HIDDEN Hidden Helpsheet'!$O$22:$P$27,2,0),IF(AND(OR(I73="Monster",I73="Hero"),J73&lt;&gt;""),VLOOKUP(J73,'HIDDEN Hidden Helpsheet'!$Y$3:$AC$35,5,0),""))</f>
        <v/>
      </c>
      <c r="AC73" s="235" t="str">
        <f t="shared" si="2"/>
        <v/>
      </c>
      <c r="AD73" s="235" t="str">
        <f t="shared" si="1"/>
        <v/>
      </c>
      <c r="AE73" s="23"/>
      <c r="AF73" s="23"/>
      <c r="AG73" s="23"/>
      <c r="AH73" s="23"/>
      <c r="AI73" s="23"/>
      <c r="AJ73" s="23"/>
      <c r="AK73" s="23"/>
      <c r="AL73" s="23"/>
      <c r="AM73" s="23"/>
      <c r="AN73" s="23"/>
      <c r="AO73" s="23"/>
      <c r="AP73" s="23"/>
      <c r="AQ73" s="23"/>
      <c r="AR73" s="23"/>
      <c r="AS73" s="23"/>
      <c r="AT73" s="23"/>
    </row>
    <row r="74" spans="1:46">
      <c r="A74" s="23"/>
      <c r="B74" s="302"/>
      <c r="C74" s="302"/>
      <c r="D74" s="37"/>
      <c r="E74" s="7"/>
      <c r="H74" s="37" t="s">
        <v>3893</v>
      </c>
      <c r="I74" s="7"/>
      <c r="J74" s="7"/>
      <c r="K74" s="7"/>
      <c r="L74" s="7"/>
      <c r="M74" s="7"/>
      <c r="N74" s="23"/>
      <c r="O74" s="23"/>
      <c r="P74" s="23"/>
      <c r="Q74" s="23"/>
      <c r="R74" s="23"/>
      <c r="S74" s="23"/>
      <c r="T74" s="235" t="str">
        <f>IF(AND(E74&lt;&gt;"",D74&lt;&gt;""),VLOOKUP(E74,'HIDDEN Hidden Helpsheet'!$O$22:$P$27,2,0),IF(D74&lt;&gt;"","0",""))</f>
        <v/>
      </c>
      <c r="V74" s="235" t="str">
        <f>IF(I74&lt;&gt;"",VLOOKUP(I74,'HIDDEN Hidden Helpsheet'!$O$29:$P$31,2,0),"")</f>
        <v/>
      </c>
      <c r="Y74" s="235" t="str">
        <f>IF(AND(OR(I74="Monster",I74="Hero"),J74&lt;&gt;""),VLOOKUP(J74,'HIDDEN Hidden Helpsheet'!$Y$3:$Z$80,2,0),IF(I74="Spell",IF(ISTEXT(J74)=TRUE,"",J74),""))</f>
        <v/>
      </c>
      <c r="AA74" s="235" t="str">
        <f>IF(K74&lt;&gt;"",VLOOKUP(K74,'HIDDEN Hidden Helpsheet'!$Y$4:$Z$80,2,0),"")</f>
        <v/>
      </c>
      <c r="AB74" s="235" t="str">
        <f>IF(AND(OR(I74="Monster",I74="Hero"),L74&lt;&gt;""),VLOOKUP(L74,'HIDDEN Hidden Helpsheet'!$O$22:$P$27,2,0),IF(AND(OR(I74="Monster",I74="Hero"),J74&lt;&gt;""),VLOOKUP(J74,'HIDDEN Hidden Helpsheet'!$Y$3:$AC$35,5,0),""))</f>
        <v/>
      </c>
      <c r="AC74" s="235" t="str">
        <f t="shared" si="2"/>
        <v/>
      </c>
      <c r="AD74" s="235" t="str">
        <f t="shared" si="1"/>
        <v/>
      </c>
      <c r="AE74" s="23"/>
      <c r="AF74" s="23"/>
      <c r="AG74" s="23"/>
      <c r="AH74" s="23"/>
      <c r="AI74" s="23"/>
      <c r="AJ74" s="23"/>
      <c r="AK74" s="23"/>
      <c r="AL74" s="23"/>
      <c r="AM74" s="23"/>
      <c r="AN74" s="23"/>
      <c r="AO74" s="23"/>
      <c r="AP74" s="23"/>
      <c r="AQ74" s="23"/>
      <c r="AR74" s="23"/>
      <c r="AS74" s="23"/>
      <c r="AT74" s="23"/>
    </row>
    <row r="75" spans="1:46">
      <c r="A75" s="23"/>
      <c r="B75" s="302"/>
      <c r="C75" s="302"/>
      <c r="D75" s="37"/>
      <c r="E75" s="7"/>
      <c r="H75" s="37" t="s">
        <v>3894</v>
      </c>
      <c r="I75" s="7"/>
      <c r="J75" s="7"/>
      <c r="K75" s="7"/>
      <c r="L75" s="7"/>
      <c r="M75" s="7"/>
      <c r="N75" s="23"/>
      <c r="O75" s="23"/>
      <c r="P75" s="23"/>
      <c r="Q75" s="23"/>
      <c r="R75" s="23"/>
      <c r="S75" s="23"/>
      <c r="T75" s="235" t="str">
        <f>IF(AND(E75&lt;&gt;"",D75&lt;&gt;""),VLOOKUP(E75,'HIDDEN Hidden Helpsheet'!$O$22:$P$27,2,0),IF(D75&lt;&gt;"","0",""))</f>
        <v/>
      </c>
      <c r="V75" s="235" t="str">
        <f>IF(I75&lt;&gt;"",VLOOKUP(I75,'HIDDEN Hidden Helpsheet'!$O$29:$P$31,2,0),"")</f>
        <v/>
      </c>
      <c r="Y75" s="235" t="str">
        <f>IF(AND(OR(I75="Monster",I75="Hero"),J75&lt;&gt;""),VLOOKUP(J75,'HIDDEN Hidden Helpsheet'!$Y$3:$Z$80,2,0),IF(I75="Spell",IF(ISTEXT(J75)=TRUE,"",J75),""))</f>
        <v/>
      </c>
      <c r="AA75" s="235" t="str">
        <f>IF(K75&lt;&gt;"",VLOOKUP(K75,'HIDDEN Hidden Helpsheet'!$Y$4:$Z$80,2,0),"")</f>
        <v/>
      </c>
      <c r="AB75" s="235" t="str">
        <f>IF(AND(OR(I75="Monster",I75="Hero"),L75&lt;&gt;""),VLOOKUP(L75,'HIDDEN Hidden Helpsheet'!$O$22:$P$27,2,0),IF(AND(OR(I75="Monster",I75="Hero"),J75&lt;&gt;""),VLOOKUP(J75,'HIDDEN Hidden Helpsheet'!$Y$3:$AC$35,5,0),""))</f>
        <v/>
      </c>
      <c r="AC75" s="235" t="str">
        <f t="shared" si="2"/>
        <v/>
      </c>
      <c r="AD75" s="235" t="str">
        <f t="shared" si="1"/>
        <v/>
      </c>
      <c r="AE75" s="23"/>
      <c r="AF75" s="23"/>
      <c r="AG75" s="23"/>
      <c r="AH75" s="23"/>
      <c r="AI75" s="23"/>
      <c r="AJ75" s="23"/>
      <c r="AK75" s="23"/>
      <c r="AL75" s="23"/>
      <c r="AM75" s="23"/>
      <c r="AN75" s="23"/>
      <c r="AO75" s="23"/>
      <c r="AP75" s="23"/>
      <c r="AQ75" s="23"/>
      <c r="AR75" s="23"/>
      <c r="AS75" s="23"/>
      <c r="AT75" s="23"/>
    </row>
    <row r="76" spans="1:46">
      <c r="A76" s="23"/>
      <c r="B76" s="302"/>
      <c r="C76" s="302"/>
      <c r="D76" s="37"/>
      <c r="E76" s="7"/>
      <c r="H76" s="37" t="s">
        <v>3895</v>
      </c>
      <c r="I76" s="7"/>
      <c r="J76" s="7"/>
      <c r="K76" s="7"/>
      <c r="L76" s="7"/>
      <c r="M76" s="7"/>
      <c r="N76" s="23"/>
      <c r="O76" s="23"/>
      <c r="P76" s="23"/>
      <c r="Q76" s="23"/>
      <c r="R76" s="23"/>
      <c r="S76" s="23"/>
      <c r="T76" s="235" t="str">
        <f>IF(AND(E76&lt;&gt;"",D76&lt;&gt;""),VLOOKUP(E76,'HIDDEN Hidden Helpsheet'!$O$22:$P$27,2,0),IF(D76&lt;&gt;"","0",""))</f>
        <v/>
      </c>
      <c r="V76" s="235"/>
      <c r="Y76" s="235" t="str">
        <f>IF(AND(OR(I76="Monster",I76="Hero"),J76&lt;&gt;""),VLOOKUP(J76,'HIDDEN Hidden Helpsheet'!$Y$3:$Z$80,2,0),IF(I76="Spell",IF(ISTEXT(J76)=TRUE,"",J76),""))</f>
        <v/>
      </c>
      <c r="AA76" s="235"/>
      <c r="AB76" s="235" t="str">
        <f>IF(AND(OR(I76="Monster",I76="Hero"),L76&lt;&gt;""),VLOOKUP(L76,'HIDDEN Hidden Helpsheet'!$O$22:$P$27,2,0),IF(AND(OR(I76="Monster",I76="Hero"),J76&lt;&gt;""),VLOOKUP(J76,'HIDDEN Hidden Helpsheet'!$Y$3:$AC$35,5,0),""))</f>
        <v/>
      </c>
      <c r="AC76" s="235" t="str">
        <f t="shared" si="2"/>
        <v/>
      </c>
      <c r="AD76" s="235" t="str">
        <f t="shared" si="1"/>
        <v/>
      </c>
      <c r="AE76" s="23"/>
      <c r="AF76" s="23"/>
      <c r="AG76" s="23"/>
      <c r="AH76" s="23"/>
      <c r="AI76" s="23"/>
      <c r="AJ76" s="23"/>
      <c r="AK76" s="23"/>
      <c r="AL76" s="23"/>
      <c r="AM76" s="23"/>
      <c r="AN76" s="23"/>
      <c r="AO76" s="23"/>
      <c r="AP76" s="23"/>
      <c r="AQ76" s="23"/>
      <c r="AR76" s="23"/>
      <c r="AS76" s="23"/>
      <c r="AT76" s="23"/>
    </row>
    <row r="77" spans="1:46">
      <c r="A77" s="23"/>
      <c r="B77" s="302"/>
      <c r="C77" s="302"/>
      <c r="D77" s="37"/>
      <c r="E77" s="7"/>
      <c r="H77" s="37" t="s">
        <v>3896</v>
      </c>
      <c r="I77" s="7"/>
      <c r="J77" s="7"/>
      <c r="K77" s="7"/>
      <c r="L77" s="7"/>
      <c r="M77" s="7"/>
      <c r="N77" s="23"/>
      <c r="O77" s="23"/>
      <c r="P77" s="23"/>
      <c r="Q77" s="23"/>
      <c r="R77" s="23"/>
      <c r="S77" s="23"/>
      <c r="T77" s="235" t="str">
        <f>IF(AND(E77&lt;&gt;"",D77&lt;&gt;""),VLOOKUP(E77,'HIDDEN Hidden Helpsheet'!$O$22:$P$27,2,0),IF(D77&lt;&gt;"","0",""))</f>
        <v/>
      </c>
      <c r="V77" s="235"/>
      <c r="Y77" s="235" t="str">
        <f>IF(AND(OR(I77="Monster",I77="Hero"),J77&lt;&gt;""),VLOOKUP(J77,'HIDDEN Hidden Helpsheet'!$Y$3:$Z$80,2,0),IF(I77="Spell",IF(ISTEXT(J77)=TRUE,"",J77),""))</f>
        <v/>
      </c>
      <c r="AA77" s="235"/>
      <c r="AB77" s="235" t="str">
        <f>IF(AND(OR(I77="Monster",I77="Hero"),L77&lt;&gt;""),VLOOKUP(L77,'HIDDEN Hidden Helpsheet'!$O$22:$P$27,2,0),IF(AND(OR(I77="Monster",I77="Hero"),J77&lt;&gt;""),VLOOKUP(J77,'HIDDEN Hidden Helpsheet'!$Y$3:$AC$35,5,0),""))</f>
        <v/>
      </c>
      <c r="AC77" s="235" t="str">
        <f t="shared" si="2"/>
        <v/>
      </c>
      <c r="AD77" s="235" t="str">
        <f t="shared" si="1"/>
        <v/>
      </c>
      <c r="AE77" s="23"/>
      <c r="AF77" s="23"/>
      <c r="AG77" s="23"/>
      <c r="AH77" s="23"/>
      <c r="AI77" s="23"/>
      <c r="AJ77" s="23"/>
      <c r="AK77" s="23"/>
      <c r="AL77" s="23"/>
      <c r="AM77" s="23"/>
      <c r="AN77" s="23"/>
      <c r="AO77" s="23"/>
      <c r="AP77" s="23"/>
      <c r="AQ77" s="23"/>
      <c r="AR77" s="23"/>
      <c r="AS77" s="23"/>
      <c r="AT77" s="23"/>
    </row>
    <row r="78" spans="1:46">
      <c r="A78" s="23"/>
      <c r="B78" s="302"/>
      <c r="C78" s="302"/>
      <c r="D78" s="37"/>
      <c r="E78" s="7"/>
      <c r="H78" s="37" t="s">
        <v>3897</v>
      </c>
      <c r="I78" s="7"/>
      <c r="J78" s="7"/>
      <c r="K78" s="7"/>
      <c r="L78" s="7"/>
      <c r="M78" s="7"/>
      <c r="N78" s="23"/>
      <c r="O78" s="23"/>
      <c r="P78" s="23"/>
      <c r="Q78" s="23"/>
      <c r="R78" s="23"/>
      <c r="S78" s="23"/>
      <c r="T78" s="235" t="str">
        <f>IF(AND(E78&lt;&gt;"",D78&lt;&gt;""),VLOOKUP(E78,'HIDDEN Hidden Helpsheet'!$O$22:$P$27,2,0),IF(D78&lt;&gt;"","0",""))</f>
        <v/>
      </c>
      <c r="V78" s="235"/>
      <c r="Y78" s="235" t="str">
        <f>IF(AND(OR(I78="Monster",I78="Hero"),J78&lt;&gt;""),VLOOKUP(J78,'HIDDEN Hidden Helpsheet'!$Y$3:$Z$80,2,0),IF(I78="Spell",IF(ISTEXT(J78)=TRUE,"",J78),""))</f>
        <v/>
      </c>
      <c r="AA78" s="235"/>
      <c r="AB78" s="235" t="str">
        <f>IF(AND(OR(I78="Monster",I78="Hero"),L78&lt;&gt;""),VLOOKUP(L78,'HIDDEN Hidden Helpsheet'!$O$22:$P$27,2,0),IF(AND(OR(I78="Monster",I78="Hero"),J78&lt;&gt;""),VLOOKUP(J78,'HIDDEN Hidden Helpsheet'!$Y$3:$AC$35,5,0),""))</f>
        <v/>
      </c>
      <c r="AC78" s="235" t="str">
        <f t="shared" si="2"/>
        <v/>
      </c>
      <c r="AD78" s="235" t="str">
        <f t="shared" si="1"/>
        <v/>
      </c>
      <c r="AE78" s="23"/>
      <c r="AF78" s="23"/>
      <c r="AG78" s="23"/>
      <c r="AH78" s="23"/>
      <c r="AI78" s="23"/>
      <c r="AJ78" s="23"/>
      <c r="AK78" s="23"/>
      <c r="AL78" s="23"/>
      <c r="AM78" s="23"/>
      <c r="AN78" s="23"/>
      <c r="AO78" s="23"/>
      <c r="AP78" s="23"/>
      <c r="AQ78" s="23"/>
      <c r="AR78" s="23"/>
      <c r="AS78" s="23"/>
      <c r="AT78" s="23"/>
    </row>
    <row r="79" spans="1:46">
      <c r="A79" s="23"/>
      <c r="B79" s="302"/>
      <c r="C79" s="302"/>
      <c r="D79" s="37"/>
      <c r="E79" s="7"/>
      <c r="H79" s="37" t="s">
        <v>3898</v>
      </c>
      <c r="I79" s="7"/>
      <c r="J79" s="7"/>
      <c r="K79" s="7"/>
      <c r="L79" s="7"/>
      <c r="M79" s="7"/>
      <c r="N79" s="23"/>
      <c r="O79" s="23"/>
      <c r="P79" s="23"/>
      <c r="Q79" s="23"/>
      <c r="R79" s="23"/>
      <c r="S79" s="23"/>
      <c r="T79" s="235" t="str">
        <f>IF(AND(E79&lt;&gt;"",D79&lt;&gt;""),VLOOKUP(E79,'HIDDEN Hidden Helpsheet'!$O$22:$P$27,2,0),IF(D79&lt;&gt;"","0",""))</f>
        <v/>
      </c>
      <c r="V79" s="235"/>
      <c r="Y79" s="235" t="str">
        <f>IF(AND(OR(I79="Monster",I79="Hero"),J79&lt;&gt;""),VLOOKUP(J79,'HIDDEN Hidden Helpsheet'!$Y$3:$Z$80,2,0),IF(I79="Spell",IF(ISTEXT(J79)=TRUE,"",J79),""))</f>
        <v/>
      </c>
      <c r="AA79" s="235"/>
      <c r="AB79" s="235" t="str">
        <f>IF(AND(OR(I79="Monster",I79="Hero"),L79&lt;&gt;""),VLOOKUP(L79,'HIDDEN Hidden Helpsheet'!$O$22:$P$27,2,0),IF(AND(OR(I79="Monster",I79="Hero"),J79&lt;&gt;""),VLOOKUP(J79,'HIDDEN Hidden Helpsheet'!$Y$3:$AC$35,5,0),""))</f>
        <v/>
      </c>
      <c r="AC79" s="235" t="str">
        <f t="shared" si="2"/>
        <v/>
      </c>
      <c r="AD79" s="235" t="str">
        <f t="shared" si="1"/>
        <v/>
      </c>
      <c r="AE79" s="23"/>
      <c r="AF79" s="23"/>
      <c r="AG79" s="23"/>
      <c r="AH79" s="23"/>
      <c r="AI79" s="23"/>
      <c r="AJ79" s="23"/>
      <c r="AK79" s="23"/>
      <c r="AL79" s="23"/>
      <c r="AM79" s="23"/>
      <c r="AN79" s="23"/>
      <c r="AO79" s="23"/>
      <c r="AP79" s="23"/>
      <c r="AQ79" s="23"/>
      <c r="AR79" s="23"/>
      <c r="AS79" s="23"/>
      <c r="AT79" s="23"/>
    </row>
    <row r="80" spans="1:46">
      <c r="A80" s="23"/>
      <c r="B80" s="23"/>
      <c r="C80" s="23"/>
      <c r="D80" s="23"/>
      <c r="E80" s="23"/>
      <c r="F80" s="23"/>
      <c r="G80" s="23"/>
      <c r="H80" s="23"/>
      <c r="I80" s="23"/>
      <c r="J80" s="23"/>
      <c r="K80" s="23"/>
      <c r="L80" s="23"/>
      <c r="M80" s="23"/>
      <c r="N80" s="23"/>
      <c r="O80" s="23"/>
      <c r="P80" s="23"/>
      <c r="Q80" s="23"/>
      <c r="R80" s="23"/>
      <c r="S80" s="23"/>
      <c r="T80" s="23"/>
      <c r="U80" s="246"/>
      <c r="V80" s="23"/>
      <c r="W80" s="246"/>
      <c r="X80" s="246"/>
      <c r="Y80" s="23"/>
      <c r="Z80" s="246"/>
      <c r="AA80" s="23"/>
      <c r="AB80" s="23"/>
      <c r="AC80" s="23"/>
      <c r="AD80" s="23"/>
      <c r="AE80" s="23"/>
      <c r="AF80" s="23"/>
      <c r="AG80" s="23"/>
      <c r="AH80" s="23"/>
      <c r="AI80" s="23"/>
      <c r="AJ80" s="23"/>
      <c r="AK80" s="23"/>
      <c r="AL80" s="23"/>
      <c r="AM80" s="23"/>
      <c r="AN80" s="23"/>
      <c r="AO80" s="23"/>
      <c r="AP80" s="23"/>
      <c r="AQ80" s="23"/>
      <c r="AR80" s="23"/>
      <c r="AS80" s="23"/>
      <c r="AT80" s="23"/>
    </row>
    <row r="81" spans="1:46" ht="36.75" customHeight="1">
      <c r="A81" s="23"/>
      <c r="B81" s="247" t="s">
        <v>3822</v>
      </c>
      <c r="C81" s="23" t="s">
        <v>3899</v>
      </c>
      <c r="D81" s="349" t="str">
        <f>IF(C82="Level-up prompt","Heroes:",IF(C82="Item prompt","Items:",IF(C82="Modifier prompt","Modifiers:",IF(C82="Challenge prompt","Challenge (Add monsters):",IF(C82="Reroll class prompt","Hero to reroll:",IF(C82="Swap hero prompt","2 heroes to swap position:",IF(C82="Anvil prompt","Type of anvil:",IF(C82="Text prompt","Text you want to add:",""))))))))</f>
        <v>Text you want to add:</v>
      </c>
      <c r="E81" s="37" t="str">
        <f>IF(C82="Challenge prompt","#1",IF(C82="Anvil prompt","#1",IF(C82="Swap hero prompt","#1",IF(C82="Reroll class prompt","#1",IF(C82="Text prompt","#1","#1")))))</f>
        <v>#1</v>
      </c>
      <c r="F81" s="236" t="s">
        <v>3900</v>
      </c>
      <c r="G81" s="37" t="str">
        <f>IF(C82="Challenge prompt","#6",IF(C82="Anvil prompt","",IF(C82="Swap hero prompt","",IF(C82="Reroll class prompt","",IF(C82="Text prompt","","#6")))))</f>
        <v/>
      </c>
      <c r="H81" s="236"/>
      <c r="I81" s="349" t="str">
        <f>IF(C82="Challenge prompt","Rewards (Add items):","")</f>
        <v/>
      </c>
      <c r="J81" s="37" t="str">
        <f>IF(C82="Challenge prompt","#1",IF(C82="Anvil prompt","",IF(C82="Swap hero prompt","",IF(C82="Reroll class prompt","",IF(C82="Text prompt","","#11")))))</f>
        <v/>
      </c>
      <c r="K81" s="236"/>
      <c r="L81" s="37" t="str">
        <f>IF(C82="Challenge prompt","#6",IF(C82="Anvil prompt","",IF(C82="Swap hero prompt","",IF(C82="Reroll class prompt","",IF(C82="Text prompt","","#16")))))</f>
        <v/>
      </c>
      <c r="M81" s="236"/>
      <c r="N81" s="23"/>
      <c r="O81" s="23"/>
      <c r="P81" s="23"/>
      <c r="Q81" s="23"/>
      <c r="R81" s="23"/>
      <c r="S81" s="23"/>
      <c r="T81" s="235" t="str">
        <f t="array" aca="1" ref="T81" ca="1">IF(AND(F81&lt;&gt;"",$C$82="Level-up prompt"),"{am:1,cd:[{n:"&amp;F81&amp;",t:Levelup}]}",IF(AND(F81&lt;&gt;"",$C$82="Item prompt"),"{am:1,cd:[{n:"&amp;F81&amp;",t:Item}]}",IF(AND(F81&lt;&gt;"",$C$82="Modifier prompt"),"{am:1,cd:[{n:"&amp;MAP(F81,LAMBDA(x,IFERROR(INDEX('HIDDEN Hidden Helpsheet'!$D$3:$D$850,MATCH(x,'HIDDEN Hidden Helpsheet'!$B$3:$B$850,0)),"")))&amp;",t:Modifier}]}",IF(AND($C$82="Challenge prompt",F81&lt;&gt;""),"\\\"""&amp;MAP(F81,LAMBDA(x,IFERROR(INDEX('HIDDEN Hidden Helpsheet'!$M$3:$M$850,MATCH(x,'HIDDEN Hidden Helpsheet'!$L$3:$L$850,0)),"")))&amp;"\\\""",IF(AND(C82="Reroll class prompt",COUNTIF('HIDDEN Hidden Helpsheet'!S3:S19,F81)=1),"5"&amp;VLOOKUP(F81,'HIDDEN Hidden Helpsheet'!$S$3:$T$67,2,0),IF(C82="Anvil prompt",IF(F81="Combine (Combine all tier 0-3 items into a higher tier item)","\""7ZeroToThreeToSingle\""","\""7SecondHighestToTierThrees\"""),IF(C82="Text prompt","4"&amp;F81,IF(C82="Swap hero prompt","8"&amp;VLOOKUP(F81,'HIDDEN Hidden Helpsheet'!$S$3:$T$67,2,0),""))))))))</f>
        <v>4heheheha</v>
      </c>
      <c r="U81" s="235"/>
      <c r="V81" s="235" t="str">
        <f t="array" ref="V81">IF(AND(H81&lt;&gt;"",$C$82="Level-up prompt"),"{am:1,cd:[{n:"&amp;H81&amp;",t:Levelup}]}",IF(AND(H81&lt;&gt;"",$C$82="Item prompt"),"{am:1,cd:[{n:"&amp;H81&amp;",t:Item}]}",IF(AND(H81&lt;&gt;"",$C$82="Modifier prompt"),"{am:1,cd:[{n:"&amp;MAP(H81,LAMBDA(x,IFERROR(INDEX('HIDDEN Hidden Helpsheet'!$D$3:$D$850,MATCH(x,'HIDDEN Hidden Helpsheet'!$B$3:$B$850,0)),"")))&amp;",t:Modifier}]}",IF(AND($C$82="Challenge prompt",H81&lt;&gt;""),"\\\"""&amp;MAP(H81,LAMBDA(x,IFERROR(INDEX('HIDDEN Hidden Helpsheet'!$M$3:$M$850,MATCH(x,'HIDDEN Hidden Helpsheet'!$L$3:$L$850,0)),"")))&amp;"\\\""",""))))</f>
        <v/>
      </c>
      <c r="W81" s="235"/>
      <c r="X81" s="235"/>
      <c r="Y81" s="235" t="str">
        <f t="array" ref="Y81">IF(AND(K81&lt;&gt;"",$C$82="Level-up prompt"),"{am:1,cd:[{n:"&amp;K81&amp;",t:Levelup}]}",IF(AND(K81&lt;&gt;"",$C$82="Item prompt"),"{am:1,cd:[{n:"&amp;K81&amp;",t:Item}]}",IF(AND(K81&lt;&gt;"",$C$82="Modifier prompt"),"{am:1,cd:[{n:"&amp;MAP(K81,LAMBDA(x,IFERROR(INDEX('HIDDEN Hidden Helpsheet'!$D$3:$D$850,MATCH(x,'HIDDEN Hidden Helpsheet'!$B$3:$B$850,0)),"")))&amp;",t:Modifier}]}",IF(AND($C$82="Challenge prompt",K81&lt;&gt;""),"\\\"""&amp;K81&amp;"\\\""",""))))</f>
        <v/>
      </c>
      <c r="Z81" s="235"/>
      <c r="AA81" s="235" t="str">
        <f t="array" ref="AA81">IF(AND(M81&lt;&gt;"",$C$82="Level-up prompt"),"{am:1,cd:[{n:"&amp;M81&amp;",t:Levelup}]}",IF(AND(M81&lt;&gt;"",$C$82="Item prompt"),"{am:1,cd:[{n:"&amp;M81&amp;",t:Item}]}",IF(AND(M81&lt;&gt;"",$C$82="Modifier prompt"),"{am:1,cd:[{n:"&amp;MAP(M81,LAMBDA(x,IFERROR(INDEX('HIDDEN Hidden Helpsheet'!$D$3:$D$850,MATCH(x,'HIDDEN Hidden Helpsheet'!$B$3:$B$850,0)),"")))&amp;",t:Modifier}]}",IF(AND($C$82="Challenge prompt",M81&lt;&gt;""),"\\\"""&amp;M81&amp;"\\\""",""))))</f>
        <v/>
      </c>
      <c r="AB81" s="235" t="str">
        <f t="array" ref="AB81">IF(AND(N81&lt;&gt;"",$C$82="Level-up prompt"),"{am:1,cd:[{n:"&amp;N81&amp;",t:Levelup}]}",IF(AND(N81&lt;&gt;"",$C$82="Item prompt"),"{am:1,cd:[{n:"&amp;N81&amp;",t:Item}]}",IF(AND(N81&lt;&gt;"",$C$82="Modifier prompt"),"{am:1,cd:[{n:"&amp;MAP(N81,LAMBDA(x,IFERROR(INDEX('HIDDEN Hidden Helpsheet'!$D$3:$D$850,MATCH(x,'HIDDEN Hidden Helpsheet'!$B$3:$B$850,0)),"")))&amp;",t:Modifier}]}",IF(AND($C$82="Challenge prompt",N81&lt;&gt;""),"\\\"""&amp;MAP(N81,LAMBDA(x,IFERROR(INDEX('HIDDEN Hidden Helpsheet'!$M$3:$M$850,MATCH(x,'HIDDEN Hidden Helpsheet'!$L$3:$L$850,0)),"")))&amp;"\\\""",""))))</f>
        <v/>
      </c>
      <c r="AC81" s="235" t="str">
        <f ca="1">IF(AND(OR(C82="Level-up prompt",C82="Item prompt",C82="Modifier prompt"),COUNTIF(T81:AA85,"")&lt;40,T87&lt;&gt;""),"\""!{cs:["&amp;TEXTJOIN(",",TRUE,T81:T85,V81:V85,Y81:Y85,AA81:AA85)&amp;"]"&amp;T87,IF(AND(C82="Challenge prompt",COUNTIF(T81:V85,"")&lt;15,COUNTIF(Y81:AA85,"")&lt;15),"\""9{\\\""reward\\\"":{\\\""itemStrings\\\"":["&amp;TEXTJOIN(",",TRUE,$Y$81:$Y$85,AA81:AA85)&amp;"]},\\\""type\\\"":{\\\""extraMonsters\\\"":["&amp;TEXTJOIN(",",TRUE,T81:T85,V81:V85)&amp;"]}}\""",IF(AND(C82="Reroll class prompt",$T81&lt;&gt;""),T81,IF(OR(C82="Anvil prompt",C82="Text prompt"),T81,IF(C82="Swap hero prompt",T81&amp;T82,"")))))</f>
        <v>4heheheha</v>
      </c>
      <c r="AD81" s="23"/>
      <c r="AE81" s="23"/>
      <c r="AF81" s="23"/>
      <c r="AG81" s="23"/>
      <c r="AH81" s="23"/>
      <c r="AI81" s="23"/>
      <c r="AJ81" s="23"/>
      <c r="AK81" s="23"/>
      <c r="AL81" s="23"/>
      <c r="AM81" s="23"/>
      <c r="AN81" s="23"/>
      <c r="AO81" s="23"/>
      <c r="AP81" s="23"/>
      <c r="AQ81" s="23"/>
      <c r="AR81" s="23"/>
      <c r="AS81" s="23"/>
      <c r="AT81" s="23"/>
    </row>
    <row r="82" spans="1:46" ht="36.75" customHeight="1">
      <c r="A82" s="23"/>
      <c r="B82" s="247"/>
      <c r="C82" s="221" t="s">
        <v>3901</v>
      </c>
      <c r="D82" s="310"/>
      <c r="E82" s="37" t="str">
        <f>IF(C82="Challenge prompt","#2",IF(C82="Anvil prompt","",IF(C82="Swap hero prompt","#2",IF(C82="Reroll class prompt","",IF(C82="Text prompt","","#2")))))</f>
        <v/>
      </c>
      <c r="F82" s="236"/>
      <c r="G82" s="37" t="str">
        <f>IF(C82="Challenge prompt","#7",IF(C82="Anvil prompt","",IF(C82="Swap hero prompt","",IF(C82="Reroll class prompt","",IF(C82="Text prompt","","#7")))))</f>
        <v/>
      </c>
      <c r="H82" s="236"/>
      <c r="I82" s="310"/>
      <c r="J82" s="37" t="str">
        <f>IF(C82="Challenge prompt","#2",IF(C82="Anvil prompt","",IF(C82="Swap hero prompt","",IF(C82="Reroll class prompt","",IF(C82="Text prompt","","#12")))))</f>
        <v/>
      </c>
      <c r="K82" s="236"/>
      <c r="L82" s="37" t="str">
        <f>IF(C82="Challenge prompt","#7",IF(C82="Anvil prompt","",IF(C82="Swap hero prompt","",IF(C82="Reroll class prompt","",IF(C82="Text prompt","","#17")))))</f>
        <v/>
      </c>
      <c r="M82" s="236"/>
      <c r="N82" s="23"/>
      <c r="O82" s="23"/>
      <c r="P82" s="23"/>
      <c r="Q82" s="23"/>
      <c r="R82" s="23"/>
      <c r="S82" s="23"/>
      <c r="T82" s="235" t="str">
        <f t="array" ref="T82">IF(AND(F82&lt;&gt;"",$C$82="Level-up prompt"),"{am:1,cd:[{n:"&amp;F82&amp;",t:Levelup}]}",IF(AND(F82&lt;&gt;"",$C$82="Item prompt"),"{am:1,cd:[{n:"&amp;F82&amp;",t:Item}]}",IF(AND(F82&lt;&gt;"",$C$82="Modifier prompt"),"{am:1,cd:[{n:"&amp;MAP(F82,LAMBDA(x,IFERROR(INDEX('HIDDEN Hidden Helpsheet'!$D$3:$D$850,MATCH(x,'HIDDEN Hidden Helpsheet'!$B$3:$B$850,0)),"")))&amp;",t:Modifier}]}",IF(AND($C$82="Challenge prompt",F82&lt;&gt;""),"\\\"""&amp;MAP(F82,LAMBDA(x,IFERROR(INDEX('HIDDEN Hidden Helpsheet'!$M$3:$M$850,MATCH(x,'HIDDEN Hidden Helpsheet'!$L$3:$L$850,0)),"")))&amp;"\\\""",IF(C82="Swap hero prompt",VLOOKUP(F82,'HIDDEN Hidden Helpsheet'!$S$3:$T$67,2,0),"")))))</f>
        <v/>
      </c>
      <c r="U82" s="235"/>
      <c r="V82" s="235" t="str">
        <f t="array" ref="V82">IF(AND(H82&lt;&gt;"",$C$82="Level-up prompt"),"{am:1,cd:[{n:"&amp;H82&amp;",t:Levelup}]}",IF(AND(H82&lt;&gt;"",$C$82="Item prompt"),"{am:1,cd:[{n:"&amp;H82&amp;",t:Item}]}",IF(AND(H82&lt;&gt;"",$C$82="Modifier prompt"),"{am:1,cd:[{n:"&amp;MAP(H82,LAMBDA(x,IFERROR(INDEX('HIDDEN Hidden Helpsheet'!$D$3:$D$850,MATCH(x,'HIDDEN Hidden Helpsheet'!$B$3:$B$850,0)),"")))&amp;",t:Modifier}]}",IF(AND($C$82="Challenge prompt",H82&lt;&gt;""),"\\\"""&amp;MAP(H82,LAMBDA(x,IFERROR(INDEX('HIDDEN Hidden Helpsheet'!$M$3:$M$850,MATCH(x,'HIDDEN Hidden Helpsheet'!$L$3:$L$850,0)),"")))&amp;"\\\""",""))))</f>
        <v/>
      </c>
      <c r="W82" s="235"/>
      <c r="X82" s="235"/>
      <c r="Y82" s="235" t="str">
        <f t="array" ref="Y82">IF(AND(K82&lt;&gt;"",$C$82="Level-up prompt"),"{am:1,cd:[{n:"&amp;K82&amp;",t:Levelup}]}",IF(AND(K82&lt;&gt;"",$C$82="Item prompt"),"{am:1,cd:[{n:"&amp;K82&amp;",t:Item}]}",IF(AND(K82&lt;&gt;"",$C$82="Modifier prompt"),"{am:1,cd:[{n:"&amp;MAP(K82,LAMBDA(x,IFERROR(INDEX('HIDDEN Hidden Helpsheet'!$D$3:$D$850,MATCH(x,'HIDDEN Hidden Helpsheet'!$B$3:$B$850,0)),"")))&amp;",t:Modifier}]}",IF(AND($C$82="Challenge prompt",K82&lt;&gt;""),"\\\"""&amp;K82&amp;"\\\""",""))))</f>
        <v/>
      </c>
      <c r="Z82" s="235"/>
      <c r="AA82" s="235" t="str">
        <f t="array" ref="AA82">IF(AND(M82&lt;&gt;"",$C$82="Level-up prompt"),"{am:1,cd:[{n:"&amp;M82&amp;",t:Levelup}]}",IF(AND(M82&lt;&gt;"",$C$82="Item prompt"),"{am:1,cd:[{n:"&amp;M82&amp;",t:Item}]}",IF(AND(M82&lt;&gt;"",$C$82="Modifier prompt"),"{am:1,cd:[{n:"&amp;MAP(M82,LAMBDA(x,IFERROR(INDEX('HIDDEN Hidden Helpsheet'!$D$3:$D$850,MATCH(x,'HIDDEN Hidden Helpsheet'!$B$3:$B$850,0)),"")))&amp;",t:Modifier}]}",IF(AND($C$82="Challenge prompt",M82&lt;&gt;""),"\\\"""&amp;M82&amp;"\\\""",""))))</f>
        <v/>
      </c>
      <c r="AB82" s="235" t="str">
        <f t="array" ref="AB82">IF(AND(N82&lt;&gt;"",$C$82="Level-up prompt"),"{am:1,cd:[{n:"&amp;N82&amp;",t:Levelup}]}",IF(AND(N82&lt;&gt;"",$C$82="Item prompt"),"{am:1,cd:[{n:"&amp;N82&amp;",t:Item}]}",IF(AND(N82&lt;&gt;"",$C$82="Modifier prompt"),"{am:1,cd:[{n:"&amp;MAP(N82,LAMBDA(x,IFERROR(INDEX('HIDDEN Hidden Helpsheet'!$D$3:$D$850,MATCH(x,'HIDDEN Hidden Helpsheet'!$B$3:$B$850,0)),"")))&amp;",t:Modifier}]}",IF(AND($C$82="Challenge prompt",N82&lt;&gt;""),"\\\"""&amp;MAP(N82,LAMBDA(x,IFERROR(INDEX('HIDDEN Hidden Helpsheet'!$M$3:$M$850,MATCH(x,'HIDDEN Hidden Helpsheet'!$L$3:$L$850,0)),"")))&amp;"\\\""",""))))</f>
        <v/>
      </c>
      <c r="AC82" s="23"/>
      <c r="AD82" s="23" t="str">
        <f>IF(OR($C$82="Level-up prompt",$C$82="Item prompt",$C$82="Modifier prompt"),"Quantity prompt","No prompt type")</f>
        <v>No prompt type</v>
      </c>
      <c r="AE82" s="23"/>
      <c r="AF82" s="23"/>
      <c r="AG82" s="23"/>
      <c r="AH82" s="23"/>
      <c r="AI82" s="23"/>
      <c r="AJ82" s="23"/>
      <c r="AK82" s="23"/>
      <c r="AL82" s="23"/>
      <c r="AM82" s="23"/>
      <c r="AN82" s="23"/>
      <c r="AO82" s="23"/>
      <c r="AP82" s="23"/>
      <c r="AQ82" s="23"/>
      <c r="AR82" s="23"/>
      <c r="AS82" s="23"/>
      <c r="AT82" s="23"/>
    </row>
    <row r="83" spans="1:46" ht="36.75" customHeight="1">
      <c r="A83" s="23"/>
      <c r="B83" s="247"/>
      <c r="C83" s="221" t="s">
        <v>3902</v>
      </c>
      <c r="D83" s="310"/>
      <c r="E83" s="37" t="str">
        <f>IF(C82="Challenge prompt","#3",IF(C82="Anvil prompt","",IF(C82="Swap hero prompt","",IF(C82="Reroll class prompt","",IF(C82="Text prompt","","#3")))))</f>
        <v/>
      </c>
      <c r="F83" s="236"/>
      <c r="G83" s="37" t="str">
        <f>IF(C82="Challenge prompt","#8",IF(C82="Anvil prompt","",IF(C82="Swap hero prompt","",IF(C82="Reroll class prompt","",IF(C82="Text prompt","","#8")))))</f>
        <v/>
      </c>
      <c r="H83" s="236"/>
      <c r="I83" s="310"/>
      <c r="J83" s="37" t="str">
        <f>IF(C82="Challenge prompt","#3",IF(C82="Anvil prompt","",IF(C82="Swap hero prompt","",IF(C82="Reroll class prompt","",IF(C82="Text prompt","","#13")))))</f>
        <v/>
      </c>
      <c r="K83" s="236"/>
      <c r="L83" s="37" t="str">
        <f>IF(C82="Challenge prompt","#8",IF(C82="Anvil prompt","",IF(C82="Swap hero prompt","",IF(C82="Reroll class prompt","",IF(C82="Text prompt","","#18")))))</f>
        <v/>
      </c>
      <c r="M83" s="236"/>
      <c r="N83" s="23"/>
      <c r="O83" s="23"/>
      <c r="P83" s="23"/>
      <c r="Q83" s="23"/>
      <c r="R83" s="23"/>
      <c r="S83" s="23"/>
      <c r="T83" s="235" t="str">
        <f t="array" ref="T83">IF(AND(F83&lt;&gt;"",$C$82="Level-up prompt"),"{am:1,cd:[{n:"&amp;F83&amp;",t:Levelup}]}",IF(AND(F83&lt;&gt;"",$C$82="Item prompt"),"{am:1,cd:[{n:"&amp;F83&amp;",t:Item}]}",IF(AND(F83&lt;&gt;"",$C$82="Modifier prompt"),"{am:1,cd:[{n:"&amp;MAP(F83,LAMBDA(x,IFERROR(INDEX('HIDDEN Hidden Helpsheet'!$D$3:$D$850,MATCH(x,'HIDDEN Hidden Helpsheet'!$B$3:$B$850,0)),"")))&amp;",t:Modifier}]}",IF(AND($C$82="Challenge prompt",F83&lt;&gt;""),"\\\"""&amp;MAP(F83,LAMBDA(x,IFERROR(INDEX('HIDDEN Hidden Helpsheet'!$M$3:$M$850,MATCH(x,'HIDDEN Hidden Helpsheet'!$L$3:$L$850,0)),"")))&amp;"\\\""",""))))</f>
        <v/>
      </c>
      <c r="U83" s="235"/>
      <c r="V83" s="235" t="str">
        <f t="array" ref="V83">IF(AND(H83&lt;&gt;"",$C$82="Level-up prompt"),"{am:1,cd:[{n:"&amp;H83&amp;",t:Levelup}]}",IF(AND(H83&lt;&gt;"",$C$82="Item prompt"),"{am:1,cd:[{n:"&amp;H83&amp;",t:Item}]}",IF(AND(H83&lt;&gt;"",$C$82="Modifier prompt"),"{am:1,cd:[{n:"&amp;MAP(H83,LAMBDA(x,IFERROR(INDEX('HIDDEN Hidden Helpsheet'!$D$3:$D$850,MATCH(x,'HIDDEN Hidden Helpsheet'!$B$3:$B$850,0)),"")))&amp;",t:Modifier}]}",IF(AND($C$82="Challenge prompt",H83&lt;&gt;""),"\\\"""&amp;MAP(H83,LAMBDA(x,IFERROR(INDEX('HIDDEN Hidden Helpsheet'!$M$3:$M$850,MATCH(x,'HIDDEN Hidden Helpsheet'!$L$3:$L$850,0)),"")))&amp;"\\\""",""))))</f>
        <v/>
      </c>
      <c r="W83" s="235"/>
      <c r="X83" s="235"/>
      <c r="Y83" s="235" t="str">
        <f t="array" ref="Y83">IF(AND(K83&lt;&gt;"",$C$82="Level-up prompt"),"{am:1,cd:[{n:"&amp;K83&amp;",t:Levelup}]}",IF(AND(K83&lt;&gt;"",$C$82="Item prompt"),"{am:1,cd:[{n:"&amp;K83&amp;",t:Item}]}",IF(AND(K83&lt;&gt;"",$C$82="Modifier prompt"),"{am:1,cd:[{n:"&amp;MAP(K83,LAMBDA(x,IFERROR(INDEX('HIDDEN Hidden Helpsheet'!$D$3:$D$850,MATCH(x,'HIDDEN Hidden Helpsheet'!$B$3:$B$850,0)),"")))&amp;",t:Modifier}]}",IF(AND($C$82="Challenge prompt",K83&lt;&gt;""),"\\\"""&amp;K83&amp;"\\\""",""))))</f>
        <v/>
      </c>
      <c r="Z83" s="235"/>
      <c r="AA83" s="235" t="str">
        <f t="array" ref="AA83">IF(AND(M83&lt;&gt;"",$C$82="Level-up prompt"),"{am:1,cd:[{n:"&amp;M83&amp;",t:Levelup}]}",IF(AND(M83&lt;&gt;"",$C$82="Item prompt"),"{am:1,cd:[{n:"&amp;M83&amp;",t:Item}]}",IF(AND(M83&lt;&gt;"",$C$82="Modifier prompt"),"{am:1,cd:[{n:"&amp;MAP(M83,LAMBDA(x,IFERROR(INDEX('HIDDEN Hidden Helpsheet'!$D$3:$D$850,MATCH(x,'HIDDEN Hidden Helpsheet'!$B$3:$B$850,0)),"")))&amp;",t:Modifier}]}",IF(AND($C$82="Challenge prompt",M83&lt;&gt;""),"\\\"""&amp;M83&amp;"\\\""",""))))</f>
        <v/>
      </c>
      <c r="AB83" s="235" t="str">
        <f t="array" ref="AB83">IF(AND(N83&lt;&gt;"",$C$82="Level-up prompt"),"{am:1,cd:[{n:"&amp;N83&amp;",t:Levelup}]}",IF(AND(N83&lt;&gt;"",$C$82="Item prompt"),"{am:1,cd:[{n:"&amp;N83&amp;",t:Item}]}",IF(AND(N83&lt;&gt;"",$C$82="Modifier prompt"),"{am:1,cd:[{n:"&amp;MAP(N83,LAMBDA(x,IFERROR(INDEX('HIDDEN Hidden Helpsheet'!$D$3:$D$850,MATCH(x,'HIDDEN Hidden Helpsheet'!$B$3:$B$850,0)),"")))&amp;",t:Modifier}]}",IF(AND($C$82="Challenge prompt",N83&lt;&gt;""),"\\\"""&amp;MAP(N83,LAMBDA(x,IFERROR(INDEX('HIDDEN Hidden Helpsheet'!$M$3:$M$850,MATCH(x,'HIDDEN Hidden Helpsheet'!$L$3:$L$850,0)),"")))&amp;"\\\""",""))))</f>
        <v/>
      </c>
      <c r="AC83" s="23"/>
      <c r="AD83" s="23" t="str">
        <f>IF(OR($C$82="Level-up prompt",$C$82="Item prompt",$C$82="Modifier prompt"),"Point-buy prompt","")</f>
        <v/>
      </c>
      <c r="AE83" s="23"/>
      <c r="AF83" s="23"/>
      <c r="AG83" s="308"/>
      <c r="AH83" s="302"/>
      <c r="AI83" s="302"/>
      <c r="AJ83" s="302"/>
      <c r="AK83" s="302"/>
      <c r="AL83" s="302"/>
      <c r="AM83" s="302"/>
      <c r="AN83" s="23"/>
      <c r="AO83" s="23"/>
      <c r="AP83" s="23"/>
      <c r="AQ83" s="23"/>
      <c r="AR83" s="23"/>
      <c r="AS83" s="23"/>
      <c r="AT83" s="23"/>
    </row>
    <row r="84" spans="1:46" ht="36.75" customHeight="1">
      <c r="A84" s="23"/>
      <c r="B84" s="247"/>
      <c r="C84" s="23"/>
      <c r="D84" s="310"/>
      <c r="E84" s="37" t="str">
        <f>IF(C82="Challenge prompt","#4",IF(C82="Anvil prompt","",IF(C82="Swap hero prompt","",IF(C82="Reroll class prompt","",IF(C82="Text prompt","","#4")))))</f>
        <v/>
      </c>
      <c r="F84" s="236"/>
      <c r="G84" s="37" t="str">
        <f>IF(C82="Challenge prompt","#9",IF(C82="Anvil prompt","",IF(C82="Swap hero prompt","",IF(C82="Reroll class prompt","",IF(C82="Text prompt","","#9")))))</f>
        <v/>
      </c>
      <c r="H84" s="236"/>
      <c r="I84" s="310"/>
      <c r="J84" s="37" t="str">
        <f>IF(C82="Challenge prompt","#4",IF(C82="Anvil prompt","",IF(C82="Swap hero prompt","",IF(C82="Reroll class prompt","",IF(C82="Text prompt","","#14")))))</f>
        <v/>
      </c>
      <c r="K84" s="236"/>
      <c r="L84" s="37" t="str">
        <f>IF(C82="Challenge prompt","#9",IF(C82="Anvil prompt","",IF(C82="Swap hero prompt","",IF(C82="Reroll class prompt","",IF(C82="Text prompt","","#19")))))</f>
        <v/>
      </c>
      <c r="M84" s="236"/>
      <c r="N84" s="23"/>
      <c r="O84" s="23"/>
      <c r="P84" s="23"/>
      <c r="Q84" s="23"/>
      <c r="R84" s="23"/>
      <c r="S84" s="23"/>
      <c r="T84" s="235" t="str">
        <f t="array" ref="T84">IF(AND(F84&lt;&gt;"",$C$82="Level-up prompt"),"{am:1,cd:[{n:"&amp;F84&amp;",t:Levelup}]}",IF(AND(F84&lt;&gt;"",$C$82="Item prompt"),"{am:1,cd:[{n:"&amp;F84&amp;",t:Item}]}",IF(AND(F84&lt;&gt;"",$C$82="Modifier prompt"),"{am:1,cd:[{n:"&amp;MAP(F84,LAMBDA(x,IFERROR(INDEX('HIDDEN Hidden Helpsheet'!$D$3:$D$850,MATCH(x,'HIDDEN Hidden Helpsheet'!$B$3:$B$850,0)),"")))&amp;",t:Modifier}]}",IF(AND($C$82="Challenge prompt",F84&lt;&gt;""),"\\\"""&amp;MAP(F84,LAMBDA(x,IFERROR(INDEX('HIDDEN Hidden Helpsheet'!$M$3:$M$850,MATCH(x,'HIDDEN Hidden Helpsheet'!$L$3:$L$850,0)),"")))&amp;"\\\""",""))))</f>
        <v/>
      </c>
      <c r="U84" s="235"/>
      <c r="V84" s="235" t="str">
        <f t="array" ref="V84">IF(AND(H84&lt;&gt;"",$C$82="Level-up prompt"),"{am:1,cd:[{n:"&amp;H84&amp;",t:Levelup}]}",IF(AND(H84&lt;&gt;"",$C$82="Item prompt"),"{am:1,cd:[{n:"&amp;H84&amp;",t:Item}]}",IF(AND(H84&lt;&gt;"",$C$82="Modifier prompt"),"{am:1,cd:[{n:"&amp;MAP(H84,LAMBDA(x,IFERROR(INDEX('HIDDEN Hidden Helpsheet'!$D$3:$D$850,MATCH(x,'HIDDEN Hidden Helpsheet'!$B$3:$B$850,0)),"")))&amp;",t:Modifier}]}",IF(AND($C$82="Challenge prompt",H84&lt;&gt;""),"\\\"""&amp;MAP(H84,LAMBDA(x,IFERROR(INDEX('HIDDEN Hidden Helpsheet'!$M$3:$M$850,MATCH(x,'HIDDEN Hidden Helpsheet'!$L$3:$L$850,0)),"")))&amp;"\\\""",""))))</f>
        <v/>
      </c>
      <c r="W84" s="235"/>
      <c r="X84" s="235"/>
      <c r="Y84" s="235" t="str">
        <f t="array" ref="Y84">IF(AND(K84&lt;&gt;"",$C$82="Level-up prompt"),"{am:1,cd:[{n:"&amp;K84&amp;",t:Levelup}]}",IF(AND(K84&lt;&gt;"",$C$82="Item prompt"),"{am:1,cd:[{n:"&amp;K84&amp;",t:Item}]}",IF(AND(K84&lt;&gt;"",$C$82="Modifier prompt"),"{am:1,cd:[{n:"&amp;MAP(K84,LAMBDA(x,IFERROR(INDEX('HIDDEN Hidden Helpsheet'!$D$3:$D$850,MATCH(x,'HIDDEN Hidden Helpsheet'!$B$3:$B$850,0)),"")))&amp;",t:Modifier}]}",IF(AND($C$82="Challenge prompt",K84&lt;&gt;""),"\\\"""&amp;K84&amp;"\\\""",""))))</f>
        <v/>
      </c>
      <c r="Z84" s="235"/>
      <c r="AA84" s="235" t="str">
        <f t="array" ref="AA84">IF(AND(M84&lt;&gt;"",$C$82="Level-up prompt"),"{am:1,cd:[{n:"&amp;M84&amp;",t:Levelup}]}",IF(AND(M84&lt;&gt;"",$C$82="Item prompt"),"{am:1,cd:[{n:"&amp;M84&amp;",t:Item}]}",IF(AND(M84&lt;&gt;"",$C$82="Modifier prompt"),"{am:1,cd:[{n:"&amp;MAP(M84,LAMBDA(x,IFERROR(INDEX('HIDDEN Hidden Helpsheet'!$D$3:$D$850,MATCH(x,'HIDDEN Hidden Helpsheet'!$B$3:$B$850,0)),"")))&amp;",t:Modifier}]}",IF(AND($C$82="Challenge prompt",M84&lt;&gt;""),"\\\"""&amp;M84&amp;"\\\""",""))))</f>
        <v/>
      </c>
      <c r="AB84" s="235" t="str">
        <f t="array" ref="AB84">IF(AND(N84&lt;&gt;"",$C$82="Level-up prompt"),"{am:1,cd:[{n:"&amp;N84&amp;",t:Levelup}]}",IF(AND(N84&lt;&gt;"",$C$82="Item prompt"),"{am:1,cd:[{n:"&amp;N84&amp;",t:Item}]}",IF(AND(N84&lt;&gt;"",$C$82="Modifier prompt"),"{am:1,cd:[{n:"&amp;MAP(N84,LAMBDA(x,IFERROR(INDEX('HIDDEN Hidden Helpsheet'!$D$3:$D$850,MATCH(x,'HIDDEN Hidden Helpsheet'!$B$3:$B$850,0)),"")))&amp;",t:Modifier}]}",IF(AND($C$82="Challenge prompt",N84&lt;&gt;""),"\\\"""&amp;MAP(N84,LAMBDA(x,IFERROR(INDEX('HIDDEN Hidden Helpsheet'!$M$3:$M$850,MATCH(x,'HIDDEN Hidden Helpsheet'!$L$3:$L$850,0)),"")))&amp;"\\\""",""))))</f>
        <v/>
      </c>
      <c r="AC84" s="23"/>
      <c r="AD84" s="23" t="str">
        <f>IF(OR($C$82="Level-up prompt",$C$82="Item prompt",$C$82="Modifier prompt"),"Optional prompt","")</f>
        <v/>
      </c>
      <c r="AE84" s="23"/>
      <c r="AF84" s="23"/>
      <c r="AG84" s="302"/>
      <c r="AH84" s="302"/>
      <c r="AI84" s="302"/>
      <c r="AJ84" s="302"/>
      <c r="AK84" s="302"/>
      <c r="AL84" s="302"/>
      <c r="AM84" s="302"/>
      <c r="AN84" s="23"/>
      <c r="AO84" s="23"/>
      <c r="AP84" s="23"/>
      <c r="AQ84" s="23"/>
      <c r="AR84" s="23"/>
      <c r="AS84" s="23"/>
      <c r="AT84" s="23"/>
    </row>
    <row r="85" spans="1:46" ht="36.75" customHeight="1">
      <c r="A85" s="23"/>
      <c r="B85" s="247"/>
      <c r="C85" s="23"/>
      <c r="D85" s="311"/>
      <c r="E85" s="37" t="str">
        <f>IF(C82="Challenge prompt","#5",IF(C82="Anvil prompt","",IF(C82="Swap hero prompt","",IF(C82="Reroll class prompt","",IF(C82="Text prompt","","#5")))))</f>
        <v/>
      </c>
      <c r="F85" s="236"/>
      <c r="G85" s="37" t="str">
        <f>IF(C82="Challenge prompt","#10",IF(C82="Anvil prompt","",IF(C82="Swap hero prompt","",IF(C82="Reroll class prompt","",IF(C82="Text prompt","","#10")))))</f>
        <v/>
      </c>
      <c r="H85" s="236"/>
      <c r="I85" s="311"/>
      <c r="J85" s="37" t="str">
        <f>IF(C82="Challenge prompt","#5",IF(C82="Anvil prompt","",IF(C82="Swap hero prompt","",IF(C82="Reroll class prompt","",IF(C82="Text prompt","","#15")))))</f>
        <v/>
      </c>
      <c r="K85" s="236"/>
      <c r="L85" s="37" t="str">
        <f>IF(C82="Challenge prompt","#10",IF(C82="Anvil prompt","",IF(C82="Swap hero prompt","",IF(C82="Reroll class prompt","",IF(C82="Text prompt","","#20")))))</f>
        <v/>
      </c>
      <c r="M85" s="236"/>
      <c r="N85" s="23"/>
      <c r="O85" s="23"/>
      <c r="P85" s="23"/>
      <c r="Q85" s="23"/>
      <c r="R85" s="23"/>
      <c r="S85" s="23"/>
      <c r="T85" s="235" t="str">
        <f t="array" ref="T85">IF(AND(F85&lt;&gt;"",$C$82="Level-up prompt"),"{am:1,cd:[{n:"&amp;F85&amp;",t:Levelup}]}",IF(AND(F85&lt;&gt;"",$C$82="Item prompt"),"{am:1,cd:[{n:"&amp;F85&amp;",t:Item}]}",IF(AND(F85&lt;&gt;"",$C$82="Modifier prompt"),"{am:1,cd:[{n:"&amp;MAP(F85,LAMBDA(x,IFERROR(INDEX('HIDDEN Hidden Helpsheet'!$D$3:$D$850,MATCH(x,'HIDDEN Hidden Helpsheet'!$B$3:$B$850,0)),"")))&amp;",t:Modifier}]}",IF(AND($C$82="Challenge prompt",F85&lt;&gt;""),"\\\"""&amp;MAP(F85,LAMBDA(x,IFERROR(INDEX('HIDDEN Hidden Helpsheet'!$M$3:$M$850,MATCH(x,'HIDDEN Hidden Helpsheet'!$L$3:$L$850,0)),"")))&amp;"\\\""",""))))</f>
        <v/>
      </c>
      <c r="U85" s="235"/>
      <c r="V85" s="235" t="str">
        <f t="array" ref="V85">IF(AND(H85&lt;&gt;"",$C$82="Level-up prompt"),"{am:1,cd:[{n:"&amp;H85&amp;",t:Levelup}]}",IF(AND(H85&lt;&gt;"",$C$82="Item prompt"),"{am:1,cd:[{n:"&amp;H85&amp;",t:Item}]}",IF(AND(H85&lt;&gt;"",$C$82="Modifier prompt"),"{am:1,cd:[{n:"&amp;MAP(H85,LAMBDA(x,IFERROR(INDEX('HIDDEN Hidden Helpsheet'!$D$3:$D$850,MATCH(x,'HIDDEN Hidden Helpsheet'!$B$3:$B$850,0)),"")))&amp;",t:Modifier}]}",IF(AND($C$82="Challenge prompt",H85&lt;&gt;""),"\\\"""&amp;MAP(H85,LAMBDA(x,IFERROR(INDEX('HIDDEN Hidden Helpsheet'!$M$3:$M$850,MATCH(x,'HIDDEN Hidden Helpsheet'!$L$3:$L$850,0)),"")))&amp;"\\\""",""))))</f>
        <v/>
      </c>
      <c r="W85" s="235"/>
      <c r="X85" s="235"/>
      <c r="Y85" s="235" t="str">
        <f t="array" ref="Y85">IF(AND(K85&lt;&gt;"",$C$82="Level-up prompt"),"{am:1,cd:[{n:"&amp;K85&amp;",t:Levelup}]}",IF(AND(K85&lt;&gt;"",$C$82="Item prompt"),"{am:1,cd:[{n:"&amp;K85&amp;",t:Item}]}",IF(AND(K85&lt;&gt;"",$C$82="Modifier prompt"),"{am:1,cd:[{n:"&amp;MAP(K85,LAMBDA(x,IFERROR(INDEX('HIDDEN Hidden Helpsheet'!$D$3:$D$850,MATCH(x,'HIDDEN Hidden Helpsheet'!$B$3:$B$850,0)),"")))&amp;",t:Modifier}]}",IF(AND($C$82="Challenge prompt",K85&lt;&gt;""),"\\\"""&amp;K85&amp;"\\\""",""))))</f>
        <v/>
      </c>
      <c r="Z85" s="235"/>
      <c r="AA85" s="235" t="str">
        <f t="array" ref="AA85">IF(AND(M85&lt;&gt;"",$C$82="Level-up prompt"),"{am:1,cd:[{n:"&amp;M85&amp;",t:Levelup}]}",IF(AND(M85&lt;&gt;"",$C$82="Item prompt"),"{am:1,cd:[{n:"&amp;M85&amp;",t:Item}]}",IF(AND(M85&lt;&gt;"",$C$82="Modifier prompt"),"{am:1,cd:[{n:"&amp;MAP(M85,LAMBDA(x,IFERROR(INDEX('HIDDEN Hidden Helpsheet'!$D$3:$D$850,MATCH(x,'HIDDEN Hidden Helpsheet'!$B$3:$B$850,0)),"")))&amp;",t:Modifier}]}",IF(AND($C$82="Challenge prompt",M85&lt;&gt;""),"\\\"""&amp;M85&amp;"\\\""",""))))</f>
        <v/>
      </c>
      <c r="AB85" s="235" t="str">
        <f t="array" ref="AB85">IF(AND(N85&lt;&gt;"",$C$82="Level-up prompt"),"{am:1,cd:[{n:"&amp;N85&amp;",t:Levelup}]}",IF(AND(N85&lt;&gt;"",$C$82="Item prompt"),"{am:1,cd:[{n:"&amp;N85&amp;",t:Item}]}",IF(AND(N85&lt;&gt;"",$C$82="Modifier prompt"),"{am:1,cd:[{n:"&amp;MAP(N85,LAMBDA(x,IFERROR(INDEX('HIDDEN Hidden Helpsheet'!$D$3:$D$850,MATCH(x,'HIDDEN Hidden Helpsheet'!$B$3:$B$850,0)),"")))&amp;",t:Modifier}]}",IF(AND($C$82="Challenge prompt",N85&lt;&gt;""),"\\\"""&amp;MAP(N85,LAMBDA(x,IFERROR(INDEX('HIDDEN Hidden Helpsheet'!$M$3:$M$850,MATCH(x,'HIDDEN Hidden Helpsheet'!$L$3:$L$850,0)),"")))&amp;"\\\""",""))))</f>
        <v/>
      </c>
      <c r="AC85" s="23"/>
      <c r="AD85" s="23"/>
      <c r="AE85" s="23"/>
      <c r="AF85" s="23"/>
      <c r="AG85" s="23"/>
      <c r="AH85" s="23"/>
      <c r="AI85" s="23"/>
      <c r="AJ85" s="23"/>
      <c r="AK85" s="23"/>
      <c r="AL85" s="23"/>
      <c r="AM85" s="23"/>
      <c r="AN85" s="23"/>
      <c r="AO85" s="23"/>
      <c r="AP85" s="23"/>
      <c r="AQ85" s="23"/>
      <c r="AR85" s="23"/>
      <c r="AS85" s="23"/>
      <c r="AT85" s="23"/>
    </row>
    <row r="86" spans="1:46" ht="20.25" customHeight="1">
      <c r="A86" s="23"/>
      <c r="B86" s="247"/>
      <c r="C86" s="23"/>
      <c r="D86" s="23"/>
      <c r="E86" s="5"/>
      <c r="F86" s="248"/>
      <c r="G86" s="5"/>
      <c r="H86" s="248"/>
      <c r="I86" s="5"/>
      <c r="J86" s="5"/>
      <c r="K86" s="248"/>
      <c r="L86" s="5"/>
      <c r="M86" s="248"/>
      <c r="N86" s="5"/>
      <c r="O86" s="5"/>
      <c r="P86" s="5"/>
      <c r="Q86" s="5"/>
      <c r="R86" s="5"/>
      <c r="S86" s="5"/>
      <c r="T86" s="5"/>
      <c r="U86" s="5"/>
      <c r="V86" s="5"/>
      <c r="W86" s="5"/>
      <c r="X86" s="5"/>
      <c r="Y86" s="5"/>
      <c r="Z86" s="5"/>
      <c r="AA86" s="5"/>
      <c r="AB86" s="5"/>
      <c r="AC86" s="5"/>
      <c r="AD86" s="5"/>
      <c r="AE86" s="23"/>
      <c r="AF86" s="23"/>
      <c r="AG86" s="23"/>
      <c r="AH86" s="23"/>
      <c r="AI86" s="23"/>
      <c r="AJ86" s="23"/>
      <c r="AK86" s="23"/>
      <c r="AL86" s="23"/>
      <c r="AM86" s="23"/>
      <c r="AN86" s="23"/>
      <c r="AO86" s="23"/>
      <c r="AP86" s="23"/>
      <c r="AQ86" s="23"/>
      <c r="AR86" s="23"/>
      <c r="AS86" s="23"/>
      <c r="AT86" s="23"/>
    </row>
    <row r="87" spans="1:46">
      <c r="A87" s="23"/>
      <c r="B87" s="247"/>
      <c r="C87" s="23"/>
      <c r="D87" s="337" t="str">
        <f>IF(AND(C82="Level-up prompt",C83="Quantity prompt"),"Number of level-up player must take:",IF(AND(C82="Item prompt",C83="Quantity prompt"),"Number of items player must take:",IF(AND(C82="Modifier prompt",C83="Quantity prompt"),"Number of modifiers player must take:",IF(AND(OR(C82="Level-up prompt",C82="Item prompt",C82="Modifier prompt"),C83="Point-buy prompt"),"Total value the player picks must add up to proceed (Can go below if it is a negative number):",IF(AND(OR(C82="Level-up prompt",C82="Item prompt",C82="Modifier prompt"),C83="Optional prompt"),"Optional prompt (Number doesn't matter):","")))))</f>
        <v/>
      </c>
      <c r="E87" s="305"/>
      <c r="F87" s="305"/>
      <c r="G87" s="305"/>
      <c r="H87" s="305"/>
      <c r="I87" s="305"/>
      <c r="J87" s="305"/>
      <c r="K87" s="306"/>
      <c r="L87" s="236" t="s">
        <v>2082</v>
      </c>
      <c r="M87" s="23"/>
      <c r="N87" s="23"/>
      <c r="O87" s="23"/>
      <c r="P87" s="23"/>
      <c r="Q87" s="23"/>
      <c r="R87" s="23"/>
      <c r="S87" s="23"/>
      <c r="T87" s="23" t="str">
        <f>IF(C83="Quantity prompt",",ct:{cs:Number,v:"&amp;L87&amp;"}}\""",IF(C83="Point-buy prompt",",ct:{cs:PointBuy,v:"&amp;L87&amp;"}}\""",IF(C83="Optional prompt",",ct:{cs:Optional,v:1"&amp;"}}\""","")))</f>
        <v>,ct:{cs:Number,v:1}}\"</v>
      </c>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row>
    <row r="88" spans="1:46">
      <c r="A88" s="23"/>
      <c r="B88" s="247"/>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row>
    <row r="89" spans="1:46" ht="36.75" customHeight="1">
      <c r="A89" s="23"/>
      <c r="B89" s="247"/>
      <c r="C89" s="23" t="s">
        <v>3903</v>
      </c>
      <c r="D89" s="349" t="str">
        <f>IF(C90="Level-up prompt","Heroes:",IF(C90="Item prompt","Items:",IF(C90="Modifier prompt","Modifiers:",IF(C90="Challenge prompt","Challenge (Add monsters):",IF(C90="Reroll class prompt","Hero to reroll:",IF(C90="Swap hero prompt","2 heroes to swap position:",IF(C90="Anvil prompt","Type of anvil:",IF(C90="Text prompt","Text you want to add:",""))))))))</f>
        <v>Heroes:</v>
      </c>
      <c r="E89" s="37" t="str">
        <f>IF(C90="Challenge prompt","#1",IF(C90="Anvil prompt","#1",IF(C90="Swap hero prompt","#1",IF(C90="Reroll class prompt","#1",IF(C90="Text prompt","#1","#1")))))</f>
        <v>#1</v>
      </c>
      <c r="F89" s="236"/>
      <c r="G89" s="37" t="str">
        <f>IF(C90="Challenge prompt","#6",IF(C90="Anvil prompt","",IF(C90="Swap hero prompt","",IF(C90="Reroll class prompt","",IF(C90="Text prompt","","#6")))))</f>
        <v>#6</v>
      </c>
      <c r="H89" s="236"/>
      <c r="I89" s="349" t="str">
        <f>IF(C90="Challenge prompt","Rewards (Add items):","")</f>
        <v/>
      </c>
      <c r="J89" s="37" t="str">
        <f>IF(C90="Challenge prompt","#1",IF(C90="Anvil prompt","",IF(C90="Swap hero prompt","",IF(C90="Reroll class prompt","",IF(C90="Text prompt","","#11")))))</f>
        <v>#11</v>
      </c>
      <c r="K89" s="236"/>
      <c r="L89" s="37" t="str">
        <f>IF(C90="Challenge prompt","#6",IF(C90="Anvil prompt","",IF(C90="Swap hero prompt","",IF(C90="Reroll class prompt","",IF(C90="Text prompt","","#16")))))</f>
        <v>#16</v>
      </c>
      <c r="M89" s="236"/>
      <c r="N89" s="23"/>
      <c r="O89" s="23"/>
      <c r="P89" s="23"/>
      <c r="Q89" s="23"/>
      <c r="R89" s="23"/>
      <c r="S89" s="23"/>
      <c r="T89" s="235" t="str">
        <f t="array" ref="T89">IF(AND(F89&lt;&gt;"",$C$90="Level-up prompt"),"{am:1,cd:[{n:"&amp;F89&amp;",t:Levelup}]}",IF(AND(F89&lt;&gt;"",$C$90="Item prompt"),"{am:1,cd:[{n:"&amp;F89&amp;",t:Item}]}",IF(AND(F89&lt;&gt;"",$C$90="Modifier prompt"),"{am:1,cd:[{n:"&amp;MAP(F89,LAMBDA(x,IFERROR(INDEX('HIDDEN Hidden Helpsheet'!$D$3:$D$850,MATCH(x,'HIDDEN Hidden Helpsheet'!$B$3:$B$850,0)),"")))&amp;",t:Modifier}]}",IF(AND($C$90="Challenge prompt",F89&lt;&gt;""),"\\\"""&amp;MAP(F89,LAMBDA(x,IFERROR(INDEX('HIDDEN Hidden Helpsheet'!$M$3:$M$850,MATCH(x,'HIDDEN Hidden Helpsheet'!$L$3:$L$850,0)),"")))&amp;"\\\""",IF(AND(C90="Reroll class prompt",COUNTIF('HIDDEN Hidden Helpsheet'!S11:S19,F89)=1),"5"&amp;VLOOKUP(F89,'HIDDEN Hidden Helpsheet'!$S$3:$T$67,2,0),IF(C90="Anvil prompt",IF(F89="Combine (Combine all tier 0-3 items into a higher tier item)","\""7ZeroToThreeToSingle\""","\""7SecondHighestToTierThrees\"""),IF(C90="Text prompt","4"&amp;F89,IF(C90="Swap hero prompt","8"&amp;VLOOKUP(F89,'HIDDEN Hidden Helpsheet'!$S$3:$T$67,2,0),""))))))))</f>
        <v/>
      </c>
      <c r="U89" s="235"/>
      <c r="V89" s="235" t="str">
        <f t="array" ref="V89">IF(AND(H89&lt;&gt;"",$C$90="Level-up prompt"),"{am:1,cd:[{n:"&amp;H89&amp;",t:Levelup}]}",IF(AND(H89&lt;&gt;"",$C$90="Item prompt"),"{am:1,cd:[{n:"&amp;H89&amp;",t:Item}]}",IF(AND(H89&lt;&gt;"",$C$90="Modifier prompt"),"{am:1,cd:[{n:"&amp;MAP(H89,LAMBDA(x,IFERROR(INDEX('HIDDEN Hidden Helpsheet'!$D$3:$D$850,MATCH(x,'HIDDEN Hidden Helpsheet'!$B$3:$B$850,0)),"")))&amp;",t:Modifier}]}",IF(AND($C$90="Challenge prompt",H89&lt;&gt;""),"\\\"""&amp;MAP(H89,LAMBDA(x,IFERROR(INDEX('HIDDEN Hidden Helpsheet'!$M$3:$M$850,MATCH(x,'HIDDEN Hidden Helpsheet'!$L$3:$L$850,0)),"")))&amp;"\\\""",""))))</f>
        <v/>
      </c>
      <c r="W89" s="235"/>
      <c r="X89" s="235"/>
      <c r="Y89" s="235" t="str">
        <f t="array" ref="Y89">IF(AND(K89&lt;&gt;"",$C$90="Level-up prompt"),"{am:1,cd:[{n:"&amp;K89&amp;",t:Levelup}]}",IF(AND(K89&lt;&gt;"",$C$90="Item prompt"),"{am:1,cd:[{n:"&amp;K89&amp;",t:Item}]}",IF(AND(K89&lt;&gt;"",$C$90="Modifier prompt"),"{am:1,cd:[{n:"&amp;MAP(K89,LAMBDA(x,IFERROR(INDEX('HIDDEN Hidden Helpsheet'!$D$3:$D$850,MATCH(x,'HIDDEN Hidden Helpsheet'!$B$3:$B$850,0)),"")))&amp;",t:Modifier}]}",IF(AND($C$90="Challenge prompt",K89&lt;&gt;""),"\\\"""&amp;K89&amp;"\\\""",""))))</f>
        <v/>
      </c>
      <c r="Z89" s="235"/>
      <c r="AA89" s="235" t="str">
        <f t="array" ref="AA89">IF(AND(M89&lt;&gt;"",$C$90="Level-up prompt"),"{am:1,cd:[{n:"&amp;M89&amp;",t:Levelup}]}",IF(AND(M89&lt;&gt;"",$C$90="Item prompt"),"{am:1,cd:[{n:"&amp;M89&amp;",t:Item}]}",IF(AND(M89&lt;&gt;"",$C$90="Modifier prompt"),"{am:1,cd:[{n:"&amp;MAP(M89,LAMBDA(x,IFERROR(INDEX('HIDDEN Hidden Helpsheet'!$D$3:$D$850,MATCH(x,'HIDDEN Hidden Helpsheet'!$B$3:$B$850,0)),"")))&amp;",t:Modifier}]}",IF(AND($C$90="Challenge prompt",M89&lt;&gt;""),"\\\"""&amp;M89&amp;"\\\""",""))))</f>
        <v/>
      </c>
      <c r="AB89" s="235" t="str">
        <f t="array" ref="AB89">IF(AND(N89&lt;&gt;"",$C$90="Level-up prompt"),"{am:1,cd:[{n:"&amp;N89&amp;",t:Levelup}]}",IF(AND(N89&lt;&gt;"",$C$90="Item prompt"),"{am:1,cd:[{n:"&amp;N89&amp;",t:Item}]}",IF(AND(N89&lt;&gt;"",$C$90="Modifier prompt"),"{am:1,cd:[{n:"&amp;MAP(N89,LAMBDA(x,IFERROR(INDEX('HIDDEN Hidden Helpsheet'!$D$3:$D$850,MATCH(x,'HIDDEN Hidden Helpsheet'!$B$3:$B$850,0)),"")))&amp;",t:Modifier}]}",IF(AND($C$90="Challenge prompt",N89&lt;&gt;""),"\\\"""&amp;MAP(N89,LAMBDA(x,IFERROR(INDEX('HIDDEN Hidden Helpsheet'!$M$3:$M$850,MATCH(x,'HIDDEN Hidden Helpsheet'!$L$3:$L$850,0)),"")))&amp;"\\\""",""))))</f>
        <v/>
      </c>
      <c r="AC89" s="235" t="str">
        <f>IF(AND(OR(C90="Level-up prompt",C90="Item prompt",C90="Modifier prompt"),COUNTIF(T89:AA93,"")&lt;40,T95&lt;&gt;""),"\""!{cs:["&amp;TEXTJOIN(",",TRUE,T89:T93,V89:V93,Y89:Y93,AA89:AA93)&amp;"]"&amp;T95,IF(AND(C90="Challenge prompt",COUNTIF(T89:V93,"")&lt;15,COUNTIF(Y89:AA93,"")&lt;15),"\""9{\\\""reward\\\"":{\\\""itemStrings\\\"":["&amp;TEXTJOIN(",",TRUE,$Y$89:$Y$93,AA89:AA93)&amp;"]},\\\""type\\\"":{\\\""extraMonsters\\\"":["&amp;TEXTJOIN(",",TRUE,T89:T93,V89:V93)&amp;"]}}\""",IF(AND(C90="Reroll class prompt",$T89&lt;&gt;""),T89,IF(OR(C90="Anvil prompt",C90="Text prompt"),T89,IF(C90="Swap hero prompt",T89&amp;T90,"")))))</f>
        <v/>
      </c>
      <c r="AD89" s="23"/>
      <c r="AE89" s="23"/>
      <c r="AF89" s="23"/>
      <c r="AG89" s="23"/>
      <c r="AH89" s="23"/>
      <c r="AI89" s="23"/>
      <c r="AJ89" s="23"/>
      <c r="AK89" s="23"/>
      <c r="AL89" s="23"/>
      <c r="AM89" s="23"/>
      <c r="AN89" s="23"/>
      <c r="AO89" s="23"/>
      <c r="AP89" s="23"/>
      <c r="AQ89" s="23"/>
      <c r="AR89" s="23"/>
      <c r="AS89" s="23"/>
      <c r="AT89" s="23"/>
    </row>
    <row r="90" spans="1:46" ht="36.75" customHeight="1">
      <c r="A90" s="23"/>
      <c r="B90" s="247"/>
      <c r="C90" s="221" t="s">
        <v>3904</v>
      </c>
      <c r="D90" s="310"/>
      <c r="E90" s="37" t="str">
        <f>IF(C90="Challenge prompt","#2",IF(C90="Anvil prompt","",IF(C90="Swap hero prompt","#2",IF(C90="Reroll class prompt","",IF(C90="Text prompt","","#2")))))</f>
        <v>#2</v>
      </c>
      <c r="F90" s="236"/>
      <c r="G90" s="37" t="str">
        <f>IF(C90="Challenge prompt","#7",IF(C90="Anvil prompt","",IF(C90="Swap hero prompt","",IF(C90="Reroll class prompt","",IF(C90="Text prompt","","#7")))))</f>
        <v>#7</v>
      </c>
      <c r="H90" s="236"/>
      <c r="I90" s="310"/>
      <c r="J90" s="37" t="str">
        <f>IF(C90="Challenge prompt","#2",IF(C90="Anvil prompt","",IF(C90="Swap hero prompt","",IF(C90="Reroll class prompt","",IF(C90="Text prompt","","#12")))))</f>
        <v>#12</v>
      </c>
      <c r="K90" s="236"/>
      <c r="L90" s="37" t="str">
        <f>IF(C90="Challenge prompt","#7",IF(C90="Anvil prompt","",IF(C90="Swap hero prompt","",IF(C90="Reroll class prompt","",IF(C90="Text prompt","","#17")))))</f>
        <v>#17</v>
      </c>
      <c r="M90" s="236"/>
      <c r="N90" s="23"/>
      <c r="O90" s="23"/>
      <c r="P90" s="23"/>
      <c r="Q90" s="23"/>
      <c r="R90" s="23"/>
      <c r="S90" s="23"/>
      <c r="T90" s="235" t="str">
        <f t="array" ref="T90">IF(AND(F90&lt;&gt;"",$C$90="Level-up prompt"),"{am:1,cd:[{n:"&amp;F90&amp;",t:Levelup}]}",IF(AND(F90&lt;&gt;"",$C$90="Item prompt"),"{am:1,cd:[{n:"&amp;F90&amp;",t:Item}]}",IF(AND(F90&lt;&gt;"",$C$90="Modifier prompt"),"{am:1,cd:[{n:"&amp;MAP(F90,LAMBDA(x,IFERROR(INDEX('HIDDEN Hidden Helpsheet'!$D$3:$D$850,MATCH(x,'HIDDEN Hidden Helpsheet'!$B$3:$B$850,0)),"")))&amp;",t:Modifier}]}",IF(AND($C$90="Challenge prompt",F90&lt;&gt;""),"\\\"""&amp;MAP(F90,LAMBDA(x,IFERROR(INDEX('HIDDEN Hidden Helpsheet'!$M$3:$M$850,MATCH(x,'HIDDEN Hidden Helpsheet'!$L$3:$L$850,0)),"")))&amp;"\\\""",IF(C90="Swap hero prompt",VLOOKUP(F90,'HIDDEN Hidden Helpsheet'!$S$3:$T$67,2,0),"")))))</f>
        <v/>
      </c>
      <c r="U90" s="235"/>
      <c r="V90" s="235" t="str">
        <f t="array" ref="V90">IF(AND(H90&lt;&gt;"",$C$90="Level-up prompt"),"{am:1,cd:[{n:"&amp;H90&amp;",t:Levelup}]}",IF(AND(H90&lt;&gt;"",$C$90="Item prompt"),"{am:1,cd:[{n:"&amp;H90&amp;",t:Item}]}",IF(AND(H90&lt;&gt;"",$C$90="Modifier prompt"),"{am:1,cd:[{n:"&amp;MAP(H90,LAMBDA(x,IFERROR(INDEX('HIDDEN Hidden Helpsheet'!$D$3:$D$850,MATCH(x,'HIDDEN Hidden Helpsheet'!$B$3:$B$850,0)),"")))&amp;",t:Modifier}]}",IF(AND($C$90="Challenge prompt",H90&lt;&gt;""),"\\\"""&amp;MAP(H90,LAMBDA(x,IFERROR(INDEX('HIDDEN Hidden Helpsheet'!$M$3:$M$850,MATCH(x,'HIDDEN Hidden Helpsheet'!$L$3:$L$850,0)),"")))&amp;"\\\""",""))))</f>
        <v/>
      </c>
      <c r="W90" s="235"/>
      <c r="X90" s="235"/>
      <c r="Y90" s="235" t="str">
        <f t="array" ref="Y90">IF(AND(K90&lt;&gt;"",$C$90="Level-up prompt"),"{am:1,cd:[{n:"&amp;K90&amp;",t:Levelup}]}",IF(AND(K90&lt;&gt;"",$C$90="Item prompt"),"{am:1,cd:[{n:"&amp;K90&amp;",t:Item}]}",IF(AND(K90&lt;&gt;"",$C$90="Modifier prompt"),"{am:1,cd:[{n:"&amp;MAP(K90,LAMBDA(x,IFERROR(INDEX('HIDDEN Hidden Helpsheet'!$D$3:$D$850,MATCH(x,'HIDDEN Hidden Helpsheet'!$B$3:$B$850,0)),"")))&amp;",t:Modifier}]}",IF(AND($C$90="Challenge prompt",K90&lt;&gt;""),"\\\"""&amp;K90&amp;"\\\""",""))))</f>
        <v/>
      </c>
      <c r="Z90" s="235"/>
      <c r="AA90" s="235" t="str">
        <f t="array" ref="AA90">IF(AND(M90&lt;&gt;"",$C$90="Level-up prompt"),"{am:1,cd:[{n:"&amp;M90&amp;",t:Levelup}]}",IF(AND(M90&lt;&gt;"",$C$90="Item prompt"),"{am:1,cd:[{n:"&amp;M90&amp;",t:Item}]}",IF(AND(M90&lt;&gt;"",$C$90="Modifier prompt"),"{am:1,cd:[{n:"&amp;MAP(M90,LAMBDA(x,IFERROR(INDEX('HIDDEN Hidden Helpsheet'!$D$3:$D$850,MATCH(x,'HIDDEN Hidden Helpsheet'!$B$3:$B$850,0)),"")))&amp;",t:Modifier}]}",IF(AND($C$90="Challenge prompt",M90&lt;&gt;""),"\\\"""&amp;M90&amp;"\\\""",""))))</f>
        <v/>
      </c>
      <c r="AB90" s="235" t="str">
        <f t="array" ref="AB90">IF(AND(N90&lt;&gt;"",$C$90="Level-up prompt"),"{am:1,cd:[{n:"&amp;N90&amp;",t:Levelup}]}",IF(AND(N90&lt;&gt;"",$C$90="Item prompt"),"{am:1,cd:[{n:"&amp;N90&amp;",t:Item}]}",IF(AND(N90&lt;&gt;"",$C$90="Modifier prompt"),"{am:1,cd:[{n:"&amp;MAP(N90,LAMBDA(x,IFERROR(INDEX('HIDDEN Hidden Helpsheet'!$D$3:$D$850,MATCH(x,'HIDDEN Hidden Helpsheet'!$B$3:$B$850,0)),"")))&amp;",t:Modifier}]}",IF(AND($C$90="Challenge prompt",N90&lt;&gt;""),"\\\"""&amp;MAP(N90,LAMBDA(x,IFERROR(INDEX('HIDDEN Hidden Helpsheet'!$M$3:$M$850,MATCH(x,'HIDDEN Hidden Helpsheet'!$L$3:$L$850,0)),"")))&amp;"\\\""",""))))</f>
        <v/>
      </c>
      <c r="AC90" s="23"/>
      <c r="AD90" s="23" t="str">
        <f>IF(OR(C90="Level-up prompt",C90="Item prompt",C90="Modifier prompt"),"Quantity prompt","No prompt type")</f>
        <v>Quantity prompt</v>
      </c>
      <c r="AE90" s="23"/>
      <c r="AF90" s="23"/>
      <c r="AG90" s="23"/>
      <c r="AH90" s="23"/>
      <c r="AI90" s="23"/>
      <c r="AJ90" s="23"/>
      <c r="AK90" s="23"/>
      <c r="AL90" s="23"/>
      <c r="AM90" s="23"/>
      <c r="AN90" s="23"/>
      <c r="AO90" s="23"/>
      <c r="AP90" s="23"/>
      <c r="AQ90" s="23"/>
      <c r="AR90" s="23"/>
      <c r="AS90" s="23"/>
      <c r="AT90" s="23"/>
    </row>
    <row r="91" spans="1:46" ht="36.75" customHeight="1">
      <c r="A91" s="23"/>
      <c r="B91" s="247"/>
      <c r="C91" s="221" t="s">
        <v>3902</v>
      </c>
      <c r="D91" s="310"/>
      <c r="E91" s="37" t="str">
        <f>IF(C90="Challenge prompt","#3",IF(C90="Anvil prompt","",IF(C90="Swap hero prompt","",IF(C90="Reroll class prompt","",IF(C90="Text prompt","","#3")))))</f>
        <v>#3</v>
      </c>
      <c r="F91" s="236"/>
      <c r="G91" s="37" t="str">
        <f>IF(C90="Challenge prompt","#8",IF(C90="Anvil prompt","",IF(C90="Swap hero prompt","",IF(C90="Reroll class prompt","",IF(C90="Text prompt","","#8")))))</f>
        <v>#8</v>
      </c>
      <c r="H91" s="236"/>
      <c r="I91" s="310"/>
      <c r="J91" s="37" t="str">
        <f>IF(C90="Challenge prompt","#3",IF(C90="Anvil prompt","",IF(C90="Swap hero prompt","",IF(C90="Reroll class prompt","",IF(C90="Text prompt","","#13")))))</f>
        <v>#13</v>
      </c>
      <c r="K91" s="236"/>
      <c r="L91" s="37" t="str">
        <f>IF(C90="Challenge prompt","#8",IF(C90="Anvil prompt","",IF(C90="Swap hero prompt","",IF(C90="Reroll class prompt","",IF(C90="Text prompt","","#18")))))</f>
        <v>#18</v>
      </c>
      <c r="M91" s="236"/>
      <c r="N91" s="23"/>
      <c r="O91" s="23"/>
      <c r="P91" s="23"/>
      <c r="Q91" s="23"/>
      <c r="R91" s="23"/>
      <c r="S91" s="23"/>
      <c r="T91" s="235" t="str">
        <f t="array" ref="T91">IF(AND(F91&lt;&gt;"",$C$90="Level-up prompt"),"{am:1,cd:[{n:"&amp;F91&amp;",t:Levelup}]}",IF(AND(F91&lt;&gt;"",$C$90="Item prompt"),"{am:1,cd:[{n:"&amp;F91&amp;",t:Item}]}",IF(AND(F91&lt;&gt;"",$C$90="Modifier prompt"),"{am:1,cd:[{n:"&amp;MAP(F91,LAMBDA(x,IFERROR(INDEX('HIDDEN Hidden Helpsheet'!$D$3:$D$850,MATCH(x,'HIDDEN Hidden Helpsheet'!$B$3:$B$850,0)),"")))&amp;",t:Modifier}]}",IF(AND($C$90="Challenge prompt",F91&lt;&gt;""),"\\\"""&amp;MAP(F91,LAMBDA(x,IFERROR(INDEX('HIDDEN Hidden Helpsheet'!$M$3:$M$850,MATCH(x,'HIDDEN Hidden Helpsheet'!$L$3:$L$850,0)),"")))&amp;"\\\""",""))))</f>
        <v/>
      </c>
      <c r="U91" s="235"/>
      <c r="V91" s="235" t="str">
        <f t="array" ref="V91">IF(AND(H91&lt;&gt;"",$C$90="Level-up prompt"),"{am:1,cd:[{n:"&amp;H91&amp;",t:Levelup}]}",IF(AND(H91&lt;&gt;"",$C$90="Item prompt"),"{am:1,cd:[{n:"&amp;H91&amp;",t:Item}]}",IF(AND(H91&lt;&gt;"",$C$90="Modifier prompt"),"{am:1,cd:[{n:"&amp;MAP(H91,LAMBDA(x,IFERROR(INDEX('HIDDEN Hidden Helpsheet'!$D$3:$D$850,MATCH(x,'HIDDEN Hidden Helpsheet'!$B$3:$B$850,0)),"")))&amp;",t:Modifier}]}",IF(AND($C$90="Challenge prompt",H91&lt;&gt;""),"\\\"""&amp;MAP(H91,LAMBDA(x,IFERROR(INDEX('HIDDEN Hidden Helpsheet'!$M$3:$M$850,MATCH(x,'HIDDEN Hidden Helpsheet'!$L$3:$L$850,0)),"")))&amp;"\\\""",""))))</f>
        <v/>
      </c>
      <c r="W91" s="235"/>
      <c r="X91" s="235"/>
      <c r="Y91" s="235" t="str">
        <f t="array" ref="Y91">IF(AND(K91&lt;&gt;"",$C$90="Level-up prompt"),"{am:1,cd:[{n:"&amp;K91&amp;",t:Levelup}]}",IF(AND(K91&lt;&gt;"",$C$90="Item prompt"),"{am:1,cd:[{n:"&amp;K91&amp;",t:Item}]}",IF(AND(K91&lt;&gt;"",$C$90="Modifier prompt"),"{am:1,cd:[{n:"&amp;MAP(K91,LAMBDA(x,IFERROR(INDEX('HIDDEN Hidden Helpsheet'!$D$3:$D$850,MATCH(x,'HIDDEN Hidden Helpsheet'!$B$3:$B$850,0)),"")))&amp;",t:Modifier}]}",IF(AND($C$90="Challenge prompt",K91&lt;&gt;""),"\\\"""&amp;K91&amp;"\\\""",""))))</f>
        <v/>
      </c>
      <c r="Z91" s="235"/>
      <c r="AA91" s="235" t="str">
        <f t="array" ref="AA91">IF(AND(M91&lt;&gt;"",$C$90="Level-up prompt"),"{am:1,cd:[{n:"&amp;M91&amp;",t:Levelup}]}",IF(AND(M91&lt;&gt;"",$C$90="Item prompt"),"{am:1,cd:[{n:"&amp;M91&amp;",t:Item}]}",IF(AND(M91&lt;&gt;"",$C$90="Modifier prompt"),"{am:1,cd:[{n:"&amp;MAP(M91,LAMBDA(x,IFERROR(INDEX('HIDDEN Hidden Helpsheet'!$D$3:$D$850,MATCH(x,'HIDDEN Hidden Helpsheet'!$B$3:$B$850,0)),"")))&amp;",t:Modifier}]}",IF(AND($C$90="Challenge prompt",M91&lt;&gt;""),"\\\"""&amp;M91&amp;"\\\""",""))))</f>
        <v/>
      </c>
      <c r="AB91" s="235" t="str">
        <f t="array" ref="AB91">IF(AND(N91&lt;&gt;"",$C$90="Level-up prompt"),"{am:1,cd:[{n:"&amp;N91&amp;",t:Levelup}]}",IF(AND(N91&lt;&gt;"",$C$90="Item prompt"),"{am:1,cd:[{n:"&amp;N91&amp;",t:Item}]}",IF(AND(N91&lt;&gt;"",$C$90="Modifier prompt"),"{am:1,cd:[{n:"&amp;MAP(N91,LAMBDA(x,IFERROR(INDEX('HIDDEN Hidden Helpsheet'!$D$3:$D$850,MATCH(x,'HIDDEN Hidden Helpsheet'!$B$3:$B$850,0)),"")))&amp;",t:Modifier}]}",IF(AND($C$90="Challenge prompt",N91&lt;&gt;""),"\\\"""&amp;MAP(N91,LAMBDA(x,IFERROR(INDEX('HIDDEN Hidden Helpsheet'!$M$3:$M$850,MATCH(x,'HIDDEN Hidden Helpsheet'!$L$3:$L$850,0)),"")))&amp;"\\\""",""))))</f>
        <v/>
      </c>
      <c r="AC91" s="23"/>
      <c r="AD91" s="23" t="str">
        <f>IF(OR(C90="Level-up prompt",C90="Item prompt",C90="Modifier prompt"),"Point-buy prompt","")</f>
        <v>Point-buy prompt</v>
      </c>
      <c r="AE91" s="23"/>
      <c r="AF91" s="23"/>
      <c r="AG91" s="23"/>
      <c r="AH91" s="23"/>
      <c r="AI91" s="23"/>
      <c r="AJ91" s="23"/>
      <c r="AK91" s="23"/>
      <c r="AL91" s="23"/>
      <c r="AM91" s="23"/>
      <c r="AN91" s="23"/>
      <c r="AO91" s="23"/>
      <c r="AP91" s="23"/>
      <c r="AQ91" s="23"/>
      <c r="AR91" s="23"/>
      <c r="AS91" s="23"/>
      <c r="AT91" s="23"/>
    </row>
    <row r="92" spans="1:46" ht="36.75" customHeight="1">
      <c r="A92" s="23"/>
      <c r="B92" s="247"/>
      <c r="C92" s="23"/>
      <c r="D92" s="310"/>
      <c r="E92" s="37" t="str">
        <f>IF(C90="Challenge prompt","#4",IF(C90="Anvil prompt","",IF(C90="Swap hero prompt","",IF(C90="Reroll class prompt","",IF(C90="Text prompt","","#4")))))</f>
        <v>#4</v>
      </c>
      <c r="F92" s="236"/>
      <c r="G92" s="37" t="str">
        <f>IF(C90="Challenge prompt","#9",IF(C90="Anvil prompt","",IF(C90="Swap hero prompt","",IF(C90="Reroll class prompt","",IF(C90="Text prompt","","#9")))))</f>
        <v>#9</v>
      </c>
      <c r="H92" s="236"/>
      <c r="I92" s="310"/>
      <c r="J92" s="37" t="str">
        <f>IF(C90="Challenge prompt","#4",IF(C90="Anvil prompt","",IF(C90="Swap hero prompt","",IF(C90="Reroll class prompt","",IF(C90="Text prompt","","#14")))))</f>
        <v>#14</v>
      </c>
      <c r="K92" s="236"/>
      <c r="L92" s="37" t="str">
        <f>IF(C90="Challenge prompt","#9",IF(C90="Anvil prompt","",IF(C90="Swap hero prompt","",IF(C90="Reroll class prompt","",IF(C90="Text prompt","","#19")))))</f>
        <v>#19</v>
      </c>
      <c r="M92" s="236"/>
      <c r="N92" s="23"/>
      <c r="O92" s="23"/>
      <c r="P92" s="23"/>
      <c r="Q92" s="23"/>
      <c r="R92" s="23"/>
      <c r="S92" s="23"/>
      <c r="T92" s="235" t="str">
        <f t="array" ref="T92">IF(AND(F92&lt;&gt;"",$C$90="Level-up prompt"),"{am:1,cd:[{n:"&amp;F92&amp;",t:Levelup}]}",IF(AND(F92&lt;&gt;"",$C$90="Item prompt"),"{am:1,cd:[{n:"&amp;F92&amp;",t:Item}]}",IF(AND(F92&lt;&gt;"",$C$90="Modifier prompt"),"{am:1,cd:[{n:"&amp;MAP(F92,LAMBDA(x,IFERROR(INDEX('HIDDEN Hidden Helpsheet'!$D$3:$D$850,MATCH(x,'HIDDEN Hidden Helpsheet'!$B$3:$B$850,0)),"")))&amp;",t:Modifier}]}",IF(AND($C$90="Challenge prompt",F92&lt;&gt;""),"\\\"""&amp;MAP(F92,LAMBDA(x,IFERROR(INDEX('HIDDEN Hidden Helpsheet'!$M$3:$M$850,MATCH(x,'HIDDEN Hidden Helpsheet'!$L$3:$L$850,0)),"")))&amp;"\\\""",""))))</f>
        <v/>
      </c>
      <c r="U92" s="235"/>
      <c r="V92" s="235" t="str">
        <f t="array" ref="V92">IF(AND(H92&lt;&gt;"",$C$90="Level-up prompt"),"{am:1,cd:[{n:"&amp;H92&amp;",t:Levelup}]}",IF(AND(H92&lt;&gt;"",$C$90="Item prompt"),"{am:1,cd:[{n:"&amp;H92&amp;",t:Item}]}",IF(AND(H92&lt;&gt;"",$C$90="Modifier prompt"),"{am:1,cd:[{n:"&amp;MAP(H92,LAMBDA(x,IFERROR(INDEX('HIDDEN Hidden Helpsheet'!$D$3:$D$850,MATCH(x,'HIDDEN Hidden Helpsheet'!$B$3:$B$850,0)),"")))&amp;",t:Modifier}]}",IF(AND($C$90="Challenge prompt",H92&lt;&gt;""),"\\\"""&amp;MAP(H92,LAMBDA(x,IFERROR(INDEX('HIDDEN Hidden Helpsheet'!$M$3:$M$850,MATCH(x,'HIDDEN Hidden Helpsheet'!$L$3:$L$850,0)),"")))&amp;"\\\""",""))))</f>
        <v/>
      </c>
      <c r="W92" s="235"/>
      <c r="X92" s="235"/>
      <c r="Y92" s="235" t="str">
        <f t="array" ref="Y92">IF(AND(K92&lt;&gt;"",$C$90="Level-up prompt"),"{am:1,cd:[{n:"&amp;K92&amp;",t:Levelup}]}",IF(AND(K92&lt;&gt;"",$C$90="Item prompt"),"{am:1,cd:[{n:"&amp;K92&amp;",t:Item}]}",IF(AND(K92&lt;&gt;"",$C$90="Modifier prompt"),"{am:1,cd:[{n:"&amp;MAP(K92,LAMBDA(x,IFERROR(INDEX('HIDDEN Hidden Helpsheet'!$D$3:$D$850,MATCH(x,'HIDDEN Hidden Helpsheet'!$B$3:$B$850,0)),"")))&amp;",t:Modifier}]}",IF(AND($C$90="Challenge prompt",K92&lt;&gt;""),"\\\"""&amp;K92&amp;"\\\""",""))))</f>
        <v/>
      </c>
      <c r="Z92" s="235"/>
      <c r="AA92" s="235" t="str">
        <f t="array" ref="AA92">IF(AND(M92&lt;&gt;"",$C$90="Level-up prompt"),"{am:1,cd:[{n:"&amp;M92&amp;",t:Levelup}]}",IF(AND(M92&lt;&gt;"",$C$90="Item prompt"),"{am:1,cd:[{n:"&amp;M92&amp;",t:Item}]}",IF(AND(M92&lt;&gt;"",$C$90="Modifier prompt"),"{am:1,cd:[{n:"&amp;MAP(M92,LAMBDA(x,IFERROR(INDEX('HIDDEN Hidden Helpsheet'!$D$3:$D$850,MATCH(x,'HIDDEN Hidden Helpsheet'!$B$3:$B$850,0)),"")))&amp;",t:Modifier}]}",IF(AND($C$90="Challenge prompt",M92&lt;&gt;""),"\\\"""&amp;M92&amp;"\\\""",""))))</f>
        <v/>
      </c>
      <c r="AB92" s="235" t="str">
        <f t="array" ref="AB92">IF(AND(N92&lt;&gt;"",$C$90="Level-up prompt"),"{am:1,cd:[{n:"&amp;N92&amp;",t:Levelup}]}",IF(AND(N92&lt;&gt;"",$C$90="Item prompt"),"{am:1,cd:[{n:"&amp;N92&amp;",t:Item}]}",IF(AND(N92&lt;&gt;"",$C$90="Modifier prompt"),"{am:1,cd:[{n:"&amp;MAP(N92,LAMBDA(x,IFERROR(INDEX('HIDDEN Hidden Helpsheet'!$D$3:$D$850,MATCH(x,'HIDDEN Hidden Helpsheet'!$B$3:$B$850,0)),"")))&amp;",t:Modifier}]}",IF(AND($C$90="Challenge prompt",N92&lt;&gt;""),"\\\"""&amp;MAP(N92,LAMBDA(x,IFERROR(INDEX('HIDDEN Hidden Helpsheet'!$M$3:$M$850,MATCH(x,'HIDDEN Hidden Helpsheet'!$L$3:$L$850,0)),"")))&amp;"\\\""",""))))</f>
        <v/>
      </c>
      <c r="AC92" s="23"/>
      <c r="AD92" s="23" t="str">
        <f>IF(OR(C90="Level-up prompt",C90="Item prompt",C90="Modifier prompt"),"Optional prompt","")</f>
        <v>Optional prompt</v>
      </c>
      <c r="AE92" s="23"/>
      <c r="AF92" s="23"/>
      <c r="AG92" s="23"/>
      <c r="AH92" s="23"/>
      <c r="AI92" s="23"/>
      <c r="AJ92" s="23"/>
      <c r="AK92" s="23"/>
      <c r="AL92" s="23"/>
      <c r="AM92" s="23"/>
      <c r="AN92" s="23"/>
      <c r="AO92" s="23"/>
      <c r="AP92" s="23"/>
      <c r="AQ92" s="23"/>
      <c r="AR92" s="23"/>
      <c r="AS92" s="23"/>
      <c r="AT92" s="23"/>
    </row>
    <row r="93" spans="1:46" ht="36.75" customHeight="1">
      <c r="A93" s="23"/>
      <c r="B93" s="247"/>
      <c r="C93" s="23"/>
      <c r="D93" s="311"/>
      <c r="E93" s="37" t="str">
        <f>IF(C90="Challenge prompt","#5",IF(C90="Anvil prompt","",IF(C90="Swap hero prompt","",IF(C90="Reroll class prompt","",IF(C90="Text prompt","","#5")))))</f>
        <v>#5</v>
      </c>
      <c r="F93" s="236"/>
      <c r="G93" s="37" t="str">
        <f>IF(C90="Challenge prompt","#10",IF(C90="Anvil prompt","",IF(C90="Swap hero prompt","",IF(C90="Reroll class prompt","",IF(C90="Text prompt","","#10")))))</f>
        <v>#10</v>
      </c>
      <c r="H93" s="236"/>
      <c r="I93" s="311"/>
      <c r="J93" s="37" t="str">
        <f>IF(C90="Challenge prompt","#5",IF(C90="Anvil prompt","",IF(C90="Swap hero prompt","",IF(C90="Reroll class prompt","",IF(C90="Text prompt","","#15")))))</f>
        <v>#15</v>
      </c>
      <c r="K93" s="236"/>
      <c r="L93" s="37" t="str">
        <f>IF(C90="Challenge prompt","#10",IF(C90="Anvil prompt","",IF(C90="Swap hero prompt","",IF(C90="Reroll class prompt","",IF(C90="Text prompt","","#20")))))</f>
        <v>#20</v>
      </c>
      <c r="M93" s="236"/>
      <c r="N93" s="23"/>
      <c r="O93" s="23"/>
      <c r="P93" s="23"/>
      <c r="Q93" s="23"/>
      <c r="R93" s="23"/>
      <c r="S93" s="23"/>
      <c r="T93" s="235" t="str">
        <f t="array" ref="T93">IF(AND(F93&lt;&gt;"",$C$90="Level-up prompt"),"{am:1,cd:[{n:"&amp;F93&amp;",t:Levelup}]}",IF(AND(F93&lt;&gt;"",$C$90="Item prompt"),"{am:1,cd:[{n:"&amp;F93&amp;",t:Item}]}",IF(AND(F93&lt;&gt;"",$C$90="Modifier prompt"),"{am:1,cd:[{n:"&amp;MAP(F93,LAMBDA(x,IFERROR(INDEX('HIDDEN Hidden Helpsheet'!$D$3:$D$850,MATCH(x,'HIDDEN Hidden Helpsheet'!$B$3:$B$850,0)),"")))&amp;",t:Modifier}]}",IF(AND($C$90="Challenge prompt",F93&lt;&gt;""),"\\\"""&amp;MAP(F93,LAMBDA(x,IFERROR(INDEX('HIDDEN Hidden Helpsheet'!$M$3:$M$850,MATCH(x,'HIDDEN Hidden Helpsheet'!$L$3:$L$850,0)),"")))&amp;"\\\""",""))))</f>
        <v/>
      </c>
      <c r="U93" s="235"/>
      <c r="V93" s="235" t="str">
        <f t="array" ref="V93">IF(AND(H93&lt;&gt;"",$C$90="Level-up prompt"),"{am:1,cd:[{n:"&amp;H93&amp;",t:Levelup}]}",IF(AND(H93&lt;&gt;"",$C$90="Item prompt"),"{am:1,cd:[{n:"&amp;H93&amp;",t:Item}]}",IF(AND(H93&lt;&gt;"",$C$90="Modifier prompt"),"{am:1,cd:[{n:"&amp;MAP(H93,LAMBDA(x,IFERROR(INDEX('HIDDEN Hidden Helpsheet'!$D$3:$D$850,MATCH(x,'HIDDEN Hidden Helpsheet'!$B$3:$B$850,0)),"")))&amp;",t:Modifier}]}",IF(AND($C$90="Challenge prompt",H93&lt;&gt;""),"\\\"""&amp;MAP(H93,LAMBDA(x,IFERROR(INDEX('HIDDEN Hidden Helpsheet'!$M$3:$M$850,MATCH(x,'HIDDEN Hidden Helpsheet'!$L$3:$L$850,0)),"")))&amp;"\\\""",""))))</f>
        <v/>
      </c>
      <c r="W93" s="235"/>
      <c r="X93" s="235"/>
      <c r="Y93" s="235" t="str">
        <f t="array" ref="Y93">IF(AND(K93&lt;&gt;"",$C$90="Level-up prompt"),"{am:1,cd:[{n:"&amp;K93&amp;",t:Levelup}]}",IF(AND(K93&lt;&gt;"",$C$90="Item prompt"),"{am:1,cd:[{n:"&amp;K93&amp;",t:Item}]}",IF(AND(K93&lt;&gt;"",$C$90="Modifier prompt"),"{am:1,cd:[{n:"&amp;MAP(K93,LAMBDA(x,IFERROR(INDEX('HIDDEN Hidden Helpsheet'!$D$3:$D$850,MATCH(x,'HIDDEN Hidden Helpsheet'!$B$3:$B$850,0)),"")))&amp;",t:Modifier}]}",IF(AND($C$90="Challenge prompt",K93&lt;&gt;""),"\\\"""&amp;K93&amp;"\\\""",""))))</f>
        <v/>
      </c>
      <c r="Z93" s="235"/>
      <c r="AA93" s="235" t="str">
        <f t="array" ref="AA93">IF(AND(M93&lt;&gt;"",$C$90="Level-up prompt"),"{am:1,cd:[{n:"&amp;M93&amp;",t:Levelup}]}",IF(AND(M93&lt;&gt;"",$C$90="Item prompt"),"{am:1,cd:[{n:"&amp;M93&amp;",t:Item}]}",IF(AND(M93&lt;&gt;"",$C$90="Modifier prompt"),"{am:1,cd:[{n:"&amp;MAP(M93,LAMBDA(x,IFERROR(INDEX('HIDDEN Hidden Helpsheet'!$D$3:$D$850,MATCH(x,'HIDDEN Hidden Helpsheet'!$B$3:$B$850,0)),"")))&amp;",t:Modifier}]}",IF(AND($C$90="Challenge prompt",M93&lt;&gt;""),"\\\"""&amp;M93&amp;"\\\""",""))))</f>
        <v/>
      </c>
      <c r="AB93" s="235" t="str">
        <f t="array" ref="AB93">IF(AND(N93&lt;&gt;"",$C$90="Level-up prompt"),"{am:1,cd:[{n:"&amp;N93&amp;",t:Levelup}]}",IF(AND(N93&lt;&gt;"",$C$90="Item prompt"),"{am:1,cd:[{n:"&amp;N93&amp;",t:Item}]}",IF(AND(N93&lt;&gt;"",$C$90="Modifier prompt"),"{am:1,cd:[{n:"&amp;MAP(N93,LAMBDA(x,IFERROR(INDEX('HIDDEN Hidden Helpsheet'!$D$3:$D$850,MATCH(x,'HIDDEN Hidden Helpsheet'!$B$3:$B$850,0)),"")))&amp;",t:Modifier}]}",IF(AND($C$90="Challenge prompt",N93&lt;&gt;""),"\\\"""&amp;MAP(N93,LAMBDA(x,IFERROR(INDEX('HIDDEN Hidden Helpsheet'!$M$3:$M$850,MATCH(x,'HIDDEN Hidden Helpsheet'!$L$3:$L$850,0)),"")))&amp;"\\\""",""))))</f>
        <v/>
      </c>
      <c r="AC93" s="23"/>
      <c r="AD93" s="23"/>
      <c r="AE93" s="23"/>
      <c r="AF93" s="23"/>
      <c r="AG93" s="23"/>
      <c r="AH93" s="23"/>
      <c r="AI93" s="23"/>
      <c r="AJ93" s="23"/>
      <c r="AK93" s="23"/>
      <c r="AL93" s="23"/>
      <c r="AM93" s="23"/>
      <c r="AN93" s="23"/>
      <c r="AO93" s="23"/>
      <c r="AP93" s="23"/>
      <c r="AQ93" s="23"/>
      <c r="AR93" s="23"/>
      <c r="AS93" s="23"/>
      <c r="AT93" s="23"/>
    </row>
    <row r="94" spans="1:46">
      <c r="A94" s="23"/>
      <c r="B94" s="247"/>
      <c r="C94" s="23"/>
      <c r="D94" s="23"/>
      <c r="E94" s="5"/>
      <c r="F94" s="248"/>
      <c r="G94" s="5"/>
      <c r="H94" s="248"/>
      <c r="I94" s="5"/>
      <c r="J94" s="5"/>
      <c r="K94" s="248"/>
      <c r="L94" s="5"/>
      <c r="M94" s="248"/>
      <c r="N94" s="5"/>
      <c r="O94" s="5"/>
      <c r="P94" s="5"/>
      <c r="Q94" s="5"/>
      <c r="R94" s="5"/>
      <c r="S94" s="5"/>
      <c r="T94" s="5"/>
      <c r="U94" s="5"/>
      <c r="V94" s="5"/>
      <c r="W94" s="5"/>
      <c r="X94" s="5"/>
      <c r="Y94" s="5"/>
      <c r="Z94" s="5"/>
      <c r="AA94" s="5"/>
      <c r="AB94" s="5"/>
      <c r="AC94" s="5"/>
      <c r="AD94" s="5"/>
      <c r="AE94" s="23"/>
      <c r="AF94" s="23"/>
      <c r="AG94" s="23"/>
      <c r="AH94" s="23"/>
      <c r="AI94" s="23"/>
      <c r="AJ94" s="23"/>
      <c r="AK94" s="23"/>
      <c r="AL94" s="23"/>
      <c r="AM94" s="23"/>
      <c r="AN94" s="23"/>
      <c r="AO94" s="23"/>
      <c r="AP94" s="23"/>
      <c r="AQ94" s="23"/>
      <c r="AR94" s="23"/>
      <c r="AS94" s="23"/>
      <c r="AT94" s="23"/>
    </row>
    <row r="95" spans="1:46">
      <c r="A95" s="23"/>
      <c r="B95" s="247"/>
      <c r="C95" s="23"/>
      <c r="D95" s="337" t="str">
        <f>IF(AND(C90="Level-up prompt",C91="Quantity prompt"),"Number of level-up player must take:",IF(AND(C90="Item prompt",C91="Quantity prompt"),"Number of items player must take:",IF(AND(C90="Modifier prompt",C91="Quantity prompt"),"Number of modifiers player must take:",IF(AND(OR(C90="Level-up prompt",C90="Item prompt",C90="Modifier prompt"),C91="Point-buy prompt"),"Total value the player picks must add up to proceed (Can go below if it is a negative number):",IF(AND(OR(C90="Level-up prompt",C90="Item prompt",C90="Modifier prompt"),C91="Optional prompt"),"Optional prompt (Number doesn't matter):","")))))</f>
        <v>Number of level-up player must take:</v>
      </c>
      <c r="E95" s="305"/>
      <c r="F95" s="305"/>
      <c r="G95" s="305"/>
      <c r="H95" s="305"/>
      <c r="I95" s="305"/>
      <c r="J95" s="305"/>
      <c r="K95" s="306"/>
      <c r="L95" s="236" t="s">
        <v>3905</v>
      </c>
      <c r="M95" s="23"/>
      <c r="N95" s="23"/>
      <c r="O95" s="23"/>
      <c r="P95" s="23"/>
      <c r="Q95" s="23"/>
      <c r="R95" s="23"/>
      <c r="S95" s="23"/>
      <c r="T95" s="23" t="str">
        <f>IF(C91="Quantity prompt",",ct:{cs:Number,v:"&amp;L95&amp;"}}\""",IF(C91="Point-buy prompt",",ct:{cs:PointBuy,v:"&amp;L95&amp;"}}\""",IF(C91="Optional prompt",",ct:{cs:Optional,v:1"&amp;"}}\""","")))</f>
        <v>,ct:{cs:Number,v:-1}}\"</v>
      </c>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row>
    <row r="96" spans="1:46" ht="36.75" customHeight="1">
      <c r="A96" s="23"/>
      <c r="B96" s="247"/>
      <c r="C96" s="5"/>
      <c r="D96" s="5"/>
      <c r="E96" s="248"/>
      <c r="F96" s="5"/>
      <c r="G96" s="5"/>
      <c r="H96" s="5"/>
      <c r="I96" s="5"/>
      <c r="J96" s="5"/>
      <c r="K96" s="5"/>
      <c r="L96" s="5"/>
      <c r="M96" s="5"/>
      <c r="N96" s="5"/>
      <c r="O96" s="23"/>
      <c r="P96" s="23"/>
      <c r="Q96" s="23"/>
      <c r="R96" s="23"/>
      <c r="S96" s="23"/>
      <c r="T96" s="23"/>
      <c r="U96" s="23"/>
      <c r="V96" s="23"/>
      <c r="W96" s="23"/>
      <c r="X96" s="23"/>
      <c r="Y96" s="23"/>
      <c r="Z96" s="23"/>
      <c r="AA96" s="23"/>
      <c r="AB96" s="23"/>
      <c r="AC96" s="235"/>
      <c r="AD96" s="23"/>
      <c r="AE96" s="23"/>
      <c r="AF96" s="23"/>
      <c r="AG96" s="23"/>
      <c r="AH96" s="23"/>
      <c r="AI96" s="23"/>
      <c r="AJ96" s="23"/>
      <c r="AK96" s="23"/>
      <c r="AL96" s="23"/>
      <c r="AM96" s="23"/>
      <c r="AN96" s="23"/>
      <c r="AO96" s="23"/>
      <c r="AP96" s="23"/>
      <c r="AQ96" s="23"/>
      <c r="AR96" s="23"/>
      <c r="AS96" s="23"/>
      <c r="AT96" s="23"/>
    </row>
    <row r="97" spans="1:46" ht="36.75" customHeight="1">
      <c r="A97" s="23"/>
      <c r="B97" s="247"/>
      <c r="C97" s="5"/>
      <c r="D97" s="5"/>
      <c r="E97" s="248"/>
      <c r="F97" s="5"/>
      <c r="G97" s="5"/>
      <c r="H97" s="5"/>
      <c r="I97" s="5"/>
      <c r="J97" s="5"/>
      <c r="K97" s="5"/>
      <c r="L97" s="5"/>
      <c r="M97" s="5"/>
      <c r="N97" s="5"/>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row>
    <row r="98" spans="1:46" ht="36.75" customHeight="1">
      <c r="A98" s="23"/>
      <c r="B98" s="247"/>
      <c r="C98" s="5"/>
      <c r="D98" s="5"/>
      <c r="E98" s="248"/>
      <c r="F98" s="5"/>
      <c r="G98" s="5"/>
      <c r="H98" s="5"/>
      <c r="I98" s="5"/>
      <c r="J98" s="5"/>
      <c r="K98" s="5"/>
      <c r="L98" s="5"/>
      <c r="M98" s="5"/>
      <c r="N98" s="5"/>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row>
    <row r="99" spans="1:46" ht="36.75" customHeight="1">
      <c r="A99" s="23"/>
      <c r="B99" s="247"/>
      <c r="C99" s="5"/>
      <c r="D99" s="5"/>
      <c r="E99" s="248"/>
      <c r="F99" s="5"/>
      <c r="G99" s="5"/>
      <c r="H99" s="5"/>
      <c r="I99" s="5"/>
      <c r="J99" s="5"/>
      <c r="K99" s="5"/>
      <c r="L99" s="5"/>
      <c r="M99" s="5"/>
      <c r="N99" s="5"/>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row>
    <row r="100" spans="1:46" ht="36.75" customHeight="1">
      <c r="A100" s="23"/>
      <c r="B100" s="247"/>
      <c r="C100" s="5"/>
      <c r="D100" s="5"/>
      <c r="E100" s="248"/>
      <c r="F100" s="5"/>
      <c r="G100" s="5"/>
      <c r="H100" s="5"/>
      <c r="I100" s="5"/>
      <c r="J100" s="5"/>
      <c r="K100" s="5"/>
      <c r="L100" s="5"/>
      <c r="M100" s="5"/>
      <c r="N100" s="5"/>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row>
    <row r="101" spans="1:46">
      <c r="A101" s="23"/>
      <c r="B101" s="247"/>
      <c r="C101" s="5"/>
      <c r="D101" s="353"/>
      <c r="E101" s="302"/>
      <c r="F101" s="302"/>
      <c r="G101" s="302"/>
      <c r="H101" s="302"/>
      <c r="I101" s="302"/>
      <c r="J101" s="302"/>
      <c r="K101" s="302"/>
      <c r="L101" s="248"/>
      <c r="M101" s="5"/>
      <c r="N101" s="5"/>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row>
    <row r="102" spans="1:46">
      <c r="A102" s="23"/>
      <c r="B102" s="247"/>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row>
    <row r="103" spans="1:46">
      <c r="A103" s="23"/>
      <c r="B103" s="247"/>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row>
    <row r="104" spans="1:46">
      <c r="A104" s="23"/>
      <c r="B104" s="247"/>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row>
    <row r="105" spans="1:46">
      <c r="A105" s="23"/>
      <c r="B105" s="247"/>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row>
    <row r="106" spans="1:46">
      <c r="A106" s="23"/>
      <c r="B106" s="247"/>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row>
    <row r="107" spans="1:46">
      <c r="A107" s="23"/>
      <c r="B107" s="247"/>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row>
    <row r="108" spans="1:46">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row>
    <row r="109" spans="1:46">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row>
    <row r="110" spans="1:46">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row>
    <row r="111" spans="1:46">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row>
    <row r="112" spans="1:46">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row>
    <row r="113" spans="1:46">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row>
    <row r="114" spans="1:46">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row>
    <row r="115" spans="1:46">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row>
    <row r="116" spans="1:4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row>
    <row r="117" spans="1:46">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row>
    <row r="118" spans="1:46">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row>
    <row r="119" spans="1:46">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row>
    <row r="120" spans="1:46">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row>
    <row r="121" spans="1:46">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row>
    <row r="122" spans="1:46">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row>
    <row r="123" spans="1:46">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row>
    <row r="124" spans="1:46">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row>
    <row r="125" spans="1:46">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row>
    <row r="126" spans="1:4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row>
    <row r="127" spans="1:46">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row>
    <row r="128" spans="1:46">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row>
    <row r="129" spans="1:46">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row>
    <row r="130" spans="1:46">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row>
    <row r="131" spans="1:46">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row>
    <row r="132" spans="1:46">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row>
    <row r="133" spans="1:46">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row>
    <row r="134" spans="1:46">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row>
    <row r="135" spans="1:46">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row>
    <row r="136" spans="1:4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row>
    <row r="137" spans="1:46">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row>
    <row r="138" spans="1:46">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row>
    <row r="139" spans="1:46">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row>
    <row r="140" spans="1:46">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row>
    <row r="141" spans="1:46">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row>
    <row r="142" spans="1:46">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row>
    <row r="143" spans="1:46">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row>
    <row r="144" spans="1:46">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row>
    <row r="145" spans="1:46">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row>
  </sheetData>
  <mergeCells count="21">
    <mergeCell ref="B2:C2"/>
    <mergeCell ref="D2:V2"/>
    <mergeCell ref="D4:F4"/>
    <mergeCell ref="D5:E5"/>
    <mergeCell ref="T5:AD5"/>
    <mergeCell ref="D6:E6"/>
    <mergeCell ref="D7:E7"/>
    <mergeCell ref="I81:I85"/>
    <mergeCell ref="AG83:AM84"/>
    <mergeCell ref="D87:K87"/>
    <mergeCell ref="I89:I93"/>
    <mergeCell ref="D95:K95"/>
    <mergeCell ref="D101:K101"/>
    <mergeCell ref="D8:E8"/>
    <mergeCell ref="D9:E9"/>
    <mergeCell ref="D10:E10"/>
    <mergeCell ref="C22:C24"/>
    <mergeCell ref="B45:B47"/>
    <mergeCell ref="B48:C79"/>
    <mergeCell ref="D81:D85"/>
    <mergeCell ref="D89:D93"/>
  </mergeCells>
  <conditionalFormatting sqref="D12:K15">
    <cfRule type="colorScale" priority="1">
      <colorScale>
        <cfvo type="min"/>
        <cfvo type="max"/>
        <color rgb="FF57BB8A"/>
        <color rgb="FFFFFFFF"/>
      </colorScale>
    </cfRule>
  </conditionalFormatting>
  <dataValidations count="8">
    <dataValidation type="list" allowBlank="1" sqref="E46:E79 L46:L79" xr:uid="{00000000-0002-0000-0B00-000000000000}">
      <formula1>"Top side,Left side,Middle side,Right side,Rightmost side,Bottom side"</formula1>
    </dataValidation>
    <dataValidation type="list" allowBlank="1" showErrorMessage="1" sqref="M46:M79" xr:uid="{00000000-0002-0000-0B00-000002000000}">
      <formula1>"True"</formula1>
    </dataValidation>
    <dataValidation type="list" allowBlank="1" showErrorMessage="1" sqref="C83" xr:uid="{00000000-0002-0000-0B00-000004000000}">
      <formula1>$AD$82:$AD$84</formula1>
    </dataValidation>
    <dataValidation type="list" allowBlank="1" showErrorMessage="1" sqref="I46:I79" xr:uid="{00000000-0002-0000-0B00-00000E000000}">
      <formula1>"Hero,Monster,Spell"</formula1>
    </dataValidation>
    <dataValidation type="list" allowBlank="1" showErrorMessage="1" sqref="C82 C90" xr:uid="{00000000-0002-0000-0B00-000010000000}">
      <formula1>"Level-up prompt,Item prompt,Modifier prompt,Challenge prompt,Reroll class prompt,Swap hero prompt,Anvil prompt,Text prompt"</formula1>
    </dataValidation>
    <dataValidation type="list" allowBlank="1" showErrorMessage="1" sqref="F22:F37" xr:uid="{00000000-0002-0000-0B00-000011000000}">
      <formula1>"At full HP,With death penalty"</formula1>
    </dataValidation>
    <dataValidation type="list" allowBlank="1" showErrorMessage="1" sqref="D4" xr:uid="{00000000-0002-0000-0B00-000012000000}">
      <formula1>"Pre-combat,Pre-combat (with prompts),In-combat (one turn only)"</formula1>
    </dataValidation>
    <dataValidation type="list" allowBlank="1" showErrorMessage="1" sqref="C91" xr:uid="{00000000-0002-0000-0B00-000013000000}">
      <formula1>$AD$90:$AD$92</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3">
        <x14:dataValidation type="list" allowBlank="1" showErrorMessage="1" xr:uid="{00000000-0002-0000-0B00-000001000000}">
          <x14:formula1>
            <xm:f>'HIDDEN Hidden Helpsheet'!$D$798:$D$1195</xm:f>
          </x14:formula1>
          <xm:sqref>N22:R31 H32:R37</xm:sqref>
        </x14:dataValidation>
        <x14:dataValidation type="list" allowBlank="1" xr:uid="{00000000-0002-0000-0B00-000003000000}">
          <x14:formula1>
            <xm:f>'HIDDEN Hidden Helpsheet'!$AI$3:$AI$850</xm:f>
          </x14:formula1>
          <xm:sqref>K81:K85 M81:M85</xm:sqref>
        </x14:dataValidation>
        <x14:dataValidation type="list" allowBlank="1" xr:uid="{00000000-0002-0000-0B00-000005000000}">
          <x14:formula1>
            <xm:f>'HIDDEN Hidden Helpsheet'!$AJ$3:$AJ$850</xm:f>
          </x14:formula1>
          <xm:sqref>F89:F93 H89:H93</xm:sqref>
        </x14:dataValidation>
        <x14:dataValidation type="list" allowBlank="1" xr:uid="{00000000-0002-0000-0B00-000006000000}">
          <x14:formula1>
            <xm:f>'HIDDEN Hidden Helpsheet'!$Y$3:$Y$39</xm:f>
          </x14:formula1>
          <xm:sqref>K46:K79</xm:sqref>
        </x14:dataValidation>
        <x14:dataValidation type="list" allowBlank="1" xr:uid="{00000000-0002-0000-0B00-000007000000}">
          <x14:formula1>
            <xm:f>'HIDDEN Hidden Helpsheet'!$Y$3:$Y$35</xm:f>
          </x14:formula1>
          <xm:sqref>J46:J79</xm:sqref>
        </x14:dataValidation>
        <x14:dataValidation type="list" allowBlank="1" showErrorMessage="1" xr:uid="{00000000-0002-0000-0B00-000008000000}">
          <x14:formula1>
            <xm:f>'HIDDEN Hidden Helpsheet'!$B$4:$B$794</xm:f>
          </x14:formula1>
          <xm:sqref>D12:R15</xm:sqref>
        </x14:dataValidation>
        <x14:dataValidation type="list" allowBlank="1" showErrorMessage="1" xr:uid="{00000000-0002-0000-0B00-000009000000}">
          <x14:formula1>
            <xm:f>'HIDDEN Hidden Helpsheet'!$K$4:$L$74</xm:f>
          </x14:formula1>
          <xm:sqref>I39 E39:E43 G39:G43</xm:sqref>
        </x14:dataValidation>
        <x14:dataValidation type="list" allowBlank="1" xr:uid="{00000000-0002-0000-0B00-00000A000000}">
          <x14:formula1>
            <xm:f>'HIDDEN Hidden Helpsheet'!$AK$3:$AK$850</xm:f>
          </x14:formula1>
          <xm:sqref>K89:K93 M89:M93</xm:sqref>
        </x14:dataValidation>
        <x14:dataValidation type="list" allowBlank="1" showErrorMessage="1" xr:uid="{00000000-0002-0000-0B00-00000B000000}">
          <x14:formula1>
            <xm:f>'HIDDEN Hidden Helpsheet'!$E$4:$E$358</xm:f>
          </x14:formula1>
          <xm:sqref>D17:R20 H22:M31</xm:sqref>
        </x14:dataValidation>
        <x14:dataValidation type="list" allowBlank="1" xr:uid="{00000000-0002-0000-0B00-00000C000000}">
          <x14:formula1>
            <xm:f>'HIDDEN Hidden Helpsheet'!$AH$3:$AH$850</xm:f>
          </x14:formula1>
          <xm:sqref>F81:F85 H81:H85</xm:sqref>
        </x14:dataValidation>
        <x14:dataValidation type="list" allowBlank="1" xr:uid="{00000000-0002-0000-0B00-00000D000000}">
          <x14:formula1>
            <xm:f>'HIDDEN Hidden Helpsheet'!$F$798:$F$987</xm:f>
          </x14:formula1>
          <xm:sqref>E32:E37</xm:sqref>
        </x14:dataValidation>
        <x14:dataValidation type="list" allowBlank="1" showErrorMessage="1" xr:uid="{00000000-0002-0000-0B00-00000F000000}">
          <x14:formula1>
            <xm:f>'HIDDEN Hidden Helpsheet'!$K$798:$K$937</xm:f>
          </x14:formula1>
          <xm:sqref>I40:I43 K39:K43 M39:M43</xm:sqref>
        </x14:dataValidation>
        <x14:dataValidation type="list" allowBlank="1" xr:uid="{00000000-0002-0000-0B00-000014000000}">
          <x14:formula1>
            <xm:f>'HIDDEN Hidden Helpsheet'!$F$4:$G$105</xm:f>
          </x14:formula1>
          <xm:sqref>E22:E31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X1004"/>
  <sheetViews>
    <sheetView workbookViewId="0"/>
  </sheetViews>
  <sheetFormatPr defaultColWidth="12.5703125" defaultRowHeight="15.75" customHeight="1"/>
  <cols>
    <col min="1" max="1" width="15.7109375" customWidth="1"/>
    <col min="2" max="2" width="19.5703125" customWidth="1"/>
    <col min="3" max="4" width="18.42578125" customWidth="1"/>
    <col min="5" max="5" width="17.7109375" customWidth="1"/>
    <col min="6" max="6" width="17.28515625" customWidth="1"/>
    <col min="7" max="7" width="17.5703125" customWidth="1"/>
    <col min="8" max="8" width="16.42578125" customWidth="1"/>
    <col min="9" max="9" width="26.28515625" customWidth="1"/>
    <col min="10" max="10" width="17" customWidth="1"/>
    <col min="11" max="24" width="17.85546875" customWidth="1"/>
  </cols>
  <sheetData>
    <row r="1" spans="1:24">
      <c r="A1" s="249" t="s">
        <v>3906</v>
      </c>
      <c r="B1" s="250" t="str">
        <f>"Tier 1 ("&amp;COUNTIF(B2:B28,"&lt;&gt;")&amp;IF(COUNTIF(B2:B28,"&lt;&gt;")=1," blessing)"," blessings)")</f>
        <v>Tier 1 (3 blessings)</v>
      </c>
      <c r="C1" s="251" t="str">
        <f>"Tier 2 ("&amp;COUNTIF(C2:C28,"&lt;&gt;")&amp;IF(COUNTIF(C2:C28,"&lt;&gt;")=1," blessing)"," blessings)")</f>
        <v>Tier 2 (3 blessings)</v>
      </c>
      <c r="D1" s="250" t="str">
        <f>"Tier 3 ("&amp;COUNTIF(D2:D28,"&lt;&gt;")&amp;IF(COUNTIF(D2:D28,"&lt;&gt;")=1," blessing)"," blessings)")</f>
        <v>Tier 3 (8 blessings)</v>
      </c>
      <c r="E1" s="251" t="str">
        <f>"Tier 4 ("&amp;COUNTIF(E2:E28,"&lt;&gt;")&amp;IF(COUNTIF(E2:E28,"&lt;&gt;")=1," blessing)"," blessings)")</f>
        <v>Tier 4 (27 blessings)</v>
      </c>
      <c r="F1" s="250" t="str">
        <f>"Tier 5 ("&amp;COUNTIF(F2:F28,"&lt;&gt;")&amp;IF(COUNTIF(F2:F28,"&lt;&gt;")=1," blessing)"," blessings)")</f>
        <v>Tier 5 (5 blessings)</v>
      </c>
      <c r="G1" s="251" t="str">
        <f>"Tier 6 ("&amp;COUNTIF(G2:G28,"&lt;&gt;")&amp;IF(COUNTIF(G2:G28,"&lt;&gt;")=1," blessing)"," blessings)")</f>
        <v>Tier 6 (8 blessings)</v>
      </c>
      <c r="H1" s="250" t="str">
        <f>"Tier 7 ("&amp;COUNTIF(H2:H28,"&lt;&gt;")&amp;IF(COUNTIF(H2:H28,"&lt;&gt;")=1," blessing)"," blessings)")</f>
        <v>Tier 7 (8 blessings)</v>
      </c>
      <c r="I1" s="251" t="str">
        <f>"Tier 8 ("&amp;COUNTIF(I2:I28,"&lt;&gt;")&amp;IF(COUNTIF(I2:I28,"&lt;&gt;")=1," blessing)"," blessings)")</f>
        <v>Tier 8 (12 blessings)</v>
      </c>
      <c r="J1" s="250" t="str">
        <f>"Tier 9 ("&amp;COUNTIF(J2:J28,"&lt;&gt;")&amp;IF(COUNTIF(J2:J28,"&lt;&gt;")=1," blessing)"," blessings)")</f>
        <v>Tier 9 (2 blessings)</v>
      </c>
      <c r="K1" s="251" t="str">
        <f>"Tier 10 ("&amp;COUNTIF(K2:K28,"&lt;&gt;")&amp;IF(COUNTIF(K2:K28,"&lt;&gt;")=1," blessing)"," blessings)")</f>
        <v>Tier 10 (2 blessings)</v>
      </c>
      <c r="L1" s="250" t="str">
        <f>"Tier 11 ("&amp;COUNTIF(L2:L28,"&lt;&gt;")&amp;IF(COUNTIF(L2:L28,"&lt;&gt;")=1," blessing)"," blessings)")</f>
        <v>Tier 11 (1 blessing)</v>
      </c>
      <c r="M1" s="251" t="str">
        <f>"Tier 12 ("&amp;COUNTIF(M2:M28,"&lt;&gt;")&amp;IF(COUNTIF(M2:M28,"&lt;&gt;")=1," blessing)"," blessings)")</f>
        <v>Tier 12 (4 blessings)</v>
      </c>
      <c r="N1" s="250" t="str">
        <f>"Tier 13 ("&amp;COUNTIF(N2:N28,"&lt;&gt;")&amp;IF(COUNTIF(N2:N28,"&lt;&gt;")=1," blessing)"," blessings)")</f>
        <v>Tier 13 (3 blessings)</v>
      </c>
      <c r="O1" s="251" t="str">
        <f>"Tier 14 ("&amp;COUNTIF(O2:O28,"&lt;&gt;")&amp;IF(COUNTIF(O2:O28,"&lt;&gt;")=1," blessing)"," blessings)")</f>
        <v>Tier 14 (1 blessing)</v>
      </c>
      <c r="P1" s="250" t="str">
        <f>"Tier 15 ("&amp;COUNTIF(P2:P28,"&lt;&gt;")&amp;IF(COUNTIF(P2:P28,"&lt;&gt;")=1," blessing)"," blessings)")</f>
        <v>Tier 15 (1 blessing)</v>
      </c>
      <c r="Q1" s="251" t="str">
        <f>"Tier 16 ("&amp;COUNTIF(Q2:Q28,"&lt;&gt;")&amp;IF(COUNTIF(Q2:Q28,"&lt;&gt;")=1," blessing)"," blessings)")</f>
        <v>Tier 16 (1 blessing)</v>
      </c>
      <c r="R1" s="250" t="str">
        <f>"Tier 18 ("&amp;COUNTIF(R2:R28,"&lt;&gt;")&amp;IF(COUNTIF(R2:R28,"&lt;&gt;")=1," blessing)"," blessings)")</f>
        <v>Tier 18 (1 blessing)</v>
      </c>
      <c r="S1" s="251" t="str">
        <f>"Tier 20 ("&amp;COUNTIF(S2:S28,"&lt;&gt;")&amp;IF(COUNTIF(S2:S28,"&lt;&gt;")=1," blessing)"," blessings)")</f>
        <v>Tier 20 (1 blessing)</v>
      </c>
      <c r="T1" s="250" t="str">
        <f>"Tier 21 ("&amp;COUNTIF(T2:T28,"&lt;&gt;")&amp;IF(COUNTIF(T2:T28,"&lt;&gt;")=1," blessing)"," blessings)")</f>
        <v>Tier 21 (2 blessings)</v>
      </c>
      <c r="U1" s="251" t="str">
        <f>"Tier 22 ("&amp;COUNTIF(U2:U28,"&lt;&gt;")&amp;IF(COUNTIF(U2:U28,"&lt;&gt;")=1," blessing)"," blessings)")</f>
        <v>Tier 22 (1 blessing)</v>
      </c>
      <c r="V1" s="250" t="str">
        <f>"Tier 25 ("&amp;COUNTIF(V2:V28,"&lt;&gt;")&amp;IF(COUNTIF(V2:V28,"&lt;&gt;")=1," blessing)"," blessings)")</f>
        <v>Tier 25 (1 blessing)</v>
      </c>
      <c r="W1" s="251" t="str">
        <f>"Tier 30 ("&amp;COUNTIF(W2:W28,"&lt;&gt;")&amp;IF(COUNTIF(W2:W28,"&lt;&gt;")=1," blessing)"," blessings)")</f>
        <v>Tier 30 (2 blessings)</v>
      </c>
      <c r="X1" s="250" t="str">
        <f>"Tier 200 ("&amp;COUNTIF(X2:X28,"&lt;&gt;")&amp;IF(COUNTIF(X2:X28,"&lt;&gt;")=1," blessing)"," blessings)")</f>
        <v>Tier 200 (1 blessing)</v>
      </c>
    </row>
    <row r="2" spans="1:24">
      <c r="A2" s="141" t="str">
        <f>COUNTIF(B2:X28,"&lt;&gt;")&amp;"/98 blessings"</f>
        <v>98/98 blessings</v>
      </c>
      <c r="B2" s="252" t="s">
        <v>2910</v>
      </c>
      <c r="C2" s="153" t="s">
        <v>2917</v>
      </c>
      <c r="D2" s="253" t="s">
        <v>2923</v>
      </c>
      <c r="E2" s="153" t="s">
        <v>2941</v>
      </c>
      <c r="F2" s="253" t="s">
        <v>2999</v>
      </c>
      <c r="G2" s="153" t="s">
        <v>3008</v>
      </c>
      <c r="H2" s="253" t="s">
        <v>3027</v>
      </c>
      <c r="I2" s="153" t="s">
        <v>3907</v>
      </c>
      <c r="J2" s="253" t="s">
        <v>3063</v>
      </c>
      <c r="K2" s="153" t="s">
        <v>3067</v>
      </c>
      <c r="L2" s="253" t="s">
        <v>3071</v>
      </c>
      <c r="M2" s="153" t="s">
        <v>3075</v>
      </c>
      <c r="N2" s="253" t="s">
        <v>3081</v>
      </c>
      <c r="O2" s="153" t="s">
        <v>3087</v>
      </c>
      <c r="P2" s="253" t="s">
        <v>3089</v>
      </c>
      <c r="Q2" s="153" t="s">
        <v>3091</v>
      </c>
      <c r="R2" s="253" t="s">
        <v>3093</v>
      </c>
      <c r="S2" s="153" t="s">
        <v>3095</v>
      </c>
      <c r="T2" s="253" t="s">
        <v>3097</v>
      </c>
      <c r="U2" s="153" t="s">
        <v>3101</v>
      </c>
      <c r="V2" s="253" t="s">
        <v>3103</v>
      </c>
      <c r="W2" s="153" t="s">
        <v>3105</v>
      </c>
      <c r="X2" s="253" t="s">
        <v>3109</v>
      </c>
    </row>
    <row r="3" spans="1:24">
      <c r="A3" s="193"/>
      <c r="B3" s="252" t="s">
        <v>2913</v>
      </c>
      <c r="C3" s="153" t="s">
        <v>2919</v>
      </c>
      <c r="D3" s="253" t="s">
        <v>2925</v>
      </c>
      <c r="E3" s="153" t="s">
        <v>2944</v>
      </c>
      <c r="F3" s="253" t="s">
        <v>3001</v>
      </c>
      <c r="G3" s="153" t="s">
        <v>3010</v>
      </c>
      <c r="H3" s="253" t="s">
        <v>3029</v>
      </c>
      <c r="I3" s="153" t="s">
        <v>3908</v>
      </c>
      <c r="J3" s="253" t="s">
        <v>3065</v>
      </c>
      <c r="K3" s="153" t="s">
        <v>3069</v>
      </c>
      <c r="L3" s="253"/>
      <c r="M3" s="153" t="s">
        <v>3077</v>
      </c>
      <c r="N3" s="253" t="s">
        <v>3083</v>
      </c>
      <c r="O3" s="153"/>
      <c r="P3" s="253"/>
      <c r="Q3" s="153"/>
      <c r="R3" s="253"/>
      <c r="S3" s="153"/>
      <c r="T3" s="253" t="s">
        <v>3099</v>
      </c>
      <c r="U3" s="153"/>
      <c r="V3" s="253"/>
      <c r="W3" s="153" t="s">
        <v>3107</v>
      </c>
      <c r="X3" s="253"/>
    </row>
    <row r="4" spans="1:24">
      <c r="A4" s="193"/>
      <c r="B4" s="253" t="s">
        <v>2915</v>
      </c>
      <c r="C4" s="153" t="s">
        <v>2921</v>
      </c>
      <c r="D4" s="253" t="s">
        <v>2927</v>
      </c>
      <c r="E4" s="153" t="s">
        <v>2947</v>
      </c>
      <c r="F4" s="253" t="s">
        <v>236</v>
      </c>
      <c r="G4" s="153" t="s">
        <v>3012</v>
      </c>
      <c r="H4" s="253" t="s">
        <v>3031</v>
      </c>
      <c r="I4" s="153" t="s">
        <v>3909</v>
      </c>
      <c r="J4" s="253"/>
      <c r="K4" s="153"/>
      <c r="L4" s="253"/>
      <c r="M4" s="153" t="s">
        <v>3073</v>
      </c>
      <c r="N4" s="253" t="s">
        <v>3085</v>
      </c>
      <c r="O4" s="153"/>
      <c r="P4" s="253"/>
      <c r="Q4" s="153"/>
      <c r="R4" s="253"/>
      <c r="S4" s="153"/>
      <c r="T4" s="253"/>
      <c r="U4" s="153"/>
      <c r="V4" s="253"/>
      <c r="W4" s="153"/>
      <c r="X4" s="253"/>
    </row>
    <row r="5" spans="1:24">
      <c r="A5" s="193"/>
      <c r="B5" s="253"/>
      <c r="C5" s="153"/>
      <c r="D5" s="253" t="s">
        <v>2929</v>
      </c>
      <c r="E5" s="153" t="s">
        <v>2950</v>
      </c>
      <c r="F5" s="253" t="s">
        <v>3004</v>
      </c>
      <c r="G5" s="153" t="s">
        <v>3014</v>
      </c>
      <c r="H5" s="253" t="s">
        <v>3033</v>
      </c>
      <c r="I5" s="153" t="s">
        <v>3910</v>
      </c>
      <c r="J5" s="253"/>
      <c r="K5" s="153"/>
      <c r="L5" s="253"/>
      <c r="M5" s="153" t="s">
        <v>3079</v>
      </c>
      <c r="N5" s="253"/>
      <c r="O5" s="153"/>
      <c r="P5" s="253"/>
      <c r="Q5" s="153"/>
      <c r="R5" s="253"/>
      <c r="S5" s="153"/>
      <c r="T5" s="253"/>
      <c r="U5" s="153"/>
      <c r="V5" s="253"/>
      <c r="W5" s="153"/>
      <c r="X5" s="253"/>
    </row>
    <row r="6" spans="1:24">
      <c r="A6" s="193"/>
      <c r="B6" s="253"/>
      <c r="C6" s="153"/>
      <c r="D6" s="253" t="s">
        <v>2931</v>
      </c>
      <c r="E6" s="153" t="s">
        <v>2953</v>
      </c>
      <c r="F6" s="253" t="s">
        <v>3006</v>
      </c>
      <c r="G6" s="153" t="s">
        <v>3016</v>
      </c>
      <c r="H6" s="253" t="s">
        <v>3035</v>
      </c>
      <c r="I6" s="153" t="s">
        <v>3911</v>
      </c>
      <c r="J6" s="253"/>
      <c r="K6" s="153"/>
      <c r="L6" s="253"/>
      <c r="M6" s="153"/>
      <c r="N6" s="253"/>
      <c r="O6" s="153"/>
      <c r="P6" s="253"/>
      <c r="Q6" s="153"/>
      <c r="R6" s="253"/>
      <c r="S6" s="153"/>
      <c r="T6" s="253"/>
      <c r="U6" s="153"/>
      <c r="V6" s="253"/>
      <c r="W6" s="153"/>
      <c r="X6" s="253"/>
    </row>
    <row r="7" spans="1:24">
      <c r="A7" s="193"/>
      <c r="B7" s="253"/>
      <c r="C7" s="153"/>
      <c r="D7" s="253" t="s">
        <v>2933</v>
      </c>
      <c r="E7" s="153" t="s">
        <v>2957</v>
      </c>
      <c r="F7" s="253"/>
      <c r="G7" s="153" t="s">
        <v>3912</v>
      </c>
      <c r="H7" s="252" t="s">
        <v>3037</v>
      </c>
      <c r="I7" s="153" t="s">
        <v>3059</v>
      </c>
      <c r="J7" s="253"/>
      <c r="K7" s="153"/>
      <c r="L7" s="253"/>
      <c r="M7" s="153"/>
      <c r="N7" s="253"/>
      <c r="O7" s="153"/>
      <c r="P7" s="253"/>
      <c r="Q7" s="153"/>
      <c r="R7" s="253"/>
      <c r="S7" s="153"/>
      <c r="T7" s="253"/>
      <c r="U7" s="153"/>
      <c r="V7" s="253"/>
      <c r="W7" s="153"/>
      <c r="X7" s="253"/>
    </row>
    <row r="8" spans="1:24">
      <c r="A8" s="193"/>
      <c r="B8" s="253"/>
      <c r="C8" s="153"/>
      <c r="D8" s="253" t="s">
        <v>2935</v>
      </c>
      <c r="E8" s="153" t="s">
        <v>2959</v>
      </c>
      <c r="F8" s="253"/>
      <c r="G8" s="153" t="s">
        <v>3021</v>
      </c>
      <c r="H8" s="253" t="s">
        <v>3039</v>
      </c>
      <c r="I8" s="153" t="s">
        <v>3053</v>
      </c>
      <c r="J8" s="253"/>
      <c r="K8" s="153"/>
      <c r="L8" s="253"/>
      <c r="M8" s="153"/>
      <c r="N8" s="253"/>
      <c r="O8" s="153"/>
      <c r="P8" s="253"/>
      <c r="Q8" s="153"/>
      <c r="R8" s="253"/>
      <c r="S8" s="153"/>
      <c r="T8" s="253"/>
      <c r="U8" s="153"/>
      <c r="V8" s="253"/>
      <c r="W8" s="153"/>
      <c r="X8" s="253"/>
    </row>
    <row r="9" spans="1:24">
      <c r="A9" s="193"/>
      <c r="B9" s="253"/>
      <c r="C9" s="153"/>
      <c r="D9" s="253" t="s">
        <v>2937</v>
      </c>
      <c r="E9" s="153" t="s">
        <v>2961</v>
      </c>
      <c r="F9" s="253"/>
      <c r="G9" s="153" t="s">
        <v>3023</v>
      </c>
      <c r="H9" s="252" t="s">
        <v>3041</v>
      </c>
      <c r="I9" s="153" t="s">
        <v>3055</v>
      </c>
      <c r="J9" s="253"/>
      <c r="K9" s="153"/>
      <c r="L9" s="253"/>
      <c r="M9" s="153"/>
      <c r="N9" s="253"/>
      <c r="O9" s="153"/>
      <c r="P9" s="253"/>
      <c r="Q9" s="153"/>
      <c r="R9" s="253"/>
      <c r="S9" s="153"/>
      <c r="T9" s="253"/>
      <c r="U9" s="153"/>
      <c r="V9" s="253"/>
      <c r="W9" s="153"/>
      <c r="X9" s="253"/>
    </row>
    <row r="10" spans="1:24">
      <c r="A10" s="193"/>
      <c r="B10" s="253"/>
      <c r="C10" s="153"/>
      <c r="D10" s="253"/>
      <c r="E10" s="153" t="s">
        <v>2963</v>
      </c>
      <c r="F10" s="253"/>
      <c r="G10" s="41"/>
      <c r="H10" s="253"/>
      <c r="I10" s="153" t="s">
        <v>3049</v>
      </c>
      <c r="J10" s="253"/>
      <c r="K10" s="153"/>
      <c r="L10" s="253"/>
      <c r="M10" s="153"/>
      <c r="N10" s="253"/>
      <c r="O10" s="153"/>
      <c r="P10" s="253"/>
      <c r="Q10" s="153"/>
      <c r="R10" s="253"/>
      <c r="S10" s="153"/>
      <c r="T10" s="253"/>
      <c r="U10" s="153"/>
      <c r="V10" s="253"/>
      <c r="W10" s="153"/>
      <c r="X10" s="253"/>
    </row>
    <row r="11" spans="1:24">
      <c r="A11" s="193"/>
      <c r="B11" s="253"/>
      <c r="C11" s="153"/>
      <c r="D11" s="253"/>
      <c r="E11" s="254" t="s">
        <v>3913</v>
      </c>
      <c r="F11" s="253"/>
      <c r="G11" s="41"/>
      <c r="H11" s="253"/>
      <c r="I11" s="153" t="s">
        <v>3051</v>
      </c>
      <c r="J11" s="253"/>
      <c r="K11" s="153"/>
      <c r="L11" s="253"/>
      <c r="M11" s="153"/>
      <c r="N11" s="253"/>
      <c r="O11" s="153"/>
      <c r="P11" s="253"/>
      <c r="Q11" s="153"/>
      <c r="R11" s="253"/>
      <c r="S11" s="153"/>
      <c r="T11" s="253"/>
      <c r="U11" s="153"/>
      <c r="V11" s="253"/>
      <c r="W11" s="153"/>
      <c r="X11" s="253"/>
    </row>
    <row r="12" spans="1:24">
      <c r="A12" s="193"/>
      <c r="B12" s="253"/>
      <c r="C12" s="153"/>
      <c r="D12" s="253"/>
      <c r="E12" s="153" t="s">
        <v>2991</v>
      </c>
      <c r="F12" s="253"/>
      <c r="G12" s="153"/>
      <c r="H12" s="253"/>
      <c r="I12" s="153" t="s">
        <v>3057</v>
      </c>
      <c r="J12" s="253"/>
      <c r="K12" s="153"/>
      <c r="L12" s="253"/>
      <c r="M12" s="153"/>
      <c r="N12" s="253"/>
      <c r="O12" s="153"/>
      <c r="P12" s="253"/>
      <c r="Q12" s="153"/>
      <c r="R12" s="253"/>
      <c r="S12" s="153"/>
      <c r="T12" s="253"/>
      <c r="U12" s="153"/>
      <c r="V12" s="253"/>
      <c r="W12" s="153"/>
      <c r="X12" s="253"/>
    </row>
    <row r="13" spans="1:24">
      <c r="A13" s="193"/>
      <c r="B13" s="253"/>
      <c r="C13" s="153"/>
      <c r="D13" s="253"/>
      <c r="E13" s="153" t="s">
        <v>2967</v>
      </c>
      <c r="F13" s="253"/>
      <c r="G13" s="153"/>
      <c r="H13" s="253"/>
      <c r="I13" s="153" t="s">
        <v>3061</v>
      </c>
      <c r="J13" s="253"/>
      <c r="K13" s="153"/>
      <c r="L13" s="253"/>
      <c r="M13" s="153"/>
      <c r="N13" s="253"/>
      <c r="O13" s="153"/>
      <c r="P13" s="253"/>
      <c r="Q13" s="153"/>
      <c r="R13" s="253"/>
      <c r="S13" s="153"/>
      <c r="T13" s="253"/>
      <c r="U13" s="153"/>
      <c r="V13" s="253"/>
      <c r="W13" s="153"/>
      <c r="X13" s="253"/>
    </row>
    <row r="14" spans="1:24">
      <c r="A14" s="193"/>
      <c r="B14" s="253"/>
      <c r="C14" s="153"/>
      <c r="D14" s="253"/>
      <c r="E14" s="153" t="s">
        <v>2969</v>
      </c>
      <c r="F14" s="253"/>
      <c r="G14" s="153"/>
      <c r="H14" s="253"/>
      <c r="I14" s="153"/>
      <c r="J14" s="253"/>
      <c r="K14" s="153"/>
      <c r="L14" s="253"/>
      <c r="M14" s="153"/>
      <c r="N14" s="253"/>
      <c r="O14" s="153"/>
      <c r="P14" s="253"/>
      <c r="Q14" s="153"/>
      <c r="R14" s="253"/>
      <c r="S14" s="153"/>
      <c r="T14" s="253"/>
      <c r="U14" s="153"/>
      <c r="V14" s="253"/>
      <c r="W14" s="153"/>
      <c r="X14" s="253"/>
    </row>
    <row r="15" spans="1:24">
      <c r="A15" s="193"/>
      <c r="B15" s="253"/>
      <c r="C15" s="153"/>
      <c r="D15" s="253"/>
      <c r="E15" s="153" t="s">
        <v>2971</v>
      </c>
      <c r="F15" s="253"/>
      <c r="G15" s="153"/>
      <c r="H15" s="253"/>
      <c r="J15" s="253"/>
      <c r="K15" s="153"/>
      <c r="L15" s="253"/>
      <c r="M15" s="153"/>
      <c r="N15" s="253"/>
      <c r="O15" s="153"/>
      <c r="P15" s="253"/>
      <c r="Q15" s="153"/>
      <c r="R15" s="253"/>
      <c r="S15" s="153"/>
      <c r="T15" s="253"/>
      <c r="U15" s="153"/>
      <c r="V15" s="253"/>
      <c r="W15" s="153"/>
      <c r="X15" s="253"/>
    </row>
    <row r="16" spans="1:24">
      <c r="A16" s="193"/>
      <c r="B16" s="253"/>
      <c r="C16" s="153"/>
      <c r="D16" s="253"/>
      <c r="E16" s="153" t="s">
        <v>2973</v>
      </c>
      <c r="F16" s="253"/>
      <c r="G16" s="153"/>
      <c r="H16" s="253"/>
      <c r="I16" s="153"/>
      <c r="J16" s="253"/>
      <c r="K16" s="153"/>
      <c r="L16" s="253"/>
      <c r="M16" s="153"/>
      <c r="N16" s="253"/>
      <c r="O16" s="153"/>
      <c r="P16" s="253"/>
      <c r="Q16" s="153"/>
      <c r="R16" s="253"/>
      <c r="S16" s="153"/>
      <c r="T16" s="253"/>
      <c r="U16" s="153"/>
      <c r="V16" s="253"/>
      <c r="W16" s="153"/>
      <c r="X16" s="253"/>
    </row>
    <row r="17" spans="1:24">
      <c r="A17" s="193"/>
      <c r="B17" s="253"/>
      <c r="C17" s="153"/>
      <c r="D17" s="253"/>
      <c r="E17" s="153" t="s">
        <v>2975</v>
      </c>
      <c r="F17" s="253"/>
      <c r="G17" s="89"/>
      <c r="H17" s="253"/>
      <c r="I17" s="153"/>
      <c r="J17" s="253"/>
      <c r="K17" s="153"/>
      <c r="L17" s="253"/>
      <c r="M17" s="153"/>
      <c r="N17" s="253"/>
      <c r="O17" s="153"/>
      <c r="P17" s="253"/>
      <c r="Q17" s="153"/>
      <c r="R17" s="253"/>
      <c r="S17" s="153"/>
      <c r="T17" s="253"/>
      <c r="U17" s="153"/>
      <c r="V17" s="253"/>
      <c r="W17" s="153"/>
      <c r="X17" s="253"/>
    </row>
    <row r="18" spans="1:24">
      <c r="A18" s="193"/>
      <c r="B18" s="253"/>
      <c r="C18" s="153"/>
      <c r="D18" s="253"/>
      <c r="E18" s="153" t="s">
        <v>2977</v>
      </c>
      <c r="F18" s="253"/>
      <c r="G18" s="153"/>
      <c r="H18" s="253"/>
      <c r="I18" s="153"/>
      <c r="J18" s="253"/>
      <c r="K18" s="153"/>
      <c r="L18" s="253"/>
      <c r="M18" s="153"/>
      <c r="N18" s="253"/>
      <c r="O18" s="153"/>
      <c r="P18" s="253"/>
      <c r="Q18" s="153"/>
      <c r="R18" s="253"/>
      <c r="S18" s="153"/>
      <c r="T18" s="253"/>
      <c r="U18" s="153"/>
      <c r="V18" s="253"/>
      <c r="W18" s="153"/>
      <c r="X18" s="253"/>
    </row>
    <row r="19" spans="1:24">
      <c r="A19" s="193"/>
      <c r="B19" s="253"/>
      <c r="C19" s="153"/>
      <c r="D19" s="253"/>
      <c r="E19" s="153" t="s">
        <v>2979</v>
      </c>
      <c r="F19" s="253"/>
      <c r="G19" s="153"/>
      <c r="H19" s="253"/>
      <c r="I19" s="153"/>
      <c r="J19" s="253"/>
      <c r="K19" s="153"/>
      <c r="L19" s="253"/>
      <c r="M19" s="153"/>
      <c r="N19" s="253"/>
      <c r="O19" s="153"/>
      <c r="P19" s="253"/>
      <c r="Q19" s="153"/>
      <c r="R19" s="253"/>
      <c r="S19" s="153"/>
      <c r="T19" s="253"/>
      <c r="U19" s="153"/>
      <c r="V19" s="253"/>
      <c r="W19" s="153"/>
      <c r="X19" s="253"/>
    </row>
    <row r="20" spans="1:24">
      <c r="A20" s="193"/>
      <c r="B20" s="253"/>
      <c r="C20" s="153"/>
      <c r="D20" s="253"/>
      <c r="E20" s="153" t="s">
        <v>2981</v>
      </c>
      <c r="F20" s="253"/>
      <c r="G20" s="153"/>
      <c r="H20" s="253"/>
      <c r="I20" s="153"/>
      <c r="J20" s="253"/>
      <c r="K20" s="153"/>
      <c r="L20" s="253"/>
      <c r="M20" s="153"/>
      <c r="N20" s="253"/>
      <c r="O20" s="153"/>
      <c r="P20" s="253"/>
      <c r="Q20" s="153"/>
      <c r="R20" s="253"/>
      <c r="S20" s="153"/>
      <c r="T20" s="253"/>
      <c r="U20" s="153"/>
      <c r="V20" s="253"/>
      <c r="W20" s="153"/>
      <c r="X20" s="253"/>
    </row>
    <row r="21" spans="1:24">
      <c r="A21" s="193"/>
      <c r="B21" s="253"/>
      <c r="C21" s="153"/>
      <c r="D21" s="253"/>
      <c r="E21" s="153" t="s">
        <v>2983</v>
      </c>
      <c r="F21" s="253"/>
      <c r="G21" s="153"/>
      <c r="H21" s="253"/>
      <c r="I21" s="153"/>
      <c r="J21" s="253"/>
      <c r="K21" s="153"/>
      <c r="L21" s="253"/>
      <c r="M21" s="153"/>
      <c r="N21" s="253"/>
      <c r="O21" s="153"/>
      <c r="P21" s="253"/>
      <c r="Q21" s="153"/>
      <c r="R21" s="253"/>
      <c r="S21" s="153"/>
      <c r="T21" s="253"/>
      <c r="U21" s="153"/>
      <c r="V21" s="253"/>
      <c r="W21" s="153"/>
      <c r="X21" s="253"/>
    </row>
    <row r="22" spans="1:24">
      <c r="A22" s="193"/>
      <c r="B22" s="253"/>
      <c r="C22" s="153"/>
      <c r="D22" s="253"/>
      <c r="E22" s="153" t="s">
        <v>2985</v>
      </c>
      <c r="F22" s="253"/>
      <c r="G22" s="153"/>
      <c r="H22" s="253"/>
      <c r="I22" s="153"/>
      <c r="J22" s="253"/>
      <c r="K22" s="153"/>
      <c r="L22" s="253"/>
      <c r="M22" s="153"/>
      <c r="N22" s="253"/>
      <c r="O22" s="153"/>
      <c r="P22" s="253"/>
      <c r="Q22" s="153"/>
      <c r="R22" s="253"/>
      <c r="S22" s="153"/>
      <c r="T22" s="253"/>
      <c r="U22" s="153"/>
      <c r="V22" s="253"/>
      <c r="W22" s="153"/>
      <c r="X22" s="253"/>
    </row>
    <row r="23" spans="1:24">
      <c r="A23" s="193"/>
      <c r="B23" s="253"/>
      <c r="C23" s="153"/>
      <c r="D23" s="253"/>
      <c r="E23" s="153" t="s">
        <v>2987</v>
      </c>
      <c r="F23" s="253"/>
      <c r="G23" s="153"/>
      <c r="H23" s="253"/>
      <c r="I23" s="153"/>
      <c r="J23" s="253"/>
      <c r="K23" s="153"/>
      <c r="L23" s="253"/>
      <c r="M23" s="153"/>
      <c r="N23" s="253"/>
      <c r="O23" s="153"/>
      <c r="P23" s="253"/>
      <c r="Q23" s="153"/>
      <c r="R23" s="253"/>
      <c r="S23" s="153"/>
      <c r="T23" s="253"/>
      <c r="U23" s="153"/>
      <c r="V23" s="253"/>
      <c r="W23" s="153"/>
      <c r="X23" s="253"/>
    </row>
    <row r="24" spans="1:24">
      <c r="A24" s="193"/>
      <c r="B24" s="253"/>
      <c r="C24" s="153"/>
      <c r="D24" s="253"/>
      <c r="E24" s="153" t="s">
        <v>2989</v>
      </c>
      <c r="F24" s="253"/>
      <c r="G24" s="153"/>
      <c r="H24" s="253"/>
      <c r="I24" s="153"/>
      <c r="J24" s="253"/>
      <c r="K24" s="153"/>
      <c r="L24" s="253"/>
      <c r="M24" s="153"/>
      <c r="N24" s="253"/>
      <c r="O24" s="153"/>
      <c r="P24" s="253"/>
      <c r="Q24" s="153"/>
      <c r="R24" s="253"/>
      <c r="S24" s="153"/>
      <c r="T24" s="253"/>
      <c r="U24" s="153"/>
      <c r="V24" s="253"/>
      <c r="W24" s="153"/>
      <c r="X24" s="253"/>
    </row>
    <row r="25" spans="1:24">
      <c r="A25" s="193"/>
      <c r="B25" s="253"/>
      <c r="C25" s="153"/>
      <c r="D25" s="253"/>
      <c r="E25" s="153" t="s">
        <v>2965</v>
      </c>
      <c r="F25" s="253"/>
      <c r="G25" s="153"/>
      <c r="H25" s="253"/>
      <c r="I25" s="153"/>
      <c r="J25" s="253"/>
      <c r="K25" s="153"/>
      <c r="L25" s="253"/>
      <c r="M25" s="153"/>
      <c r="N25" s="253"/>
      <c r="O25" s="153"/>
      <c r="P25" s="253"/>
      <c r="Q25" s="153"/>
      <c r="R25" s="253"/>
      <c r="S25" s="153"/>
      <c r="T25" s="253"/>
      <c r="U25" s="153"/>
      <c r="V25" s="253"/>
      <c r="W25" s="153"/>
      <c r="X25" s="253"/>
    </row>
    <row r="26" spans="1:24">
      <c r="A26" s="193"/>
      <c r="B26" s="253"/>
      <c r="C26" s="153"/>
      <c r="D26" s="253"/>
      <c r="E26" s="153" t="s">
        <v>2993</v>
      </c>
      <c r="F26" s="253"/>
      <c r="G26" s="153"/>
      <c r="H26" s="253"/>
      <c r="I26" s="153"/>
      <c r="J26" s="253"/>
      <c r="K26" s="153"/>
      <c r="L26" s="253"/>
      <c r="M26" s="153"/>
      <c r="N26" s="253"/>
      <c r="O26" s="153"/>
      <c r="P26" s="253"/>
      <c r="Q26" s="153"/>
      <c r="R26" s="253"/>
      <c r="S26" s="153"/>
      <c r="T26" s="253"/>
      <c r="U26" s="153"/>
      <c r="V26" s="253"/>
      <c r="W26" s="153"/>
      <c r="X26" s="253"/>
    </row>
    <row r="27" spans="1:24">
      <c r="A27" s="193"/>
      <c r="B27" s="253"/>
      <c r="C27" s="153"/>
      <c r="D27" s="253"/>
      <c r="E27" s="153" t="s">
        <v>2995</v>
      </c>
      <c r="F27" s="253"/>
      <c r="G27" s="153"/>
      <c r="H27" s="253"/>
      <c r="I27" s="153"/>
      <c r="J27" s="253"/>
      <c r="K27" s="153"/>
      <c r="L27" s="253"/>
      <c r="M27" s="153"/>
      <c r="N27" s="253"/>
      <c r="O27" s="153"/>
      <c r="P27" s="253"/>
      <c r="Q27" s="153"/>
      <c r="R27" s="253"/>
      <c r="S27" s="153"/>
      <c r="T27" s="253"/>
      <c r="U27" s="153"/>
      <c r="V27" s="253"/>
      <c r="W27" s="153"/>
      <c r="X27" s="253"/>
    </row>
    <row r="28" spans="1:24">
      <c r="A28" s="193"/>
      <c r="B28" s="253"/>
      <c r="C28" s="153"/>
      <c r="D28" s="253"/>
      <c r="E28" s="153" t="s">
        <v>2997</v>
      </c>
      <c r="F28" s="253"/>
      <c r="G28" s="153"/>
      <c r="H28" s="253"/>
      <c r="I28" s="153"/>
      <c r="J28" s="253"/>
      <c r="K28" s="153"/>
      <c r="L28" s="253"/>
      <c r="M28" s="153"/>
      <c r="N28" s="253"/>
      <c r="O28" s="153"/>
      <c r="P28" s="253"/>
      <c r="Q28" s="153"/>
      <c r="R28" s="253"/>
      <c r="S28" s="153"/>
      <c r="T28" s="253"/>
      <c r="U28" s="153"/>
      <c r="V28" s="253"/>
      <c r="W28" s="153"/>
      <c r="X28" s="253"/>
    </row>
    <row r="29" spans="1:24" ht="28.5" customHeight="1">
      <c r="A29" s="255"/>
      <c r="B29" s="256"/>
      <c r="C29" s="257"/>
      <c r="D29" s="256"/>
      <c r="E29" s="257"/>
      <c r="F29" s="256"/>
      <c r="G29" s="257"/>
      <c r="H29" s="256"/>
      <c r="I29" s="257"/>
      <c r="J29" s="256"/>
      <c r="K29" s="257"/>
      <c r="L29" s="256"/>
      <c r="M29" s="257"/>
      <c r="N29" s="256"/>
      <c r="O29" s="257"/>
      <c r="P29" s="256"/>
      <c r="Q29" s="257"/>
      <c r="R29" s="256"/>
      <c r="S29" s="257"/>
      <c r="T29" s="256"/>
      <c r="U29" s="257"/>
      <c r="V29" s="256"/>
      <c r="W29" s="257"/>
      <c r="X29" s="256"/>
    </row>
    <row r="30" spans="1:24">
      <c r="A30" s="249" t="s">
        <v>3914</v>
      </c>
      <c r="B30" s="250" t="str">
        <f>"Tier 1 ("&amp;COUNTIF(B31:B103,"&lt;&gt;")&amp;IF(COUNTIF(B31:B103,"&lt;&gt;")=1," blessing)"," blessings)")</f>
        <v>Tier 1 (65 blessings)</v>
      </c>
      <c r="C30" s="251" t="str">
        <f>"Tier 2 ("&amp;COUNTIF(C31:C103,"&lt;&gt;")&amp;IF(COUNTIF(C31:C103,"&lt;&gt;")=1," blessing)"," blessings)")</f>
        <v>Tier 2 (73 blessings)</v>
      </c>
      <c r="D30" s="250" t="str">
        <f>"Tier 3 ("&amp;COUNTIF(D32:D103,"&lt;&gt;")&amp;IF(COUNTIF(D32:D103,"&lt;&gt;")=1," blessing)"," blessings)")</f>
        <v>Tier 3 (69 blessings)</v>
      </c>
      <c r="E30" s="251" t="str">
        <f>"Tier 4 ("&amp;COUNTIF(E31:E103,"&lt;&gt;")&amp;IF(COUNTIF(E31:E103,"&lt;&gt;")=1," blessing)"," blessings)")</f>
        <v>Tier 4 (38 blessings)</v>
      </c>
      <c r="F30" s="250" t="str">
        <f>"Tier 5 ("&amp;COUNTIF(F31:F103,"&lt;&gt;")&amp;IF(COUNTIF(F31:F103,"&lt;&gt;")=1," blessing)"," blessings)")</f>
        <v>Tier 5 (12 blessings)</v>
      </c>
      <c r="G30" s="251" t="str">
        <f>"Tier 6 ("&amp;COUNTIF(G32:G103,"&lt;&gt;")&amp;IF(COUNTIF(G32:G103,"&lt;&gt;")=1," blessing)"," blessings)")</f>
        <v>Tier 6 (9 blessings)</v>
      </c>
      <c r="H30" s="250" t="str">
        <f>"Tier 7 ("&amp;COUNTIF(H31:H103,"&lt;&gt;")&amp;IF(COUNTIF(H31:H103,"&lt;&gt;")=1," blessing)"," blessings)")</f>
        <v>Tier 7 (1 blessing)</v>
      </c>
      <c r="I30" s="251" t="str">
        <f>"Tier 10 ("&amp;COUNTIF(I31:I103,"&lt;&gt;")&amp;IF(COUNTIF(I31:I103,"&lt;&gt;")=1," blessing)"," blessings)")</f>
        <v>Tier 10 (1 blessing)</v>
      </c>
      <c r="J30" s="258"/>
      <c r="K30" s="173"/>
      <c r="L30" s="256"/>
      <c r="M30" s="257"/>
      <c r="N30" s="256"/>
      <c r="O30" s="257"/>
      <c r="P30" s="256"/>
      <c r="Q30" s="257"/>
      <c r="R30" s="256"/>
      <c r="S30" s="257"/>
      <c r="T30" s="256"/>
      <c r="U30" s="257"/>
      <c r="V30" s="256"/>
      <c r="W30" s="257"/>
      <c r="X30" s="256"/>
    </row>
    <row r="31" spans="1:24">
      <c r="A31" s="141" t="str">
        <f>COUNTIF(B31:I103,"&lt;&gt;")&amp;"/272 blessings"</f>
        <v>270/272 blessings</v>
      </c>
      <c r="B31" s="253" t="s">
        <v>3112</v>
      </c>
      <c r="C31" s="153" t="s">
        <v>3242</v>
      </c>
      <c r="D31" s="259" t="s">
        <v>2939</v>
      </c>
      <c r="E31" s="153" t="s">
        <v>3530</v>
      </c>
      <c r="F31" s="253" t="s">
        <v>3606</v>
      </c>
      <c r="G31" s="5" t="s">
        <v>3025</v>
      </c>
      <c r="H31" s="253" t="s">
        <v>3648</v>
      </c>
      <c r="I31" s="153" t="s">
        <v>3650</v>
      </c>
      <c r="J31" s="256"/>
      <c r="K31" s="257"/>
      <c r="L31" s="256"/>
      <c r="M31" s="257"/>
      <c r="N31" s="256"/>
      <c r="O31" s="257"/>
      <c r="P31" s="256"/>
      <c r="Q31" s="257"/>
      <c r="R31" s="256"/>
      <c r="S31" s="257"/>
      <c r="T31" s="256"/>
      <c r="U31" s="257"/>
      <c r="V31" s="256"/>
      <c r="W31" s="257"/>
      <c r="X31" s="256"/>
    </row>
    <row r="32" spans="1:24">
      <c r="A32" s="260"/>
      <c r="B32" s="253" t="s">
        <v>3114</v>
      </c>
      <c r="C32" s="153" t="s">
        <v>3244</v>
      </c>
      <c r="D32" s="253" t="s">
        <v>3392</v>
      </c>
      <c r="E32" s="153" t="s">
        <v>3532</v>
      </c>
      <c r="F32" s="253" t="s">
        <v>3608</v>
      </c>
      <c r="G32" s="153" t="s">
        <v>3630</v>
      </c>
      <c r="H32" s="253"/>
      <c r="I32" s="153"/>
      <c r="J32" s="256"/>
      <c r="K32" s="257"/>
      <c r="L32" s="256"/>
      <c r="M32" s="257"/>
      <c r="N32" s="256"/>
      <c r="O32" s="257"/>
      <c r="P32" s="256"/>
      <c r="Q32" s="257"/>
      <c r="R32" s="256"/>
      <c r="S32" s="257"/>
      <c r="T32" s="256"/>
      <c r="U32" s="257"/>
      <c r="V32" s="256"/>
      <c r="W32" s="257"/>
      <c r="X32" s="256"/>
    </row>
    <row r="33" spans="1:24">
      <c r="A33" s="260"/>
      <c r="B33" s="253" t="s">
        <v>3116</v>
      </c>
      <c r="C33" s="153" t="s">
        <v>3246</v>
      </c>
      <c r="D33" s="253" t="s">
        <v>3394</v>
      </c>
      <c r="E33" s="153" t="s">
        <v>3534</v>
      </c>
      <c r="F33" s="253" t="s">
        <v>3610</v>
      </c>
      <c r="G33" s="153" t="s">
        <v>3632</v>
      </c>
      <c r="H33" s="253"/>
      <c r="I33" s="153"/>
      <c r="J33" s="256"/>
      <c r="K33" s="257"/>
      <c r="L33" s="256"/>
      <c r="M33" s="257"/>
      <c r="N33" s="256"/>
      <c r="O33" s="257"/>
      <c r="P33" s="256"/>
      <c r="Q33" s="257"/>
      <c r="R33" s="256"/>
      <c r="S33" s="257"/>
      <c r="T33" s="256"/>
      <c r="U33" s="257"/>
      <c r="V33" s="256"/>
      <c r="W33" s="257"/>
      <c r="X33" s="256"/>
    </row>
    <row r="34" spans="1:24">
      <c r="A34" s="260"/>
      <c r="B34" s="253" t="s">
        <v>3118</v>
      </c>
      <c r="C34" s="153" t="s">
        <v>3248</v>
      </c>
      <c r="D34" s="253" t="s">
        <v>3396</v>
      </c>
      <c r="E34" s="153" t="s">
        <v>3536</v>
      </c>
      <c r="F34" s="253" t="s">
        <v>3612</v>
      </c>
      <c r="G34" s="153" t="s">
        <v>3634</v>
      </c>
      <c r="H34" s="253"/>
      <c r="I34" s="153"/>
      <c r="J34" s="256"/>
      <c r="K34" s="257"/>
      <c r="L34" s="256"/>
      <c r="M34" s="257"/>
      <c r="N34" s="256"/>
      <c r="O34" s="257"/>
      <c r="P34" s="256"/>
      <c r="Q34" s="257"/>
      <c r="R34" s="256"/>
      <c r="S34" s="257"/>
      <c r="T34" s="256"/>
      <c r="U34" s="257"/>
      <c r="V34" s="256"/>
      <c r="W34" s="257"/>
      <c r="X34" s="256"/>
    </row>
    <row r="35" spans="1:24">
      <c r="A35" s="260"/>
      <c r="B35" s="253" t="s">
        <v>3120</v>
      </c>
      <c r="C35" s="153" t="s">
        <v>3250</v>
      </c>
      <c r="D35" s="253" t="s">
        <v>3398</v>
      </c>
      <c r="E35" s="153" t="s">
        <v>3538</v>
      </c>
      <c r="F35" s="253" t="s">
        <v>3614</v>
      </c>
      <c r="G35" s="153" t="s">
        <v>3636</v>
      </c>
      <c r="H35" s="253"/>
      <c r="I35" s="153"/>
      <c r="J35" s="256"/>
      <c r="K35" s="257"/>
      <c r="L35" s="256"/>
      <c r="M35" s="257"/>
      <c r="N35" s="256"/>
      <c r="O35" s="257"/>
      <c r="P35" s="256"/>
      <c r="Q35" s="257"/>
      <c r="R35" s="256"/>
      <c r="S35" s="257"/>
      <c r="T35" s="256"/>
      <c r="U35" s="257"/>
      <c r="V35" s="256"/>
      <c r="W35" s="257"/>
      <c r="X35" s="256"/>
    </row>
    <row r="36" spans="1:24">
      <c r="A36" s="260"/>
      <c r="B36" s="253" t="s">
        <v>3122</v>
      </c>
      <c r="C36" s="153" t="s">
        <v>3252</v>
      </c>
      <c r="D36" s="253" t="s">
        <v>3400</v>
      </c>
      <c r="E36" s="153" t="s">
        <v>3540</v>
      </c>
      <c r="F36" s="253" t="s">
        <v>3616</v>
      </c>
      <c r="G36" s="153" t="s">
        <v>3638</v>
      </c>
      <c r="H36" s="253"/>
      <c r="I36" s="153"/>
      <c r="J36" s="256"/>
      <c r="K36" s="257"/>
      <c r="L36" s="256"/>
      <c r="M36" s="257"/>
      <c r="N36" s="256"/>
      <c r="O36" s="257"/>
      <c r="P36" s="256"/>
      <c r="Q36" s="257"/>
      <c r="R36" s="256"/>
      <c r="S36" s="257"/>
      <c r="T36" s="256"/>
      <c r="U36" s="257"/>
      <c r="V36" s="256"/>
      <c r="W36" s="257"/>
      <c r="X36" s="256"/>
    </row>
    <row r="37" spans="1:24">
      <c r="A37" s="260"/>
      <c r="B37" s="253" t="s">
        <v>3124</v>
      </c>
      <c r="C37" s="153" t="s">
        <v>3254</v>
      </c>
      <c r="D37" s="253" t="s">
        <v>3402</v>
      </c>
      <c r="E37" s="153" t="s">
        <v>3542</v>
      </c>
      <c r="F37" s="253" t="s">
        <v>3618</v>
      </c>
      <c r="G37" s="153" t="s">
        <v>3640</v>
      </c>
      <c r="H37" s="253"/>
      <c r="I37" s="153"/>
      <c r="J37" s="256"/>
      <c r="K37" s="257"/>
      <c r="L37" s="256"/>
      <c r="M37" s="257"/>
      <c r="N37" s="256"/>
      <c r="O37" s="257"/>
      <c r="P37" s="256"/>
      <c r="Q37" s="257"/>
      <c r="R37" s="256"/>
      <c r="S37" s="257"/>
      <c r="T37" s="256"/>
      <c r="U37" s="257"/>
      <c r="V37" s="256"/>
      <c r="W37" s="257"/>
      <c r="X37" s="256"/>
    </row>
    <row r="38" spans="1:24">
      <c r="A38" s="260"/>
      <c r="B38" s="253" t="s">
        <v>3126</v>
      </c>
      <c r="C38" s="153" t="s">
        <v>3256</v>
      </c>
      <c r="D38" s="253" t="s">
        <v>3404</v>
      </c>
      <c r="E38" s="153" t="s">
        <v>3544</v>
      </c>
      <c r="F38" s="253" t="s">
        <v>3620</v>
      </c>
      <c r="G38" s="153" t="s">
        <v>3642</v>
      </c>
      <c r="H38" s="253"/>
      <c r="I38" s="153"/>
      <c r="J38" s="256"/>
      <c r="K38" s="257"/>
      <c r="L38" s="256"/>
      <c r="M38" s="257"/>
      <c r="N38" s="256"/>
      <c r="O38" s="257"/>
      <c r="P38" s="256"/>
      <c r="Q38" s="257"/>
      <c r="R38" s="256"/>
      <c r="S38" s="257"/>
      <c r="T38" s="256"/>
      <c r="U38" s="257"/>
      <c r="V38" s="256"/>
      <c r="W38" s="257"/>
      <c r="X38" s="256"/>
    </row>
    <row r="39" spans="1:24">
      <c r="A39" s="260"/>
      <c r="B39" s="253" t="s">
        <v>3128</v>
      </c>
      <c r="C39" s="153" t="s">
        <v>3258</v>
      </c>
      <c r="D39" s="253" t="s">
        <v>3406</v>
      </c>
      <c r="E39" s="153" t="s">
        <v>3546</v>
      </c>
      <c r="F39" s="253" t="s">
        <v>3622</v>
      </c>
      <c r="G39" s="153" t="s">
        <v>3644</v>
      </c>
      <c r="H39" s="253"/>
      <c r="I39" s="153"/>
      <c r="J39" s="256"/>
      <c r="K39" s="257"/>
      <c r="L39" s="256"/>
      <c r="M39" s="257"/>
      <c r="N39" s="256"/>
      <c r="O39" s="257"/>
      <c r="P39" s="256"/>
      <c r="Q39" s="257"/>
      <c r="R39" s="256"/>
      <c r="S39" s="257"/>
      <c r="T39" s="256"/>
      <c r="U39" s="257"/>
      <c r="V39" s="256"/>
      <c r="W39" s="257"/>
      <c r="X39" s="256"/>
    </row>
    <row r="40" spans="1:24">
      <c r="A40" s="260"/>
      <c r="B40" s="253" t="s">
        <v>3130</v>
      </c>
      <c r="C40" s="153" t="s">
        <v>3260</v>
      </c>
      <c r="D40" s="253" t="s">
        <v>3408</v>
      </c>
      <c r="E40" s="153" t="s">
        <v>3548</v>
      </c>
      <c r="F40" s="253" t="s">
        <v>3624</v>
      </c>
      <c r="G40" s="153" t="s">
        <v>3646</v>
      </c>
      <c r="H40" s="253"/>
      <c r="I40" s="153"/>
      <c r="J40" s="256"/>
      <c r="K40" s="257"/>
      <c r="L40" s="256"/>
      <c r="M40" s="257"/>
      <c r="N40" s="256"/>
      <c r="O40" s="257"/>
      <c r="P40" s="256"/>
      <c r="Q40" s="257"/>
      <c r="R40" s="256"/>
      <c r="S40" s="257"/>
      <c r="T40" s="256"/>
      <c r="U40" s="257"/>
      <c r="V40" s="256"/>
      <c r="W40" s="257"/>
      <c r="X40" s="256"/>
    </row>
    <row r="41" spans="1:24">
      <c r="A41" s="260"/>
      <c r="B41" s="253" t="s">
        <v>3132</v>
      </c>
      <c r="C41" s="153" t="s">
        <v>3262</v>
      </c>
      <c r="D41" s="253" t="s">
        <v>3410</v>
      </c>
      <c r="E41" s="153" t="s">
        <v>3550</v>
      </c>
      <c r="F41" s="253" t="s">
        <v>3626</v>
      </c>
      <c r="G41" s="153"/>
      <c r="H41" s="253"/>
      <c r="I41" s="153"/>
      <c r="J41" s="256"/>
      <c r="K41" s="257"/>
      <c r="L41" s="256"/>
      <c r="M41" s="257"/>
      <c r="N41" s="256"/>
      <c r="O41" s="257"/>
      <c r="P41" s="256"/>
      <c r="Q41" s="257"/>
      <c r="R41" s="256"/>
      <c r="S41" s="257"/>
      <c r="T41" s="256"/>
      <c r="U41" s="257"/>
      <c r="V41" s="256"/>
      <c r="W41" s="257"/>
      <c r="X41" s="256"/>
    </row>
    <row r="42" spans="1:24">
      <c r="A42" s="260"/>
      <c r="B42" s="253" t="s">
        <v>3134</v>
      </c>
      <c r="C42" s="153" t="s">
        <v>3264</v>
      </c>
      <c r="D42" s="253" t="s">
        <v>3412</v>
      </c>
      <c r="E42" s="153" t="s">
        <v>3552</v>
      </c>
      <c r="F42" s="253" t="s">
        <v>3628</v>
      </c>
      <c r="G42" s="153"/>
      <c r="H42" s="253"/>
      <c r="I42" s="153"/>
      <c r="J42" s="256"/>
      <c r="K42" s="257"/>
      <c r="L42" s="256"/>
      <c r="M42" s="257"/>
      <c r="N42" s="256"/>
      <c r="O42" s="257"/>
      <c r="P42" s="256"/>
      <c r="Q42" s="257"/>
      <c r="R42" s="256"/>
      <c r="S42" s="257"/>
      <c r="T42" s="256"/>
      <c r="U42" s="257"/>
      <c r="V42" s="256"/>
      <c r="W42" s="257"/>
      <c r="X42" s="256"/>
    </row>
    <row r="43" spans="1:24">
      <c r="A43" s="260"/>
      <c r="B43" s="253" t="s">
        <v>3136</v>
      </c>
      <c r="C43" s="153" t="s">
        <v>3266</v>
      </c>
      <c r="D43" s="253" t="s">
        <v>3414</v>
      </c>
      <c r="E43" s="153" t="s">
        <v>3554</v>
      </c>
      <c r="F43" s="253"/>
      <c r="G43" s="153"/>
      <c r="H43" s="253"/>
      <c r="I43" s="153"/>
      <c r="J43" s="256"/>
      <c r="K43" s="257"/>
      <c r="L43" s="256"/>
      <c r="M43" s="257"/>
      <c r="N43" s="256"/>
      <c r="O43" s="257"/>
      <c r="P43" s="256"/>
      <c r="Q43" s="257"/>
      <c r="R43" s="256"/>
      <c r="S43" s="257"/>
      <c r="T43" s="256"/>
      <c r="U43" s="257"/>
      <c r="V43" s="256"/>
      <c r="W43" s="257"/>
      <c r="X43" s="256"/>
    </row>
    <row r="44" spans="1:24">
      <c r="A44" s="260"/>
      <c r="B44" s="253" t="s">
        <v>3138</v>
      </c>
      <c r="C44" s="153" t="s">
        <v>3268</v>
      </c>
      <c r="D44" s="253" t="s">
        <v>3416</v>
      </c>
      <c r="E44" s="153" t="s">
        <v>3556</v>
      </c>
      <c r="F44" s="253"/>
      <c r="G44" s="153"/>
      <c r="H44" s="253"/>
      <c r="I44" s="153"/>
      <c r="J44" s="256"/>
      <c r="K44" s="257"/>
      <c r="L44" s="256"/>
      <c r="M44" s="257"/>
      <c r="N44" s="256"/>
      <c r="O44" s="257"/>
      <c r="P44" s="256"/>
      <c r="Q44" s="257"/>
      <c r="R44" s="256"/>
      <c r="S44" s="257"/>
      <c r="T44" s="256"/>
      <c r="U44" s="257"/>
      <c r="V44" s="256"/>
      <c r="W44" s="257"/>
      <c r="X44" s="256"/>
    </row>
    <row r="45" spans="1:24">
      <c r="A45" s="260"/>
      <c r="B45" s="253" t="s">
        <v>3140</v>
      </c>
      <c r="C45" s="153" t="s">
        <v>3270</v>
      </c>
      <c r="D45" s="253" t="s">
        <v>3418</v>
      </c>
      <c r="E45" s="153" t="s">
        <v>3558</v>
      </c>
      <c r="F45" s="253"/>
      <c r="G45" s="153"/>
      <c r="H45" s="253"/>
      <c r="I45" s="153"/>
      <c r="J45" s="256"/>
      <c r="K45" s="257"/>
      <c r="L45" s="256"/>
      <c r="M45" s="257"/>
      <c r="N45" s="256"/>
      <c r="O45" s="257"/>
      <c r="P45" s="256"/>
      <c r="Q45" s="257"/>
      <c r="R45" s="256"/>
      <c r="S45" s="257"/>
      <c r="T45" s="256"/>
      <c r="U45" s="257"/>
      <c r="V45" s="256"/>
      <c r="W45" s="257"/>
      <c r="X45" s="256"/>
    </row>
    <row r="46" spans="1:24">
      <c r="A46" s="260"/>
      <c r="B46" s="253" t="s">
        <v>3142</v>
      </c>
      <c r="C46" s="153" t="s">
        <v>3272</v>
      </c>
      <c r="D46" s="253" t="s">
        <v>3420</v>
      </c>
      <c r="E46" s="153" t="s">
        <v>3560</v>
      </c>
      <c r="F46" s="253"/>
      <c r="G46" s="153"/>
      <c r="H46" s="253"/>
      <c r="I46" s="153"/>
      <c r="J46" s="256"/>
      <c r="K46" s="257"/>
      <c r="L46" s="256"/>
      <c r="M46" s="257"/>
      <c r="N46" s="256"/>
      <c r="O46" s="257"/>
      <c r="P46" s="256"/>
      <c r="Q46" s="257"/>
      <c r="R46" s="256"/>
      <c r="S46" s="257"/>
      <c r="T46" s="256"/>
      <c r="U46" s="257"/>
      <c r="V46" s="256"/>
      <c r="W46" s="257"/>
      <c r="X46" s="256"/>
    </row>
    <row r="47" spans="1:24">
      <c r="A47" s="260"/>
      <c r="B47" s="253" t="s">
        <v>3144</v>
      </c>
      <c r="C47" s="153" t="s">
        <v>3274</v>
      </c>
      <c r="D47" s="253" t="s">
        <v>3422</v>
      </c>
      <c r="E47" s="153" t="s">
        <v>3562</v>
      </c>
      <c r="F47" s="253"/>
      <c r="G47" s="153"/>
      <c r="H47" s="253"/>
      <c r="I47" s="153"/>
      <c r="J47" s="256"/>
      <c r="K47" s="257"/>
      <c r="L47" s="256"/>
      <c r="M47" s="257"/>
      <c r="N47" s="256"/>
      <c r="O47" s="257"/>
      <c r="P47" s="256"/>
      <c r="Q47" s="257"/>
      <c r="R47" s="256"/>
      <c r="S47" s="257"/>
      <c r="T47" s="256"/>
      <c r="U47" s="257"/>
      <c r="V47" s="256"/>
      <c r="W47" s="257"/>
      <c r="X47" s="256"/>
    </row>
    <row r="48" spans="1:24">
      <c r="A48" s="260"/>
      <c r="B48" s="253" t="s">
        <v>3146</v>
      </c>
      <c r="C48" s="153" t="s">
        <v>3276</v>
      </c>
      <c r="D48" s="253" t="s">
        <v>3424</v>
      </c>
      <c r="E48" s="153" t="s">
        <v>3564</v>
      </c>
      <c r="F48" s="253"/>
      <c r="G48" s="153"/>
      <c r="H48" s="253"/>
      <c r="I48" s="153"/>
      <c r="J48" s="256"/>
      <c r="K48" s="257"/>
      <c r="L48" s="256"/>
      <c r="M48" s="257"/>
      <c r="N48" s="256"/>
      <c r="O48" s="257"/>
      <c r="P48" s="256"/>
      <c r="Q48" s="257"/>
      <c r="R48" s="256"/>
      <c r="S48" s="257"/>
      <c r="T48" s="256"/>
      <c r="U48" s="257"/>
      <c r="V48" s="256"/>
      <c r="W48" s="257"/>
      <c r="X48" s="256"/>
    </row>
    <row r="49" spans="1:24">
      <c r="A49" s="260"/>
      <c r="B49" s="253" t="s">
        <v>3148</v>
      </c>
      <c r="C49" s="153" t="s">
        <v>3278</v>
      </c>
      <c r="D49" s="253" t="s">
        <v>3426</v>
      </c>
      <c r="E49" s="153" t="s">
        <v>3566</v>
      </c>
      <c r="F49" s="253"/>
      <c r="G49" s="153"/>
      <c r="H49" s="253"/>
      <c r="I49" s="153"/>
      <c r="J49" s="256"/>
      <c r="K49" s="257"/>
      <c r="L49" s="256"/>
      <c r="M49" s="257"/>
      <c r="N49" s="256"/>
      <c r="O49" s="257"/>
      <c r="P49" s="256"/>
      <c r="Q49" s="257"/>
      <c r="R49" s="256"/>
      <c r="S49" s="257"/>
      <c r="T49" s="256"/>
      <c r="U49" s="257"/>
      <c r="V49" s="256"/>
      <c r="W49" s="257"/>
      <c r="X49" s="256"/>
    </row>
    <row r="50" spans="1:24">
      <c r="A50" s="260"/>
      <c r="B50" s="253" t="s">
        <v>3150</v>
      </c>
      <c r="C50" s="153" t="s">
        <v>3280</v>
      </c>
      <c r="D50" s="253" t="s">
        <v>3428</v>
      </c>
      <c r="E50" s="153" t="s">
        <v>3568</v>
      </c>
      <c r="F50" s="253"/>
      <c r="G50" s="153"/>
      <c r="H50" s="253"/>
      <c r="I50" s="153"/>
      <c r="J50" s="256"/>
      <c r="K50" s="257"/>
      <c r="L50" s="256"/>
      <c r="M50" s="257"/>
      <c r="N50" s="256"/>
      <c r="O50" s="257"/>
      <c r="P50" s="256"/>
      <c r="Q50" s="257"/>
      <c r="R50" s="256"/>
      <c r="S50" s="257"/>
      <c r="T50" s="256"/>
      <c r="U50" s="257"/>
      <c r="V50" s="256"/>
      <c r="W50" s="257"/>
      <c r="X50" s="256"/>
    </row>
    <row r="51" spans="1:24">
      <c r="A51" s="260"/>
      <c r="B51" s="253" t="s">
        <v>3152</v>
      </c>
      <c r="C51" s="153" t="s">
        <v>3282</v>
      </c>
      <c r="D51" s="253" t="s">
        <v>3430</v>
      </c>
      <c r="E51" s="153" t="s">
        <v>3570</v>
      </c>
      <c r="F51" s="253"/>
      <c r="G51" s="153"/>
      <c r="H51" s="253"/>
      <c r="I51" s="153"/>
      <c r="J51" s="256"/>
      <c r="K51" s="257"/>
      <c r="L51" s="256"/>
      <c r="M51" s="257"/>
      <c r="N51" s="256"/>
      <c r="O51" s="257"/>
      <c r="P51" s="256"/>
      <c r="Q51" s="257"/>
      <c r="R51" s="256"/>
      <c r="S51" s="257"/>
      <c r="T51" s="256"/>
      <c r="U51" s="257"/>
      <c r="V51" s="256"/>
      <c r="W51" s="257"/>
      <c r="X51" s="256"/>
    </row>
    <row r="52" spans="1:24">
      <c r="A52" s="260"/>
      <c r="B52" s="253" t="s">
        <v>3154</v>
      </c>
      <c r="C52" s="153" t="s">
        <v>3284</v>
      </c>
      <c r="D52" s="253" t="s">
        <v>3432</v>
      </c>
      <c r="E52" s="153" t="s">
        <v>3572</v>
      </c>
      <c r="F52" s="253"/>
      <c r="G52" s="153"/>
      <c r="H52" s="253"/>
      <c r="I52" s="153"/>
      <c r="J52" s="256"/>
      <c r="K52" s="257"/>
      <c r="L52" s="256"/>
      <c r="M52" s="257"/>
      <c r="N52" s="256"/>
      <c r="O52" s="257"/>
      <c r="P52" s="256"/>
      <c r="Q52" s="257"/>
      <c r="R52" s="256"/>
      <c r="S52" s="257"/>
      <c r="T52" s="256"/>
      <c r="U52" s="257"/>
      <c r="V52" s="256"/>
      <c r="W52" s="257"/>
      <c r="X52" s="256"/>
    </row>
    <row r="53" spans="1:24">
      <c r="A53" s="260"/>
      <c r="B53" s="253" t="s">
        <v>3156</v>
      </c>
      <c r="C53" s="153" t="s">
        <v>3286</v>
      </c>
      <c r="D53" s="253" t="s">
        <v>3434</v>
      </c>
      <c r="E53" s="153" t="s">
        <v>3574</v>
      </c>
      <c r="F53" s="253"/>
      <c r="G53" s="153"/>
      <c r="H53" s="253"/>
      <c r="I53" s="153"/>
      <c r="J53" s="256"/>
      <c r="K53" s="257"/>
      <c r="L53" s="256"/>
      <c r="M53" s="257"/>
      <c r="N53" s="256"/>
      <c r="O53" s="257"/>
      <c r="P53" s="256"/>
      <c r="Q53" s="257"/>
      <c r="R53" s="256"/>
      <c r="S53" s="257"/>
      <c r="T53" s="256"/>
      <c r="U53" s="257"/>
      <c r="V53" s="256"/>
      <c r="W53" s="257"/>
      <c r="X53" s="256"/>
    </row>
    <row r="54" spans="1:24">
      <c r="A54" s="260"/>
      <c r="B54" s="253" t="s">
        <v>3158</v>
      </c>
      <c r="C54" s="153" t="s">
        <v>3288</v>
      </c>
      <c r="D54" s="253" t="s">
        <v>3436</v>
      </c>
      <c r="E54" s="153" t="s">
        <v>3576</v>
      </c>
      <c r="F54" s="253"/>
      <c r="G54" s="153"/>
      <c r="H54" s="253"/>
      <c r="I54" s="153"/>
      <c r="J54" s="256"/>
      <c r="K54" s="257"/>
      <c r="L54" s="256"/>
      <c r="M54" s="257"/>
      <c r="N54" s="256"/>
      <c r="O54" s="257"/>
      <c r="P54" s="256"/>
      <c r="Q54" s="257"/>
      <c r="R54" s="256"/>
      <c r="S54" s="257"/>
      <c r="T54" s="256"/>
      <c r="U54" s="257"/>
      <c r="V54" s="256"/>
      <c r="W54" s="257"/>
      <c r="X54" s="256"/>
    </row>
    <row r="55" spans="1:24">
      <c r="A55" s="260"/>
      <c r="B55" s="253" t="s">
        <v>3160</v>
      </c>
      <c r="C55" s="153" t="s">
        <v>3290</v>
      </c>
      <c r="D55" s="253" t="s">
        <v>3438</v>
      </c>
      <c r="E55" s="153" t="s">
        <v>3578</v>
      </c>
      <c r="F55" s="253"/>
      <c r="G55" s="153"/>
      <c r="H55" s="253"/>
      <c r="I55" s="153"/>
      <c r="J55" s="256"/>
      <c r="K55" s="257"/>
      <c r="L55" s="256"/>
      <c r="M55" s="257"/>
      <c r="N55" s="256"/>
      <c r="O55" s="257"/>
      <c r="P55" s="256"/>
      <c r="Q55" s="257"/>
      <c r="R55" s="256"/>
      <c r="S55" s="257"/>
      <c r="T55" s="256"/>
      <c r="U55" s="257"/>
      <c r="V55" s="256"/>
      <c r="W55" s="257"/>
      <c r="X55" s="256"/>
    </row>
    <row r="56" spans="1:24">
      <c r="A56" s="260"/>
      <c r="B56" s="253" t="s">
        <v>3162</v>
      </c>
      <c r="C56" s="153" t="s">
        <v>3292</v>
      </c>
      <c r="D56" s="253" t="s">
        <v>3440</v>
      </c>
      <c r="E56" s="153" t="s">
        <v>3580</v>
      </c>
      <c r="F56" s="253"/>
      <c r="G56" s="153"/>
      <c r="H56" s="253"/>
      <c r="I56" s="153"/>
      <c r="J56" s="256"/>
      <c r="K56" s="257"/>
      <c r="L56" s="256"/>
      <c r="M56" s="257"/>
      <c r="N56" s="256"/>
      <c r="O56" s="257"/>
      <c r="P56" s="256"/>
      <c r="Q56" s="257"/>
      <c r="R56" s="256"/>
      <c r="S56" s="257"/>
      <c r="T56" s="256"/>
      <c r="U56" s="257"/>
      <c r="V56" s="256"/>
      <c r="W56" s="257"/>
      <c r="X56" s="256"/>
    </row>
    <row r="57" spans="1:24">
      <c r="A57" s="260"/>
      <c r="B57" s="253" t="s">
        <v>3164</v>
      </c>
      <c r="C57" s="153" t="s">
        <v>3294</v>
      </c>
      <c r="D57" s="253" t="s">
        <v>3442</v>
      </c>
      <c r="E57" s="153" t="s">
        <v>3582</v>
      </c>
      <c r="F57" s="253"/>
      <c r="G57" s="153"/>
      <c r="H57" s="253"/>
      <c r="I57" s="153"/>
      <c r="J57" s="256"/>
      <c r="K57" s="257"/>
      <c r="L57" s="256"/>
      <c r="M57" s="257"/>
      <c r="N57" s="256"/>
      <c r="O57" s="257"/>
      <c r="P57" s="256"/>
      <c r="Q57" s="257"/>
      <c r="R57" s="256"/>
      <c r="S57" s="257"/>
      <c r="T57" s="256"/>
      <c r="U57" s="257"/>
      <c r="V57" s="256"/>
      <c r="W57" s="257"/>
      <c r="X57" s="256"/>
    </row>
    <row r="58" spans="1:24">
      <c r="A58" s="260"/>
      <c r="B58" s="253" t="s">
        <v>3166</v>
      </c>
      <c r="C58" s="153" t="s">
        <v>3296</v>
      </c>
      <c r="D58" s="253" t="s">
        <v>3444</v>
      </c>
      <c r="E58" s="153" t="s">
        <v>3584</v>
      </c>
      <c r="F58" s="253"/>
      <c r="G58" s="153"/>
      <c r="H58" s="253"/>
      <c r="I58" s="153"/>
      <c r="J58" s="256"/>
      <c r="K58" s="257"/>
      <c r="L58" s="256"/>
      <c r="M58" s="257"/>
      <c r="N58" s="256"/>
      <c r="O58" s="257"/>
      <c r="P58" s="256"/>
      <c r="Q58" s="257"/>
      <c r="R58" s="256"/>
      <c r="S58" s="257"/>
      <c r="T58" s="256"/>
      <c r="U58" s="257"/>
      <c r="V58" s="256"/>
      <c r="W58" s="257"/>
      <c r="X58" s="256"/>
    </row>
    <row r="59" spans="1:24">
      <c r="A59" s="260"/>
      <c r="B59" s="253" t="s">
        <v>3168</v>
      </c>
      <c r="C59" s="153" t="s">
        <v>3298</v>
      </c>
      <c r="D59" s="253" t="s">
        <v>3446</v>
      </c>
      <c r="E59" s="153" t="s">
        <v>3586</v>
      </c>
      <c r="F59" s="253"/>
      <c r="G59" s="153"/>
      <c r="H59" s="253"/>
      <c r="I59" s="153"/>
      <c r="J59" s="256"/>
      <c r="K59" s="257"/>
      <c r="L59" s="256"/>
      <c r="M59" s="257"/>
      <c r="N59" s="256"/>
      <c r="O59" s="257"/>
      <c r="P59" s="256"/>
      <c r="Q59" s="257"/>
      <c r="R59" s="256"/>
      <c r="S59" s="257"/>
      <c r="T59" s="256"/>
      <c r="U59" s="257"/>
      <c r="V59" s="256"/>
      <c r="W59" s="257"/>
      <c r="X59" s="256"/>
    </row>
    <row r="60" spans="1:24">
      <c r="A60" s="260"/>
      <c r="B60" s="253" t="s">
        <v>3170</v>
      </c>
      <c r="C60" s="153" t="s">
        <v>3300</v>
      </c>
      <c r="D60" s="253" t="s">
        <v>3448</v>
      </c>
      <c r="E60" s="153" t="s">
        <v>3588</v>
      </c>
      <c r="F60" s="253"/>
      <c r="G60" s="153"/>
      <c r="H60" s="253"/>
      <c r="I60" s="153"/>
      <c r="J60" s="256"/>
      <c r="K60" s="257"/>
      <c r="L60" s="256"/>
      <c r="M60" s="257"/>
      <c r="N60" s="256"/>
      <c r="O60" s="257"/>
      <c r="P60" s="256"/>
      <c r="Q60" s="257"/>
      <c r="R60" s="256"/>
      <c r="S60" s="257"/>
      <c r="T60" s="256"/>
      <c r="U60" s="257"/>
      <c r="V60" s="256"/>
      <c r="W60" s="257"/>
      <c r="X60" s="256"/>
    </row>
    <row r="61" spans="1:24">
      <c r="A61" s="260"/>
      <c r="B61" s="253" t="s">
        <v>3172</v>
      </c>
      <c r="C61" s="153" t="s">
        <v>3302</v>
      </c>
      <c r="D61" s="253" t="s">
        <v>3450</v>
      </c>
      <c r="E61" s="153" t="s">
        <v>3590</v>
      </c>
      <c r="F61" s="253"/>
      <c r="G61" s="153"/>
      <c r="H61" s="253"/>
      <c r="I61" s="153"/>
      <c r="J61" s="256"/>
      <c r="K61" s="257"/>
      <c r="L61" s="256"/>
      <c r="M61" s="257"/>
      <c r="N61" s="256"/>
      <c r="O61" s="257"/>
      <c r="P61" s="256"/>
      <c r="Q61" s="257"/>
      <c r="R61" s="256"/>
      <c r="S61" s="257"/>
      <c r="T61" s="256"/>
      <c r="U61" s="257"/>
      <c r="V61" s="256"/>
      <c r="W61" s="257"/>
      <c r="X61" s="256"/>
    </row>
    <row r="62" spans="1:24">
      <c r="A62" s="260"/>
      <c r="B62" s="253" t="s">
        <v>3174</v>
      </c>
      <c r="C62" s="153" t="s">
        <v>3304</v>
      </c>
      <c r="D62" s="253" t="s">
        <v>3452</v>
      </c>
      <c r="E62" s="153" t="s">
        <v>3592</v>
      </c>
      <c r="F62" s="253"/>
      <c r="G62" s="153"/>
      <c r="H62" s="253"/>
      <c r="I62" s="153"/>
      <c r="J62" s="256"/>
      <c r="K62" s="257"/>
      <c r="L62" s="256"/>
      <c r="M62" s="257"/>
      <c r="N62" s="256"/>
      <c r="O62" s="257"/>
      <c r="P62" s="256"/>
      <c r="Q62" s="257"/>
      <c r="R62" s="256"/>
      <c r="S62" s="257"/>
      <c r="T62" s="256"/>
      <c r="U62" s="257"/>
      <c r="V62" s="256"/>
      <c r="W62" s="257"/>
      <c r="X62" s="256"/>
    </row>
    <row r="63" spans="1:24">
      <c r="A63" s="260"/>
      <c r="B63" s="253" t="s">
        <v>3176</v>
      </c>
      <c r="C63" s="153" t="s">
        <v>3306</v>
      </c>
      <c r="D63" s="253" t="s">
        <v>3454</v>
      </c>
      <c r="E63" s="153" t="s">
        <v>3594</v>
      </c>
      <c r="F63" s="253"/>
      <c r="G63" s="153"/>
      <c r="H63" s="253"/>
      <c r="I63" s="153"/>
      <c r="J63" s="256"/>
      <c r="K63" s="257"/>
      <c r="L63" s="256"/>
      <c r="M63" s="257"/>
      <c r="N63" s="256"/>
      <c r="O63" s="257"/>
      <c r="P63" s="256"/>
      <c r="Q63" s="257"/>
      <c r="R63" s="256"/>
      <c r="S63" s="257"/>
      <c r="T63" s="256"/>
      <c r="U63" s="257"/>
      <c r="V63" s="256"/>
      <c r="W63" s="257"/>
      <c r="X63" s="256"/>
    </row>
    <row r="64" spans="1:24">
      <c r="A64" s="260"/>
      <c r="B64" s="253" t="s">
        <v>3178</v>
      </c>
      <c r="C64" s="153" t="s">
        <v>3308</v>
      </c>
      <c r="D64" s="253" t="s">
        <v>3456</v>
      </c>
      <c r="E64" s="153" t="s">
        <v>3596</v>
      </c>
      <c r="F64" s="253"/>
      <c r="G64" s="153"/>
      <c r="H64" s="253"/>
      <c r="I64" s="153"/>
      <c r="J64" s="256"/>
      <c r="K64" s="257"/>
      <c r="L64" s="256"/>
      <c r="M64" s="257"/>
      <c r="N64" s="256"/>
      <c r="O64" s="257"/>
      <c r="P64" s="256"/>
      <c r="Q64" s="257"/>
      <c r="R64" s="256"/>
      <c r="S64" s="257"/>
      <c r="T64" s="256"/>
      <c r="U64" s="257"/>
      <c r="V64" s="256"/>
      <c r="W64" s="257"/>
      <c r="X64" s="256"/>
    </row>
    <row r="65" spans="1:24">
      <c r="A65" s="260"/>
      <c r="B65" s="253" t="s">
        <v>3180</v>
      </c>
      <c r="C65" s="153" t="s">
        <v>3310</v>
      </c>
      <c r="D65" s="253" t="s">
        <v>3458</v>
      </c>
      <c r="E65" s="153" t="s">
        <v>3598</v>
      </c>
      <c r="F65" s="253"/>
      <c r="G65" s="153"/>
      <c r="H65" s="253"/>
      <c r="I65" s="153"/>
      <c r="J65" s="256"/>
      <c r="K65" s="257"/>
      <c r="L65" s="256"/>
      <c r="M65" s="257"/>
      <c r="N65" s="256"/>
      <c r="O65" s="257"/>
      <c r="P65" s="256"/>
      <c r="Q65" s="257"/>
      <c r="R65" s="256"/>
      <c r="S65" s="257"/>
      <c r="T65" s="256"/>
      <c r="U65" s="257"/>
      <c r="V65" s="256"/>
      <c r="W65" s="257"/>
      <c r="X65" s="256"/>
    </row>
    <row r="66" spans="1:24">
      <c r="A66" s="260"/>
      <c r="B66" s="253" t="s">
        <v>3182</v>
      </c>
      <c r="C66" s="153" t="s">
        <v>3312</v>
      </c>
      <c r="D66" s="253" t="s">
        <v>3460</v>
      </c>
      <c r="E66" s="153" t="s">
        <v>3600</v>
      </c>
      <c r="F66" s="253"/>
      <c r="G66" s="153"/>
      <c r="H66" s="253"/>
      <c r="I66" s="153"/>
      <c r="J66" s="256"/>
      <c r="K66" s="257"/>
      <c r="L66" s="256"/>
      <c r="M66" s="257"/>
      <c r="N66" s="256"/>
      <c r="O66" s="257"/>
      <c r="P66" s="256"/>
      <c r="Q66" s="257"/>
      <c r="R66" s="256"/>
      <c r="S66" s="257"/>
      <c r="T66" s="256"/>
      <c r="U66" s="257"/>
      <c r="V66" s="256"/>
      <c r="W66" s="257"/>
      <c r="X66" s="256"/>
    </row>
    <row r="67" spans="1:24">
      <c r="A67" s="260"/>
      <c r="B67" s="253" t="s">
        <v>3184</v>
      </c>
      <c r="C67" s="153" t="s">
        <v>3314</v>
      </c>
      <c r="D67" s="253" t="s">
        <v>3462</v>
      </c>
      <c r="E67" s="153" t="s">
        <v>3602</v>
      </c>
      <c r="F67" s="253"/>
      <c r="G67" s="153"/>
      <c r="H67" s="253"/>
      <c r="I67" s="153"/>
      <c r="J67" s="256"/>
      <c r="K67" s="257"/>
      <c r="L67" s="256"/>
      <c r="M67" s="257"/>
      <c r="N67" s="256"/>
      <c r="O67" s="257"/>
      <c r="P67" s="256"/>
      <c r="Q67" s="257"/>
      <c r="R67" s="256"/>
      <c r="S67" s="257"/>
      <c r="T67" s="256"/>
      <c r="U67" s="257"/>
      <c r="V67" s="256"/>
      <c r="W67" s="257"/>
      <c r="X67" s="256"/>
    </row>
    <row r="68" spans="1:24">
      <c r="A68" s="260"/>
      <c r="B68" s="253" t="s">
        <v>3186</v>
      </c>
      <c r="C68" s="153" t="s">
        <v>3316</v>
      </c>
      <c r="D68" s="253" t="s">
        <v>3464</v>
      </c>
      <c r="E68" s="153" t="s">
        <v>3604</v>
      </c>
      <c r="F68" s="253"/>
      <c r="G68" s="153"/>
      <c r="H68" s="253"/>
      <c r="I68" s="153"/>
      <c r="J68" s="256"/>
      <c r="K68" s="257"/>
      <c r="L68" s="256"/>
      <c r="M68" s="257"/>
      <c r="N68" s="256"/>
      <c r="O68" s="257"/>
      <c r="P68" s="256"/>
      <c r="Q68" s="257"/>
      <c r="R68" s="256"/>
      <c r="S68" s="257"/>
      <c r="T68" s="256"/>
      <c r="U68" s="257"/>
      <c r="V68" s="256"/>
      <c r="W68" s="257"/>
      <c r="X68" s="256"/>
    </row>
    <row r="69" spans="1:24">
      <c r="A69" s="260"/>
      <c r="B69" s="253" t="s">
        <v>3188</v>
      </c>
      <c r="C69" s="153" t="s">
        <v>3318</v>
      </c>
      <c r="D69" s="253" t="s">
        <v>3466</v>
      </c>
      <c r="F69" s="253"/>
      <c r="G69" s="153"/>
      <c r="H69" s="253"/>
      <c r="I69" s="153"/>
      <c r="J69" s="256"/>
      <c r="K69" s="257"/>
      <c r="L69" s="256"/>
      <c r="M69" s="257"/>
      <c r="N69" s="256"/>
      <c r="O69" s="257"/>
      <c r="P69" s="256"/>
      <c r="Q69" s="257"/>
      <c r="R69" s="256"/>
      <c r="S69" s="257"/>
      <c r="T69" s="256"/>
      <c r="U69" s="257"/>
      <c r="V69" s="256"/>
      <c r="W69" s="257"/>
      <c r="X69" s="256"/>
    </row>
    <row r="70" spans="1:24">
      <c r="A70" s="260"/>
      <c r="B70" s="253" t="s">
        <v>3190</v>
      </c>
      <c r="C70" s="153" t="s">
        <v>3320</v>
      </c>
      <c r="D70" s="253" t="s">
        <v>3468</v>
      </c>
      <c r="E70" s="153"/>
      <c r="F70" s="253"/>
      <c r="G70" s="153"/>
      <c r="H70" s="253"/>
      <c r="I70" s="153"/>
      <c r="J70" s="256"/>
      <c r="K70" s="257"/>
      <c r="L70" s="256"/>
      <c r="M70" s="257"/>
      <c r="N70" s="256"/>
      <c r="O70" s="257"/>
      <c r="P70" s="256"/>
      <c r="Q70" s="257"/>
      <c r="R70" s="256"/>
      <c r="S70" s="257"/>
      <c r="T70" s="256"/>
      <c r="U70" s="257"/>
      <c r="V70" s="256"/>
      <c r="W70" s="257"/>
      <c r="X70" s="256"/>
    </row>
    <row r="71" spans="1:24">
      <c r="A71" s="260"/>
      <c r="B71" s="253" t="s">
        <v>3192</v>
      </c>
      <c r="C71" s="153" t="s">
        <v>3322</v>
      </c>
      <c r="D71" s="253" t="s">
        <v>3470</v>
      </c>
      <c r="E71" s="153"/>
      <c r="F71" s="253"/>
      <c r="G71" s="153"/>
      <c r="H71" s="253"/>
      <c r="I71" s="153"/>
      <c r="J71" s="256"/>
      <c r="K71" s="257"/>
      <c r="L71" s="256"/>
      <c r="M71" s="257"/>
      <c r="N71" s="256"/>
      <c r="O71" s="257"/>
      <c r="P71" s="256"/>
      <c r="Q71" s="257"/>
      <c r="R71" s="256"/>
      <c r="S71" s="257"/>
      <c r="T71" s="256"/>
      <c r="U71" s="257"/>
      <c r="V71" s="256"/>
      <c r="W71" s="257"/>
      <c r="X71" s="256"/>
    </row>
    <row r="72" spans="1:24">
      <c r="A72" s="260"/>
      <c r="B72" s="253" t="s">
        <v>3194</v>
      </c>
      <c r="C72" s="153" t="s">
        <v>3324</v>
      </c>
      <c r="D72" s="253" t="s">
        <v>3472</v>
      </c>
      <c r="E72" s="153"/>
      <c r="F72" s="253"/>
      <c r="G72" s="153"/>
      <c r="H72" s="253"/>
      <c r="I72" s="153"/>
      <c r="J72" s="256"/>
      <c r="K72" s="257"/>
      <c r="L72" s="256"/>
      <c r="M72" s="257"/>
      <c r="N72" s="256"/>
      <c r="O72" s="257"/>
      <c r="P72" s="256"/>
      <c r="Q72" s="257"/>
      <c r="R72" s="256"/>
      <c r="S72" s="257"/>
      <c r="T72" s="256"/>
      <c r="U72" s="257"/>
      <c r="V72" s="256"/>
      <c r="W72" s="257"/>
      <c r="X72" s="256"/>
    </row>
    <row r="73" spans="1:24">
      <c r="A73" s="260"/>
      <c r="B73" s="253" t="s">
        <v>3196</v>
      </c>
      <c r="C73" s="153" t="s">
        <v>3326</v>
      </c>
      <c r="D73" s="253" t="s">
        <v>3474</v>
      </c>
      <c r="E73" s="153"/>
      <c r="F73" s="253"/>
      <c r="G73" s="153"/>
      <c r="H73" s="253"/>
      <c r="I73" s="153"/>
      <c r="J73" s="256"/>
      <c r="K73" s="257"/>
      <c r="L73" s="256"/>
      <c r="M73" s="257"/>
      <c r="N73" s="256"/>
      <c r="O73" s="257"/>
      <c r="P73" s="256"/>
      <c r="Q73" s="257"/>
      <c r="R73" s="256"/>
      <c r="S73" s="257"/>
      <c r="T73" s="256"/>
      <c r="U73" s="257"/>
      <c r="V73" s="256"/>
      <c r="W73" s="257"/>
      <c r="X73" s="256"/>
    </row>
    <row r="74" spans="1:24">
      <c r="A74" s="260"/>
      <c r="B74" s="253" t="s">
        <v>3198</v>
      </c>
      <c r="C74" s="153" t="s">
        <v>3328</v>
      </c>
      <c r="D74" s="253" t="s">
        <v>3476</v>
      </c>
      <c r="E74" s="153"/>
      <c r="F74" s="253"/>
      <c r="G74" s="153"/>
      <c r="H74" s="253"/>
      <c r="I74" s="153"/>
      <c r="J74" s="256"/>
      <c r="K74" s="257"/>
      <c r="L74" s="256"/>
      <c r="M74" s="257"/>
      <c r="N74" s="256"/>
      <c r="O74" s="257"/>
      <c r="P74" s="256"/>
      <c r="Q74" s="257"/>
      <c r="R74" s="256"/>
      <c r="S74" s="257"/>
      <c r="T74" s="256"/>
      <c r="U74" s="257"/>
      <c r="V74" s="256"/>
      <c r="W74" s="257"/>
      <c r="X74" s="256"/>
    </row>
    <row r="75" spans="1:24">
      <c r="A75" s="260"/>
      <c r="B75" s="253" t="s">
        <v>3200</v>
      </c>
      <c r="C75" s="153" t="s">
        <v>3330</v>
      </c>
      <c r="D75" s="253" t="s">
        <v>3478</v>
      </c>
      <c r="E75" s="153"/>
      <c r="F75" s="253"/>
      <c r="G75" s="153"/>
      <c r="H75" s="253"/>
      <c r="I75" s="153"/>
      <c r="J75" s="256"/>
      <c r="K75" s="257"/>
      <c r="L75" s="256"/>
      <c r="M75" s="257"/>
      <c r="N75" s="256"/>
      <c r="O75" s="257"/>
      <c r="P75" s="256"/>
      <c r="Q75" s="257"/>
      <c r="R75" s="256"/>
      <c r="S75" s="257"/>
      <c r="T75" s="256"/>
      <c r="U75" s="257"/>
      <c r="V75" s="256"/>
      <c r="W75" s="257"/>
      <c r="X75" s="256"/>
    </row>
    <row r="76" spans="1:24">
      <c r="A76" s="260"/>
      <c r="B76" s="253" t="s">
        <v>3202</v>
      </c>
      <c r="C76" s="153" t="s">
        <v>3332</v>
      </c>
      <c r="D76" s="253" t="s">
        <v>3480</v>
      </c>
      <c r="E76" s="153"/>
      <c r="F76" s="253"/>
      <c r="G76" s="153"/>
      <c r="H76" s="253"/>
      <c r="I76" s="153"/>
      <c r="J76" s="256"/>
      <c r="K76" s="257"/>
      <c r="L76" s="256"/>
      <c r="M76" s="257"/>
      <c r="N76" s="256"/>
      <c r="O76" s="257"/>
      <c r="P76" s="256"/>
      <c r="Q76" s="257"/>
      <c r="R76" s="256"/>
      <c r="S76" s="257"/>
      <c r="T76" s="256"/>
      <c r="U76" s="257"/>
      <c r="V76" s="256"/>
      <c r="W76" s="257"/>
      <c r="X76" s="256"/>
    </row>
    <row r="77" spans="1:24">
      <c r="A77" s="260"/>
      <c r="B77" s="253" t="s">
        <v>3204</v>
      </c>
      <c r="C77" s="153" t="s">
        <v>3334</v>
      </c>
      <c r="D77" s="253" t="s">
        <v>3482</v>
      </c>
      <c r="E77" s="153"/>
      <c r="F77" s="253"/>
      <c r="G77" s="153"/>
      <c r="H77" s="253"/>
      <c r="I77" s="153"/>
      <c r="J77" s="256"/>
      <c r="K77" s="257"/>
      <c r="L77" s="256"/>
      <c r="M77" s="257"/>
      <c r="N77" s="256"/>
      <c r="O77" s="257"/>
      <c r="P77" s="256"/>
      <c r="Q77" s="257"/>
      <c r="R77" s="256"/>
      <c r="S77" s="257"/>
      <c r="T77" s="256"/>
      <c r="U77" s="257"/>
      <c r="V77" s="256"/>
      <c r="W77" s="257"/>
      <c r="X77" s="256"/>
    </row>
    <row r="78" spans="1:24">
      <c r="A78" s="260"/>
      <c r="B78" s="253" t="s">
        <v>3206</v>
      </c>
      <c r="C78" s="153" t="s">
        <v>3336</v>
      </c>
      <c r="D78" s="253" t="s">
        <v>3484</v>
      </c>
      <c r="E78" s="153"/>
      <c r="F78" s="253"/>
      <c r="G78" s="153"/>
      <c r="H78" s="253"/>
      <c r="I78" s="153"/>
      <c r="J78" s="256"/>
      <c r="K78" s="257"/>
      <c r="L78" s="256"/>
      <c r="M78" s="257"/>
      <c r="N78" s="256"/>
      <c r="O78" s="257"/>
      <c r="P78" s="256"/>
      <c r="Q78" s="257"/>
      <c r="R78" s="256"/>
      <c r="S78" s="257"/>
      <c r="T78" s="256"/>
      <c r="U78" s="257"/>
      <c r="V78" s="256"/>
      <c r="W78" s="257"/>
      <c r="X78" s="256"/>
    </row>
    <row r="79" spans="1:24">
      <c r="A79" s="260"/>
      <c r="B79" s="253" t="s">
        <v>3208</v>
      </c>
      <c r="C79" s="153" t="s">
        <v>3338</v>
      </c>
      <c r="D79" s="253" t="s">
        <v>3486</v>
      </c>
      <c r="E79" s="153"/>
      <c r="F79" s="253"/>
      <c r="G79" s="153"/>
      <c r="H79" s="253"/>
      <c r="I79" s="153"/>
      <c r="J79" s="256"/>
      <c r="K79" s="257"/>
      <c r="L79" s="256"/>
      <c r="M79" s="257"/>
      <c r="N79" s="256"/>
      <c r="O79" s="257"/>
      <c r="P79" s="256"/>
      <c r="Q79" s="257"/>
      <c r="R79" s="256"/>
      <c r="S79" s="257"/>
      <c r="T79" s="256"/>
      <c r="U79" s="257"/>
      <c r="V79" s="256"/>
      <c r="W79" s="257"/>
      <c r="X79" s="256"/>
    </row>
    <row r="80" spans="1:24">
      <c r="A80" s="260"/>
      <c r="B80" s="253" t="s">
        <v>3210</v>
      </c>
      <c r="C80" s="153" t="s">
        <v>3340</v>
      </c>
      <c r="D80" s="253" t="s">
        <v>3488</v>
      </c>
      <c r="E80" s="153"/>
      <c r="F80" s="253"/>
      <c r="G80" s="153"/>
      <c r="H80" s="253"/>
      <c r="I80" s="153"/>
      <c r="J80" s="256"/>
      <c r="K80" s="257"/>
      <c r="L80" s="256"/>
      <c r="M80" s="257"/>
      <c r="N80" s="256"/>
      <c r="O80" s="257"/>
      <c r="P80" s="256"/>
      <c r="Q80" s="257"/>
      <c r="R80" s="256"/>
      <c r="S80" s="257"/>
      <c r="T80" s="256"/>
      <c r="U80" s="257"/>
      <c r="V80" s="256"/>
      <c r="W80" s="257"/>
      <c r="X80" s="256"/>
    </row>
    <row r="81" spans="1:24">
      <c r="A81" s="260"/>
      <c r="B81" s="253" t="s">
        <v>3212</v>
      </c>
      <c r="C81" s="153" t="s">
        <v>3342</v>
      </c>
      <c r="D81" s="253" t="s">
        <v>3490</v>
      </c>
      <c r="E81" s="153"/>
      <c r="F81" s="253"/>
      <c r="G81" s="153"/>
      <c r="H81" s="253"/>
      <c r="I81" s="153"/>
      <c r="J81" s="256"/>
      <c r="K81" s="257"/>
      <c r="L81" s="256"/>
      <c r="M81" s="257"/>
      <c r="N81" s="256"/>
      <c r="O81" s="257"/>
      <c r="P81" s="256"/>
      <c r="Q81" s="257"/>
      <c r="R81" s="256"/>
      <c r="S81" s="257"/>
      <c r="T81" s="256"/>
      <c r="U81" s="257"/>
      <c r="V81" s="256"/>
      <c r="W81" s="257"/>
      <c r="X81" s="256"/>
    </row>
    <row r="82" spans="1:24">
      <c r="A82" s="260"/>
      <c r="B82" s="253" t="s">
        <v>3214</v>
      </c>
      <c r="C82" s="153" t="s">
        <v>3344</v>
      </c>
      <c r="D82" s="253" t="s">
        <v>3492</v>
      </c>
      <c r="E82" s="153"/>
      <c r="F82" s="253"/>
      <c r="G82" s="153"/>
      <c r="H82" s="253"/>
      <c r="I82" s="153"/>
      <c r="J82" s="256"/>
      <c r="K82" s="257"/>
      <c r="L82" s="256"/>
      <c r="M82" s="257"/>
      <c r="N82" s="256"/>
      <c r="O82" s="257"/>
      <c r="P82" s="256"/>
      <c r="Q82" s="257"/>
      <c r="R82" s="256"/>
      <c r="S82" s="257"/>
      <c r="T82" s="256"/>
      <c r="U82" s="257"/>
      <c r="V82" s="256"/>
      <c r="W82" s="257"/>
      <c r="X82" s="256"/>
    </row>
    <row r="83" spans="1:24">
      <c r="A83" s="260"/>
      <c r="B83" s="253" t="s">
        <v>3216</v>
      </c>
      <c r="C83" s="153" t="s">
        <v>3346</v>
      </c>
      <c r="D83" s="253" t="s">
        <v>3494</v>
      </c>
      <c r="E83" s="153"/>
      <c r="F83" s="253"/>
      <c r="G83" s="153"/>
      <c r="H83" s="253"/>
      <c r="I83" s="153"/>
      <c r="J83" s="256"/>
      <c r="K83" s="257"/>
      <c r="L83" s="256"/>
      <c r="M83" s="257"/>
      <c r="N83" s="256"/>
      <c r="O83" s="257"/>
      <c r="P83" s="256"/>
      <c r="Q83" s="257"/>
      <c r="R83" s="256"/>
      <c r="S83" s="257"/>
      <c r="T83" s="256"/>
      <c r="U83" s="257"/>
      <c r="V83" s="256"/>
      <c r="W83" s="257"/>
      <c r="X83" s="256"/>
    </row>
    <row r="84" spans="1:24">
      <c r="A84" s="260"/>
      <c r="B84" s="253" t="s">
        <v>3218</v>
      </c>
      <c r="C84" s="153" t="s">
        <v>3348</v>
      </c>
      <c r="D84" s="253" t="s">
        <v>3496</v>
      </c>
      <c r="E84" s="153"/>
      <c r="F84" s="253"/>
      <c r="G84" s="153"/>
      <c r="H84" s="253"/>
      <c r="I84" s="153"/>
      <c r="J84" s="256"/>
      <c r="K84" s="257"/>
      <c r="L84" s="256"/>
      <c r="M84" s="257"/>
      <c r="N84" s="256"/>
      <c r="O84" s="257"/>
      <c r="P84" s="256"/>
      <c r="Q84" s="257"/>
      <c r="R84" s="256"/>
      <c r="S84" s="257"/>
      <c r="T84" s="256"/>
      <c r="U84" s="257"/>
      <c r="V84" s="256"/>
      <c r="W84" s="257"/>
      <c r="X84" s="256"/>
    </row>
    <row r="85" spans="1:24">
      <c r="A85" s="260"/>
      <c r="B85" s="253" t="s">
        <v>3220</v>
      </c>
      <c r="C85" s="153" t="s">
        <v>3350</v>
      </c>
      <c r="D85" s="253" t="s">
        <v>3498</v>
      </c>
      <c r="E85" s="153"/>
      <c r="F85" s="253"/>
      <c r="G85" s="153"/>
      <c r="H85" s="253"/>
      <c r="I85" s="153"/>
      <c r="J85" s="256"/>
      <c r="K85" s="257"/>
      <c r="L85" s="256"/>
      <c r="M85" s="257"/>
      <c r="N85" s="256"/>
      <c r="O85" s="257"/>
      <c r="P85" s="256"/>
      <c r="Q85" s="257"/>
      <c r="R85" s="256"/>
      <c r="S85" s="257"/>
      <c r="T85" s="256"/>
      <c r="U85" s="257"/>
      <c r="V85" s="256"/>
      <c r="W85" s="257"/>
      <c r="X85" s="256"/>
    </row>
    <row r="86" spans="1:24">
      <c r="A86" s="260"/>
      <c r="B86" s="253" t="s">
        <v>3222</v>
      </c>
      <c r="C86" s="153" t="s">
        <v>3352</v>
      </c>
      <c r="D86" s="253" t="s">
        <v>3500</v>
      </c>
      <c r="E86" s="153"/>
      <c r="F86" s="253"/>
      <c r="G86" s="153"/>
      <c r="H86" s="253"/>
      <c r="I86" s="153"/>
      <c r="J86" s="256"/>
      <c r="K86" s="257"/>
      <c r="L86" s="256"/>
      <c r="M86" s="257"/>
      <c r="N86" s="256"/>
      <c r="O86" s="257"/>
      <c r="P86" s="256"/>
      <c r="Q86" s="257"/>
      <c r="R86" s="256"/>
      <c r="S86" s="257"/>
      <c r="T86" s="256"/>
      <c r="U86" s="257"/>
      <c r="V86" s="256"/>
      <c r="W86" s="257"/>
      <c r="X86" s="256"/>
    </row>
    <row r="87" spans="1:24">
      <c r="A87" s="260"/>
      <c r="B87" s="253" t="s">
        <v>3224</v>
      </c>
      <c r="C87" s="153" t="s">
        <v>3354</v>
      </c>
      <c r="D87" s="253" t="s">
        <v>3502</v>
      </c>
      <c r="E87" s="153"/>
      <c r="F87" s="253"/>
      <c r="G87" s="153"/>
      <c r="H87" s="253"/>
      <c r="I87" s="153"/>
      <c r="J87" s="256"/>
      <c r="K87" s="257"/>
      <c r="L87" s="256"/>
      <c r="M87" s="257"/>
      <c r="N87" s="256"/>
      <c r="O87" s="257"/>
      <c r="P87" s="256"/>
      <c r="Q87" s="257"/>
      <c r="R87" s="256"/>
      <c r="S87" s="257"/>
      <c r="T87" s="256"/>
      <c r="U87" s="257"/>
      <c r="V87" s="256"/>
      <c r="W87" s="257"/>
      <c r="X87" s="256"/>
    </row>
    <row r="88" spans="1:24">
      <c r="A88" s="260"/>
      <c r="B88" s="253" t="s">
        <v>3226</v>
      </c>
      <c r="C88" s="153" t="s">
        <v>3356</v>
      </c>
      <c r="D88" s="253" t="s">
        <v>3504</v>
      </c>
      <c r="E88" s="153"/>
      <c r="F88" s="253"/>
      <c r="G88" s="153"/>
      <c r="H88" s="253"/>
      <c r="I88" s="153"/>
      <c r="J88" s="256"/>
      <c r="K88" s="257"/>
      <c r="L88" s="256"/>
      <c r="M88" s="257"/>
      <c r="N88" s="256"/>
      <c r="O88" s="257"/>
      <c r="P88" s="256"/>
      <c r="Q88" s="257"/>
      <c r="R88" s="256"/>
      <c r="S88" s="257"/>
      <c r="T88" s="256"/>
      <c r="U88" s="257"/>
      <c r="V88" s="256"/>
      <c r="W88" s="257"/>
      <c r="X88" s="256"/>
    </row>
    <row r="89" spans="1:24">
      <c r="A89" s="260"/>
      <c r="B89" s="253" t="s">
        <v>3228</v>
      </c>
      <c r="C89" s="153" t="s">
        <v>3358</v>
      </c>
      <c r="D89" s="253" t="s">
        <v>3506</v>
      </c>
      <c r="E89" s="153"/>
      <c r="F89" s="253"/>
      <c r="G89" s="153"/>
      <c r="H89" s="253"/>
      <c r="I89" s="153"/>
      <c r="J89" s="256"/>
      <c r="K89" s="257"/>
      <c r="L89" s="256"/>
      <c r="M89" s="257"/>
      <c r="N89" s="256"/>
      <c r="O89" s="257"/>
      <c r="P89" s="256"/>
      <c r="Q89" s="257"/>
      <c r="R89" s="256"/>
      <c r="S89" s="257"/>
      <c r="T89" s="256"/>
      <c r="U89" s="257"/>
      <c r="V89" s="256"/>
      <c r="W89" s="257"/>
      <c r="X89" s="256"/>
    </row>
    <row r="90" spans="1:24">
      <c r="A90" s="260"/>
      <c r="B90" s="253" t="s">
        <v>3230</v>
      </c>
      <c r="C90" s="153" t="s">
        <v>3360</v>
      </c>
      <c r="D90" s="253" t="s">
        <v>3508</v>
      </c>
      <c r="E90" s="153"/>
      <c r="F90" s="253"/>
      <c r="G90" s="153"/>
      <c r="H90" s="253"/>
      <c r="I90" s="153"/>
      <c r="J90" s="256"/>
      <c r="K90" s="257"/>
      <c r="L90" s="256"/>
      <c r="M90" s="257"/>
      <c r="N90" s="256"/>
      <c r="O90" s="257"/>
      <c r="P90" s="256"/>
      <c r="Q90" s="257"/>
      <c r="R90" s="256"/>
      <c r="S90" s="257"/>
      <c r="T90" s="256"/>
      <c r="U90" s="257"/>
      <c r="V90" s="256"/>
      <c r="W90" s="257"/>
      <c r="X90" s="256"/>
    </row>
    <row r="91" spans="1:24">
      <c r="A91" s="260"/>
      <c r="B91" s="253" t="s">
        <v>3232</v>
      </c>
      <c r="C91" s="153" t="s">
        <v>3362</v>
      </c>
      <c r="D91" s="253" t="s">
        <v>3510</v>
      </c>
      <c r="E91" s="153"/>
      <c r="F91" s="253"/>
      <c r="G91" s="153"/>
      <c r="H91" s="253"/>
      <c r="I91" s="153"/>
      <c r="J91" s="256"/>
      <c r="K91" s="257"/>
      <c r="L91" s="256"/>
      <c r="M91" s="257"/>
      <c r="N91" s="256"/>
      <c r="O91" s="257"/>
      <c r="P91" s="256"/>
      <c r="Q91" s="257"/>
      <c r="R91" s="256"/>
      <c r="S91" s="257"/>
      <c r="T91" s="256"/>
      <c r="U91" s="257"/>
      <c r="V91" s="256"/>
      <c r="W91" s="257"/>
      <c r="X91" s="256"/>
    </row>
    <row r="92" spans="1:24">
      <c r="A92" s="260"/>
      <c r="B92" s="253" t="s">
        <v>3234</v>
      </c>
      <c r="C92" s="153" t="s">
        <v>3364</v>
      </c>
      <c r="D92" s="253" t="s">
        <v>3512</v>
      </c>
      <c r="E92" s="153"/>
      <c r="F92" s="253"/>
      <c r="G92" s="153"/>
      <c r="H92" s="253"/>
      <c r="I92" s="153"/>
      <c r="J92" s="256"/>
      <c r="K92" s="257"/>
      <c r="L92" s="256"/>
      <c r="M92" s="257"/>
      <c r="N92" s="256"/>
      <c r="O92" s="257"/>
      <c r="P92" s="256"/>
      <c r="Q92" s="257"/>
      <c r="R92" s="256"/>
      <c r="S92" s="257"/>
      <c r="T92" s="256"/>
      <c r="U92" s="257"/>
      <c r="V92" s="256"/>
      <c r="W92" s="257"/>
      <c r="X92" s="256"/>
    </row>
    <row r="93" spans="1:24">
      <c r="A93" s="260"/>
      <c r="B93" s="253" t="s">
        <v>3236</v>
      </c>
      <c r="C93" s="153" t="s">
        <v>3366</v>
      </c>
      <c r="D93" s="253" t="s">
        <v>3514</v>
      </c>
      <c r="E93" s="153"/>
      <c r="F93" s="253"/>
      <c r="G93" s="153"/>
      <c r="H93" s="253"/>
      <c r="I93" s="153"/>
      <c r="J93" s="256"/>
      <c r="K93" s="257"/>
      <c r="L93" s="256"/>
      <c r="M93" s="257"/>
      <c r="N93" s="256"/>
      <c r="O93" s="257"/>
      <c r="P93" s="256"/>
      <c r="Q93" s="257"/>
      <c r="R93" s="256"/>
      <c r="S93" s="257"/>
      <c r="T93" s="256"/>
      <c r="U93" s="257"/>
      <c r="V93" s="256"/>
      <c r="W93" s="257"/>
      <c r="X93" s="256"/>
    </row>
    <row r="94" spans="1:24">
      <c r="A94" s="260"/>
      <c r="B94" s="253" t="s">
        <v>3238</v>
      </c>
      <c r="C94" s="153" t="s">
        <v>3368</v>
      </c>
      <c r="D94" s="253" t="s">
        <v>3516</v>
      </c>
      <c r="E94" s="153"/>
      <c r="F94" s="253"/>
      <c r="G94" s="153"/>
      <c r="H94" s="253"/>
      <c r="I94" s="153"/>
      <c r="J94" s="256"/>
      <c r="K94" s="257"/>
      <c r="L94" s="256"/>
      <c r="M94" s="257"/>
      <c r="N94" s="256"/>
      <c r="O94" s="257"/>
      <c r="P94" s="256"/>
      <c r="Q94" s="257"/>
      <c r="R94" s="256"/>
      <c r="S94" s="257"/>
      <c r="T94" s="256"/>
      <c r="U94" s="257"/>
      <c r="V94" s="256"/>
      <c r="W94" s="257"/>
      <c r="X94" s="256"/>
    </row>
    <row r="95" spans="1:24">
      <c r="A95" s="260"/>
      <c r="B95" s="253" t="s">
        <v>3240</v>
      </c>
      <c r="C95" s="153" t="s">
        <v>3370</v>
      </c>
      <c r="D95" s="253" t="s">
        <v>3518</v>
      </c>
      <c r="E95" s="153"/>
      <c r="F95" s="253"/>
      <c r="G95" s="153"/>
      <c r="H95" s="253"/>
      <c r="I95" s="153"/>
      <c r="J95" s="256"/>
      <c r="K95" s="257"/>
      <c r="L95" s="256"/>
      <c r="M95" s="257"/>
      <c r="N95" s="256"/>
      <c r="O95" s="257"/>
      <c r="P95" s="256"/>
      <c r="Q95" s="257"/>
      <c r="R95" s="256"/>
      <c r="S95" s="257"/>
      <c r="T95" s="256"/>
      <c r="U95" s="257"/>
      <c r="V95" s="256"/>
      <c r="W95" s="257"/>
      <c r="X95" s="256"/>
    </row>
    <row r="96" spans="1:24">
      <c r="A96" s="260"/>
      <c r="B96" s="253"/>
      <c r="C96" s="153" t="s">
        <v>3372</v>
      </c>
      <c r="D96" s="253" t="s">
        <v>3520</v>
      </c>
      <c r="E96" s="153"/>
      <c r="F96" s="253"/>
      <c r="G96" s="153"/>
      <c r="H96" s="253"/>
      <c r="I96" s="153"/>
      <c r="J96" s="256"/>
      <c r="K96" s="257"/>
      <c r="L96" s="256"/>
      <c r="M96" s="257"/>
      <c r="N96" s="256"/>
      <c r="O96" s="257"/>
      <c r="P96" s="256"/>
      <c r="Q96" s="257"/>
      <c r="R96" s="256"/>
      <c r="S96" s="257"/>
      <c r="T96" s="256"/>
      <c r="U96" s="257"/>
      <c r="V96" s="256"/>
      <c r="W96" s="257"/>
      <c r="X96" s="256"/>
    </row>
    <row r="97" spans="1:24">
      <c r="A97" s="260"/>
      <c r="B97" s="253"/>
      <c r="C97" s="153" t="s">
        <v>3374</v>
      </c>
      <c r="D97" s="253" t="s">
        <v>3522</v>
      </c>
      <c r="E97" s="153"/>
      <c r="F97" s="253"/>
      <c r="G97" s="153"/>
      <c r="H97" s="253"/>
      <c r="I97" s="153"/>
      <c r="J97" s="256"/>
      <c r="K97" s="257"/>
      <c r="L97" s="256"/>
      <c r="M97" s="257"/>
      <c r="N97" s="256"/>
      <c r="O97" s="257"/>
      <c r="P97" s="256"/>
      <c r="Q97" s="257"/>
      <c r="R97" s="256"/>
      <c r="S97" s="257"/>
      <c r="T97" s="256"/>
      <c r="U97" s="257"/>
      <c r="V97" s="256"/>
      <c r="W97" s="257"/>
      <c r="X97" s="256"/>
    </row>
    <row r="98" spans="1:24">
      <c r="A98" s="260"/>
      <c r="B98" s="253"/>
      <c r="C98" s="153" t="s">
        <v>3376</v>
      </c>
      <c r="D98" s="253" t="s">
        <v>3524</v>
      </c>
      <c r="E98" s="153"/>
      <c r="F98" s="253"/>
      <c r="G98" s="153"/>
      <c r="H98" s="253"/>
      <c r="I98" s="153"/>
      <c r="J98" s="256"/>
      <c r="K98" s="257"/>
      <c r="L98" s="256"/>
      <c r="M98" s="257"/>
      <c r="N98" s="256"/>
      <c r="O98" s="257"/>
      <c r="P98" s="256"/>
      <c r="Q98" s="257"/>
      <c r="R98" s="256"/>
      <c r="S98" s="257"/>
      <c r="T98" s="256"/>
      <c r="U98" s="257"/>
      <c r="V98" s="256"/>
      <c r="W98" s="257"/>
      <c r="X98" s="256"/>
    </row>
    <row r="99" spans="1:24">
      <c r="A99" s="260"/>
      <c r="B99" s="253"/>
      <c r="C99" s="153" t="s">
        <v>3378</v>
      </c>
      <c r="D99" s="253" t="s">
        <v>3526</v>
      </c>
      <c r="E99" s="153"/>
      <c r="F99" s="253"/>
      <c r="G99" s="153"/>
      <c r="H99" s="253"/>
      <c r="I99" s="153"/>
      <c r="J99" s="256"/>
      <c r="K99" s="257"/>
      <c r="L99" s="256"/>
      <c r="M99" s="257"/>
      <c r="N99" s="256"/>
      <c r="O99" s="257"/>
      <c r="P99" s="256"/>
      <c r="Q99" s="257"/>
      <c r="R99" s="256"/>
      <c r="S99" s="257"/>
      <c r="T99" s="256"/>
      <c r="U99" s="257"/>
      <c r="V99" s="256"/>
      <c r="W99" s="257"/>
      <c r="X99" s="256"/>
    </row>
    <row r="100" spans="1:24">
      <c r="A100" s="260"/>
      <c r="B100" s="253"/>
      <c r="C100" s="153" t="s">
        <v>3380</v>
      </c>
      <c r="D100" s="253" t="s">
        <v>3528</v>
      </c>
      <c r="E100" s="153"/>
      <c r="F100" s="253"/>
      <c r="G100" s="153"/>
      <c r="H100" s="253"/>
      <c r="I100" s="153"/>
      <c r="J100" s="256"/>
      <c r="K100" s="257"/>
      <c r="L100" s="256"/>
      <c r="M100" s="257"/>
      <c r="N100" s="256"/>
      <c r="O100" s="257"/>
      <c r="P100" s="256"/>
      <c r="Q100" s="257"/>
      <c r="R100" s="256"/>
      <c r="S100" s="257"/>
      <c r="T100" s="256"/>
      <c r="U100" s="257"/>
      <c r="V100" s="256"/>
      <c r="W100" s="257"/>
      <c r="X100" s="256"/>
    </row>
    <row r="101" spans="1:24">
      <c r="A101" s="260"/>
      <c r="B101" s="253"/>
      <c r="C101" s="153" t="s">
        <v>3382</v>
      </c>
      <c r="D101" s="253"/>
      <c r="E101" s="153"/>
      <c r="F101" s="253"/>
      <c r="G101" s="153"/>
      <c r="H101" s="253"/>
      <c r="I101" s="153"/>
      <c r="J101" s="256"/>
      <c r="K101" s="257"/>
      <c r="L101" s="256"/>
      <c r="M101" s="257"/>
      <c r="N101" s="256"/>
      <c r="O101" s="257"/>
      <c r="P101" s="256"/>
      <c r="Q101" s="257"/>
      <c r="R101" s="256"/>
      <c r="S101" s="257"/>
      <c r="T101" s="256"/>
      <c r="U101" s="257"/>
      <c r="V101" s="256"/>
      <c r="W101" s="257"/>
      <c r="X101" s="256"/>
    </row>
    <row r="102" spans="1:24">
      <c r="A102" s="260"/>
      <c r="B102" s="253"/>
      <c r="C102" s="153" t="s">
        <v>3384</v>
      </c>
      <c r="D102" s="253"/>
      <c r="E102" s="153"/>
      <c r="F102" s="253"/>
      <c r="G102" s="153"/>
      <c r="H102" s="253"/>
      <c r="I102" s="153"/>
      <c r="J102" s="256"/>
      <c r="K102" s="257"/>
      <c r="L102" s="256"/>
      <c r="M102" s="257"/>
      <c r="N102" s="256"/>
      <c r="O102" s="257"/>
      <c r="P102" s="256"/>
      <c r="Q102" s="257"/>
      <c r="R102" s="256"/>
      <c r="S102" s="257"/>
      <c r="T102" s="256"/>
      <c r="U102" s="257"/>
      <c r="V102" s="256"/>
      <c r="W102" s="257"/>
      <c r="X102" s="256"/>
    </row>
    <row r="103" spans="1:24">
      <c r="A103" s="260"/>
      <c r="B103" s="253"/>
      <c r="C103" s="153" t="s">
        <v>3386</v>
      </c>
      <c r="D103" s="253"/>
      <c r="E103" s="153"/>
      <c r="F103" s="253"/>
      <c r="G103" s="153"/>
      <c r="H103" s="253"/>
      <c r="I103" s="153"/>
      <c r="J103" s="256"/>
      <c r="K103" s="257"/>
      <c r="L103" s="256"/>
      <c r="M103" s="257"/>
      <c r="N103" s="256"/>
      <c r="O103" s="257"/>
      <c r="P103" s="256"/>
      <c r="Q103" s="257"/>
      <c r="R103" s="256"/>
      <c r="S103" s="257"/>
      <c r="T103" s="256"/>
      <c r="U103" s="257"/>
      <c r="V103" s="256"/>
      <c r="W103" s="257"/>
      <c r="X103" s="256"/>
    </row>
    <row r="104" spans="1:24">
      <c r="A104" s="260"/>
      <c r="B104" s="261"/>
      <c r="C104" s="153" t="s">
        <v>3388</v>
      </c>
      <c r="D104" s="261"/>
      <c r="E104" s="262"/>
      <c r="F104" s="261"/>
      <c r="G104" s="262"/>
      <c r="H104" s="261"/>
      <c r="I104" s="262"/>
      <c r="J104" s="256"/>
      <c r="K104" s="257"/>
      <c r="L104" s="256"/>
      <c r="M104" s="257"/>
      <c r="N104" s="256"/>
      <c r="O104" s="257"/>
      <c r="P104" s="256"/>
      <c r="Q104" s="257"/>
      <c r="R104" s="256"/>
      <c r="S104" s="257"/>
      <c r="T104" s="256"/>
      <c r="U104" s="257"/>
      <c r="V104" s="256"/>
      <c r="W104" s="257"/>
      <c r="X104" s="256"/>
    </row>
    <row r="105" spans="1:24">
      <c r="A105" s="260"/>
      <c r="B105" s="261"/>
      <c r="C105" s="153" t="s">
        <v>3390</v>
      </c>
      <c r="D105" s="261"/>
      <c r="E105" s="262"/>
      <c r="F105" s="261"/>
      <c r="G105" s="262"/>
      <c r="H105" s="261"/>
      <c r="I105" s="262"/>
      <c r="J105" s="256"/>
      <c r="K105" s="257"/>
      <c r="L105" s="256"/>
      <c r="M105" s="257"/>
      <c r="N105" s="256"/>
      <c r="O105" s="257"/>
      <c r="P105" s="256"/>
      <c r="Q105" s="257"/>
      <c r="R105" s="256"/>
      <c r="S105" s="257"/>
      <c r="T105" s="256"/>
      <c r="U105" s="257"/>
      <c r="V105" s="256"/>
      <c r="W105" s="257"/>
      <c r="X105" s="256"/>
    </row>
    <row r="106" spans="1:24" ht="12.75">
      <c r="A106" s="255"/>
      <c r="B106" s="256"/>
      <c r="C106" s="257"/>
      <c r="D106" s="256"/>
      <c r="E106" s="257"/>
      <c r="F106" s="256"/>
      <c r="G106" s="257"/>
      <c r="H106" s="256"/>
      <c r="I106" s="257"/>
      <c r="J106" s="256"/>
      <c r="K106" s="257"/>
      <c r="L106" s="256"/>
      <c r="M106" s="257"/>
      <c r="N106" s="256"/>
      <c r="O106" s="257"/>
      <c r="P106" s="256"/>
      <c r="Q106" s="257"/>
      <c r="R106" s="256"/>
      <c r="S106" s="257"/>
      <c r="T106" s="256"/>
      <c r="U106" s="257"/>
      <c r="V106" s="256"/>
      <c r="W106" s="257"/>
      <c r="X106" s="256"/>
    </row>
    <row r="107" spans="1:24" ht="12.75">
      <c r="A107" s="255"/>
      <c r="B107" s="256"/>
      <c r="C107" s="257"/>
      <c r="D107" s="256"/>
      <c r="E107" s="257"/>
      <c r="F107" s="256"/>
      <c r="G107" s="257"/>
      <c r="H107" s="256"/>
      <c r="I107" s="257"/>
      <c r="J107" s="256"/>
      <c r="K107" s="257"/>
      <c r="L107" s="256"/>
      <c r="M107" s="257"/>
      <c r="N107" s="256"/>
      <c r="O107" s="257"/>
      <c r="P107" s="256"/>
      <c r="Q107" s="257"/>
      <c r="R107" s="256"/>
      <c r="S107" s="257"/>
      <c r="T107" s="256"/>
      <c r="U107" s="257"/>
      <c r="V107" s="256"/>
      <c r="W107" s="257"/>
      <c r="X107" s="256"/>
    </row>
    <row r="108" spans="1:24" ht="12.75">
      <c r="A108" s="255"/>
      <c r="B108" s="256"/>
      <c r="C108" s="257"/>
      <c r="D108" s="256"/>
      <c r="E108" s="257"/>
      <c r="F108" s="256"/>
      <c r="G108" s="257"/>
      <c r="H108" s="256"/>
      <c r="I108" s="257"/>
      <c r="J108" s="256"/>
      <c r="K108" s="257"/>
      <c r="L108" s="256"/>
      <c r="M108" s="257"/>
      <c r="N108" s="256"/>
      <c r="O108" s="257"/>
      <c r="P108" s="256"/>
      <c r="Q108" s="257"/>
      <c r="R108" s="256"/>
      <c r="S108" s="257"/>
      <c r="T108" s="256"/>
      <c r="U108" s="257"/>
      <c r="V108" s="256"/>
      <c r="W108" s="257"/>
      <c r="X108" s="256"/>
    </row>
    <row r="109" spans="1:24" ht="12.75">
      <c r="A109" s="255"/>
      <c r="B109" s="256"/>
      <c r="C109" s="257"/>
      <c r="D109" s="256"/>
      <c r="E109" s="257"/>
      <c r="F109" s="256"/>
      <c r="G109" s="257"/>
      <c r="H109" s="256"/>
      <c r="I109" s="257"/>
      <c r="J109" s="256"/>
      <c r="K109" s="257"/>
      <c r="L109" s="256"/>
      <c r="M109" s="257"/>
      <c r="N109" s="256"/>
      <c r="O109" s="257"/>
      <c r="P109" s="256"/>
      <c r="Q109" s="257"/>
      <c r="R109" s="256"/>
      <c r="S109" s="257"/>
      <c r="T109" s="256"/>
      <c r="U109" s="257"/>
      <c r="V109" s="256"/>
      <c r="W109" s="257"/>
      <c r="X109" s="256"/>
    </row>
    <row r="110" spans="1:24" ht="12.75">
      <c r="A110" s="255"/>
      <c r="B110" s="256"/>
      <c r="C110" s="257"/>
      <c r="D110" s="256"/>
      <c r="E110" s="257"/>
      <c r="F110" s="256"/>
      <c r="G110" s="257"/>
      <c r="H110" s="256"/>
      <c r="I110" s="257"/>
      <c r="J110" s="256"/>
      <c r="K110" s="257"/>
      <c r="L110" s="256"/>
      <c r="M110" s="257"/>
      <c r="N110" s="256"/>
      <c r="O110" s="257"/>
      <c r="P110" s="256"/>
      <c r="Q110" s="257"/>
      <c r="R110" s="256"/>
      <c r="S110" s="257"/>
      <c r="T110" s="256"/>
      <c r="U110" s="257"/>
      <c r="V110" s="256"/>
      <c r="W110" s="257"/>
      <c r="X110" s="256"/>
    </row>
    <row r="111" spans="1:24" ht="12.75">
      <c r="A111" s="255"/>
      <c r="B111" s="256"/>
      <c r="C111" s="257"/>
      <c r="D111" s="256"/>
      <c r="E111" s="257"/>
      <c r="F111" s="256"/>
      <c r="G111" s="257"/>
      <c r="H111" s="256"/>
      <c r="I111" s="257"/>
      <c r="J111" s="256"/>
      <c r="K111" s="257"/>
      <c r="L111" s="256"/>
      <c r="M111" s="257"/>
      <c r="N111" s="256"/>
      <c r="O111" s="257"/>
      <c r="P111" s="256"/>
      <c r="Q111" s="257"/>
      <c r="R111" s="256"/>
      <c r="S111" s="257"/>
      <c r="T111" s="256"/>
      <c r="U111" s="257"/>
      <c r="V111" s="256"/>
      <c r="W111" s="257"/>
      <c r="X111" s="256"/>
    </row>
    <row r="112" spans="1:24" ht="12.75">
      <c r="A112" s="255"/>
      <c r="B112" s="256"/>
      <c r="C112" s="257"/>
      <c r="D112" s="256"/>
      <c r="E112" s="257"/>
      <c r="F112" s="256"/>
      <c r="G112" s="257"/>
      <c r="H112" s="256"/>
      <c r="I112" s="257"/>
      <c r="J112" s="256"/>
      <c r="K112" s="257"/>
      <c r="L112" s="256"/>
      <c r="M112" s="257"/>
      <c r="N112" s="256"/>
      <c r="O112" s="257"/>
      <c r="P112" s="256"/>
      <c r="Q112" s="257"/>
      <c r="R112" s="256"/>
      <c r="S112" s="257"/>
      <c r="T112" s="256"/>
      <c r="U112" s="257"/>
      <c r="V112" s="256"/>
      <c r="W112" s="257"/>
      <c r="X112" s="256"/>
    </row>
    <row r="113" spans="1:24" ht="12.75">
      <c r="A113" s="255"/>
      <c r="B113" s="256"/>
      <c r="C113" s="257"/>
      <c r="D113" s="256"/>
      <c r="E113" s="257"/>
      <c r="F113" s="256"/>
      <c r="G113" s="257"/>
      <c r="H113" s="256"/>
      <c r="I113" s="257"/>
      <c r="J113" s="256"/>
      <c r="K113" s="257"/>
      <c r="L113" s="256"/>
      <c r="M113" s="257"/>
      <c r="N113" s="256"/>
      <c r="O113" s="257"/>
      <c r="P113" s="256"/>
      <c r="Q113" s="257"/>
      <c r="R113" s="256"/>
      <c r="S113" s="257"/>
      <c r="T113" s="256"/>
      <c r="U113" s="257"/>
      <c r="V113" s="256"/>
      <c r="W113" s="257"/>
      <c r="X113" s="256"/>
    </row>
    <row r="114" spans="1:24" ht="12.75">
      <c r="A114" s="255"/>
      <c r="B114" s="256"/>
      <c r="C114" s="257"/>
      <c r="D114" s="256"/>
      <c r="E114" s="257"/>
      <c r="F114" s="256"/>
      <c r="G114" s="257"/>
      <c r="H114" s="256"/>
      <c r="I114" s="257"/>
      <c r="J114" s="256"/>
      <c r="K114" s="257"/>
      <c r="L114" s="256"/>
      <c r="M114" s="257"/>
      <c r="N114" s="256"/>
      <c r="O114" s="257"/>
      <c r="P114" s="256"/>
      <c r="Q114" s="257"/>
      <c r="R114" s="256"/>
      <c r="S114" s="257"/>
      <c r="T114" s="256"/>
      <c r="U114" s="257"/>
      <c r="V114" s="256"/>
      <c r="W114" s="257"/>
      <c r="X114" s="256"/>
    </row>
    <row r="115" spans="1:24" ht="12.75">
      <c r="A115" s="255"/>
      <c r="B115" s="256"/>
      <c r="C115" s="257"/>
      <c r="D115" s="256"/>
      <c r="E115" s="257"/>
      <c r="F115" s="256"/>
      <c r="G115" s="257"/>
      <c r="H115" s="256"/>
      <c r="I115" s="257"/>
      <c r="J115" s="256"/>
      <c r="K115" s="257"/>
      <c r="L115" s="256"/>
      <c r="M115" s="257"/>
      <c r="N115" s="256"/>
      <c r="O115" s="257"/>
      <c r="P115" s="256"/>
      <c r="Q115" s="257"/>
      <c r="R115" s="256"/>
      <c r="S115" s="257"/>
      <c r="T115" s="256"/>
      <c r="U115" s="257"/>
      <c r="V115" s="256"/>
      <c r="W115" s="257"/>
      <c r="X115" s="256"/>
    </row>
    <row r="116" spans="1:24" ht="12.75">
      <c r="A116" s="255"/>
      <c r="B116" s="256"/>
      <c r="C116" s="257"/>
      <c r="D116" s="256"/>
      <c r="E116" s="257"/>
      <c r="F116" s="256"/>
      <c r="G116" s="257"/>
      <c r="H116" s="256"/>
      <c r="I116" s="257"/>
      <c r="J116" s="256"/>
      <c r="K116" s="257"/>
      <c r="L116" s="256"/>
      <c r="M116" s="257"/>
      <c r="N116" s="256"/>
      <c r="O116" s="257"/>
      <c r="P116" s="256"/>
      <c r="Q116" s="257"/>
      <c r="R116" s="256"/>
      <c r="S116" s="257"/>
      <c r="T116" s="256"/>
      <c r="U116" s="257"/>
      <c r="V116" s="256"/>
      <c r="W116" s="257"/>
      <c r="X116" s="256"/>
    </row>
    <row r="117" spans="1:24" ht="12.75">
      <c r="A117" s="255"/>
      <c r="B117" s="256"/>
      <c r="C117" s="257"/>
      <c r="D117" s="256"/>
      <c r="E117" s="257"/>
      <c r="F117" s="256"/>
      <c r="G117" s="257"/>
      <c r="H117" s="256"/>
      <c r="I117" s="257"/>
      <c r="J117" s="256"/>
      <c r="K117" s="257"/>
      <c r="L117" s="256"/>
      <c r="M117" s="257"/>
      <c r="N117" s="256"/>
      <c r="O117" s="257"/>
      <c r="P117" s="256"/>
      <c r="Q117" s="257"/>
      <c r="R117" s="256"/>
      <c r="S117" s="257"/>
      <c r="T117" s="256"/>
      <c r="U117" s="257"/>
      <c r="V117" s="256"/>
      <c r="W117" s="257"/>
      <c r="X117" s="256"/>
    </row>
    <row r="118" spans="1:24" ht="12.75">
      <c r="A118" s="255"/>
      <c r="B118" s="256"/>
      <c r="C118" s="257"/>
      <c r="D118" s="256"/>
      <c r="E118" s="257"/>
      <c r="F118" s="256"/>
      <c r="G118" s="257"/>
      <c r="H118" s="256"/>
      <c r="I118" s="257"/>
      <c r="J118" s="256"/>
      <c r="K118" s="257"/>
      <c r="L118" s="256"/>
      <c r="M118" s="257"/>
      <c r="N118" s="256"/>
      <c r="O118" s="257"/>
      <c r="P118" s="256"/>
      <c r="Q118" s="257"/>
      <c r="R118" s="256"/>
      <c r="S118" s="257"/>
      <c r="T118" s="256"/>
      <c r="U118" s="257"/>
      <c r="V118" s="256"/>
      <c r="W118" s="257"/>
      <c r="X118" s="256"/>
    </row>
    <row r="119" spans="1:24" ht="12.75">
      <c r="A119" s="255"/>
      <c r="B119" s="256"/>
      <c r="C119" s="257"/>
      <c r="D119" s="256"/>
      <c r="E119" s="257"/>
      <c r="F119" s="256"/>
      <c r="G119" s="257"/>
      <c r="H119" s="256"/>
      <c r="I119" s="257"/>
      <c r="J119" s="256"/>
      <c r="K119" s="257"/>
      <c r="L119" s="256"/>
      <c r="M119" s="257"/>
      <c r="N119" s="256"/>
      <c r="O119" s="257"/>
      <c r="P119" s="256"/>
      <c r="Q119" s="257"/>
      <c r="R119" s="256"/>
      <c r="S119" s="257"/>
      <c r="T119" s="256"/>
      <c r="U119" s="257"/>
      <c r="V119" s="256"/>
      <c r="W119" s="257"/>
      <c r="X119" s="256"/>
    </row>
    <row r="120" spans="1:24" ht="12.75">
      <c r="A120" s="255"/>
      <c r="B120" s="256"/>
      <c r="C120" s="257"/>
      <c r="D120" s="256"/>
      <c r="E120" s="257"/>
      <c r="F120" s="256"/>
      <c r="G120" s="257"/>
      <c r="H120" s="256"/>
      <c r="I120" s="257"/>
      <c r="J120" s="256"/>
      <c r="K120" s="257"/>
      <c r="L120" s="256"/>
      <c r="M120" s="257"/>
      <c r="N120" s="256"/>
      <c r="O120" s="257"/>
      <c r="P120" s="256"/>
      <c r="Q120" s="257"/>
      <c r="R120" s="256"/>
      <c r="S120" s="257"/>
      <c r="T120" s="256"/>
      <c r="U120" s="257"/>
      <c r="V120" s="256"/>
      <c r="W120" s="257"/>
      <c r="X120" s="256"/>
    </row>
    <row r="121" spans="1:24" ht="12.75">
      <c r="A121" s="255"/>
      <c r="B121" s="256"/>
      <c r="C121" s="257"/>
      <c r="D121" s="256"/>
      <c r="E121" s="257"/>
      <c r="F121" s="256"/>
      <c r="G121" s="257"/>
      <c r="H121" s="256"/>
      <c r="I121" s="257"/>
      <c r="J121" s="256"/>
      <c r="K121" s="257"/>
      <c r="L121" s="256"/>
      <c r="M121" s="257"/>
      <c r="N121" s="256"/>
      <c r="O121" s="257"/>
      <c r="P121" s="256"/>
      <c r="Q121" s="257"/>
      <c r="R121" s="256"/>
      <c r="S121" s="257"/>
      <c r="T121" s="256"/>
      <c r="U121" s="257"/>
      <c r="V121" s="256"/>
      <c r="W121" s="257"/>
      <c r="X121" s="256"/>
    </row>
    <row r="122" spans="1:24" ht="12.75">
      <c r="A122" s="255"/>
      <c r="B122" s="256"/>
      <c r="C122" s="257"/>
      <c r="D122" s="256"/>
      <c r="E122" s="257"/>
      <c r="F122" s="256"/>
      <c r="G122" s="257"/>
      <c r="H122" s="256"/>
      <c r="I122" s="257"/>
      <c r="J122" s="256"/>
      <c r="K122" s="257"/>
      <c r="L122" s="256"/>
      <c r="M122" s="257"/>
      <c r="N122" s="256"/>
      <c r="O122" s="257"/>
      <c r="P122" s="256"/>
      <c r="Q122" s="257"/>
      <c r="R122" s="256"/>
      <c r="S122" s="257"/>
      <c r="T122" s="256"/>
      <c r="U122" s="257"/>
      <c r="V122" s="256"/>
      <c r="W122" s="257"/>
      <c r="X122" s="256"/>
    </row>
    <row r="123" spans="1:24" ht="12.75">
      <c r="A123" s="255"/>
      <c r="B123" s="256"/>
      <c r="C123" s="257"/>
      <c r="D123" s="256"/>
      <c r="E123" s="257"/>
      <c r="F123" s="256"/>
      <c r="G123" s="257"/>
      <c r="H123" s="256"/>
      <c r="I123" s="257"/>
      <c r="J123" s="256"/>
      <c r="K123" s="257"/>
      <c r="L123" s="256"/>
      <c r="M123" s="257"/>
      <c r="N123" s="256"/>
      <c r="O123" s="257"/>
      <c r="P123" s="256"/>
      <c r="Q123" s="257"/>
      <c r="R123" s="256"/>
      <c r="S123" s="257"/>
      <c r="T123" s="256"/>
      <c r="U123" s="257"/>
      <c r="V123" s="256"/>
      <c r="W123" s="257"/>
      <c r="X123" s="256"/>
    </row>
    <row r="124" spans="1:24" ht="12.75">
      <c r="A124" s="255"/>
      <c r="B124" s="256"/>
      <c r="C124" s="257"/>
      <c r="D124" s="256"/>
      <c r="E124" s="257"/>
      <c r="F124" s="256"/>
      <c r="G124" s="257"/>
      <c r="H124" s="256"/>
      <c r="I124" s="257"/>
      <c r="J124" s="256"/>
      <c r="K124" s="257"/>
      <c r="L124" s="256"/>
      <c r="M124" s="257"/>
      <c r="N124" s="256"/>
      <c r="O124" s="257"/>
      <c r="P124" s="256"/>
      <c r="Q124" s="257"/>
      <c r="R124" s="256"/>
      <c r="S124" s="257"/>
      <c r="T124" s="256"/>
      <c r="U124" s="257"/>
      <c r="V124" s="256"/>
      <c r="W124" s="257"/>
      <c r="X124" s="256"/>
    </row>
    <row r="125" spans="1:24" ht="12.75">
      <c r="A125" s="255"/>
      <c r="B125" s="256"/>
      <c r="C125" s="257"/>
      <c r="D125" s="256"/>
      <c r="E125" s="257"/>
      <c r="F125" s="256"/>
      <c r="G125" s="257"/>
      <c r="H125" s="256"/>
      <c r="I125" s="257"/>
      <c r="J125" s="256"/>
      <c r="K125" s="257"/>
      <c r="L125" s="256"/>
      <c r="M125" s="257"/>
      <c r="N125" s="256"/>
      <c r="O125" s="257"/>
      <c r="P125" s="256"/>
      <c r="Q125" s="257"/>
      <c r="R125" s="256"/>
      <c r="S125" s="257"/>
      <c r="T125" s="256"/>
      <c r="U125" s="257"/>
      <c r="V125" s="256"/>
      <c r="W125" s="257"/>
      <c r="X125" s="256"/>
    </row>
    <row r="126" spans="1:24" ht="12.75">
      <c r="A126" s="255"/>
      <c r="B126" s="256"/>
      <c r="C126" s="257"/>
      <c r="D126" s="256"/>
      <c r="E126" s="257"/>
      <c r="F126" s="256"/>
      <c r="G126" s="257"/>
      <c r="H126" s="256"/>
      <c r="I126" s="257"/>
      <c r="J126" s="256"/>
      <c r="K126" s="257"/>
      <c r="L126" s="256"/>
      <c r="M126" s="257"/>
      <c r="N126" s="256"/>
      <c r="O126" s="257"/>
      <c r="P126" s="256"/>
      <c r="Q126" s="257"/>
      <c r="R126" s="256"/>
      <c r="S126" s="257"/>
      <c r="T126" s="256"/>
      <c r="U126" s="257"/>
      <c r="V126" s="256"/>
      <c r="W126" s="257"/>
      <c r="X126" s="256"/>
    </row>
    <row r="127" spans="1:24" ht="12.75">
      <c r="A127" s="255"/>
      <c r="B127" s="256"/>
      <c r="C127" s="257"/>
      <c r="D127" s="256"/>
      <c r="E127" s="257"/>
      <c r="F127" s="256"/>
      <c r="G127" s="257"/>
      <c r="H127" s="256"/>
      <c r="I127" s="257"/>
      <c r="J127" s="256"/>
      <c r="K127" s="257"/>
      <c r="L127" s="256"/>
      <c r="M127" s="257"/>
      <c r="N127" s="256"/>
      <c r="O127" s="257"/>
      <c r="P127" s="256"/>
      <c r="Q127" s="257"/>
      <c r="R127" s="256"/>
      <c r="S127" s="257"/>
      <c r="T127" s="256"/>
      <c r="U127" s="257"/>
      <c r="V127" s="256"/>
      <c r="W127" s="257"/>
      <c r="X127" s="256"/>
    </row>
    <row r="128" spans="1:24" ht="12.75">
      <c r="A128" s="255"/>
      <c r="B128" s="256"/>
      <c r="C128" s="257"/>
      <c r="D128" s="256"/>
      <c r="E128" s="257"/>
      <c r="F128" s="256"/>
      <c r="G128" s="257"/>
      <c r="H128" s="256"/>
      <c r="I128" s="257"/>
      <c r="J128" s="256"/>
      <c r="K128" s="257"/>
      <c r="L128" s="256"/>
      <c r="M128" s="257"/>
      <c r="N128" s="256"/>
      <c r="O128" s="257"/>
      <c r="P128" s="256"/>
      <c r="Q128" s="257"/>
      <c r="R128" s="256"/>
      <c r="S128" s="257"/>
      <c r="T128" s="256"/>
      <c r="U128" s="257"/>
      <c r="V128" s="256"/>
      <c r="W128" s="257"/>
      <c r="X128" s="256"/>
    </row>
    <row r="129" spans="1:24" ht="12.75">
      <c r="A129" s="255"/>
      <c r="B129" s="256"/>
      <c r="C129" s="257"/>
      <c r="D129" s="256"/>
      <c r="E129" s="257"/>
      <c r="F129" s="256"/>
      <c r="G129" s="257"/>
      <c r="H129" s="256"/>
      <c r="I129" s="257"/>
      <c r="J129" s="256"/>
      <c r="K129" s="257"/>
      <c r="L129" s="256"/>
      <c r="M129" s="257"/>
      <c r="N129" s="256"/>
      <c r="O129" s="257"/>
      <c r="P129" s="256"/>
      <c r="Q129" s="257"/>
      <c r="R129" s="256"/>
      <c r="S129" s="257"/>
      <c r="T129" s="256"/>
      <c r="U129" s="257"/>
      <c r="V129" s="256"/>
      <c r="W129" s="257"/>
      <c r="X129" s="256"/>
    </row>
    <row r="130" spans="1:24" ht="12.75">
      <c r="A130" s="255"/>
      <c r="B130" s="256"/>
      <c r="C130" s="257"/>
      <c r="D130" s="256"/>
      <c r="E130" s="257"/>
      <c r="F130" s="256"/>
      <c r="G130" s="257"/>
      <c r="H130" s="256"/>
      <c r="I130" s="257"/>
      <c r="J130" s="256"/>
      <c r="K130" s="257"/>
      <c r="L130" s="256"/>
      <c r="M130" s="257"/>
      <c r="N130" s="256"/>
      <c r="O130" s="257"/>
      <c r="P130" s="256"/>
      <c r="Q130" s="257"/>
      <c r="R130" s="256"/>
      <c r="S130" s="257"/>
      <c r="T130" s="256"/>
      <c r="U130" s="257"/>
      <c r="V130" s="256"/>
      <c r="W130" s="257"/>
      <c r="X130" s="256"/>
    </row>
    <row r="131" spans="1:24" ht="12.75">
      <c r="A131" s="255"/>
      <c r="B131" s="256"/>
      <c r="C131" s="257"/>
      <c r="D131" s="256"/>
      <c r="E131" s="257"/>
      <c r="F131" s="256"/>
      <c r="G131" s="257"/>
      <c r="H131" s="256"/>
      <c r="I131" s="257"/>
      <c r="J131" s="256"/>
      <c r="K131" s="257"/>
      <c r="L131" s="256"/>
      <c r="M131" s="257"/>
      <c r="N131" s="256"/>
      <c r="O131" s="257"/>
      <c r="P131" s="256"/>
      <c r="Q131" s="257"/>
      <c r="R131" s="256"/>
      <c r="S131" s="257"/>
      <c r="T131" s="256"/>
      <c r="U131" s="257"/>
      <c r="V131" s="256"/>
      <c r="W131" s="257"/>
      <c r="X131" s="256"/>
    </row>
    <row r="132" spans="1:24" ht="12.75">
      <c r="A132" s="255"/>
      <c r="B132" s="256"/>
      <c r="C132" s="257"/>
      <c r="D132" s="256"/>
      <c r="E132" s="257"/>
      <c r="F132" s="256"/>
      <c r="G132" s="257"/>
      <c r="H132" s="256"/>
      <c r="I132" s="257"/>
      <c r="J132" s="256"/>
      <c r="K132" s="257"/>
      <c r="L132" s="256"/>
      <c r="M132" s="257"/>
      <c r="N132" s="256"/>
      <c r="O132" s="257"/>
      <c r="P132" s="256"/>
      <c r="Q132" s="257"/>
      <c r="R132" s="256"/>
      <c r="S132" s="257"/>
      <c r="T132" s="256"/>
      <c r="U132" s="257"/>
      <c r="V132" s="256"/>
      <c r="W132" s="257"/>
      <c r="X132" s="256"/>
    </row>
    <row r="133" spans="1:24" ht="12.75">
      <c r="A133" s="255"/>
      <c r="B133" s="256"/>
      <c r="C133" s="257"/>
      <c r="D133" s="256"/>
      <c r="E133" s="257"/>
      <c r="F133" s="256"/>
      <c r="G133" s="257"/>
      <c r="H133" s="256"/>
      <c r="I133" s="257"/>
      <c r="J133" s="256"/>
      <c r="K133" s="257"/>
      <c r="L133" s="256"/>
      <c r="M133" s="257"/>
      <c r="N133" s="256"/>
      <c r="O133" s="257"/>
      <c r="P133" s="256"/>
      <c r="Q133" s="257"/>
      <c r="R133" s="256"/>
      <c r="S133" s="257"/>
      <c r="T133" s="256"/>
      <c r="U133" s="257"/>
      <c r="V133" s="256"/>
      <c r="W133" s="257"/>
      <c r="X133" s="256"/>
    </row>
    <row r="134" spans="1:24" ht="12.75">
      <c r="A134" s="255"/>
      <c r="B134" s="256"/>
      <c r="C134" s="257"/>
      <c r="D134" s="256"/>
      <c r="E134" s="257"/>
      <c r="F134" s="256"/>
      <c r="G134" s="257"/>
      <c r="H134" s="256"/>
      <c r="I134" s="257"/>
      <c r="J134" s="256"/>
      <c r="K134" s="257"/>
      <c r="L134" s="256"/>
      <c r="M134" s="257"/>
      <c r="N134" s="256"/>
      <c r="O134" s="257"/>
      <c r="P134" s="256"/>
      <c r="Q134" s="257"/>
      <c r="R134" s="256"/>
      <c r="S134" s="257"/>
      <c r="T134" s="256"/>
      <c r="U134" s="257"/>
      <c r="V134" s="256"/>
      <c r="W134" s="257"/>
      <c r="X134" s="256"/>
    </row>
    <row r="135" spans="1:24" ht="12.75">
      <c r="A135" s="255"/>
      <c r="B135" s="256"/>
      <c r="C135" s="257"/>
      <c r="D135" s="256"/>
      <c r="E135" s="257"/>
      <c r="F135" s="256"/>
      <c r="G135" s="257"/>
      <c r="H135" s="256"/>
      <c r="I135" s="257"/>
      <c r="J135" s="256"/>
      <c r="K135" s="257"/>
      <c r="L135" s="256"/>
      <c r="M135" s="257"/>
      <c r="N135" s="256"/>
      <c r="O135" s="257"/>
      <c r="P135" s="256"/>
      <c r="Q135" s="257"/>
      <c r="R135" s="256"/>
      <c r="S135" s="257"/>
      <c r="T135" s="256"/>
      <c r="U135" s="257"/>
      <c r="V135" s="256"/>
      <c r="W135" s="257"/>
      <c r="X135" s="256"/>
    </row>
    <row r="136" spans="1:24" ht="12.75">
      <c r="A136" s="255"/>
      <c r="B136" s="256"/>
      <c r="C136" s="257"/>
      <c r="D136" s="256"/>
      <c r="E136" s="257"/>
      <c r="F136" s="256"/>
      <c r="G136" s="257"/>
      <c r="H136" s="256"/>
      <c r="I136" s="257"/>
      <c r="J136" s="256"/>
      <c r="K136" s="257"/>
      <c r="L136" s="256"/>
      <c r="M136" s="257"/>
      <c r="N136" s="256"/>
      <c r="O136" s="257"/>
      <c r="P136" s="256"/>
      <c r="Q136" s="257"/>
      <c r="R136" s="256"/>
      <c r="S136" s="257"/>
      <c r="T136" s="256"/>
      <c r="U136" s="257"/>
      <c r="V136" s="256"/>
      <c r="W136" s="257"/>
      <c r="X136" s="256"/>
    </row>
    <row r="137" spans="1:24" ht="12.75">
      <c r="A137" s="255"/>
      <c r="B137" s="256"/>
      <c r="C137" s="257"/>
      <c r="D137" s="256"/>
      <c r="E137" s="257"/>
      <c r="F137" s="256"/>
      <c r="G137" s="257"/>
      <c r="H137" s="256"/>
      <c r="I137" s="257"/>
      <c r="J137" s="256"/>
      <c r="K137" s="257"/>
      <c r="L137" s="256"/>
      <c r="M137" s="257"/>
      <c r="N137" s="256"/>
      <c r="O137" s="257"/>
      <c r="P137" s="256"/>
      <c r="Q137" s="257"/>
      <c r="R137" s="256"/>
      <c r="S137" s="257"/>
      <c r="T137" s="256"/>
      <c r="U137" s="257"/>
      <c r="V137" s="256"/>
      <c r="W137" s="257"/>
      <c r="X137" s="256"/>
    </row>
    <row r="138" spans="1:24" ht="12.75">
      <c r="A138" s="255"/>
      <c r="B138" s="256"/>
      <c r="C138" s="257"/>
      <c r="D138" s="256"/>
      <c r="E138" s="257"/>
      <c r="F138" s="256"/>
      <c r="G138" s="257"/>
      <c r="H138" s="256"/>
      <c r="I138" s="257"/>
      <c r="J138" s="256"/>
      <c r="K138" s="257"/>
      <c r="L138" s="256"/>
      <c r="M138" s="257"/>
      <c r="N138" s="256"/>
      <c r="O138" s="257"/>
      <c r="P138" s="256"/>
      <c r="Q138" s="257"/>
      <c r="R138" s="256"/>
      <c r="S138" s="257"/>
      <c r="T138" s="256"/>
      <c r="U138" s="257"/>
      <c r="V138" s="256"/>
      <c r="W138" s="257"/>
      <c r="X138" s="256"/>
    </row>
    <row r="139" spans="1:24" ht="12.75">
      <c r="A139" s="255"/>
      <c r="B139" s="256"/>
      <c r="C139" s="257"/>
      <c r="D139" s="256"/>
      <c r="E139" s="257"/>
      <c r="F139" s="256"/>
      <c r="G139" s="257"/>
      <c r="H139" s="256"/>
      <c r="I139" s="257"/>
      <c r="J139" s="256"/>
      <c r="K139" s="257"/>
      <c r="L139" s="256"/>
      <c r="M139" s="257"/>
      <c r="N139" s="256"/>
      <c r="O139" s="257"/>
      <c r="P139" s="256"/>
      <c r="Q139" s="257"/>
      <c r="R139" s="256"/>
      <c r="S139" s="257"/>
      <c r="T139" s="256"/>
      <c r="U139" s="257"/>
      <c r="V139" s="256"/>
      <c r="W139" s="257"/>
      <c r="X139" s="256"/>
    </row>
    <row r="140" spans="1:24" ht="12.75">
      <c r="A140" s="255"/>
      <c r="B140" s="256"/>
      <c r="C140" s="257"/>
      <c r="D140" s="256"/>
      <c r="E140" s="257"/>
      <c r="F140" s="256"/>
      <c r="G140" s="257"/>
      <c r="H140" s="256"/>
      <c r="I140" s="257"/>
      <c r="J140" s="256"/>
      <c r="K140" s="257"/>
      <c r="L140" s="256"/>
      <c r="M140" s="257"/>
      <c r="N140" s="256"/>
      <c r="O140" s="257"/>
      <c r="P140" s="256"/>
      <c r="Q140" s="257"/>
      <c r="R140" s="256"/>
      <c r="S140" s="257"/>
      <c r="T140" s="256"/>
      <c r="U140" s="257"/>
      <c r="V140" s="256"/>
      <c r="W140" s="257"/>
      <c r="X140" s="256"/>
    </row>
    <row r="141" spans="1:24" ht="12.75">
      <c r="A141" s="255"/>
      <c r="B141" s="256"/>
      <c r="C141" s="257"/>
      <c r="D141" s="256"/>
      <c r="E141" s="257"/>
      <c r="F141" s="256"/>
      <c r="G141" s="257"/>
      <c r="H141" s="256"/>
      <c r="I141" s="257"/>
      <c r="J141" s="256"/>
      <c r="K141" s="257"/>
      <c r="L141" s="256"/>
      <c r="M141" s="257"/>
      <c r="N141" s="256"/>
      <c r="O141" s="257"/>
      <c r="P141" s="256"/>
      <c r="Q141" s="257"/>
      <c r="R141" s="256"/>
      <c r="S141" s="257"/>
      <c r="T141" s="256"/>
      <c r="U141" s="257"/>
      <c r="V141" s="256"/>
      <c r="W141" s="257"/>
      <c r="X141" s="256"/>
    </row>
    <row r="142" spans="1:24" ht="12.75">
      <c r="A142" s="255"/>
      <c r="B142" s="256"/>
      <c r="C142" s="257"/>
      <c r="D142" s="256"/>
      <c r="E142" s="257"/>
      <c r="F142" s="256"/>
      <c r="G142" s="257"/>
      <c r="H142" s="256"/>
      <c r="I142" s="257"/>
      <c r="J142" s="256"/>
      <c r="K142" s="257"/>
      <c r="L142" s="256"/>
      <c r="M142" s="257"/>
      <c r="N142" s="256"/>
      <c r="O142" s="257"/>
      <c r="P142" s="256"/>
      <c r="Q142" s="257"/>
      <c r="R142" s="256"/>
      <c r="S142" s="257"/>
      <c r="T142" s="256"/>
      <c r="U142" s="257"/>
      <c r="V142" s="256"/>
      <c r="W142" s="257"/>
      <c r="X142" s="256"/>
    </row>
    <row r="143" spans="1:24" ht="12.75">
      <c r="A143" s="255"/>
      <c r="B143" s="256"/>
      <c r="C143" s="257"/>
      <c r="D143" s="256"/>
      <c r="E143" s="257"/>
      <c r="F143" s="256"/>
      <c r="G143" s="257"/>
      <c r="H143" s="256"/>
      <c r="I143" s="257"/>
      <c r="J143" s="256"/>
      <c r="K143" s="257"/>
      <c r="L143" s="256"/>
      <c r="M143" s="257"/>
      <c r="N143" s="256"/>
      <c r="O143" s="257"/>
      <c r="P143" s="256"/>
      <c r="Q143" s="257"/>
      <c r="R143" s="256"/>
      <c r="S143" s="257"/>
      <c r="T143" s="256"/>
      <c r="U143" s="257"/>
      <c r="V143" s="256"/>
      <c r="W143" s="257"/>
      <c r="X143" s="256"/>
    </row>
    <row r="144" spans="1:24" ht="12.75">
      <c r="A144" s="255"/>
      <c r="B144" s="256"/>
      <c r="C144" s="257"/>
      <c r="D144" s="256"/>
      <c r="E144" s="257"/>
      <c r="F144" s="256"/>
      <c r="G144" s="257"/>
      <c r="H144" s="256"/>
      <c r="I144" s="257"/>
      <c r="J144" s="256"/>
      <c r="K144" s="257"/>
      <c r="L144" s="256"/>
      <c r="M144" s="257"/>
      <c r="N144" s="256"/>
      <c r="O144" s="257"/>
      <c r="P144" s="256"/>
      <c r="Q144" s="257"/>
      <c r="R144" s="256"/>
      <c r="S144" s="257"/>
      <c r="T144" s="256"/>
      <c r="U144" s="257"/>
      <c r="V144" s="256"/>
      <c r="W144" s="257"/>
      <c r="X144" s="256"/>
    </row>
    <row r="145" spans="1:24" ht="12.75">
      <c r="A145" s="255"/>
      <c r="B145" s="256"/>
      <c r="C145" s="257"/>
      <c r="D145" s="256"/>
      <c r="E145" s="257"/>
      <c r="F145" s="256"/>
      <c r="G145" s="257"/>
      <c r="H145" s="256"/>
      <c r="I145" s="257"/>
      <c r="J145" s="256"/>
      <c r="K145" s="257"/>
      <c r="L145" s="256"/>
      <c r="M145" s="257"/>
      <c r="N145" s="256"/>
      <c r="O145" s="257"/>
      <c r="P145" s="256"/>
      <c r="Q145" s="257"/>
      <c r="R145" s="256"/>
      <c r="S145" s="257"/>
      <c r="T145" s="256"/>
      <c r="U145" s="257"/>
      <c r="V145" s="256"/>
      <c r="W145" s="257"/>
      <c r="X145" s="256"/>
    </row>
    <row r="146" spans="1:24" ht="12.75">
      <c r="A146" s="255"/>
      <c r="B146" s="256"/>
      <c r="C146" s="257"/>
      <c r="D146" s="256"/>
      <c r="E146" s="257"/>
      <c r="F146" s="256"/>
      <c r="G146" s="257"/>
      <c r="H146" s="256"/>
      <c r="I146" s="257"/>
      <c r="J146" s="256"/>
      <c r="K146" s="257"/>
      <c r="L146" s="256"/>
      <c r="M146" s="257"/>
      <c r="N146" s="256"/>
      <c r="O146" s="257"/>
      <c r="P146" s="256"/>
      <c r="Q146" s="257"/>
      <c r="R146" s="256"/>
      <c r="S146" s="257"/>
      <c r="T146" s="256"/>
      <c r="U146" s="257"/>
      <c r="V146" s="256"/>
      <c r="W146" s="257"/>
      <c r="X146" s="256"/>
    </row>
    <row r="147" spans="1:24" ht="12.75">
      <c r="A147" s="255"/>
      <c r="B147" s="256"/>
      <c r="C147" s="257"/>
      <c r="D147" s="256"/>
      <c r="E147" s="257"/>
      <c r="F147" s="256"/>
      <c r="G147" s="257"/>
      <c r="H147" s="256"/>
      <c r="I147" s="257"/>
      <c r="J147" s="256"/>
      <c r="K147" s="257"/>
      <c r="L147" s="256"/>
      <c r="M147" s="257"/>
      <c r="N147" s="256"/>
      <c r="O147" s="257"/>
      <c r="P147" s="256"/>
      <c r="Q147" s="257"/>
      <c r="R147" s="256"/>
      <c r="S147" s="257"/>
      <c r="T147" s="256"/>
      <c r="U147" s="257"/>
      <c r="V147" s="256"/>
      <c r="W147" s="257"/>
      <c r="X147" s="256"/>
    </row>
    <row r="148" spans="1:24" ht="12.75">
      <c r="A148" s="255"/>
      <c r="B148" s="256"/>
      <c r="C148" s="257"/>
      <c r="D148" s="256"/>
      <c r="E148" s="257"/>
      <c r="F148" s="256"/>
      <c r="G148" s="257"/>
      <c r="H148" s="256"/>
      <c r="I148" s="257"/>
      <c r="J148" s="256"/>
      <c r="K148" s="257"/>
      <c r="L148" s="256"/>
      <c r="M148" s="257"/>
      <c r="N148" s="256"/>
      <c r="O148" s="257"/>
      <c r="P148" s="256"/>
      <c r="Q148" s="257"/>
      <c r="R148" s="256"/>
      <c r="S148" s="257"/>
      <c r="T148" s="256"/>
      <c r="U148" s="257"/>
      <c r="V148" s="256"/>
      <c r="W148" s="257"/>
      <c r="X148" s="256"/>
    </row>
    <row r="149" spans="1:24" ht="12.75">
      <c r="A149" s="255"/>
      <c r="B149" s="256"/>
      <c r="C149" s="257"/>
      <c r="D149" s="256"/>
      <c r="E149" s="257"/>
      <c r="F149" s="256"/>
      <c r="G149" s="257"/>
      <c r="H149" s="256"/>
      <c r="I149" s="257"/>
      <c r="J149" s="256"/>
      <c r="K149" s="257"/>
      <c r="L149" s="256"/>
      <c r="M149" s="257"/>
      <c r="N149" s="256"/>
      <c r="O149" s="257"/>
      <c r="P149" s="256"/>
      <c r="Q149" s="257"/>
      <c r="R149" s="256"/>
      <c r="S149" s="257"/>
      <c r="T149" s="256"/>
      <c r="U149" s="257"/>
      <c r="V149" s="256"/>
      <c r="W149" s="257"/>
      <c r="X149" s="256"/>
    </row>
    <row r="150" spans="1:24" ht="12.75">
      <c r="A150" s="255"/>
      <c r="B150" s="256"/>
      <c r="C150" s="257"/>
      <c r="D150" s="256"/>
      <c r="E150" s="257"/>
      <c r="F150" s="256"/>
      <c r="G150" s="257"/>
      <c r="H150" s="256"/>
      <c r="I150" s="257"/>
      <c r="J150" s="256"/>
      <c r="K150" s="257"/>
      <c r="L150" s="256"/>
      <c r="M150" s="257"/>
      <c r="N150" s="256"/>
      <c r="O150" s="257"/>
      <c r="P150" s="256"/>
      <c r="Q150" s="257"/>
      <c r="R150" s="256"/>
      <c r="S150" s="257"/>
      <c r="T150" s="256"/>
      <c r="U150" s="257"/>
      <c r="V150" s="256"/>
      <c r="W150" s="257"/>
      <c r="X150" s="256"/>
    </row>
    <row r="151" spans="1:24" ht="12.75">
      <c r="A151" s="255"/>
      <c r="B151" s="256"/>
      <c r="C151" s="257"/>
      <c r="D151" s="256"/>
      <c r="E151" s="257"/>
      <c r="F151" s="256"/>
      <c r="G151" s="257"/>
      <c r="H151" s="256"/>
      <c r="I151" s="257"/>
      <c r="J151" s="256"/>
      <c r="K151" s="257"/>
      <c r="L151" s="256"/>
      <c r="M151" s="257"/>
      <c r="N151" s="256"/>
      <c r="O151" s="257"/>
      <c r="P151" s="256"/>
      <c r="Q151" s="257"/>
      <c r="R151" s="256"/>
      <c r="S151" s="257"/>
      <c r="T151" s="256"/>
      <c r="U151" s="257"/>
      <c r="V151" s="256"/>
      <c r="W151" s="257"/>
      <c r="X151" s="256"/>
    </row>
    <row r="152" spans="1:24" ht="12.75">
      <c r="A152" s="255"/>
      <c r="B152" s="256"/>
      <c r="C152" s="257"/>
      <c r="D152" s="256"/>
      <c r="E152" s="257"/>
      <c r="F152" s="256"/>
      <c r="G152" s="257"/>
      <c r="H152" s="256"/>
      <c r="I152" s="257"/>
      <c r="J152" s="256"/>
      <c r="K152" s="257"/>
      <c r="L152" s="256"/>
      <c r="M152" s="257"/>
      <c r="N152" s="256"/>
      <c r="O152" s="257"/>
      <c r="P152" s="256"/>
      <c r="Q152" s="257"/>
      <c r="R152" s="256"/>
      <c r="S152" s="257"/>
      <c r="T152" s="256"/>
      <c r="U152" s="257"/>
      <c r="V152" s="256"/>
      <c r="W152" s="257"/>
      <c r="X152" s="256"/>
    </row>
    <row r="153" spans="1:24" ht="12.75">
      <c r="A153" s="255"/>
      <c r="B153" s="256"/>
      <c r="C153" s="257"/>
      <c r="D153" s="256"/>
      <c r="E153" s="257"/>
      <c r="F153" s="256"/>
      <c r="G153" s="257"/>
      <c r="H153" s="256"/>
      <c r="I153" s="257"/>
      <c r="J153" s="256"/>
      <c r="K153" s="257"/>
      <c r="L153" s="256"/>
      <c r="M153" s="257"/>
      <c r="N153" s="256"/>
      <c r="O153" s="257"/>
      <c r="P153" s="256"/>
      <c r="Q153" s="257"/>
      <c r="R153" s="256"/>
      <c r="S153" s="257"/>
      <c r="T153" s="256"/>
      <c r="U153" s="257"/>
      <c r="V153" s="256"/>
      <c r="W153" s="257"/>
      <c r="X153" s="256"/>
    </row>
    <row r="154" spans="1:24" ht="12.75">
      <c r="A154" s="255"/>
      <c r="B154" s="256"/>
      <c r="C154" s="257"/>
      <c r="D154" s="256"/>
      <c r="E154" s="257"/>
      <c r="F154" s="256"/>
      <c r="G154" s="257"/>
      <c r="H154" s="256"/>
      <c r="I154" s="257"/>
      <c r="J154" s="256"/>
      <c r="K154" s="257"/>
      <c r="L154" s="256"/>
      <c r="M154" s="257"/>
      <c r="N154" s="256"/>
      <c r="O154" s="257"/>
      <c r="P154" s="256"/>
      <c r="Q154" s="257"/>
      <c r="R154" s="256"/>
      <c r="S154" s="257"/>
      <c r="T154" s="256"/>
      <c r="U154" s="257"/>
      <c r="V154" s="256"/>
      <c r="W154" s="257"/>
      <c r="X154" s="256"/>
    </row>
    <row r="155" spans="1:24" ht="12.75">
      <c r="A155" s="255"/>
      <c r="B155" s="256"/>
      <c r="C155" s="257"/>
      <c r="D155" s="256"/>
      <c r="E155" s="257"/>
      <c r="F155" s="256"/>
      <c r="G155" s="257"/>
      <c r="H155" s="256"/>
      <c r="I155" s="257"/>
      <c r="J155" s="256"/>
      <c r="K155" s="257"/>
      <c r="L155" s="256"/>
      <c r="M155" s="257"/>
      <c r="N155" s="256"/>
      <c r="O155" s="257"/>
      <c r="P155" s="256"/>
      <c r="Q155" s="257"/>
      <c r="R155" s="256"/>
      <c r="S155" s="257"/>
      <c r="T155" s="256"/>
      <c r="U155" s="257"/>
      <c r="V155" s="256"/>
      <c r="W155" s="257"/>
      <c r="X155" s="256"/>
    </row>
    <row r="156" spans="1:24" ht="12.75">
      <c r="A156" s="255"/>
      <c r="B156" s="256"/>
      <c r="C156" s="257"/>
      <c r="D156" s="256"/>
      <c r="E156" s="257"/>
      <c r="F156" s="256"/>
      <c r="G156" s="257"/>
      <c r="H156" s="256"/>
      <c r="I156" s="257"/>
      <c r="J156" s="256"/>
      <c r="K156" s="257"/>
      <c r="L156" s="256"/>
      <c r="M156" s="257"/>
      <c r="N156" s="256"/>
      <c r="O156" s="257"/>
      <c r="P156" s="256"/>
      <c r="Q156" s="257"/>
      <c r="R156" s="256"/>
      <c r="S156" s="257"/>
      <c r="T156" s="256"/>
      <c r="U156" s="257"/>
      <c r="V156" s="256"/>
      <c r="W156" s="257"/>
      <c r="X156" s="256"/>
    </row>
    <row r="157" spans="1:24" ht="12.75">
      <c r="A157" s="255"/>
      <c r="B157" s="256"/>
      <c r="C157" s="257"/>
      <c r="D157" s="256"/>
      <c r="E157" s="257"/>
      <c r="F157" s="256"/>
      <c r="G157" s="257"/>
      <c r="H157" s="256"/>
      <c r="I157" s="257"/>
      <c r="J157" s="256"/>
      <c r="K157" s="257"/>
      <c r="L157" s="256"/>
      <c r="M157" s="257"/>
      <c r="N157" s="256"/>
      <c r="O157" s="257"/>
      <c r="P157" s="256"/>
      <c r="Q157" s="257"/>
      <c r="R157" s="256"/>
      <c r="S157" s="257"/>
      <c r="T157" s="256"/>
      <c r="U157" s="257"/>
      <c r="V157" s="256"/>
      <c r="W157" s="257"/>
      <c r="X157" s="256"/>
    </row>
    <row r="158" spans="1:24" ht="12.75">
      <c r="A158" s="255"/>
      <c r="B158" s="256"/>
      <c r="C158" s="257"/>
      <c r="D158" s="256"/>
      <c r="E158" s="257"/>
      <c r="F158" s="256"/>
      <c r="G158" s="257"/>
      <c r="H158" s="256"/>
      <c r="I158" s="257"/>
      <c r="J158" s="256"/>
      <c r="K158" s="257"/>
      <c r="L158" s="256"/>
      <c r="M158" s="257"/>
      <c r="N158" s="256"/>
      <c r="O158" s="257"/>
      <c r="P158" s="256"/>
      <c r="Q158" s="257"/>
      <c r="R158" s="256"/>
      <c r="S158" s="257"/>
      <c r="T158" s="256"/>
      <c r="U158" s="257"/>
      <c r="V158" s="256"/>
      <c r="W158" s="257"/>
      <c r="X158" s="256"/>
    </row>
    <row r="159" spans="1:24" ht="12.75">
      <c r="A159" s="255"/>
      <c r="B159" s="256"/>
      <c r="C159" s="257"/>
      <c r="D159" s="256"/>
      <c r="E159" s="257"/>
      <c r="F159" s="256"/>
      <c r="G159" s="257"/>
      <c r="H159" s="256"/>
      <c r="I159" s="257"/>
      <c r="J159" s="256"/>
      <c r="K159" s="257"/>
      <c r="L159" s="256"/>
      <c r="M159" s="257"/>
      <c r="N159" s="256"/>
      <c r="O159" s="257"/>
      <c r="P159" s="256"/>
      <c r="Q159" s="257"/>
      <c r="R159" s="256"/>
      <c r="S159" s="257"/>
      <c r="T159" s="256"/>
      <c r="U159" s="257"/>
      <c r="V159" s="256"/>
      <c r="W159" s="257"/>
      <c r="X159" s="256"/>
    </row>
    <row r="160" spans="1:24" ht="12.75">
      <c r="A160" s="255"/>
      <c r="B160" s="256"/>
      <c r="C160" s="257"/>
      <c r="D160" s="256"/>
      <c r="E160" s="257"/>
      <c r="F160" s="256"/>
      <c r="G160" s="257"/>
      <c r="H160" s="256"/>
      <c r="I160" s="257"/>
      <c r="J160" s="256"/>
      <c r="K160" s="257"/>
      <c r="L160" s="256"/>
      <c r="M160" s="257"/>
      <c r="N160" s="256"/>
      <c r="O160" s="257"/>
      <c r="P160" s="256"/>
      <c r="Q160" s="257"/>
      <c r="R160" s="256"/>
      <c r="S160" s="257"/>
      <c r="T160" s="256"/>
      <c r="U160" s="257"/>
      <c r="V160" s="256"/>
      <c r="W160" s="257"/>
      <c r="X160" s="256"/>
    </row>
    <row r="161" spans="1:24" ht="12.75">
      <c r="A161" s="255"/>
      <c r="B161" s="256"/>
      <c r="C161" s="257"/>
      <c r="D161" s="256"/>
      <c r="E161" s="257"/>
      <c r="F161" s="256"/>
      <c r="G161" s="257"/>
      <c r="H161" s="256"/>
      <c r="I161" s="257"/>
      <c r="J161" s="256"/>
      <c r="K161" s="257"/>
      <c r="L161" s="256"/>
      <c r="M161" s="257"/>
      <c r="N161" s="256"/>
      <c r="O161" s="257"/>
      <c r="P161" s="256"/>
      <c r="Q161" s="257"/>
      <c r="R161" s="256"/>
      <c r="S161" s="257"/>
      <c r="T161" s="256"/>
      <c r="U161" s="257"/>
      <c r="V161" s="256"/>
      <c r="W161" s="257"/>
      <c r="X161" s="256"/>
    </row>
    <row r="162" spans="1:24" ht="12.75">
      <c r="A162" s="255"/>
      <c r="B162" s="256"/>
      <c r="C162" s="257"/>
      <c r="D162" s="256"/>
      <c r="E162" s="257"/>
      <c r="F162" s="256"/>
      <c r="G162" s="257"/>
      <c r="H162" s="256"/>
      <c r="I162" s="257"/>
      <c r="J162" s="256"/>
      <c r="K162" s="257"/>
      <c r="L162" s="256"/>
      <c r="M162" s="257"/>
      <c r="N162" s="256"/>
      <c r="O162" s="257"/>
      <c r="P162" s="256"/>
      <c r="Q162" s="257"/>
      <c r="R162" s="256"/>
      <c r="S162" s="257"/>
      <c r="T162" s="256"/>
      <c r="U162" s="257"/>
      <c r="V162" s="256"/>
      <c r="W162" s="257"/>
      <c r="X162" s="256"/>
    </row>
    <row r="163" spans="1:24" ht="12.75">
      <c r="A163" s="255"/>
      <c r="B163" s="256"/>
      <c r="C163" s="257"/>
      <c r="D163" s="256"/>
      <c r="E163" s="257"/>
      <c r="F163" s="256"/>
      <c r="G163" s="257"/>
      <c r="H163" s="256"/>
      <c r="I163" s="257"/>
      <c r="J163" s="256"/>
      <c r="K163" s="257"/>
      <c r="L163" s="256"/>
      <c r="M163" s="257"/>
      <c r="N163" s="256"/>
      <c r="O163" s="257"/>
      <c r="P163" s="256"/>
      <c r="Q163" s="257"/>
      <c r="R163" s="256"/>
      <c r="S163" s="257"/>
      <c r="T163" s="256"/>
      <c r="U163" s="257"/>
      <c r="V163" s="256"/>
      <c r="W163" s="257"/>
      <c r="X163" s="256"/>
    </row>
    <row r="164" spans="1:24" ht="12.75">
      <c r="A164" s="255"/>
      <c r="B164" s="256"/>
      <c r="C164" s="257"/>
      <c r="D164" s="256"/>
      <c r="E164" s="257"/>
      <c r="F164" s="256"/>
      <c r="G164" s="257"/>
      <c r="H164" s="256"/>
      <c r="I164" s="257"/>
      <c r="J164" s="256"/>
      <c r="K164" s="257"/>
      <c r="L164" s="256"/>
      <c r="M164" s="257"/>
      <c r="N164" s="256"/>
      <c r="O164" s="257"/>
      <c r="P164" s="256"/>
      <c r="Q164" s="257"/>
      <c r="R164" s="256"/>
      <c r="S164" s="257"/>
      <c r="T164" s="256"/>
      <c r="U164" s="257"/>
      <c r="V164" s="256"/>
      <c r="W164" s="257"/>
      <c r="X164" s="256"/>
    </row>
    <row r="165" spans="1:24" ht="12.75">
      <c r="A165" s="255"/>
      <c r="B165" s="256"/>
      <c r="C165" s="257"/>
      <c r="D165" s="256"/>
      <c r="E165" s="257"/>
      <c r="F165" s="256"/>
      <c r="G165" s="257"/>
      <c r="H165" s="256"/>
      <c r="I165" s="257"/>
      <c r="J165" s="256"/>
      <c r="K165" s="257"/>
      <c r="L165" s="256"/>
      <c r="M165" s="257"/>
      <c r="N165" s="256"/>
      <c r="O165" s="257"/>
      <c r="P165" s="256"/>
      <c r="Q165" s="257"/>
      <c r="R165" s="256"/>
      <c r="S165" s="257"/>
      <c r="T165" s="256"/>
      <c r="U165" s="257"/>
      <c r="V165" s="256"/>
      <c r="W165" s="257"/>
      <c r="X165" s="256"/>
    </row>
    <row r="166" spans="1:24" ht="12.75">
      <c r="A166" s="255"/>
      <c r="B166" s="256"/>
      <c r="C166" s="257"/>
      <c r="D166" s="256"/>
      <c r="E166" s="257"/>
      <c r="F166" s="256"/>
      <c r="G166" s="257"/>
      <c r="H166" s="256"/>
      <c r="I166" s="257"/>
      <c r="J166" s="256"/>
      <c r="K166" s="257"/>
      <c r="L166" s="256"/>
      <c r="M166" s="257"/>
      <c r="N166" s="256"/>
      <c r="O166" s="257"/>
      <c r="P166" s="256"/>
      <c r="Q166" s="257"/>
      <c r="R166" s="256"/>
      <c r="S166" s="257"/>
      <c r="T166" s="256"/>
      <c r="U166" s="257"/>
      <c r="V166" s="256"/>
      <c r="W166" s="257"/>
      <c r="X166" s="256"/>
    </row>
    <row r="167" spans="1:24" ht="12.75">
      <c r="A167" s="255"/>
      <c r="B167" s="256"/>
      <c r="C167" s="257"/>
      <c r="D167" s="256"/>
      <c r="E167" s="257"/>
      <c r="F167" s="256"/>
      <c r="G167" s="257"/>
      <c r="H167" s="256"/>
      <c r="I167" s="257"/>
      <c r="J167" s="256"/>
      <c r="K167" s="257"/>
      <c r="L167" s="256"/>
      <c r="M167" s="257"/>
      <c r="N167" s="256"/>
      <c r="O167" s="257"/>
      <c r="P167" s="256"/>
      <c r="Q167" s="257"/>
      <c r="R167" s="256"/>
      <c r="S167" s="257"/>
      <c r="T167" s="256"/>
      <c r="U167" s="257"/>
      <c r="V167" s="256"/>
      <c r="W167" s="257"/>
      <c r="X167" s="256"/>
    </row>
    <row r="168" spans="1:24" ht="12.75">
      <c r="A168" s="255"/>
      <c r="B168" s="256"/>
      <c r="C168" s="257"/>
      <c r="D168" s="256"/>
      <c r="E168" s="257"/>
      <c r="F168" s="256"/>
      <c r="G168" s="257"/>
      <c r="H168" s="256"/>
      <c r="I168" s="257"/>
      <c r="J168" s="256"/>
      <c r="K168" s="257"/>
      <c r="L168" s="256"/>
      <c r="M168" s="257"/>
      <c r="N168" s="256"/>
      <c r="O168" s="257"/>
      <c r="P168" s="256"/>
      <c r="Q168" s="257"/>
      <c r="R168" s="256"/>
      <c r="S168" s="257"/>
      <c r="T168" s="256"/>
      <c r="U168" s="257"/>
      <c r="V168" s="256"/>
      <c r="W168" s="257"/>
      <c r="X168" s="256"/>
    </row>
    <row r="169" spans="1:24" ht="12.75">
      <c r="A169" s="255"/>
      <c r="B169" s="256"/>
      <c r="C169" s="257"/>
      <c r="D169" s="256"/>
      <c r="E169" s="257"/>
      <c r="F169" s="256"/>
      <c r="G169" s="257"/>
      <c r="H169" s="256"/>
      <c r="I169" s="257"/>
      <c r="J169" s="256"/>
      <c r="K169" s="257"/>
      <c r="L169" s="256"/>
      <c r="M169" s="257"/>
      <c r="N169" s="256"/>
      <c r="O169" s="257"/>
      <c r="P169" s="256"/>
      <c r="Q169" s="257"/>
      <c r="R169" s="256"/>
      <c r="S169" s="257"/>
      <c r="T169" s="256"/>
      <c r="U169" s="257"/>
      <c r="V169" s="256"/>
      <c r="W169" s="257"/>
      <c r="X169" s="256"/>
    </row>
    <row r="170" spans="1:24" ht="12.75">
      <c r="A170" s="255"/>
      <c r="B170" s="256"/>
      <c r="C170" s="257"/>
      <c r="D170" s="256"/>
      <c r="E170" s="257"/>
      <c r="F170" s="256"/>
      <c r="G170" s="257"/>
      <c r="H170" s="256"/>
      <c r="I170" s="257"/>
      <c r="J170" s="256"/>
      <c r="K170" s="257"/>
      <c r="L170" s="256"/>
      <c r="M170" s="257"/>
      <c r="N170" s="256"/>
      <c r="O170" s="257"/>
      <c r="P170" s="256"/>
      <c r="Q170" s="257"/>
      <c r="R170" s="256"/>
      <c r="S170" s="257"/>
      <c r="T170" s="256"/>
      <c r="U170" s="257"/>
      <c r="V170" s="256"/>
      <c r="W170" s="257"/>
      <c r="X170" s="256"/>
    </row>
    <row r="171" spans="1:24" ht="12.75">
      <c r="A171" s="255"/>
      <c r="B171" s="256"/>
      <c r="C171" s="257"/>
      <c r="D171" s="256"/>
      <c r="E171" s="257"/>
      <c r="F171" s="256"/>
      <c r="G171" s="257"/>
      <c r="H171" s="256"/>
      <c r="I171" s="257"/>
      <c r="J171" s="256"/>
      <c r="K171" s="257"/>
      <c r="L171" s="256"/>
      <c r="M171" s="257"/>
      <c r="N171" s="256"/>
      <c r="O171" s="257"/>
      <c r="P171" s="256"/>
      <c r="Q171" s="257"/>
      <c r="R171" s="256"/>
      <c r="S171" s="257"/>
      <c r="T171" s="256"/>
      <c r="U171" s="257"/>
      <c r="V171" s="256"/>
      <c r="W171" s="257"/>
      <c r="X171" s="256"/>
    </row>
    <row r="172" spans="1:24" ht="12.75">
      <c r="A172" s="255"/>
      <c r="B172" s="256"/>
      <c r="C172" s="257"/>
      <c r="D172" s="256"/>
      <c r="E172" s="257"/>
      <c r="F172" s="256"/>
      <c r="G172" s="257"/>
      <c r="H172" s="256"/>
      <c r="I172" s="257"/>
      <c r="J172" s="256"/>
      <c r="K172" s="257"/>
      <c r="L172" s="256"/>
      <c r="M172" s="257"/>
      <c r="N172" s="256"/>
      <c r="O172" s="257"/>
      <c r="P172" s="256"/>
      <c r="Q172" s="257"/>
      <c r="R172" s="256"/>
      <c r="S172" s="257"/>
      <c r="T172" s="256"/>
      <c r="U172" s="257"/>
      <c r="V172" s="256"/>
      <c r="W172" s="257"/>
      <c r="X172" s="256"/>
    </row>
    <row r="173" spans="1:24" ht="12.75">
      <c r="A173" s="255"/>
      <c r="B173" s="256"/>
      <c r="C173" s="257"/>
      <c r="D173" s="256"/>
      <c r="E173" s="257"/>
      <c r="F173" s="256"/>
      <c r="G173" s="257"/>
      <c r="H173" s="256"/>
      <c r="I173" s="257"/>
      <c r="J173" s="256"/>
      <c r="K173" s="257"/>
      <c r="L173" s="256"/>
      <c r="M173" s="257"/>
      <c r="N173" s="256"/>
      <c r="O173" s="257"/>
      <c r="P173" s="256"/>
      <c r="Q173" s="257"/>
      <c r="R173" s="256"/>
      <c r="S173" s="257"/>
      <c r="T173" s="256"/>
      <c r="U173" s="257"/>
      <c r="V173" s="256"/>
      <c r="W173" s="257"/>
      <c r="X173" s="256"/>
    </row>
    <row r="174" spans="1:24" ht="12.75">
      <c r="A174" s="255"/>
      <c r="B174" s="256"/>
      <c r="C174" s="257"/>
      <c r="D174" s="256"/>
      <c r="E174" s="257"/>
      <c r="F174" s="256"/>
      <c r="G174" s="257"/>
      <c r="H174" s="256"/>
      <c r="I174" s="257"/>
      <c r="J174" s="256"/>
      <c r="K174" s="257"/>
      <c r="L174" s="256"/>
      <c r="M174" s="257"/>
      <c r="N174" s="256"/>
      <c r="O174" s="257"/>
      <c r="P174" s="256"/>
      <c r="Q174" s="257"/>
      <c r="R174" s="256"/>
      <c r="S174" s="257"/>
      <c r="T174" s="256"/>
      <c r="U174" s="257"/>
      <c r="V174" s="256"/>
      <c r="W174" s="257"/>
      <c r="X174" s="256"/>
    </row>
    <row r="175" spans="1:24" ht="12.75">
      <c r="A175" s="255"/>
      <c r="B175" s="256"/>
      <c r="C175" s="257"/>
      <c r="D175" s="256"/>
      <c r="E175" s="257"/>
      <c r="F175" s="256"/>
      <c r="G175" s="257"/>
      <c r="H175" s="256"/>
      <c r="I175" s="257"/>
      <c r="J175" s="256"/>
      <c r="K175" s="257"/>
      <c r="L175" s="256"/>
      <c r="M175" s="257"/>
      <c r="N175" s="256"/>
      <c r="O175" s="257"/>
      <c r="P175" s="256"/>
      <c r="Q175" s="257"/>
      <c r="R175" s="256"/>
      <c r="S175" s="257"/>
      <c r="T175" s="256"/>
      <c r="U175" s="257"/>
      <c r="V175" s="256"/>
      <c r="W175" s="257"/>
      <c r="X175" s="256"/>
    </row>
    <row r="176" spans="1:24" ht="12.75">
      <c r="A176" s="255"/>
      <c r="B176" s="256"/>
      <c r="C176" s="257"/>
      <c r="D176" s="256"/>
      <c r="E176" s="257"/>
      <c r="F176" s="256"/>
      <c r="G176" s="257"/>
      <c r="H176" s="256"/>
      <c r="I176" s="257"/>
      <c r="J176" s="256"/>
      <c r="K176" s="257"/>
      <c r="L176" s="256"/>
      <c r="M176" s="257"/>
      <c r="N176" s="256"/>
      <c r="O176" s="257"/>
      <c r="P176" s="256"/>
      <c r="Q176" s="257"/>
      <c r="R176" s="256"/>
      <c r="S176" s="257"/>
      <c r="T176" s="256"/>
      <c r="U176" s="257"/>
      <c r="V176" s="256"/>
      <c r="W176" s="257"/>
      <c r="X176" s="256"/>
    </row>
    <row r="177" spans="1:24" ht="12.75">
      <c r="A177" s="255"/>
      <c r="B177" s="256"/>
      <c r="C177" s="257"/>
      <c r="D177" s="256"/>
      <c r="E177" s="257"/>
      <c r="F177" s="256"/>
      <c r="G177" s="257"/>
      <c r="H177" s="256"/>
      <c r="I177" s="257"/>
      <c r="J177" s="256"/>
      <c r="K177" s="257"/>
      <c r="L177" s="256"/>
      <c r="M177" s="257"/>
      <c r="N177" s="256"/>
      <c r="O177" s="257"/>
      <c r="P177" s="256"/>
      <c r="Q177" s="257"/>
      <c r="R177" s="256"/>
      <c r="S177" s="257"/>
      <c r="T177" s="256"/>
      <c r="U177" s="257"/>
      <c r="V177" s="256"/>
      <c r="W177" s="257"/>
      <c r="X177" s="256"/>
    </row>
    <row r="178" spans="1:24" ht="12.75">
      <c r="A178" s="255"/>
      <c r="B178" s="256"/>
      <c r="C178" s="257"/>
      <c r="D178" s="256"/>
      <c r="E178" s="257"/>
      <c r="F178" s="256"/>
      <c r="G178" s="257"/>
      <c r="H178" s="256"/>
      <c r="I178" s="257"/>
      <c r="J178" s="256"/>
      <c r="K178" s="257"/>
      <c r="L178" s="256"/>
      <c r="M178" s="257"/>
      <c r="N178" s="256"/>
      <c r="O178" s="257"/>
      <c r="P178" s="256"/>
      <c r="Q178" s="257"/>
      <c r="R178" s="256"/>
      <c r="S178" s="257"/>
      <c r="T178" s="256"/>
      <c r="U178" s="257"/>
      <c r="V178" s="256"/>
      <c r="W178" s="257"/>
      <c r="X178" s="256"/>
    </row>
    <row r="179" spans="1:24" ht="12.75">
      <c r="A179" s="255"/>
      <c r="B179" s="256"/>
      <c r="C179" s="257"/>
      <c r="D179" s="256"/>
      <c r="E179" s="257"/>
      <c r="F179" s="256"/>
      <c r="G179" s="257"/>
      <c r="H179" s="256"/>
      <c r="I179" s="257"/>
      <c r="J179" s="256"/>
      <c r="K179" s="257"/>
      <c r="L179" s="256"/>
      <c r="M179" s="257"/>
      <c r="N179" s="256"/>
      <c r="O179" s="257"/>
      <c r="P179" s="256"/>
      <c r="Q179" s="257"/>
      <c r="R179" s="256"/>
      <c r="S179" s="257"/>
      <c r="T179" s="256"/>
      <c r="U179" s="257"/>
      <c r="V179" s="256"/>
      <c r="W179" s="257"/>
      <c r="X179" s="256"/>
    </row>
    <row r="180" spans="1:24" ht="12.75">
      <c r="A180" s="255"/>
      <c r="B180" s="256"/>
      <c r="C180" s="257"/>
      <c r="D180" s="256"/>
      <c r="E180" s="257"/>
      <c r="F180" s="256"/>
      <c r="G180" s="257"/>
      <c r="H180" s="256"/>
      <c r="I180" s="257"/>
      <c r="J180" s="256"/>
      <c r="K180" s="257"/>
      <c r="L180" s="256"/>
      <c r="M180" s="257"/>
      <c r="N180" s="256"/>
      <c r="O180" s="257"/>
      <c r="P180" s="256"/>
      <c r="Q180" s="257"/>
      <c r="R180" s="256"/>
      <c r="S180" s="257"/>
      <c r="T180" s="256"/>
      <c r="U180" s="257"/>
      <c r="V180" s="256"/>
      <c r="W180" s="257"/>
      <c r="X180" s="256"/>
    </row>
    <row r="181" spans="1:24" ht="12.75">
      <c r="A181" s="255"/>
      <c r="B181" s="256"/>
      <c r="C181" s="257"/>
      <c r="D181" s="256"/>
      <c r="E181" s="257"/>
      <c r="F181" s="256"/>
      <c r="G181" s="257"/>
      <c r="H181" s="256"/>
      <c r="I181" s="257"/>
      <c r="J181" s="256"/>
      <c r="K181" s="257"/>
      <c r="L181" s="256"/>
      <c r="M181" s="257"/>
      <c r="N181" s="256"/>
      <c r="O181" s="257"/>
      <c r="P181" s="256"/>
      <c r="Q181" s="257"/>
      <c r="R181" s="256"/>
      <c r="S181" s="257"/>
      <c r="T181" s="256"/>
      <c r="U181" s="257"/>
      <c r="V181" s="256"/>
      <c r="W181" s="257"/>
      <c r="X181" s="256"/>
    </row>
    <row r="182" spans="1:24" ht="12.75">
      <c r="A182" s="255"/>
      <c r="B182" s="256"/>
      <c r="C182" s="257"/>
      <c r="D182" s="256"/>
      <c r="E182" s="257"/>
      <c r="F182" s="256"/>
      <c r="G182" s="257"/>
      <c r="H182" s="256"/>
      <c r="I182" s="257"/>
      <c r="J182" s="256"/>
      <c r="K182" s="257"/>
      <c r="L182" s="256"/>
      <c r="M182" s="257"/>
      <c r="N182" s="256"/>
      <c r="O182" s="257"/>
      <c r="P182" s="256"/>
      <c r="Q182" s="257"/>
      <c r="R182" s="256"/>
      <c r="S182" s="257"/>
      <c r="T182" s="256"/>
      <c r="U182" s="257"/>
      <c r="V182" s="256"/>
      <c r="W182" s="257"/>
      <c r="X182" s="256"/>
    </row>
    <row r="183" spans="1:24" ht="12.75">
      <c r="A183" s="255"/>
      <c r="B183" s="256"/>
      <c r="C183" s="257"/>
      <c r="D183" s="256"/>
      <c r="E183" s="257"/>
      <c r="F183" s="256"/>
      <c r="G183" s="257"/>
      <c r="H183" s="256"/>
      <c r="I183" s="257"/>
      <c r="J183" s="256"/>
      <c r="K183" s="257"/>
      <c r="L183" s="256"/>
      <c r="M183" s="257"/>
      <c r="N183" s="256"/>
      <c r="O183" s="257"/>
      <c r="P183" s="256"/>
      <c r="Q183" s="257"/>
      <c r="R183" s="256"/>
      <c r="S183" s="257"/>
      <c r="T183" s="256"/>
      <c r="U183" s="257"/>
      <c r="V183" s="256"/>
      <c r="W183" s="257"/>
      <c r="X183" s="256"/>
    </row>
    <row r="184" spans="1:24" ht="12.75">
      <c r="A184" s="255"/>
      <c r="B184" s="256"/>
      <c r="C184" s="257"/>
      <c r="D184" s="256"/>
      <c r="E184" s="257"/>
      <c r="F184" s="256"/>
      <c r="G184" s="257"/>
      <c r="H184" s="256"/>
      <c r="I184" s="257"/>
      <c r="J184" s="256"/>
      <c r="K184" s="257"/>
      <c r="L184" s="256"/>
      <c r="M184" s="257"/>
      <c r="N184" s="256"/>
      <c r="O184" s="257"/>
      <c r="P184" s="256"/>
      <c r="Q184" s="257"/>
      <c r="R184" s="256"/>
      <c r="S184" s="257"/>
      <c r="T184" s="256"/>
      <c r="U184" s="257"/>
      <c r="V184" s="256"/>
      <c r="W184" s="257"/>
      <c r="X184" s="256"/>
    </row>
    <row r="185" spans="1:24" ht="12.75">
      <c r="A185" s="255"/>
      <c r="B185" s="256"/>
      <c r="C185" s="257"/>
      <c r="D185" s="256"/>
      <c r="E185" s="257"/>
      <c r="F185" s="256"/>
      <c r="G185" s="257"/>
      <c r="H185" s="256"/>
      <c r="I185" s="257"/>
      <c r="J185" s="256"/>
      <c r="K185" s="257"/>
      <c r="L185" s="256"/>
      <c r="M185" s="257"/>
      <c r="N185" s="256"/>
      <c r="O185" s="257"/>
      <c r="P185" s="256"/>
      <c r="Q185" s="257"/>
      <c r="R185" s="256"/>
      <c r="S185" s="257"/>
      <c r="T185" s="256"/>
      <c r="U185" s="257"/>
      <c r="V185" s="256"/>
      <c r="W185" s="257"/>
      <c r="X185" s="256"/>
    </row>
    <row r="186" spans="1:24" ht="12.75">
      <c r="A186" s="255"/>
      <c r="B186" s="256"/>
      <c r="C186" s="257"/>
      <c r="D186" s="256"/>
      <c r="E186" s="257"/>
      <c r="F186" s="256"/>
      <c r="G186" s="257"/>
      <c r="H186" s="256"/>
      <c r="I186" s="257"/>
      <c r="J186" s="256"/>
      <c r="K186" s="257"/>
      <c r="L186" s="256"/>
      <c r="M186" s="257"/>
      <c r="N186" s="256"/>
      <c r="O186" s="257"/>
      <c r="P186" s="256"/>
      <c r="Q186" s="257"/>
      <c r="R186" s="256"/>
      <c r="S186" s="257"/>
      <c r="T186" s="256"/>
      <c r="U186" s="257"/>
      <c r="V186" s="256"/>
      <c r="W186" s="257"/>
      <c r="X186" s="256"/>
    </row>
    <row r="187" spans="1:24" ht="12.75">
      <c r="A187" s="255"/>
      <c r="B187" s="256"/>
      <c r="C187" s="257"/>
      <c r="D187" s="256"/>
      <c r="E187" s="257"/>
      <c r="F187" s="256"/>
      <c r="G187" s="257"/>
      <c r="H187" s="256"/>
      <c r="I187" s="257"/>
      <c r="J187" s="256"/>
      <c r="K187" s="257"/>
      <c r="L187" s="256"/>
      <c r="M187" s="257"/>
      <c r="N187" s="256"/>
      <c r="O187" s="257"/>
      <c r="P187" s="256"/>
      <c r="Q187" s="257"/>
      <c r="R187" s="256"/>
      <c r="S187" s="257"/>
      <c r="T187" s="256"/>
      <c r="U187" s="257"/>
      <c r="V187" s="256"/>
      <c r="W187" s="257"/>
      <c r="X187" s="256"/>
    </row>
    <row r="188" spans="1:24" ht="12.75">
      <c r="A188" s="255"/>
      <c r="B188" s="256"/>
      <c r="C188" s="257"/>
      <c r="D188" s="256"/>
      <c r="E188" s="257"/>
      <c r="F188" s="256"/>
      <c r="G188" s="257"/>
      <c r="H188" s="256"/>
      <c r="I188" s="257"/>
      <c r="J188" s="256"/>
      <c r="K188" s="257"/>
      <c r="L188" s="256"/>
      <c r="M188" s="257"/>
      <c r="N188" s="256"/>
      <c r="O188" s="257"/>
      <c r="P188" s="256"/>
      <c r="Q188" s="257"/>
      <c r="R188" s="256"/>
      <c r="S188" s="257"/>
      <c r="T188" s="256"/>
      <c r="U188" s="257"/>
      <c r="V188" s="256"/>
      <c r="W188" s="257"/>
      <c r="X188" s="256"/>
    </row>
    <row r="189" spans="1:24" ht="12.75">
      <c r="A189" s="255"/>
      <c r="B189" s="256"/>
      <c r="C189" s="257"/>
      <c r="D189" s="256"/>
      <c r="E189" s="257"/>
      <c r="F189" s="256"/>
      <c r="G189" s="257"/>
      <c r="H189" s="256"/>
      <c r="I189" s="257"/>
      <c r="J189" s="256"/>
      <c r="K189" s="257"/>
      <c r="L189" s="256"/>
      <c r="M189" s="257"/>
      <c r="N189" s="256"/>
      <c r="O189" s="257"/>
      <c r="P189" s="256"/>
      <c r="Q189" s="257"/>
      <c r="R189" s="256"/>
      <c r="S189" s="257"/>
      <c r="T189" s="256"/>
      <c r="U189" s="257"/>
      <c r="V189" s="256"/>
      <c r="W189" s="257"/>
      <c r="X189" s="256"/>
    </row>
    <row r="190" spans="1:24" ht="12.75">
      <c r="A190" s="255"/>
      <c r="B190" s="256"/>
      <c r="C190" s="257"/>
      <c r="D190" s="256"/>
      <c r="E190" s="257"/>
      <c r="F190" s="256"/>
      <c r="G190" s="257"/>
      <c r="H190" s="256"/>
      <c r="I190" s="257"/>
      <c r="J190" s="256"/>
      <c r="K190" s="257"/>
      <c r="L190" s="256"/>
      <c r="M190" s="257"/>
      <c r="N190" s="256"/>
      <c r="O190" s="257"/>
      <c r="P190" s="256"/>
      <c r="Q190" s="257"/>
      <c r="R190" s="256"/>
      <c r="S190" s="257"/>
      <c r="T190" s="256"/>
      <c r="U190" s="257"/>
      <c r="V190" s="256"/>
      <c r="W190" s="257"/>
      <c r="X190" s="256"/>
    </row>
    <row r="191" spans="1:24" ht="12.75">
      <c r="A191" s="255"/>
      <c r="B191" s="256"/>
      <c r="C191" s="257"/>
      <c r="D191" s="256"/>
      <c r="E191" s="257"/>
      <c r="F191" s="256"/>
      <c r="G191" s="257"/>
      <c r="H191" s="256"/>
      <c r="I191" s="257"/>
      <c r="J191" s="256"/>
      <c r="K191" s="257"/>
      <c r="L191" s="256"/>
      <c r="M191" s="257"/>
      <c r="N191" s="256"/>
      <c r="O191" s="257"/>
      <c r="P191" s="256"/>
      <c r="Q191" s="257"/>
      <c r="R191" s="256"/>
      <c r="S191" s="257"/>
      <c r="T191" s="256"/>
      <c r="U191" s="257"/>
      <c r="V191" s="256"/>
      <c r="W191" s="257"/>
      <c r="X191" s="256"/>
    </row>
    <row r="192" spans="1:24" ht="12.75">
      <c r="A192" s="255"/>
      <c r="B192" s="256"/>
      <c r="C192" s="257"/>
      <c r="D192" s="256"/>
      <c r="E192" s="257"/>
      <c r="F192" s="256"/>
      <c r="G192" s="257"/>
      <c r="H192" s="256"/>
      <c r="I192" s="257"/>
      <c r="J192" s="256"/>
      <c r="K192" s="257"/>
      <c r="L192" s="256"/>
      <c r="M192" s="257"/>
      <c r="N192" s="256"/>
      <c r="O192" s="257"/>
      <c r="P192" s="256"/>
      <c r="Q192" s="257"/>
      <c r="R192" s="256"/>
      <c r="S192" s="257"/>
      <c r="T192" s="256"/>
      <c r="U192" s="257"/>
      <c r="V192" s="256"/>
      <c r="W192" s="257"/>
      <c r="X192" s="256"/>
    </row>
    <row r="193" spans="1:24" ht="12.75">
      <c r="A193" s="255"/>
      <c r="B193" s="256"/>
      <c r="C193" s="257"/>
      <c r="D193" s="256"/>
      <c r="E193" s="257"/>
      <c r="F193" s="256"/>
      <c r="G193" s="257"/>
      <c r="H193" s="256"/>
      <c r="I193" s="257"/>
      <c r="J193" s="256"/>
      <c r="K193" s="257"/>
      <c r="L193" s="256"/>
      <c r="M193" s="257"/>
      <c r="N193" s="256"/>
      <c r="O193" s="257"/>
      <c r="P193" s="256"/>
      <c r="Q193" s="257"/>
      <c r="R193" s="256"/>
      <c r="S193" s="257"/>
      <c r="T193" s="256"/>
      <c r="U193" s="257"/>
      <c r="V193" s="256"/>
      <c r="W193" s="257"/>
      <c r="X193" s="256"/>
    </row>
    <row r="194" spans="1:24" ht="12.75">
      <c r="A194" s="255"/>
      <c r="B194" s="256"/>
      <c r="C194" s="257"/>
      <c r="D194" s="256"/>
      <c r="E194" s="257"/>
      <c r="F194" s="256"/>
      <c r="G194" s="257"/>
      <c r="H194" s="256"/>
      <c r="I194" s="257"/>
      <c r="J194" s="256"/>
      <c r="K194" s="257"/>
      <c r="L194" s="256"/>
      <c r="M194" s="257"/>
      <c r="N194" s="256"/>
      <c r="O194" s="257"/>
      <c r="P194" s="256"/>
      <c r="Q194" s="257"/>
      <c r="R194" s="256"/>
      <c r="S194" s="257"/>
      <c r="T194" s="256"/>
      <c r="U194" s="257"/>
      <c r="V194" s="256"/>
      <c r="W194" s="257"/>
      <c r="X194" s="256"/>
    </row>
    <row r="195" spans="1:24" ht="12.75">
      <c r="A195" s="255"/>
      <c r="B195" s="256"/>
      <c r="C195" s="257"/>
      <c r="D195" s="256"/>
      <c r="E195" s="257"/>
      <c r="F195" s="256"/>
      <c r="G195" s="257"/>
      <c r="H195" s="256"/>
      <c r="I195" s="257"/>
      <c r="J195" s="256"/>
      <c r="K195" s="257"/>
      <c r="L195" s="256"/>
      <c r="M195" s="257"/>
      <c r="N195" s="256"/>
      <c r="O195" s="257"/>
      <c r="P195" s="256"/>
      <c r="Q195" s="257"/>
      <c r="R195" s="256"/>
      <c r="S195" s="257"/>
      <c r="T195" s="256"/>
      <c r="U195" s="257"/>
      <c r="V195" s="256"/>
      <c r="W195" s="257"/>
      <c r="X195" s="256"/>
    </row>
    <row r="196" spans="1:24" ht="12.75">
      <c r="A196" s="255"/>
      <c r="B196" s="256"/>
      <c r="C196" s="257"/>
      <c r="D196" s="256"/>
      <c r="E196" s="257"/>
      <c r="F196" s="256"/>
      <c r="G196" s="257"/>
      <c r="H196" s="256"/>
      <c r="I196" s="257"/>
      <c r="J196" s="256"/>
      <c r="K196" s="257"/>
      <c r="L196" s="256"/>
      <c r="M196" s="257"/>
      <c r="N196" s="256"/>
      <c r="O196" s="257"/>
      <c r="P196" s="256"/>
      <c r="Q196" s="257"/>
      <c r="R196" s="256"/>
      <c r="S196" s="257"/>
      <c r="T196" s="256"/>
      <c r="U196" s="257"/>
      <c r="V196" s="256"/>
      <c r="W196" s="257"/>
      <c r="X196" s="256"/>
    </row>
    <row r="197" spans="1:24" ht="12.75">
      <c r="A197" s="255"/>
      <c r="B197" s="256"/>
      <c r="C197" s="257"/>
      <c r="D197" s="256"/>
      <c r="E197" s="257"/>
      <c r="F197" s="256"/>
      <c r="G197" s="257"/>
      <c r="H197" s="256"/>
      <c r="I197" s="257"/>
      <c r="J197" s="256"/>
      <c r="K197" s="257"/>
      <c r="L197" s="256"/>
      <c r="M197" s="257"/>
      <c r="N197" s="256"/>
      <c r="O197" s="257"/>
      <c r="P197" s="256"/>
      <c r="Q197" s="257"/>
      <c r="R197" s="256"/>
      <c r="S197" s="257"/>
      <c r="T197" s="256"/>
      <c r="U197" s="257"/>
      <c r="V197" s="256"/>
      <c r="W197" s="257"/>
      <c r="X197" s="256"/>
    </row>
    <row r="198" spans="1:24" ht="12.75">
      <c r="A198" s="255"/>
      <c r="B198" s="256"/>
      <c r="C198" s="257"/>
      <c r="D198" s="256"/>
      <c r="E198" s="257"/>
      <c r="F198" s="256"/>
      <c r="G198" s="257"/>
      <c r="H198" s="256"/>
      <c r="I198" s="257"/>
      <c r="J198" s="256"/>
      <c r="K198" s="257"/>
      <c r="L198" s="256"/>
      <c r="M198" s="257"/>
      <c r="N198" s="256"/>
      <c r="O198" s="257"/>
      <c r="P198" s="256"/>
      <c r="Q198" s="257"/>
      <c r="R198" s="256"/>
      <c r="S198" s="257"/>
      <c r="T198" s="256"/>
      <c r="U198" s="257"/>
      <c r="V198" s="256"/>
      <c r="W198" s="257"/>
      <c r="X198" s="256"/>
    </row>
    <row r="199" spans="1:24" ht="12.75">
      <c r="A199" s="255"/>
      <c r="B199" s="256"/>
      <c r="C199" s="257"/>
      <c r="D199" s="256"/>
      <c r="E199" s="257"/>
      <c r="F199" s="256"/>
      <c r="G199" s="257"/>
      <c r="H199" s="256"/>
      <c r="I199" s="257"/>
      <c r="J199" s="256"/>
      <c r="K199" s="257"/>
      <c r="L199" s="256"/>
      <c r="M199" s="257"/>
      <c r="N199" s="256"/>
      <c r="O199" s="257"/>
      <c r="P199" s="256"/>
      <c r="Q199" s="257"/>
      <c r="R199" s="256"/>
      <c r="S199" s="257"/>
      <c r="T199" s="256"/>
      <c r="U199" s="257"/>
      <c r="V199" s="256"/>
      <c r="W199" s="257"/>
      <c r="X199" s="256"/>
    </row>
    <row r="200" spans="1:24" ht="12.75">
      <c r="A200" s="255"/>
      <c r="B200" s="256"/>
      <c r="C200" s="257"/>
      <c r="D200" s="256"/>
      <c r="E200" s="257"/>
      <c r="F200" s="256"/>
      <c r="G200" s="257"/>
      <c r="H200" s="256"/>
      <c r="I200" s="257"/>
      <c r="J200" s="256"/>
      <c r="K200" s="257"/>
      <c r="L200" s="256"/>
      <c r="M200" s="257"/>
      <c r="N200" s="256"/>
      <c r="O200" s="257"/>
      <c r="P200" s="256"/>
      <c r="Q200" s="257"/>
      <c r="R200" s="256"/>
      <c r="S200" s="257"/>
      <c r="T200" s="256"/>
      <c r="U200" s="257"/>
      <c r="V200" s="256"/>
      <c r="W200" s="257"/>
      <c r="X200" s="256"/>
    </row>
    <row r="201" spans="1:24" ht="12.75">
      <c r="A201" s="255"/>
      <c r="B201" s="256"/>
      <c r="C201" s="257"/>
      <c r="D201" s="256"/>
      <c r="E201" s="257"/>
      <c r="F201" s="256"/>
      <c r="G201" s="257"/>
      <c r="H201" s="256"/>
      <c r="I201" s="257"/>
      <c r="J201" s="256"/>
      <c r="K201" s="257"/>
      <c r="L201" s="256"/>
      <c r="M201" s="257"/>
      <c r="N201" s="256"/>
      <c r="O201" s="257"/>
      <c r="P201" s="256"/>
      <c r="Q201" s="257"/>
      <c r="R201" s="256"/>
      <c r="S201" s="257"/>
      <c r="T201" s="256"/>
      <c r="U201" s="257"/>
      <c r="V201" s="256"/>
      <c r="W201" s="257"/>
      <c r="X201" s="256"/>
    </row>
    <row r="202" spans="1:24" ht="12.75">
      <c r="A202" s="255"/>
      <c r="B202" s="256"/>
      <c r="C202" s="257"/>
      <c r="D202" s="256"/>
      <c r="E202" s="257"/>
      <c r="F202" s="256"/>
      <c r="G202" s="257"/>
      <c r="H202" s="256"/>
      <c r="I202" s="257"/>
      <c r="J202" s="256"/>
      <c r="K202" s="257"/>
      <c r="L202" s="256"/>
      <c r="M202" s="257"/>
      <c r="N202" s="256"/>
      <c r="O202" s="257"/>
      <c r="P202" s="256"/>
      <c r="Q202" s="257"/>
      <c r="R202" s="256"/>
      <c r="S202" s="257"/>
      <c r="T202" s="256"/>
      <c r="U202" s="257"/>
      <c r="V202" s="256"/>
      <c r="W202" s="257"/>
      <c r="X202" s="256"/>
    </row>
    <row r="203" spans="1:24" ht="12.75">
      <c r="A203" s="255"/>
      <c r="B203" s="256"/>
      <c r="C203" s="257"/>
      <c r="D203" s="256"/>
      <c r="E203" s="257"/>
      <c r="F203" s="256"/>
      <c r="G203" s="257"/>
      <c r="H203" s="256"/>
      <c r="I203" s="257"/>
      <c r="J203" s="256"/>
      <c r="K203" s="257"/>
      <c r="L203" s="256"/>
      <c r="M203" s="257"/>
      <c r="N203" s="256"/>
      <c r="O203" s="257"/>
      <c r="P203" s="256"/>
      <c r="Q203" s="257"/>
      <c r="R203" s="256"/>
      <c r="S203" s="257"/>
      <c r="T203" s="256"/>
      <c r="U203" s="257"/>
      <c r="V203" s="256"/>
      <c r="W203" s="257"/>
      <c r="X203" s="256"/>
    </row>
    <row r="204" spans="1:24" ht="12.75">
      <c r="A204" s="255"/>
      <c r="B204" s="256"/>
      <c r="C204" s="257"/>
      <c r="D204" s="256"/>
      <c r="E204" s="257"/>
      <c r="F204" s="256"/>
      <c r="G204" s="257"/>
      <c r="H204" s="256"/>
      <c r="I204" s="257"/>
      <c r="J204" s="256"/>
      <c r="K204" s="257"/>
      <c r="L204" s="256"/>
      <c r="M204" s="257"/>
      <c r="N204" s="256"/>
      <c r="O204" s="257"/>
      <c r="P204" s="256"/>
      <c r="Q204" s="257"/>
      <c r="R204" s="256"/>
      <c r="S204" s="257"/>
      <c r="T204" s="256"/>
      <c r="U204" s="257"/>
      <c r="V204" s="256"/>
      <c r="W204" s="257"/>
      <c r="X204" s="256"/>
    </row>
    <row r="205" spans="1:24" ht="12.75">
      <c r="A205" s="255"/>
      <c r="B205" s="256"/>
      <c r="C205" s="257"/>
      <c r="D205" s="256"/>
      <c r="E205" s="257"/>
      <c r="F205" s="256"/>
      <c r="G205" s="257"/>
      <c r="H205" s="256"/>
      <c r="I205" s="257"/>
      <c r="J205" s="256"/>
      <c r="K205" s="257"/>
      <c r="L205" s="256"/>
      <c r="M205" s="257"/>
      <c r="N205" s="256"/>
      <c r="O205" s="257"/>
      <c r="P205" s="256"/>
      <c r="Q205" s="257"/>
      <c r="R205" s="256"/>
      <c r="S205" s="257"/>
      <c r="T205" s="256"/>
      <c r="U205" s="257"/>
      <c r="V205" s="256"/>
      <c r="W205" s="257"/>
      <c r="X205" s="256"/>
    </row>
    <row r="206" spans="1:24" ht="12.75">
      <c r="A206" s="255"/>
      <c r="B206" s="256"/>
      <c r="C206" s="257"/>
      <c r="D206" s="256"/>
      <c r="E206" s="257"/>
      <c r="F206" s="256"/>
      <c r="G206" s="257"/>
      <c r="H206" s="256"/>
      <c r="I206" s="257"/>
      <c r="J206" s="256"/>
      <c r="K206" s="257"/>
      <c r="L206" s="256"/>
      <c r="M206" s="257"/>
      <c r="N206" s="256"/>
      <c r="O206" s="257"/>
      <c r="P206" s="256"/>
      <c r="Q206" s="257"/>
      <c r="R206" s="256"/>
      <c r="S206" s="257"/>
      <c r="T206" s="256"/>
      <c r="U206" s="257"/>
      <c r="V206" s="256"/>
      <c r="W206" s="257"/>
      <c r="X206" s="256"/>
    </row>
    <row r="207" spans="1:24" ht="12.75">
      <c r="A207" s="255"/>
      <c r="B207" s="256"/>
      <c r="C207" s="257"/>
      <c r="D207" s="256"/>
      <c r="E207" s="257"/>
      <c r="F207" s="256"/>
      <c r="G207" s="257"/>
      <c r="H207" s="256"/>
      <c r="I207" s="257"/>
      <c r="J207" s="256"/>
      <c r="K207" s="257"/>
      <c r="L207" s="256"/>
      <c r="M207" s="257"/>
      <c r="N207" s="256"/>
      <c r="O207" s="257"/>
      <c r="P207" s="256"/>
      <c r="Q207" s="257"/>
      <c r="R207" s="256"/>
      <c r="S207" s="257"/>
      <c r="T207" s="256"/>
      <c r="U207" s="257"/>
      <c r="V207" s="256"/>
      <c r="W207" s="257"/>
      <c r="X207" s="256"/>
    </row>
    <row r="208" spans="1:24" ht="12.75">
      <c r="A208" s="255"/>
      <c r="B208" s="256"/>
      <c r="C208" s="257"/>
      <c r="D208" s="256"/>
      <c r="E208" s="257"/>
      <c r="F208" s="256"/>
      <c r="G208" s="257"/>
      <c r="H208" s="256"/>
      <c r="I208" s="257"/>
      <c r="J208" s="256"/>
      <c r="K208" s="257"/>
      <c r="L208" s="256"/>
      <c r="M208" s="257"/>
      <c r="N208" s="256"/>
      <c r="O208" s="257"/>
      <c r="P208" s="256"/>
      <c r="Q208" s="257"/>
      <c r="R208" s="256"/>
      <c r="S208" s="257"/>
      <c r="T208" s="256"/>
      <c r="U208" s="257"/>
      <c r="V208" s="256"/>
      <c r="W208" s="257"/>
      <c r="X208" s="256"/>
    </row>
    <row r="209" spans="1:24" ht="12.75">
      <c r="A209" s="255"/>
      <c r="B209" s="256"/>
      <c r="C209" s="257"/>
      <c r="D209" s="256"/>
      <c r="E209" s="257"/>
      <c r="F209" s="256"/>
      <c r="G209" s="257"/>
      <c r="H209" s="256"/>
      <c r="I209" s="257"/>
      <c r="J209" s="256"/>
      <c r="K209" s="257"/>
      <c r="L209" s="256"/>
      <c r="M209" s="257"/>
      <c r="N209" s="256"/>
      <c r="O209" s="257"/>
      <c r="P209" s="256"/>
      <c r="Q209" s="257"/>
      <c r="R209" s="256"/>
      <c r="S209" s="257"/>
      <c r="T209" s="256"/>
      <c r="U209" s="257"/>
      <c r="V209" s="256"/>
      <c r="W209" s="257"/>
      <c r="X209" s="256"/>
    </row>
    <row r="210" spans="1:24" ht="12.75">
      <c r="A210" s="255"/>
      <c r="B210" s="256"/>
      <c r="C210" s="257"/>
      <c r="D210" s="256"/>
      <c r="E210" s="257"/>
      <c r="F210" s="256"/>
      <c r="G210" s="257"/>
      <c r="H210" s="256"/>
      <c r="I210" s="257"/>
      <c r="J210" s="256"/>
      <c r="K210" s="257"/>
      <c r="L210" s="256"/>
      <c r="M210" s="257"/>
      <c r="N210" s="256"/>
      <c r="O210" s="257"/>
      <c r="P210" s="256"/>
      <c r="Q210" s="257"/>
      <c r="R210" s="256"/>
      <c r="S210" s="257"/>
      <c r="T210" s="256"/>
      <c r="U210" s="257"/>
      <c r="V210" s="256"/>
      <c r="W210" s="257"/>
      <c r="X210" s="256"/>
    </row>
    <row r="211" spans="1:24" ht="12.75">
      <c r="A211" s="255"/>
      <c r="B211" s="256"/>
      <c r="C211" s="257"/>
      <c r="D211" s="256"/>
      <c r="E211" s="257"/>
      <c r="F211" s="256"/>
      <c r="G211" s="257"/>
      <c r="H211" s="256"/>
      <c r="I211" s="257"/>
      <c r="J211" s="256"/>
      <c r="K211" s="257"/>
      <c r="L211" s="256"/>
      <c r="M211" s="257"/>
      <c r="N211" s="256"/>
      <c r="O211" s="257"/>
      <c r="P211" s="256"/>
      <c r="Q211" s="257"/>
      <c r="R211" s="256"/>
      <c r="S211" s="257"/>
      <c r="T211" s="256"/>
      <c r="U211" s="257"/>
      <c r="V211" s="256"/>
      <c r="W211" s="257"/>
      <c r="X211" s="256"/>
    </row>
    <row r="212" spans="1:24" ht="12.75">
      <c r="A212" s="255"/>
      <c r="B212" s="256"/>
      <c r="C212" s="257"/>
      <c r="D212" s="256"/>
      <c r="E212" s="257"/>
      <c r="F212" s="256"/>
      <c r="G212" s="257"/>
      <c r="H212" s="256"/>
      <c r="I212" s="257"/>
      <c r="J212" s="256"/>
      <c r="K212" s="257"/>
      <c r="L212" s="256"/>
      <c r="M212" s="257"/>
      <c r="N212" s="256"/>
      <c r="O212" s="257"/>
      <c r="P212" s="256"/>
      <c r="Q212" s="257"/>
      <c r="R212" s="256"/>
      <c r="S212" s="257"/>
      <c r="T212" s="256"/>
      <c r="U212" s="257"/>
      <c r="V212" s="256"/>
      <c r="W212" s="257"/>
      <c r="X212" s="256"/>
    </row>
    <row r="213" spans="1:24" ht="12.75">
      <c r="A213" s="255"/>
      <c r="B213" s="256"/>
      <c r="C213" s="257"/>
      <c r="D213" s="256"/>
      <c r="E213" s="257"/>
      <c r="F213" s="256"/>
      <c r="G213" s="257"/>
      <c r="H213" s="256"/>
      <c r="I213" s="257"/>
      <c r="J213" s="256"/>
      <c r="K213" s="257"/>
      <c r="L213" s="256"/>
      <c r="M213" s="257"/>
      <c r="N213" s="256"/>
      <c r="O213" s="257"/>
      <c r="P213" s="256"/>
      <c r="Q213" s="257"/>
      <c r="R213" s="256"/>
      <c r="S213" s="257"/>
      <c r="T213" s="256"/>
      <c r="U213" s="257"/>
      <c r="V213" s="256"/>
      <c r="W213" s="257"/>
      <c r="X213" s="256"/>
    </row>
    <row r="214" spans="1:24" ht="12.75">
      <c r="A214" s="255"/>
      <c r="B214" s="256"/>
      <c r="C214" s="257"/>
      <c r="D214" s="256"/>
      <c r="E214" s="257"/>
      <c r="F214" s="256"/>
      <c r="G214" s="257"/>
      <c r="H214" s="256"/>
      <c r="I214" s="257"/>
      <c r="J214" s="256"/>
      <c r="K214" s="257"/>
      <c r="L214" s="256"/>
      <c r="M214" s="257"/>
      <c r="N214" s="256"/>
      <c r="O214" s="257"/>
      <c r="P214" s="256"/>
      <c r="Q214" s="257"/>
      <c r="R214" s="256"/>
      <c r="S214" s="257"/>
      <c r="T214" s="256"/>
      <c r="U214" s="257"/>
      <c r="V214" s="256"/>
      <c r="W214" s="257"/>
      <c r="X214" s="256"/>
    </row>
    <row r="215" spans="1:24" ht="12.75">
      <c r="A215" s="255"/>
      <c r="B215" s="256"/>
      <c r="C215" s="257"/>
      <c r="D215" s="256"/>
      <c r="E215" s="257"/>
      <c r="F215" s="256"/>
      <c r="G215" s="257"/>
      <c r="H215" s="256"/>
      <c r="I215" s="257"/>
      <c r="J215" s="256"/>
      <c r="K215" s="257"/>
      <c r="L215" s="256"/>
      <c r="M215" s="257"/>
      <c r="N215" s="256"/>
      <c r="O215" s="257"/>
      <c r="P215" s="256"/>
      <c r="Q215" s="257"/>
      <c r="R215" s="256"/>
      <c r="S215" s="257"/>
      <c r="T215" s="256"/>
      <c r="U215" s="257"/>
      <c r="V215" s="256"/>
      <c r="W215" s="257"/>
      <c r="X215" s="256"/>
    </row>
    <row r="216" spans="1:24" ht="12.75">
      <c r="A216" s="255"/>
      <c r="B216" s="256"/>
      <c r="C216" s="257"/>
      <c r="D216" s="256"/>
      <c r="E216" s="257"/>
      <c r="F216" s="256"/>
      <c r="G216" s="257"/>
      <c r="H216" s="256"/>
      <c r="I216" s="257"/>
      <c r="J216" s="256"/>
      <c r="K216" s="257"/>
      <c r="L216" s="256"/>
      <c r="M216" s="257"/>
      <c r="N216" s="256"/>
      <c r="O216" s="257"/>
      <c r="P216" s="256"/>
      <c r="Q216" s="257"/>
      <c r="R216" s="256"/>
      <c r="S216" s="257"/>
      <c r="T216" s="256"/>
      <c r="U216" s="257"/>
      <c r="V216" s="256"/>
      <c r="W216" s="257"/>
      <c r="X216" s="256"/>
    </row>
    <row r="217" spans="1:24" ht="12.75">
      <c r="A217" s="255"/>
      <c r="B217" s="256"/>
      <c r="C217" s="257"/>
      <c r="D217" s="256"/>
      <c r="E217" s="257"/>
      <c r="F217" s="256"/>
      <c r="G217" s="257"/>
      <c r="H217" s="256"/>
      <c r="I217" s="257"/>
      <c r="J217" s="256"/>
      <c r="K217" s="257"/>
      <c r="L217" s="256"/>
      <c r="M217" s="257"/>
      <c r="N217" s="256"/>
      <c r="O217" s="257"/>
      <c r="P217" s="256"/>
      <c r="Q217" s="257"/>
      <c r="R217" s="256"/>
      <c r="S217" s="257"/>
      <c r="T217" s="256"/>
      <c r="U217" s="257"/>
      <c r="V217" s="256"/>
      <c r="W217" s="257"/>
      <c r="X217" s="256"/>
    </row>
    <row r="218" spans="1:24" ht="12.75">
      <c r="A218" s="255"/>
      <c r="B218" s="256"/>
      <c r="C218" s="257"/>
      <c r="D218" s="256"/>
      <c r="E218" s="257"/>
      <c r="F218" s="256"/>
      <c r="G218" s="257"/>
      <c r="H218" s="256"/>
      <c r="I218" s="257"/>
      <c r="J218" s="256"/>
      <c r="K218" s="257"/>
      <c r="L218" s="256"/>
      <c r="M218" s="257"/>
      <c r="N218" s="256"/>
      <c r="O218" s="257"/>
      <c r="P218" s="256"/>
      <c r="Q218" s="257"/>
      <c r="R218" s="256"/>
      <c r="S218" s="257"/>
      <c r="T218" s="256"/>
      <c r="U218" s="257"/>
      <c r="V218" s="256"/>
      <c r="W218" s="257"/>
      <c r="X218" s="256"/>
    </row>
    <row r="219" spans="1:24" ht="12.75">
      <c r="A219" s="255"/>
      <c r="B219" s="256"/>
      <c r="C219" s="257"/>
      <c r="D219" s="256"/>
      <c r="E219" s="257"/>
      <c r="F219" s="256"/>
      <c r="G219" s="257"/>
      <c r="H219" s="256"/>
      <c r="I219" s="257"/>
      <c r="J219" s="256"/>
      <c r="K219" s="257"/>
      <c r="L219" s="256"/>
      <c r="M219" s="257"/>
      <c r="N219" s="256"/>
      <c r="O219" s="257"/>
      <c r="P219" s="256"/>
      <c r="Q219" s="257"/>
      <c r="R219" s="256"/>
      <c r="S219" s="257"/>
      <c r="T219" s="256"/>
      <c r="U219" s="257"/>
      <c r="V219" s="256"/>
      <c r="W219" s="257"/>
      <c r="X219" s="256"/>
    </row>
    <row r="220" spans="1:24" ht="12.75">
      <c r="A220" s="255"/>
      <c r="B220" s="256"/>
      <c r="C220" s="257"/>
      <c r="D220" s="256"/>
      <c r="E220" s="257"/>
      <c r="F220" s="256"/>
      <c r="G220" s="257"/>
      <c r="H220" s="256"/>
      <c r="I220" s="257"/>
      <c r="J220" s="256"/>
      <c r="K220" s="257"/>
      <c r="L220" s="256"/>
      <c r="M220" s="257"/>
      <c r="N220" s="256"/>
      <c r="O220" s="257"/>
      <c r="P220" s="256"/>
      <c r="Q220" s="257"/>
      <c r="R220" s="256"/>
      <c r="S220" s="257"/>
      <c r="T220" s="256"/>
      <c r="U220" s="257"/>
      <c r="V220" s="256"/>
      <c r="W220" s="257"/>
      <c r="X220" s="256"/>
    </row>
    <row r="221" spans="1:24" ht="12.75">
      <c r="A221" s="255"/>
      <c r="B221" s="256"/>
      <c r="C221" s="257"/>
      <c r="D221" s="256"/>
      <c r="E221" s="257"/>
      <c r="F221" s="256"/>
      <c r="G221" s="257"/>
      <c r="H221" s="256"/>
      <c r="I221" s="257"/>
      <c r="J221" s="256"/>
      <c r="K221" s="257"/>
      <c r="L221" s="256"/>
      <c r="M221" s="257"/>
      <c r="N221" s="256"/>
      <c r="O221" s="257"/>
      <c r="P221" s="256"/>
      <c r="Q221" s="257"/>
      <c r="R221" s="256"/>
      <c r="S221" s="257"/>
      <c r="T221" s="256"/>
      <c r="U221" s="257"/>
      <c r="V221" s="256"/>
      <c r="W221" s="257"/>
      <c r="X221" s="256"/>
    </row>
    <row r="222" spans="1:24" ht="12.75">
      <c r="A222" s="255"/>
      <c r="B222" s="256"/>
      <c r="C222" s="257"/>
      <c r="D222" s="256"/>
      <c r="E222" s="257"/>
      <c r="F222" s="256"/>
      <c r="G222" s="257"/>
      <c r="H222" s="256"/>
      <c r="I222" s="257"/>
      <c r="J222" s="256"/>
      <c r="K222" s="257"/>
      <c r="L222" s="256"/>
      <c r="M222" s="257"/>
      <c r="N222" s="256"/>
      <c r="O222" s="257"/>
      <c r="P222" s="256"/>
      <c r="Q222" s="257"/>
      <c r="R222" s="256"/>
      <c r="S222" s="257"/>
      <c r="T222" s="256"/>
      <c r="U222" s="257"/>
      <c r="V222" s="256"/>
      <c r="W222" s="257"/>
      <c r="X222" s="256"/>
    </row>
    <row r="223" spans="1:24" ht="12.75">
      <c r="A223" s="255"/>
      <c r="B223" s="256"/>
      <c r="C223" s="257"/>
      <c r="D223" s="256"/>
      <c r="E223" s="257"/>
      <c r="F223" s="256"/>
      <c r="G223" s="257"/>
      <c r="H223" s="256"/>
      <c r="I223" s="257"/>
      <c r="J223" s="256"/>
      <c r="K223" s="257"/>
      <c r="L223" s="256"/>
      <c r="M223" s="257"/>
      <c r="N223" s="256"/>
      <c r="O223" s="257"/>
      <c r="P223" s="256"/>
      <c r="Q223" s="257"/>
      <c r="R223" s="256"/>
      <c r="S223" s="257"/>
      <c r="T223" s="256"/>
      <c r="U223" s="257"/>
      <c r="V223" s="256"/>
      <c r="W223" s="257"/>
      <c r="X223" s="256"/>
    </row>
    <row r="224" spans="1:24" ht="12.75">
      <c r="A224" s="255"/>
      <c r="B224" s="256"/>
      <c r="C224" s="257"/>
      <c r="D224" s="256"/>
      <c r="E224" s="257"/>
      <c r="F224" s="256"/>
      <c r="G224" s="257"/>
      <c r="H224" s="256"/>
      <c r="I224" s="257"/>
      <c r="J224" s="256"/>
      <c r="K224" s="257"/>
      <c r="L224" s="256"/>
      <c r="M224" s="257"/>
      <c r="N224" s="256"/>
      <c r="O224" s="257"/>
      <c r="P224" s="256"/>
      <c r="Q224" s="257"/>
      <c r="R224" s="256"/>
      <c r="S224" s="257"/>
      <c r="T224" s="256"/>
      <c r="U224" s="257"/>
      <c r="V224" s="256"/>
      <c r="W224" s="257"/>
      <c r="X224" s="256"/>
    </row>
    <row r="225" spans="1:24" ht="12.75">
      <c r="A225" s="255"/>
      <c r="B225" s="256"/>
      <c r="C225" s="257"/>
      <c r="D225" s="256"/>
      <c r="E225" s="257"/>
      <c r="F225" s="256"/>
      <c r="G225" s="257"/>
      <c r="H225" s="256"/>
      <c r="I225" s="257"/>
      <c r="J225" s="256"/>
      <c r="K225" s="257"/>
      <c r="L225" s="256"/>
      <c r="M225" s="257"/>
      <c r="N225" s="256"/>
      <c r="O225" s="257"/>
      <c r="P225" s="256"/>
      <c r="Q225" s="257"/>
      <c r="R225" s="256"/>
      <c r="S225" s="257"/>
      <c r="T225" s="256"/>
      <c r="U225" s="257"/>
      <c r="V225" s="256"/>
      <c r="W225" s="257"/>
      <c r="X225" s="256"/>
    </row>
    <row r="226" spans="1:24" ht="12.75">
      <c r="A226" s="255"/>
      <c r="B226" s="256"/>
      <c r="C226" s="257"/>
      <c r="D226" s="256"/>
      <c r="E226" s="257"/>
      <c r="F226" s="256"/>
      <c r="G226" s="257"/>
      <c r="H226" s="256"/>
      <c r="I226" s="257"/>
      <c r="J226" s="256"/>
      <c r="K226" s="257"/>
      <c r="L226" s="256"/>
      <c r="M226" s="257"/>
      <c r="N226" s="256"/>
      <c r="O226" s="257"/>
      <c r="P226" s="256"/>
      <c r="Q226" s="257"/>
      <c r="R226" s="256"/>
      <c r="S226" s="257"/>
      <c r="T226" s="256"/>
      <c r="U226" s="257"/>
      <c r="V226" s="256"/>
      <c r="W226" s="257"/>
      <c r="X226" s="256"/>
    </row>
    <row r="227" spans="1:24" ht="12.75">
      <c r="A227" s="255"/>
      <c r="B227" s="256"/>
      <c r="C227" s="257"/>
      <c r="D227" s="256"/>
      <c r="E227" s="257"/>
      <c r="F227" s="256"/>
      <c r="G227" s="257"/>
      <c r="H227" s="256"/>
      <c r="I227" s="257"/>
      <c r="J227" s="256"/>
      <c r="K227" s="257"/>
      <c r="L227" s="256"/>
      <c r="M227" s="257"/>
      <c r="N227" s="256"/>
      <c r="O227" s="257"/>
      <c r="P227" s="256"/>
      <c r="Q227" s="257"/>
      <c r="R227" s="256"/>
      <c r="S227" s="257"/>
      <c r="T227" s="256"/>
      <c r="U227" s="257"/>
      <c r="V227" s="256"/>
      <c r="W227" s="257"/>
      <c r="X227" s="256"/>
    </row>
    <row r="228" spans="1:24" ht="12.75">
      <c r="A228" s="255"/>
      <c r="B228" s="256"/>
      <c r="C228" s="257"/>
      <c r="D228" s="256"/>
      <c r="E228" s="257"/>
      <c r="F228" s="256"/>
      <c r="G228" s="257"/>
      <c r="H228" s="256"/>
      <c r="I228" s="257"/>
      <c r="J228" s="256"/>
      <c r="K228" s="257"/>
      <c r="L228" s="256"/>
      <c r="M228" s="257"/>
      <c r="N228" s="256"/>
      <c r="O228" s="257"/>
      <c r="P228" s="256"/>
      <c r="Q228" s="257"/>
      <c r="R228" s="256"/>
      <c r="S228" s="257"/>
      <c r="T228" s="256"/>
      <c r="U228" s="257"/>
      <c r="V228" s="256"/>
      <c r="W228" s="257"/>
      <c r="X228" s="256"/>
    </row>
    <row r="229" spans="1:24" ht="12.75">
      <c r="A229" s="255"/>
      <c r="B229" s="256"/>
      <c r="C229" s="257"/>
      <c r="D229" s="256"/>
      <c r="E229" s="257"/>
      <c r="F229" s="256"/>
      <c r="G229" s="257"/>
      <c r="H229" s="256"/>
      <c r="I229" s="257"/>
      <c r="J229" s="256"/>
      <c r="K229" s="257"/>
      <c r="L229" s="256"/>
      <c r="M229" s="257"/>
      <c r="N229" s="256"/>
      <c r="O229" s="257"/>
      <c r="P229" s="256"/>
      <c r="Q229" s="257"/>
      <c r="R229" s="256"/>
      <c r="S229" s="257"/>
      <c r="T229" s="256"/>
      <c r="U229" s="257"/>
      <c r="V229" s="256"/>
      <c r="W229" s="257"/>
      <c r="X229" s="256"/>
    </row>
    <row r="230" spans="1:24" ht="12.75">
      <c r="A230" s="255"/>
      <c r="B230" s="256"/>
      <c r="C230" s="257"/>
      <c r="D230" s="256"/>
      <c r="E230" s="257"/>
      <c r="F230" s="256"/>
      <c r="G230" s="257"/>
      <c r="H230" s="256"/>
      <c r="I230" s="257"/>
      <c r="J230" s="256"/>
      <c r="K230" s="257"/>
      <c r="L230" s="256"/>
      <c r="M230" s="257"/>
      <c r="N230" s="256"/>
      <c r="O230" s="257"/>
      <c r="P230" s="256"/>
      <c r="Q230" s="257"/>
      <c r="R230" s="256"/>
      <c r="S230" s="257"/>
      <c r="T230" s="256"/>
      <c r="U230" s="257"/>
      <c r="V230" s="256"/>
      <c r="W230" s="257"/>
      <c r="X230" s="256"/>
    </row>
    <row r="231" spans="1:24" ht="12.75">
      <c r="A231" s="255"/>
      <c r="B231" s="256"/>
      <c r="C231" s="257"/>
      <c r="D231" s="256"/>
      <c r="E231" s="257"/>
      <c r="F231" s="256"/>
      <c r="G231" s="257"/>
      <c r="H231" s="256"/>
      <c r="I231" s="257"/>
      <c r="J231" s="256"/>
      <c r="K231" s="257"/>
      <c r="L231" s="256"/>
      <c r="M231" s="257"/>
      <c r="N231" s="256"/>
      <c r="O231" s="257"/>
      <c r="P231" s="256"/>
      <c r="Q231" s="257"/>
      <c r="R231" s="256"/>
      <c r="S231" s="257"/>
      <c r="T231" s="256"/>
      <c r="U231" s="257"/>
      <c r="V231" s="256"/>
      <c r="W231" s="257"/>
      <c r="X231" s="256"/>
    </row>
    <row r="232" spans="1:24" ht="12.75">
      <c r="A232" s="255"/>
      <c r="B232" s="256"/>
      <c r="C232" s="257"/>
      <c r="D232" s="256"/>
      <c r="E232" s="257"/>
      <c r="F232" s="256"/>
      <c r="G232" s="257"/>
      <c r="H232" s="256"/>
      <c r="I232" s="257"/>
      <c r="J232" s="256"/>
      <c r="K232" s="257"/>
      <c r="L232" s="256"/>
      <c r="M232" s="257"/>
      <c r="N232" s="256"/>
      <c r="O232" s="257"/>
      <c r="P232" s="256"/>
      <c r="Q232" s="257"/>
      <c r="R232" s="256"/>
      <c r="S232" s="257"/>
      <c r="T232" s="256"/>
      <c r="U232" s="257"/>
      <c r="V232" s="256"/>
      <c r="W232" s="257"/>
      <c r="X232" s="256"/>
    </row>
    <row r="233" spans="1:24" ht="12.75">
      <c r="A233" s="255"/>
      <c r="B233" s="256"/>
      <c r="C233" s="257"/>
      <c r="D233" s="256"/>
      <c r="E233" s="257"/>
      <c r="F233" s="256"/>
      <c r="G233" s="257"/>
      <c r="H233" s="256"/>
      <c r="I233" s="257"/>
      <c r="J233" s="256"/>
      <c r="K233" s="257"/>
      <c r="L233" s="256"/>
      <c r="M233" s="257"/>
      <c r="N233" s="256"/>
      <c r="O233" s="257"/>
      <c r="P233" s="256"/>
      <c r="Q233" s="257"/>
      <c r="R233" s="256"/>
      <c r="S233" s="257"/>
      <c r="T233" s="256"/>
      <c r="U233" s="257"/>
      <c r="V233" s="256"/>
      <c r="W233" s="257"/>
      <c r="X233" s="256"/>
    </row>
    <row r="234" spans="1:24" ht="12.75">
      <c r="A234" s="255"/>
      <c r="B234" s="256"/>
      <c r="C234" s="257"/>
      <c r="D234" s="256"/>
      <c r="E234" s="257"/>
      <c r="F234" s="256"/>
      <c r="G234" s="257"/>
      <c r="H234" s="256"/>
      <c r="I234" s="257"/>
      <c r="J234" s="256"/>
      <c r="K234" s="257"/>
      <c r="L234" s="256"/>
      <c r="M234" s="257"/>
      <c r="N234" s="256"/>
      <c r="O234" s="257"/>
      <c r="P234" s="256"/>
      <c r="Q234" s="257"/>
      <c r="R234" s="256"/>
      <c r="S234" s="257"/>
      <c r="T234" s="256"/>
      <c r="U234" s="257"/>
      <c r="V234" s="256"/>
      <c r="W234" s="257"/>
      <c r="X234" s="256"/>
    </row>
    <row r="235" spans="1:24" ht="12.75">
      <c r="A235" s="255"/>
      <c r="B235" s="256"/>
      <c r="C235" s="257"/>
      <c r="D235" s="256"/>
      <c r="E235" s="257"/>
      <c r="F235" s="256"/>
      <c r="G235" s="257"/>
      <c r="H235" s="256"/>
      <c r="I235" s="257"/>
      <c r="J235" s="256"/>
      <c r="K235" s="257"/>
      <c r="L235" s="256"/>
      <c r="M235" s="257"/>
      <c r="N235" s="256"/>
      <c r="O235" s="257"/>
      <c r="P235" s="256"/>
      <c r="Q235" s="257"/>
      <c r="R235" s="256"/>
      <c r="S235" s="257"/>
      <c r="T235" s="256"/>
      <c r="U235" s="257"/>
      <c r="V235" s="256"/>
      <c r="W235" s="257"/>
      <c r="X235" s="256"/>
    </row>
    <row r="236" spans="1:24" ht="12.75">
      <c r="A236" s="255"/>
      <c r="B236" s="256"/>
      <c r="C236" s="257"/>
      <c r="D236" s="256"/>
      <c r="E236" s="257"/>
      <c r="F236" s="256"/>
      <c r="G236" s="257"/>
      <c r="H236" s="256"/>
      <c r="I236" s="257"/>
      <c r="J236" s="256"/>
      <c r="K236" s="257"/>
      <c r="L236" s="256"/>
      <c r="M236" s="257"/>
      <c r="N236" s="256"/>
      <c r="O236" s="257"/>
      <c r="P236" s="256"/>
      <c r="Q236" s="257"/>
      <c r="R236" s="256"/>
      <c r="S236" s="257"/>
      <c r="T236" s="256"/>
      <c r="U236" s="257"/>
      <c r="V236" s="256"/>
      <c r="W236" s="257"/>
      <c r="X236" s="256"/>
    </row>
    <row r="237" spans="1:24" ht="12.75">
      <c r="A237" s="255"/>
      <c r="B237" s="256"/>
      <c r="C237" s="257"/>
      <c r="D237" s="256"/>
      <c r="E237" s="257"/>
      <c r="F237" s="256"/>
      <c r="G237" s="257"/>
      <c r="H237" s="256"/>
      <c r="I237" s="257"/>
      <c r="J237" s="256"/>
      <c r="K237" s="257"/>
      <c r="L237" s="256"/>
      <c r="M237" s="257"/>
      <c r="N237" s="256"/>
      <c r="O237" s="257"/>
      <c r="P237" s="256"/>
      <c r="Q237" s="257"/>
      <c r="R237" s="256"/>
      <c r="S237" s="257"/>
      <c r="T237" s="256"/>
      <c r="U237" s="257"/>
      <c r="V237" s="256"/>
      <c r="W237" s="257"/>
      <c r="X237" s="256"/>
    </row>
    <row r="238" spans="1:24" ht="12.75">
      <c r="A238" s="255"/>
      <c r="B238" s="256"/>
      <c r="C238" s="257"/>
      <c r="D238" s="256"/>
      <c r="E238" s="257"/>
      <c r="F238" s="256"/>
      <c r="G238" s="257"/>
      <c r="H238" s="256"/>
      <c r="I238" s="257"/>
      <c r="J238" s="256"/>
      <c r="K238" s="257"/>
      <c r="L238" s="256"/>
      <c r="M238" s="257"/>
      <c r="N238" s="256"/>
      <c r="O238" s="257"/>
      <c r="P238" s="256"/>
      <c r="Q238" s="257"/>
      <c r="R238" s="256"/>
      <c r="S238" s="257"/>
      <c r="T238" s="256"/>
      <c r="U238" s="257"/>
      <c r="V238" s="256"/>
      <c r="W238" s="257"/>
      <c r="X238" s="256"/>
    </row>
    <row r="239" spans="1:24" ht="12.75">
      <c r="A239" s="255"/>
      <c r="B239" s="256"/>
      <c r="C239" s="257"/>
      <c r="D239" s="256"/>
      <c r="E239" s="257"/>
      <c r="F239" s="256"/>
      <c r="G239" s="257"/>
      <c r="H239" s="256"/>
      <c r="I239" s="257"/>
      <c r="J239" s="256"/>
      <c r="K239" s="257"/>
      <c r="L239" s="256"/>
      <c r="M239" s="257"/>
      <c r="N239" s="256"/>
      <c r="O239" s="257"/>
      <c r="P239" s="256"/>
      <c r="Q239" s="257"/>
      <c r="R239" s="256"/>
      <c r="S239" s="257"/>
      <c r="T239" s="256"/>
      <c r="U239" s="257"/>
      <c r="V239" s="256"/>
      <c r="W239" s="257"/>
      <c r="X239" s="256"/>
    </row>
    <row r="240" spans="1:24" ht="12.75">
      <c r="A240" s="255"/>
      <c r="B240" s="256"/>
      <c r="C240" s="257"/>
      <c r="D240" s="256"/>
      <c r="E240" s="257"/>
      <c r="F240" s="256"/>
      <c r="G240" s="257"/>
      <c r="H240" s="256"/>
      <c r="I240" s="257"/>
      <c r="J240" s="256"/>
      <c r="K240" s="257"/>
      <c r="L240" s="256"/>
      <c r="M240" s="257"/>
      <c r="N240" s="256"/>
      <c r="O240" s="257"/>
      <c r="P240" s="256"/>
      <c r="Q240" s="257"/>
      <c r="R240" s="256"/>
      <c r="S240" s="257"/>
      <c r="T240" s="256"/>
      <c r="U240" s="257"/>
      <c r="V240" s="256"/>
      <c r="W240" s="257"/>
      <c r="X240" s="256"/>
    </row>
    <row r="241" spans="1:24" ht="12.75">
      <c r="A241" s="255"/>
      <c r="B241" s="256"/>
      <c r="C241" s="257"/>
      <c r="D241" s="256"/>
      <c r="E241" s="257"/>
      <c r="F241" s="256"/>
      <c r="G241" s="257"/>
      <c r="H241" s="256"/>
      <c r="I241" s="257"/>
      <c r="J241" s="256"/>
      <c r="K241" s="257"/>
      <c r="L241" s="256"/>
      <c r="M241" s="257"/>
      <c r="N241" s="256"/>
      <c r="O241" s="257"/>
      <c r="P241" s="256"/>
      <c r="Q241" s="257"/>
      <c r="R241" s="256"/>
      <c r="S241" s="257"/>
      <c r="T241" s="256"/>
      <c r="U241" s="257"/>
      <c r="V241" s="256"/>
      <c r="W241" s="257"/>
      <c r="X241" s="256"/>
    </row>
    <row r="242" spans="1:24" ht="12.75">
      <c r="A242" s="255"/>
      <c r="B242" s="256"/>
      <c r="C242" s="257"/>
      <c r="D242" s="256"/>
      <c r="E242" s="257"/>
      <c r="F242" s="256"/>
      <c r="G242" s="257"/>
      <c r="H242" s="256"/>
      <c r="I242" s="257"/>
      <c r="J242" s="256"/>
      <c r="K242" s="257"/>
      <c r="L242" s="256"/>
      <c r="M242" s="257"/>
      <c r="N242" s="256"/>
      <c r="O242" s="257"/>
      <c r="P242" s="256"/>
      <c r="Q242" s="257"/>
      <c r="R242" s="256"/>
      <c r="S242" s="257"/>
      <c r="T242" s="256"/>
      <c r="U242" s="257"/>
      <c r="V242" s="256"/>
      <c r="W242" s="257"/>
      <c r="X242" s="256"/>
    </row>
    <row r="243" spans="1:24" ht="12.75">
      <c r="A243" s="255"/>
      <c r="B243" s="256"/>
      <c r="C243" s="257"/>
      <c r="D243" s="256"/>
      <c r="E243" s="257"/>
      <c r="F243" s="256"/>
      <c r="G243" s="257"/>
      <c r="H243" s="256"/>
      <c r="I243" s="257"/>
      <c r="J243" s="256"/>
      <c r="K243" s="257"/>
      <c r="L243" s="256"/>
      <c r="M243" s="257"/>
      <c r="N243" s="256"/>
      <c r="O243" s="257"/>
      <c r="P243" s="256"/>
      <c r="Q243" s="257"/>
      <c r="R243" s="256"/>
      <c r="S243" s="257"/>
      <c r="T243" s="256"/>
      <c r="U243" s="257"/>
      <c r="V243" s="256"/>
      <c r="W243" s="257"/>
      <c r="X243" s="256"/>
    </row>
    <row r="244" spans="1:24" ht="12.75">
      <c r="A244" s="255"/>
      <c r="B244" s="256"/>
      <c r="C244" s="257"/>
      <c r="D244" s="256"/>
      <c r="E244" s="257"/>
      <c r="F244" s="256"/>
      <c r="G244" s="257"/>
      <c r="H244" s="256"/>
      <c r="I244" s="257"/>
      <c r="J244" s="256"/>
      <c r="K244" s="257"/>
      <c r="L244" s="256"/>
      <c r="M244" s="257"/>
      <c r="N244" s="256"/>
      <c r="O244" s="257"/>
      <c r="P244" s="256"/>
      <c r="Q244" s="257"/>
      <c r="R244" s="256"/>
      <c r="S244" s="257"/>
      <c r="T244" s="256"/>
      <c r="U244" s="257"/>
      <c r="V244" s="256"/>
      <c r="W244" s="257"/>
      <c r="X244" s="256"/>
    </row>
    <row r="245" spans="1:24" ht="12.75">
      <c r="A245" s="255"/>
      <c r="B245" s="256"/>
      <c r="C245" s="257"/>
      <c r="D245" s="256"/>
      <c r="E245" s="257"/>
      <c r="F245" s="256"/>
      <c r="G245" s="257"/>
      <c r="H245" s="256"/>
      <c r="I245" s="257"/>
      <c r="J245" s="256"/>
      <c r="K245" s="257"/>
      <c r="L245" s="256"/>
      <c r="M245" s="257"/>
      <c r="N245" s="256"/>
      <c r="O245" s="257"/>
      <c r="P245" s="256"/>
      <c r="Q245" s="257"/>
      <c r="R245" s="256"/>
      <c r="S245" s="257"/>
      <c r="T245" s="256"/>
      <c r="U245" s="257"/>
      <c r="V245" s="256"/>
      <c r="W245" s="257"/>
      <c r="X245" s="256"/>
    </row>
    <row r="246" spans="1:24" ht="12.75">
      <c r="A246" s="255"/>
      <c r="B246" s="256"/>
      <c r="C246" s="257"/>
      <c r="D246" s="256"/>
      <c r="E246" s="257"/>
      <c r="F246" s="256"/>
      <c r="G246" s="257"/>
      <c r="H246" s="256"/>
      <c r="I246" s="257"/>
      <c r="J246" s="256"/>
      <c r="K246" s="257"/>
      <c r="L246" s="256"/>
      <c r="M246" s="257"/>
      <c r="N246" s="256"/>
      <c r="O246" s="257"/>
      <c r="P246" s="256"/>
      <c r="Q246" s="257"/>
      <c r="R246" s="256"/>
      <c r="S246" s="257"/>
      <c r="T246" s="256"/>
      <c r="U246" s="257"/>
      <c r="V246" s="256"/>
      <c r="W246" s="257"/>
      <c r="X246" s="256"/>
    </row>
    <row r="247" spans="1:24" ht="12.75">
      <c r="A247" s="255"/>
      <c r="B247" s="256"/>
      <c r="C247" s="257"/>
      <c r="D247" s="256"/>
      <c r="E247" s="257"/>
      <c r="F247" s="256"/>
      <c r="G247" s="257"/>
      <c r="H247" s="256"/>
      <c r="I247" s="257"/>
      <c r="J247" s="256"/>
      <c r="K247" s="257"/>
      <c r="L247" s="256"/>
      <c r="M247" s="257"/>
      <c r="N247" s="256"/>
      <c r="O247" s="257"/>
      <c r="P247" s="256"/>
      <c r="Q247" s="257"/>
      <c r="R247" s="256"/>
      <c r="S247" s="257"/>
      <c r="T247" s="256"/>
      <c r="U247" s="257"/>
      <c r="V247" s="256"/>
      <c r="W247" s="257"/>
      <c r="X247" s="256"/>
    </row>
    <row r="248" spans="1:24" ht="12.75">
      <c r="A248" s="255"/>
      <c r="B248" s="256"/>
      <c r="C248" s="257"/>
      <c r="D248" s="256"/>
      <c r="E248" s="257"/>
      <c r="F248" s="256"/>
      <c r="G248" s="257"/>
      <c r="H248" s="256"/>
      <c r="I248" s="257"/>
      <c r="J248" s="256"/>
      <c r="K248" s="257"/>
      <c r="L248" s="256"/>
      <c r="M248" s="257"/>
      <c r="N248" s="256"/>
      <c r="O248" s="257"/>
      <c r="P248" s="256"/>
      <c r="Q248" s="257"/>
      <c r="R248" s="256"/>
      <c r="S248" s="257"/>
      <c r="T248" s="256"/>
      <c r="U248" s="257"/>
      <c r="V248" s="256"/>
      <c r="W248" s="257"/>
      <c r="X248" s="256"/>
    </row>
    <row r="249" spans="1:24" ht="12.75">
      <c r="A249" s="255"/>
      <c r="B249" s="256"/>
      <c r="C249" s="257"/>
      <c r="D249" s="256"/>
      <c r="E249" s="257"/>
      <c r="F249" s="256"/>
      <c r="G249" s="257"/>
      <c r="H249" s="256"/>
      <c r="I249" s="257"/>
      <c r="J249" s="256"/>
      <c r="K249" s="257"/>
      <c r="L249" s="256"/>
      <c r="M249" s="257"/>
      <c r="N249" s="256"/>
      <c r="O249" s="257"/>
      <c r="P249" s="256"/>
      <c r="Q249" s="257"/>
      <c r="R249" s="256"/>
      <c r="S249" s="257"/>
      <c r="T249" s="256"/>
      <c r="U249" s="257"/>
      <c r="V249" s="256"/>
      <c r="W249" s="257"/>
      <c r="X249" s="256"/>
    </row>
    <row r="250" spans="1:24" ht="12.75">
      <c r="A250" s="255"/>
      <c r="B250" s="256"/>
      <c r="C250" s="257"/>
      <c r="D250" s="256"/>
      <c r="E250" s="257"/>
      <c r="F250" s="256"/>
      <c r="G250" s="257"/>
      <c r="H250" s="256"/>
      <c r="I250" s="257"/>
      <c r="J250" s="256"/>
      <c r="K250" s="257"/>
      <c r="L250" s="256"/>
      <c r="M250" s="257"/>
      <c r="N250" s="256"/>
      <c r="O250" s="257"/>
      <c r="P250" s="256"/>
      <c r="Q250" s="257"/>
      <c r="R250" s="256"/>
      <c r="S250" s="257"/>
      <c r="T250" s="256"/>
      <c r="U250" s="257"/>
      <c r="V250" s="256"/>
      <c r="W250" s="257"/>
      <c r="X250" s="256"/>
    </row>
    <row r="251" spans="1:24" ht="12.75">
      <c r="A251" s="255"/>
      <c r="B251" s="256"/>
      <c r="C251" s="257"/>
      <c r="D251" s="256"/>
      <c r="E251" s="257"/>
      <c r="F251" s="256"/>
      <c r="G251" s="257"/>
      <c r="H251" s="256"/>
      <c r="I251" s="257"/>
      <c r="J251" s="256"/>
      <c r="K251" s="257"/>
      <c r="L251" s="256"/>
      <c r="M251" s="257"/>
      <c r="N251" s="256"/>
      <c r="O251" s="257"/>
      <c r="P251" s="256"/>
      <c r="Q251" s="257"/>
      <c r="R251" s="256"/>
      <c r="S251" s="257"/>
      <c r="T251" s="256"/>
      <c r="U251" s="257"/>
      <c r="V251" s="256"/>
      <c r="W251" s="257"/>
      <c r="X251" s="256"/>
    </row>
    <row r="252" spans="1:24" ht="12.75">
      <c r="A252" s="255"/>
      <c r="B252" s="256"/>
      <c r="C252" s="257"/>
      <c r="D252" s="256"/>
      <c r="E252" s="257"/>
      <c r="F252" s="256"/>
      <c r="G252" s="257"/>
      <c r="H252" s="256"/>
      <c r="I252" s="257"/>
      <c r="J252" s="256"/>
      <c r="K252" s="257"/>
      <c r="L252" s="256"/>
      <c r="M252" s="257"/>
      <c r="N252" s="256"/>
      <c r="O252" s="257"/>
      <c r="P252" s="256"/>
      <c r="Q252" s="257"/>
      <c r="R252" s="256"/>
      <c r="S252" s="257"/>
      <c r="T252" s="256"/>
      <c r="U252" s="257"/>
      <c r="V252" s="256"/>
      <c r="W252" s="257"/>
      <c r="X252" s="256"/>
    </row>
    <row r="253" spans="1:24" ht="12.75">
      <c r="A253" s="255"/>
      <c r="B253" s="256"/>
      <c r="C253" s="257"/>
      <c r="D253" s="256"/>
      <c r="E253" s="257"/>
      <c r="F253" s="256"/>
      <c r="G253" s="257"/>
      <c r="H253" s="256"/>
      <c r="I253" s="257"/>
      <c r="J253" s="256"/>
      <c r="K253" s="257"/>
      <c r="L253" s="256"/>
      <c r="M253" s="257"/>
      <c r="N253" s="256"/>
      <c r="O253" s="257"/>
      <c r="P253" s="256"/>
      <c r="Q253" s="257"/>
      <c r="R253" s="256"/>
      <c r="S253" s="257"/>
      <c r="T253" s="256"/>
      <c r="U253" s="257"/>
      <c r="V253" s="256"/>
      <c r="W253" s="257"/>
      <c r="X253" s="256"/>
    </row>
    <row r="254" spans="1:24" ht="12.75">
      <c r="A254" s="255"/>
      <c r="B254" s="256"/>
      <c r="C254" s="257"/>
      <c r="D254" s="256"/>
      <c r="E254" s="257"/>
      <c r="F254" s="256"/>
      <c r="G254" s="257"/>
      <c r="H254" s="256"/>
      <c r="I254" s="257"/>
      <c r="J254" s="256"/>
      <c r="K254" s="257"/>
      <c r="L254" s="256"/>
      <c r="M254" s="257"/>
      <c r="N254" s="256"/>
      <c r="O254" s="257"/>
      <c r="P254" s="256"/>
      <c r="Q254" s="257"/>
      <c r="R254" s="256"/>
      <c r="S254" s="257"/>
      <c r="T254" s="256"/>
      <c r="U254" s="257"/>
      <c r="V254" s="256"/>
      <c r="W254" s="257"/>
      <c r="X254" s="256"/>
    </row>
    <row r="255" spans="1:24" ht="12.75">
      <c r="A255" s="255"/>
      <c r="B255" s="256"/>
      <c r="C255" s="257"/>
      <c r="D255" s="256"/>
      <c r="E255" s="257"/>
      <c r="F255" s="256"/>
      <c r="G255" s="257"/>
      <c r="H255" s="256"/>
      <c r="I255" s="257"/>
      <c r="J255" s="256"/>
      <c r="K255" s="257"/>
      <c r="L255" s="256"/>
      <c r="M255" s="257"/>
      <c r="N255" s="256"/>
      <c r="O255" s="257"/>
      <c r="P255" s="256"/>
      <c r="Q255" s="257"/>
      <c r="R255" s="256"/>
      <c r="S255" s="257"/>
      <c r="T255" s="256"/>
      <c r="U255" s="257"/>
      <c r="V255" s="256"/>
      <c r="W255" s="257"/>
      <c r="X255" s="256"/>
    </row>
    <row r="256" spans="1:24" ht="12.75">
      <c r="A256" s="255"/>
      <c r="B256" s="256"/>
      <c r="C256" s="257"/>
      <c r="D256" s="256"/>
      <c r="E256" s="257"/>
      <c r="F256" s="256"/>
      <c r="G256" s="257"/>
      <c r="H256" s="256"/>
      <c r="I256" s="257"/>
      <c r="J256" s="256"/>
      <c r="K256" s="257"/>
      <c r="L256" s="256"/>
      <c r="M256" s="257"/>
      <c r="N256" s="256"/>
      <c r="O256" s="257"/>
      <c r="P256" s="256"/>
      <c r="Q256" s="257"/>
      <c r="R256" s="256"/>
      <c r="S256" s="257"/>
      <c r="T256" s="256"/>
      <c r="U256" s="257"/>
      <c r="V256" s="256"/>
      <c r="W256" s="257"/>
      <c r="X256" s="256"/>
    </row>
    <row r="257" spans="1:24" ht="12.75">
      <c r="A257" s="255"/>
      <c r="B257" s="256"/>
      <c r="C257" s="257"/>
      <c r="D257" s="256"/>
      <c r="E257" s="257"/>
      <c r="F257" s="256"/>
      <c r="G257" s="257"/>
      <c r="H257" s="256"/>
      <c r="I257" s="257"/>
      <c r="J257" s="256"/>
      <c r="K257" s="257"/>
      <c r="L257" s="256"/>
      <c r="M257" s="257"/>
      <c r="N257" s="256"/>
      <c r="O257" s="257"/>
      <c r="P257" s="256"/>
      <c r="Q257" s="257"/>
      <c r="R257" s="256"/>
      <c r="S257" s="257"/>
      <c r="T257" s="256"/>
      <c r="U257" s="257"/>
      <c r="V257" s="256"/>
      <c r="W257" s="257"/>
      <c r="X257" s="256"/>
    </row>
    <row r="258" spans="1:24" ht="12.75">
      <c r="A258" s="255"/>
      <c r="B258" s="256"/>
      <c r="C258" s="257"/>
      <c r="D258" s="256"/>
      <c r="E258" s="257"/>
      <c r="F258" s="256"/>
      <c r="G258" s="257"/>
      <c r="H258" s="256"/>
      <c r="I258" s="257"/>
      <c r="J258" s="256"/>
      <c r="K258" s="257"/>
      <c r="L258" s="256"/>
      <c r="M258" s="257"/>
      <c r="N258" s="256"/>
      <c r="O258" s="257"/>
      <c r="P258" s="256"/>
      <c r="Q258" s="257"/>
      <c r="R258" s="256"/>
      <c r="S258" s="257"/>
      <c r="T258" s="256"/>
      <c r="U258" s="257"/>
      <c r="V258" s="256"/>
      <c r="W258" s="257"/>
      <c r="X258" s="256"/>
    </row>
    <row r="259" spans="1:24" ht="12.75">
      <c r="A259" s="255"/>
      <c r="B259" s="256"/>
      <c r="C259" s="257"/>
      <c r="D259" s="256"/>
      <c r="E259" s="257"/>
      <c r="F259" s="256"/>
      <c r="G259" s="257"/>
      <c r="H259" s="256"/>
      <c r="I259" s="257"/>
      <c r="J259" s="256"/>
      <c r="K259" s="257"/>
      <c r="L259" s="256"/>
      <c r="M259" s="257"/>
      <c r="N259" s="256"/>
      <c r="O259" s="257"/>
      <c r="P259" s="256"/>
      <c r="Q259" s="257"/>
      <c r="R259" s="256"/>
      <c r="S259" s="257"/>
      <c r="T259" s="256"/>
      <c r="U259" s="257"/>
      <c r="V259" s="256"/>
      <c r="W259" s="257"/>
      <c r="X259" s="256"/>
    </row>
    <row r="260" spans="1:24" ht="12.75">
      <c r="A260" s="255"/>
      <c r="B260" s="256"/>
      <c r="C260" s="257"/>
      <c r="D260" s="256"/>
      <c r="E260" s="257"/>
      <c r="F260" s="256"/>
      <c r="G260" s="257"/>
      <c r="H260" s="256"/>
      <c r="I260" s="257"/>
      <c r="J260" s="256"/>
      <c r="K260" s="257"/>
      <c r="L260" s="256"/>
      <c r="M260" s="257"/>
      <c r="N260" s="256"/>
      <c r="O260" s="257"/>
      <c r="P260" s="256"/>
      <c r="Q260" s="257"/>
      <c r="R260" s="256"/>
      <c r="S260" s="257"/>
      <c r="T260" s="256"/>
      <c r="U260" s="257"/>
      <c r="V260" s="256"/>
      <c r="W260" s="257"/>
      <c r="X260" s="256"/>
    </row>
    <row r="261" spans="1:24" ht="12.75">
      <c r="A261" s="255"/>
      <c r="B261" s="256"/>
      <c r="C261" s="257"/>
      <c r="D261" s="256"/>
      <c r="E261" s="257"/>
      <c r="F261" s="256"/>
      <c r="G261" s="257"/>
      <c r="H261" s="256"/>
      <c r="I261" s="257"/>
      <c r="J261" s="256"/>
      <c r="K261" s="257"/>
      <c r="L261" s="256"/>
      <c r="M261" s="257"/>
      <c r="N261" s="256"/>
      <c r="O261" s="257"/>
      <c r="P261" s="256"/>
      <c r="Q261" s="257"/>
      <c r="R261" s="256"/>
      <c r="S261" s="257"/>
      <c r="T261" s="256"/>
      <c r="U261" s="257"/>
      <c r="V261" s="256"/>
      <c r="W261" s="257"/>
      <c r="X261" s="256"/>
    </row>
    <row r="262" spans="1:24" ht="12.75">
      <c r="A262" s="255"/>
      <c r="B262" s="256"/>
      <c r="C262" s="257"/>
      <c r="D262" s="256"/>
      <c r="E262" s="257"/>
      <c r="F262" s="256"/>
      <c r="G262" s="257"/>
      <c r="H262" s="256"/>
      <c r="I262" s="257"/>
      <c r="J262" s="256"/>
      <c r="K262" s="257"/>
      <c r="L262" s="256"/>
      <c r="M262" s="257"/>
      <c r="N262" s="256"/>
      <c r="O262" s="257"/>
      <c r="P262" s="256"/>
      <c r="Q262" s="257"/>
      <c r="R262" s="256"/>
      <c r="S262" s="257"/>
      <c r="T262" s="256"/>
      <c r="U262" s="257"/>
      <c r="V262" s="256"/>
      <c r="W262" s="257"/>
      <c r="X262" s="256"/>
    </row>
    <row r="263" spans="1:24" ht="12.75">
      <c r="A263" s="255"/>
      <c r="B263" s="256"/>
      <c r="C263" s="257"/>
      <c r="D263" s="256"/>
      <c r="E263" s="257"/>
      <c r="F263" s="256"/>
      <c r="G263" s="257"/>
      <c r="H263" s="256"/>
      <c r="I263" s="257"/>
      <c r="J263" s="256"/>
      <c r="K263" s="257"/>
      <c r="L263" s="256"/>
      <c r="M263" s="257"/>
      <c r="N263" s="256"/>
      <c r="O263" s="257"/>
      <c r="P263" s="256"/>
      <c r="Q263" s="257"/>
      <c r="R263" s="256"/>
      <c r="S263" s="257"/>
      <c r="T263" s="256"/>
      <c r="U263" s="257"/>
      <c r="V263" s="256"/>
      <c r="W263" s="257"/>
      <c r="X263" s="256"/>
    </row>
    <row r="264" spans="1:24" ht="12.75">
      <c r="A264" s="255"/>
      <c r="B264" s="256"/>
      <c r="C264" s="257"/>
      <c r="D264" s="256"/>
      <c r="E264" s="257"/>
      <c r="F264" s="256"/>
      <c r="G264" s="257"/>
      <c r="H264" s="256"/>
      <c r="I264" s="257"/>
      <c r="J264" s="256"/>
      <c r="K264" s="257"/>
      <c r="L264" s="256"/>
      <c r="M264" s="257"/>
      <c r="N264" s="256"/>
      <c r="O264" s="257"/>
      <c r="P264" s="256"/>
      <c r="Q264" s="257"/>
      <c r="R264" s="256"/>
      <c r="S264" s="257"/>
      <c r="T264" s="256"/>
      <c r="U264" s="257"/>
      <c r="V264" s="256"/>
      <c r="W264" s="257"/>
      <c r="X264" s="256"/>
    </row>
    <row r="265" spans="1:24" ht="12.75">
      <c r="A265" s="255"/>
      <c r="B265" s="256"/>
      <c r="C265" s="257"/>
      <c r="D265" s="256"/>
      <c r="E265" s="257"/>
      <c r="F265" s="256"/>
      <c r="G265" s="257"/>
      <c r="H265" s="256"/>
      <c r="I265" s="257"/>
      <c r="J265" s="256"/>
      <c r="K265" s="257"/>
      <c r="L265" s="256"/>
      <c r="M265" s="257"/>
      <c r="N265" s="256"/>
      <c r="O265" s="257"/>
      <c r="P265" s="256"/>
      <c r="Q265" s="257"/>
      <c r="R265" s="256"/>
      <c r="S265" s="257"/>
      <c r="T265" s="256"/>
      <c r="U265" s="257"/>
      <c r="V265" s="256"/>
      <c r="W265" s="257"/>
      <c r="X265" s="256"/>
    </row>
    <row r="266" spans="1:24" ht="12.75">
      <c r="A266" s="255"/>
      <c r="B266" s="256"/>
      <c r="C266" s="257"/>
      <c r="D266" s="256"/>
      <c r="E266" s="257"/>
      <c r="F266" s="256"/>
      <c r="G266" s="257"/>
      <c r="H266" s="256"/>
      <c r="I266" s="257"/>
      <c r="J266" s="256"/>
      <c r="K266" s="257"/>
      <c r="L266" s="256"/>
      <c r="M266" s="257"/>
      <c r="N266" s="256"/>
      <c r="O266" s="257"/>
      <c r="P266" s="256"/>
      <c r="Q266" s="257"/>
      <c r="R266" s="256"/>
      <c r="S266" s="257"/>
      <c r="T266" s="256"/>
      <c r="U266" s="257"/>
      <c r="V266" s="256"/>
      <c r="W266" s="257"/>
      <c r="X266" s="256"/>
    </row>
    <row r="267" spans="1:24" ht="12.75">
      <c r="A267" s="255"/>
      <c r="B267" s="256"/>
      <c r="C267" s="257"/>
      <c r="D267" s="256"/>
      <c r="E267" s="257"/>
      <c r="F267" s="256"/>
      <c r="G267" s="257"/>
      <c r="H267" s="256"/>
      <c r="I267" s="257"/>
      <c r="J267" s="256"/>
      <c r="K267" s="257"/>
      <c r="L267" s="256"/>
      <c r="M267" s="257"/>
      <c r="N267" s="256"/>
      <c r="O267" s="257"/>
      <c r="P267" s="256"/>
      <c r="Q267" s="257"/>
      <c r="R267" s="256"/>
      <c r="S267" s="257"/>
      <c r="T267" s="256"/>
      <c r="U267" s="257"/>
      <c r="V267" s="256"/>
      <c r="W267" s="257"/>
      <c r="X267" s="256"/>
    </row>
    <row r="268" spans="1:24" ht="12.75">
      <c r="A268" s="255"/>
      <c r="B268" s="256"/>
      <c r="C268" s="257"/>
      <c r="D268" s="256"/>
      <c r="E268" s="257"/>
      <c r="F268" s="256"/>
      <c r="G268" s="257"/>
      <c r="H268" s="256"/>
      <c r="I268" s="257"/>
      <c r="J268" s="256"/>
      <c r="K268" s="257"/>
      <c r="L268" s="256"/>
      <c r="M268" s="257"/>
      <c r="N268" s="256"/>
      <c r="O268" s="257"/>
      <c r="P268" s="256"/>
      <c r="Q268" s="257"/>
      <c r="R268" s="256"/>
      <c r="S268" s="257"/>
      <c r="T268" s="256"/>
      <c r="U268" s="257"/>
      <c r="V268" s="256"/>
      <c r="W268" s="257"/>
      <c r="X268" s="256"/>
    </row>
    <row r="269" spans="1:24" ht="12.75">
      <c r="A269" s="255"/>
      <c r="B269" s="256"/>
      <c r="C269" s="257"/>
      <c r="D269" s="256"/>
      <c r="E269" s="257"/>
      <c r="F269" s="256"/>
      <c r="G269" s="257"/>
      <c r="H269" s="256"/>
      <c r="I269" s="257"/>
      <c r="J269" s="256"/>
      <c r="K269" s="257"/>
      <c r="L269" s="256"/>
      <c r="M269" s="257"/>
      <c r="N269" s="256"/>
      <c r="O269" s="257"/>
      <c r="P269" s="256"/>
      <c r="Q269" s="257"/>
      <c r="R269" s="256"/>
      <c r="S269" s="257"/>
      <c r="T269" s="256"/>
      <c r="U269" s="257"/>
      <c r="V269" s="256"/>
      <c r="W269" s="257"/>
      <c r="X269" s="256"/>
    </row>
    <row r="270" spans="1:24" ht="12.75">
      <c r="A270" s="255"/>
      <c r="B270" s="256"/>
      <c r="C270" s="257"/>
      <c r="D270" s="256"/>
      <c r="E270" s="257"/>
      <c r="F270" s="256"/>
      <c r="G270" s="257"/>
      <c r="H270" s="256"/>
      <c r="I270" s="257"/>
      <c r="J270" s="256"/>
      <c r="K270" s="257"/>
      <c r="L270" s="256"/>
      <c r="M270" s="257"/>
      <c r="N270" s="256"/>
      <c r="O270" s="257"/>
      <c r="P270" s="256"/>
      <c r="Q270" s="257"/>
      <c r="R270" s="256"/>
      <c r="S270" s="257"/>
      <c r="T270" s="256"/>
      <c r="U270" s="257"/>
      <c r="V270" s="256"/>
      <c r="W270" s="257"/>
      <c r="X270" s="256"/>
    </row>
    <row r="271" spans="1:24" ht="12.75">
      <c r="A271" s="255"/>
      <c r="B271" s="256"/>
      <c r="C271" s="257"/>
      <c r="D271" s="256"/>
      <c r="E271" s="257"/>
      <c r="F271" s="256"/>
      <c r="G271" s="257"/>
      <c r="H271" s="256"/>
      <c r="I271" s="257"/>
      <c r="J271" s="256"/>
      <c r="K271" s="257"/>
      <c r="L271" s="256"/>
      <c r="M271" s="257"/>
      <c r="N271" s="256"/>
      <c r="O271" s="257"/>
      <c r="P271" s="256"/>
      <c r="Q271" s="257"/>
      <c r="R271" s="256"/>
      <c r="S271" s="257"/>
      <c r="T271" s="256"/>
      <c r="U271" s="257"/>
      <c r="V271" s="256"/>
      <c r="W271" s="257"/>
      <c r="X271" s="256"/>
    </row>
    <row r="272" spans="1:24" ht="12.75">
      <c r="A272" s="255"/>
      <c r="B272" s="256"/>
      <c r="C272" s="257"/>
      <c r="D272" s="256"/>
      <c r="E272" s="257"/>
      <c r="F272" s="256"/>
      <c r="G272" s="257"/>
      <c r="H272" s="256"/>
      <c r="I272" s="257"/>
      <c r="J272" s="256"/>
      <c r="K272" s="257"/>
      <c r="L272" s="256"/>
      <c r="M272" s="257"/>
      <c r="N272" s="256"/>
      <c r="O272" s="257"/>
      <c r="P272" s="256"/>
      <c r="Q272" s="257"/>
      <c r="R272" s="256"/>
      <c r="S272" s="257"/>
      <c r="T272" s="256"/>
      <c r="U272" s="257"/>
      <c r="V272" s="256"/>
      <c r="W272" s="257"/>
      <c r="X272" s="256"/>
    </row>
    <row r="273" spans="1:24" ht="12.75">
      <c r="A273" s="255"/>
      <c r="B273" s="256"/>
      <c r="C273" s="257"/>
      <c r="D273" s="256"/>
      <c r="E273" s="257"/>
      <c r="F273" s="256"/>
      <c r="G273" s="257"/>
      <c r="H273" s="256"/>
      <c r="I273" s="257"/>
      <c r="J273" s="256"/>
      <c r="K273" s="257"/>
      <c r="L273" s="256"/>
      <c r="M273" s="257"/>
      <c r="N273" s="256"/>
      <c r="O273" s="257"/>
      <c r="P273" s="256"/>
      <c r="Q273" s="257"/>
      <c r="R273" s="256"/>
      <c r="S273" s="257"/>
      <c r="T273" s="256"/>
      <c r="U273" s="257"/>
      <c r="V273" s="256"/>
      <c r="W273" s="257"/>
      <c r="X273" s="256"/>
    </row>
    <row r="274" spans="1:24" ht="12.75">
      <c r="A274" s="255"/>
      <c r="B274" s="256"/>
      <c r="C274" s="257"/>
      <c r="D274" s="256"/>
      <c r="E274" s="257"/>
      <c r="F274" s="256"/>
      <c r="G274" s="257"/>
      <c r="H274" s="256"/>
      <c r="I274" s="257"/>
      <c r="J274" s="256"/>
      <c r="K274" s="257"/>
      <c r="L274" s="256"/>
      <c r="M274" s="257"/>
      <c r="N274" s="256"/>
      <c r="O274" s="257"/>
      <c r="P274" s="256"/>
      <c r="Q274" s="257"/>
      <c r="R274" s="256"/>
      <c r="S274" s="257"/>
      <c r="T274" s="256"/>
      <c r="U274" s="257"/>
      <c r="V274" s="256"/>
      <c r="W274" s="257"/>
      <c r="X274" s="256"/>
    </row>
    <row r="275" spans="1:24" ht="12.75">
      <c r="A275" s="255"/>
      <c r="B275" s="256"/>
      <c r="C275" s="257"/>
      <c r="D275" s="256"/>
      <c r="E275" s="257"/>
      <c r="F275" s="256"/>
      <c r="G275" s="257"/>
      <c r="H275" s="256"/>
      <c r="I275" s="257"/>
      <c r="J275" s="256"/>
      <c r="K275" s="257"/>
      <c r="L275" s="256"/>
      <c r="M275" s="257"/>
      <c r="N275" s="256"/>
      <c r="O275" s="257"/>
      <c r="P275" s="256"/>
      <c r="Q275" s="257"/>
      <c r="R275" s="256"/>
      <c r="S275" s="257"/>
      <c r="T275" s="256"/>
      <c r="U275" s="257"/>
      <c r="V275" s="256"/>
      <c r="W275" s="257"/>
      <c r="X275" s="256"/>
    </row>
    <row r="276" spans="1:24" ht="12.75">
      <c r="A276" s="255"/>
      <c r="B276" s="256"/>
      <c r="C276" s="257"/>
      <c r="D276" s="256"/>
      <c r="E276" s="257"/>
      <c r="F276" s="256"/>
      <c r="G276" s="257"/>
      <c r="H276" s="256"/>
      <c r="I276" s="257"/>
      <c r="J276" s="256"/>
      <c r="K276" s="257"/>
      <c r="L276" s="256"/>
      <c r="M276" s="257"/>
      <c r="N276" s="256"/>
      <c r="O276" s="257"/>
      <c r="P276" s="256"/>
      <c r="Q276" s="257"/>
      <c r="R276" s="256"/>
      <c r="S276" s="257"/>
      <c r="T276" s="256"/>
      <c r="U276" s="257"/>
      <c r="V276" s="256"/>
      <c r="W276" s="257"/>
      <c r="X276" s="256"/>
    </row>
    <row r="277" spans="1:24" ht="12.75">
      <c r="A277" s="255"/>
      <c r="B277" s="256"/>
      <c r="C277" s="257"/>
      <c r="D277" s="256"/>
      <c r="E277" s="257"/>
      <c r="F277" s="256"/>
      <c r="G277" s="257"/>
      <c r="H277" s="256"/>
      <c r="I277" s="257"/>
      <c r="J277" s="256"/>
      <c r="K277" s="257"/>
      <c r="L277" s="256"/>
      <c r="M277" s="257"/>
      <c r="N277" s="256"/>
      <c r="O277" s="257"/>
      <c r="P277" s="256"/>
      <c r="Q277" s="257"/>
      <c r="R277" s="256"/>
      <c r="S277" s="257"/>
      <c r="T277" s="256"/>
      <c r="U277" s="257"/>
      <c r="V277" s="256"/>
      <c r="W277" s="257"/>
      <c r="X277" s="256"/>
    </row>
    <row r="278" spans="1:24" ht="12.75">
      <c r="A278" s="255"/>
      <c r="B278" s="256"/>
      <c r="C278" s="257"/>
      <c r="D278" s="256"/>
      <c r="E278" s="257"/>
      <c r="F278" s="256"/>
      <c r="G278" s="257"/>
      <c r="H278" s="256"/>
      <c r="I278" s="257"/>
      <c r="J278" s="256"/>
      <c r="K278" s="257"/>
      <c r="L278" s="256"/>
      <c r="M278" s="257"/>
      <c r="N278" s="256"/>
      <c r="O278" s="257"/>
      <c r="P278" s="256"/>
      <c r="Q278" s="257"/>
      <c r="R278" s="256"/>
      <c r="S278" s="257"/>
      <c r="T278" s="256"/>
      <c r="U278" s="257"/>
      <c r="V278" s="256"/>
      <c r="W278" s="257"/>
      <c r="X278" s="256"/>
    </row>
    <row r="279" spans="1:24" ht="12.75">
      <c r="A279" s="255"/>
      <c r="B279" s="256"/>
      <c r="C279" s="257"/>
      <c r="D279" s="256"/>
      <c r="E279" s="257"/>
      <c r="F279" s="256"/>
      <c r="G279" s="257"/>
      <c r="H279" s="256"/>
      <c r="I279" s="257"/>
      <c r="J279" s="256"/>
      <c r="K279" s="257"/>
      <c r="L279" s="256"/>
      <c r="M279" s="257"/>
      <c r="N279" s="256"/>
      <c r="O279" s="257"/>
      <c r="P279" s="256"/>
      <c r="Q279" s="257"/>
      <c r="R279" s="256"/>
      <c r="S279" s="257"/>
      <c r="T279" s="256"/>
      <c r="U279" s="257"/>
      <c r="V279" s="256"/>
      <c r="W279" s="257"/>
      <c r="X279" s="256"/>
    </row>
    <row r="280" spans="1:24" ht="12.75">
      <c r="A280" s="255"/>
      <c r="B280" s="256"/>
      <c r="C280" s="257"/>
      <c r="D280" s="256"/>
      <c r="E280" s="257"/>
      <c r="F280" s="256"/>
      <c r="G280" s="257"/>
      <c r="H280" s="256"/>
      <c r="I280" s="257"/>
      <c r="J280" s="256"/>
      <c r="K280" s="257"/>
      <c r="L280" s="256"/>
      <c r="M280" s="257"/>
      <c r="N280" s="256"/>
      <c r="O280" s="257"/>
      <c r="P280" s="256"/>
      <c r="Q280" s="257"/>
      <c r="R280" s="256"/>
      <c r="S280" s="257"/>
      <c r="T280" s="256"/>
      <c r="U280" s="257"/>
      <c r="V280" s="256"/>
      <c r="W280" s="257"/>
      <c r="X280" s="256"/>
    </row>
    <row r="281" spans="1:24" ht="12.75">
      <c r="A281" s="255"/>
      <c r="B281" s="256"/>
      <c r="C281" s="257"/>
      <c r="D281" s="256"/>
      <c r="E281" s="257"/>
      <c r="F281" s="256"/>
      <c r="G281" s="257"/>
      <c r="H281" s="256"/>
      <c r="I281" s="257"/>
      <c r="J281" s="256"/>
      <c r="K281" s="257"/>
      <c r="L281" s="256"/>
      <c r="M281" s="257"/>
      <c r="N281" s="256"/>
      <c r="O281" s="257"/>
      <c r="P281" s="256"/>
      <c r="Q281" s="257"/>
      <c r="R281" s="256"/>
      <c r="S281" s="257"/>
      <c r="T281" s="256"/>
      <c r="U281" s="257"/>
      <c r="V281" s="256"/>
      <c r="W281" s="257"/>
      <c r="X281" s="256"/>
    </row>
    <row r="282" spans="1:24" ht="12.75">
      <c r="A282" s="255"/>
      <c r="B282" s="256"/>
      <c r="C282" s="257"/>
      <c r="D282" s="256"/>
      <c r="E282" s="257"/>
      <c r="F282" s="256"/>
      <c r="G282" s="257"/>
      <c r="H282" s="256"/>
      <c r="I282" s="257"/>
      <c r="J282" s="256"/>
      <c r="K282" s="257"/>
      <c r="L282" s="256"/>
      <c r="M282" s="257"/>
      <c r="N282" s="256"/>
      <c r="O282" s="257"/>
      <c r="P282" s="256"/>
      <c r="Q282" s="257"/>
      <c r="R282" s="256"/>
      <c r="S282" s="257"/>
      <c r="T282" s="256"/>
      <c r="U282" s="257"/>
      <c r="V282" s="256"/>
      <c r="W282" s="257"/>
      <c r="X282" s="256"/>
    </row>
    <row r="283" spans="1:24" ht="12.75">
      <c r="A283" s="255"/>
      <c r="B283" s="256"/>
      <c r="C283" s="257"/>
      <c r="D283" s="256"/>
      <c r="E283" s="257"/>
      <c r="F283" s="256"/>
      <c r="G283" s="257"/>
      <c r="H283" s="256"/>
      <c r="I283" s="257"/>
      <c r="J283" s="256"/>
      <c r="K283" s="257"/>
      <c r="L283" s="256"/>
      <c r="M283" s="257"/>
      <c r="N283" s="256"/>
      <c r="O283" s="257"/>
      <c r="P283" s="256"/>
      <c r="Q283" s="257"/>
      <c r="R283" s="256"/>
      <c r="S283" s="257"/>
      <c r="T283" s="256"/>
      <c r="U283" s="257"/>
      <c r="V283" s="256"/>
      <c r="W283" s="257"/>
      <c r="X283" s="256"/>
    </row>
    <row r="284" spans="1:24" ht="12.75">
      <c r="A284" s="255"/>
      <c r="B284" s="256"/>
      <c r="C284" s="257"/>
      <c r="D284" s="256"/>
      <c r="E284" s="257"/>
      <c r="F284" s="256"/>
      <c r="G284" s="257"/>
      <c r="H284" s="256"/>
      <c r="I284" s="257"/>
      <c r="J284" s="256"/>
      <c r="K284" s="257"/>
      <c r="L284" s="256"/>
      <c r="M284" s="257"/>
      <c r="N284" s="256"/>
      <c r="O284" s="257"/>
      <c r="P284" s="256"/>
      <c r="Q284" s="257"/>
      <c r="R284" s="256"/>
      <c r="S284" s="257"/>
      <c r="T284" s="256"/>
      <c r="U284" s="257"/>
      <c r="V284" s="256"/>
      <c r="W284" s="257"/>
      <c r="X284" s="256"/>
    </row>
    <row r="285" spans="1:24" ht="12.75">
      <c r="A285" s="255"/>
      <c r="B285" s="256"/>
      <c r="C285" s="257"/>
      <c r="D285" s="256"/>
      <c r="E285" s="257"/>
      <c r="F285" s="256"/>
      <c r="G285" s="257"/>
      <c r="H285" s="256"/>
      <c r="I285" s="257"/>
      <c r="J285" s="256"/>
      <c r="K285" s="257"/>
      <c r="L285" s="256"/>
      <c r="M285" s="257"/>
      <c r="N285" s="256"/>
      <c r="O285" s="257"/>
      <c r="P285" s="256"/>
      <c r="Q285" s="257"/>
      <c r="R285" s="256"/>
      <c r="S285" s="257"/>
      <c r="T285" s="256"/>
      <c r="U285" s="257"/>
      <c r="V285" s="256"/>
      <c r="W285" s="257"/>
      <c r="X285" s="256"/>
    </row>
    <row r="286" spans="1:24" ht="12.75">
      <c r="A286" s="255"/>
      <c r="B286" s="256"/>
      <c r="C286" s="257"/>
      <c r="D286" s="256"/>
      <c r="E286" s="257"/>
      <c r="F286" s="256"/>
      <c r="G286" s="257"/>
      <c r="H286" s="256"/>
      <c r="I286" s="257"/>
      <c r="J286" s="256"/>
      <c r="K286" s="257"/>
      <c r="L286" s="256"/>
      <c r="M286" s="257"/>
      <c r="N286" s="256"/>
      <c r="O286" s="257"/>
      <c r="P286" s="256"/>
      <c r="Q286" s="257"/>
      <c r="R286" s="256"/>
      <c r="S286" s="257"/>
      <c r="T286" s="256"/>
      <c r="U286" s="257"/>
      <c r="V286" s="256"/>
      <c r="W286" s="257"/>
      <c r="X286" s="256"/>
    </row>
    <row r="287" spans="1:24" ht="12.75">
      <c r="A287" s="255"/>
      <c r="B287" s="256"/>
      <c r="C287" s="257"/>
      <c r="D287" s="256"/>
      <c r="E287" s="257"/>
      <c r="F287" s="256"/>
      <c r="G287" s="257"/>
      <c r="H287" s="256"/>
      <c r="I287" s="257"/>
      <c r="J287" s="256"/>
      <c r="K287" s="257"/>
      <c r="L287" s="256"/>
      <c r="M287" s="257"/>
      <c r="N287" s="256"/>
      <c r="O287" s="257"/>
      <c r="P287" s="256"/>
      <c r="Q287" s="257"/>
      <c r="R287" s="256"/>
      <c r="S287" s="257"/>
      <c r="T287" s="256"/>
      <c r="U287" s="257"/>
      <c r="V287" s="256"/>
      <c r="W287" s="257"/>
      <c r="X287" s="256"/>
    </row>
    <row r="288" spans="1:24" ht="12.75">
      <c r="A288" s="255"/>
      <c r="B288" s="256"/>
      <c r="C288" s="257"/>
      <c r="D288" s="256"/>
      <c r="E288" s="257"/>
      <c r="F288" s="256"/>
      <c r="G288" s="257"/>
      <c r="H288" s="256"/>
      <c r="I288" s="257"/>
      <c r="J288" s="256"/>
      <c r="K288" s="257"/>
      <c r="L288" s="256"/>
      <c r="M288" s="257"/>
      <c r="N288" s="256"/>
      <c r="O288" s="257"/>
      <c r="P288" s="256"/>
      <c r="Q288" s="257"/>
      <c r="R288" s="256"/>
      <c r="S288" s="257"/>
      <c r="T288" s="256"/>
      <c r="U288" s="257"/>
      <c r="V288" s="256"/>
      <c r="W288" s="257"/>
      <c r="X288" s="256"/>
    </row>
    <row r="289" spans="1:24" ht="12.75">
      <c r="A289" s="255"/>
      <c r="B289" s="256"/>
      <c r="C289" s="257"/>
      <c r="D289" s="256"/>
      <c r="E289" s="257"/>
      <c r="F289" s="256"/>
      <c r="G289" s="257"/>
      <c r="H289" s="256"/>
      <c r="I289" s="257"/>
      <c r="J289" s="256"/>
      <c r="K289" s="257"/>
      <c r="L289" s="256"/>
      <c r="M289" s="257"/>
      <c r="N289" s="256"/>
      <c r="O289" s="257"/>
      <c r="P289" s="256"/>
      <c r="Q289" s="257"/>
      <c r="R289" s="256"/>
      <c r="S289" s="257"/>
      <c r="T289" s="256"/>
      <c r="U289" s="257"/>
      <c r="V289" s="256"/>
      <c r="W289" s="257"/>
      <c r="X289" s="256"/>
    </row>
    <row r="290" spans="1:24" ht="12.75">
      <c r="A290" s="255"/>
      <c r="B290" s="256"/>
      <c r="C290" s="257"/>
      <c r="D290" s="256"/>
      <c r="E290" s="257"/>
      <c r="F290" s="256"/>
      <c r="G290" s="257"/>
      <c r="H290" s="256"/>
      <c r="I290" s="257"/>
      <c r="J290" s="256"/>
      <c r="K290" s="257"/>
      <c r="L290" s="256"/>
      <c r="M290" s="257"/>
      <c r="N290" s="256"/>
      <c r="O290" s="257"/>
      <c r="P290" s="256"/>
      <c r="Q290" s="257"/>
      <c r="R290" s="256"/>
      <c r="S290" s="257"/>
      <c r="T290" s="256"/>
      <c r="U290" s="257"/>
      <c r="V290" s="256"/>
      <c r="W290" s="257"/>
      <c r="X290" s="256"/>
    </row>
    <row r="291" spans="1:24" ht="12.75">
      <c r="A291" s="255"/>
      <c r="B291" s="256"/>
      <c r="C291" s="257"/>
      <c r="D291" s="256"/>
      <c r="E291" s="257"/>
      <c r="F291" s="256"/>
      <c r="G291" s="257"/>
      <c r="H291" s="256"/>
      <c r="I291" s="257"/>
      <c r="J291" s="256"/>
      <c r="K291" s="257"/>
      <c r="L291" s="256"/>
      <c r="M291" s="257"/>
      <c r="N291" s="256"/>
      <c r="O291" s="257"/>
      <c r="P291" s="256"/>
      <c r="Q291" s="257"/>
      <c r="R291" s="256"/>
      <c r="S291" s="257"/>
      <c r="T291" s="256"/>
      <c r="U291" s="257"/>
      <c r="V291" s="256"/>
      <c r="W291" s="257"/>
      <c r="X291" s="256"/>
    </row>
    <row r="292" spans="1:24" ht="12.75">
      <c r="A292" s="255"/>
      <c r="B292" s="256"/>
      <c r="C292" s="257"/>
      <c r="D292" s="256"/>
      <c r="E292" s="257"/>
      <c r="F292" s="256"/>
      <c r="G292" s="257"/>
      <c r="H292" s="256"/>
      <c r="I292" s="257"/>
      <c r="J292" s="256"/>
      <c r="K292" s="257"/>
      <c r="L292" s="256"/>
      <c r="M292" s="257"/>
      <c r="N292" s="256"/>
      <c r="O292" s="257"/>
      <c r="P292" s="256"/>
      <c r="Q292" s="257"/>
      <c r="R292" s="256"/>
      <c r="S292" s="257"/>
      <c r="T292" s="256"/>
      <c r="U292" s="257"/>
      <c r="V292" s="256"/>
      <c r="W292" s="257"/>
      <c r="X292" s="256"/>
    </row>
    <row r="293" spans="1:24" ht="12.75">
      <c r="A293" s="255"/>
      <c r="B293" s="256"/>
      <c r="C293" s="257"/>
      <c r="D293" s="256"/>
      <c r="E293" s="257"/>
      <c r="F293" s="256"/>
      <c r="G293" s="257"/>
      <c r="H293" s="256"/>
      <c r="I293" s="257"/>
      <c r="J293" s="256"/>
      <c r="K293" s="257"/>
      <c r="L293" s="256"/>
      <c r="M293" s="257"/>
      <c r="N293" s="256"/>
      <c r="O293" s="257"/>
      <c r="P293" s="256"/>
      <c r="Q293" s="257"/>
      <c r="R293" s="256"/>
      <c r="S293" s="257"/>
      <c r="T293" s="256"/>
      <c r="U293" s="257"/>
      <c r="V293" s="256"/>
      <c r="W293" s="257"/>
      <c r="X293" s="256"/>
    </row>
    <row r="294" spans="1:24" ht="12.75">
      <c r="A294" s="255"/>
      <c r="B294" s="256"/>
      <c r="C294" s="257"/>
      <c r="D294" s="256"/>
      <c r="E294" s="257"/>
      <c r="F294" s="256"/>
      <c r="G294" s="257"/>
      <c r="H294" s="256"/>
      <c r="I294" s="257"/>
      <c r="J294" s="256"/>
      <c r="K294" s="257"/>
      <c r="L294" s="256"/>
      <c r="M294" s="257"/>
      <c r="N294" s="256"/>
      <c r="O294" s="257"/>
      <c r="P294" s="256"/>
      <c r="Q294" s="257"/>
      <c r="R294" s="256"/>
      <c r="S294" s="257"/>
      <c r="T294" s="256"/>
      <c r="U294" s="257"/>
      <c r="V294" s="256"/>
      <c r="W294" s="257"/>
      <c r="X294" s="256"/>
    </row>
    <row r="295" spans="1:24" ht="12.75">
      <c r="A295" s="255"/>
      <c r="B295" s="256"/>
      <c r="C295" s="257"/>
      <c r="D295" s="256"/>
      <c r="E295" s="257"/>
      <c r="F295" s="256"/>
      <c r="G295" s="257"/>
      <c r="H295" s="256"/>
      <c r="I295" s="257"/>
      <c r="J295" s="256"/>
      <c r="K295" s="257"/>
      <c r="L295" s="256"/>
      <c r="M295" s="257"/>
      <c r="N295" s="256"/>
      <c r="O295" s="257"/>
      <c r="P295" s="256"/>
      <c r="Q295" s="257"/>
      <c r="R295" s="256"/>
      <c r="S295" s="257"/>
      <c r="T295" s="256"/>
      <c r="U295" s="257"/>
      <c r="V295" s="256"/>
      <c r="W295" s="257"/>
      <c r="X295" s="256"/>
    </row>
    <row r="296" spans="1:24" ht="12.75">
      <c r="A296" s="255"/>
      <c r="B296" s="256"/>
      <c r="C296" s="257"/>
      <c r="D296" s="256"/>
      <c r="E296" s="257"/>
      <c r="F296" s="256"/>
      <c r="G296" s="257"/>
      <c r="H296" s="256"/>
      <c r="I296" s="257"/>
      <c r="J296" s="256"/>
      <c r="K296" s="257"/>
      <c r="L296" s="256"/>
      <c r="M296" s="257"/>
      <c r="N296" s="256"/>
      <c r="O296" s="257"/>
      <c r="P296" s="256"/>
      <c r="Q296" s="257"/>
      <c r="R296" s="256"/>
      <c r="S296" s="257"/>
      <c r="T296" s="256"/>
      <c r="U296" s="257"/>
      <c r="V296" s="256"/>
      <c r="W296" s="257"/>
      <c r="X296" s="256"/>
    </row>
    <row r="297" spans="1:24" ht="12.75">
      <c r="A297" s="255"/>
      <c r="B297" s="256"/>
      <c r="C297" s="257"/>
      <c r="D297" s="256"/>
      <c r="E297" s="257"/>
      <c r="F297" s="256"/>
      <c r="G297" s="257"/>
      <c r="H297" s="256"/>
      <c r="I297" s="257"/>
      <c r="J297" s="256"/>
      <c r="K297" s="257"/>
      <c r="L297" s="256"/>
      <c r="M297" s="257"/>
      <c r="N297" s="256"/>
      <c r="O297" s="257"/>
      <c r="P297" s="256"/>
      <c r="Q297" s="257"/>
      <c r="R297" s="256"/>
      <c r="S297" s="257"/>
      <c r="T297" s="256"/>
      <c r="U297" s="257"/>
      <c r="V297" s="256"/>
      <c r="W297" s="257"/>
      <c r="X297" s="256"/>
    </row>
    <row r="298" spans="1:24" ht="12.75">
      <c r="A298" s="255"/>
      <c r="B298" s="256"/>
      <c r="C298" s="257"/>
      <c r="D298" s="256"/>
      <c r="E298" s="257"/>
      <c r="F298" s="256"/>
      <c r="G298" s="257"/>
      <c r="H298" s="256"/>
      <c r="I298" s="257"/>
      <c r="J298" s="256"/>
      <c r="K298" s="257"/>
      <c r="L298" s="256"/>
      <c r="M298" s="257"/>
      <c r="N298" s="256"/>
      <c r="O298" s="257"/>
      <c r="P298" s="256"/>
      <c r="Q298" s="257"/>
      <c r="R298" s="256"/>
      <c r="S298" s="257"/>
      <c r="T298" s="256"/>
      <c r="U298" s="257"/>
      <c r="V298" s="256"/>
      <c r="W298" s="257"/>
      <c r="X298" s="256"/>
    </row>
    <row r="299" spans="1:24" ht="12.75">
      <c r="A299" s="255"/>
      <c r="B299" s="256"/>
      <c r="C299" s="257"/>
      <c r="D299" s="256"/>
      <c r="E299" s="257"/>
      <c r="F299" s="256"/>
      <c r="G299" s="257"/>
      <c r="H299" s="256"/>
      <c r="I299" s="257"/>
      <c r="J299" s="256"/>
      <c r="K299" s="257"/>
      <c r="L299" s="256"/>
      <c r="M299" s="257"/>
      <c r="N299" s="256"/>
      <c r="O299" s="257"/>
      <c r="P299" s="256"/>
      <c r="Q299" s="257"/>
      <c r="R299" s="256"/>
      <c r="S299" s="257"/>
      <c r="T299" s="256"/>
      <c r="U299" s="257"/>
      <c r="V299" s="256"/>
      <c r="W299" s="257"/>
      <c r="X299" s="256"/>
    </row>
    <row r="300" spans="1:24" ht="12.75">
      <c r="A300" s="255"/>
      <c r="B300" s="256"/>
      <c r="C300" s="257"/>
      <c r="D300" s="256"/>
      <c r="E300" s="257"/>
      <c r="F300" s="256"/>
      <c r="G300" s="257"/>
      <c r="H300" s="256"/>
      <c r="I300" s="257"/>
      <c r="J300" s="256"/>
      <c r="K300" s="257"/>
      <c r="L300" s="256"/>
      <c r="M300" s="257"/>
      <c r="N300" s="256"/>
      <c r="O300" s="257"/>
      <c r="P300" s="256"/>
      <c r="Q300" s="257"/>
      <c r="R300" s="256"/>
      <c r="S300" s="257"/>
      <c r="T300" s="256"/>
      <c r="U300" s="257"/>
      <c r="V300" s="256"/>
      <c r="W300" s="257"/>
      <c r="X300" s="256"/>
    </row>
    <row r="301" spans="1:24" ht="12.75">
      <c r="A301" s="255"/>
      <c r="B301" s="256"/>
      <c r="C301" s="257"/>
      <c r="D301" s="256"/>
      <c r="E301" s="257"/>
      <c r="F301" s="256"/>
      <c r="G301" s="257"/>
      <c r="H301" s="256"/>
      <c r="I301" s="257"/>
      <c r="J301" s="256"/>
      <c r="K301" s="257"/>
      <c r="L301" s="256"/>
      <c r="M301" s="257"/>
      <c r="N301" s="256"/>
      <c r="O301" s="257"/>
      <c r="P301" s="256"/>
      <c r="Q301" s="257"/>
      <c r="R301" s="256"/>
      <c r="S301" s="257"/>
      <c r="T301" s="256"/>
      <c r="U301" s="257"/>
      <c r="V301" s="256"/>
      <c r="W301" s="257"/>
      <c r="X301" s="256"/>
    </row>
    <row r="302" spans="1:24" ht="12.75">
      <c r="A302" s="255"/>
      <c r="B302" s="256"/>
      <c r="C302" s="257"/>
      <c r="D302" s="256"/>
      <c r="E302" s="257"/>
      <c r="F302" s="256"/>
      <c r="G302" s="257"/>
      <c r="H302" s="256"/>
      <c r="I302" s="257"/>
      <c r="J302" s="256"/>
      <c r="K302" s="257"/>
      <c r="L302" s="256"/>
      <c r="M302" s="257"/>
      <c r="N302" s="256"/>
      <c r="O302" s="257"/>
      <c r="P302" s="256"/>
      <c r="Q302" s="257"/>
      <c r="R302" s="256"/>
      <c r="S302" s="257"/>
      <c r="T302" s="256"/>
      <c r="U302" s="257"/>
      <c r="V302" s="256"/>
      <c r="W302" s="257"/>
      <c r="X302" s="256"/>
    </row>
    <row r="303" spans="1:24" ht="12.75">
      <c r="A303" s="255"/>
      <c r="B303" s="256"/>
      <c r="C303" s="257"/>
      <c r="D303" s="256"/>
      <c r="E303" s="257"/>
      <c r="F303" s="256"/>
      <c r="G303" s="257"/>
      <c r="H303" s="256"/>
      <c r="I303" s="257"/>
      <c r="J303" s="256"/>
      <c r="K303" s="257"/>
      <c r="L303" s="256"/>
      <c r="M303" s="257"/>
      <c r="N303" s="256"/>
      <c r="O303" s="257"/>
      <c r="P303" s="256"/>
      <c r="Q303" s="257"/>
      <c r="R303" s="256"/>
      <c r="S303" s="257"/>
      <c r="T303" s="256"/>
      <c r="U303" s="257"/>
      <c r="V303" s="256"/>
      <c r="W303" s="257"/>
      <c r="X303" s="256"/>
    </row>
    <row r="304" spans="1:24" ht="12.75">
      <c r="A304" s="255"/>
      <c r="B304" s="256"/>
      <c r="C304" s="257"/>
      <c r="D304" s="256"/>
      <c r="E304" s="257"/>
      <c r="F304" s="256"/>
      <c r="G304" s="257"/>
      <c r="H304" s="256"/>
      <c r="I304" s="257"/>
      <c r="J304" s="256"/>
      <c r="K304" s="257"/>
      <c r="L304" s="256"/>
      <c r="M304" s="257"/>
      <c r="N304" s="256"/>
      <c r="O304" s="257"/>
      <c r="P304" s="256"/>
      <c r="Q304" s="257"/>
      <c r="R304" s="256"/>
      <c r="S304" s="257"/>
      <c r="T304" s="256"/>
      <c r="U304" s="257"/>
      <c r="V304" s="256"/>
      <c r="W304" s="257"/>
      <c r="X304" s="256"/>
    </row>
    <row r="305" spans="1:24" ht="12.75">
      <c r="A305" s="255"/>
      <c r="B305" s="256"/>
      <c r="C305" s="257"/>
      <c r="D305" s="256"/>
      <c r="E305" s="257"/>
      <c r="F305" s="256"/>
      <c r="G305" s="257"/>
      <c r="H305" s="256"/>
      <c r="I305" s="257"/>
      <c r="J305" s="256"/>
      <c r="K305" s="257"/>
      <c r="L305" s="256"/>
      <c r="M305" s="257"/>
      <c r="N305" s="256"/>
      <c r="O305" s="257"/>
      <c r="P305" s="256"/>
      <c r="Q305" s="257"/>
      <c r="R305" s="256"/>
      <c r="S305" s="257"/>
      <c r="T305" s="256"/>
      <c r="U305" s="257"/>
      <c r="V305" s="256"/>
      <c r="W305" s="257"/>
      <c r="X305" s="256"/>
    </row>
    <row r="306" spans="1:24" ht="12.75">
      <c r="A306" s="255"/>
      <c r="B306" s="256"/>
      <c r="C306" s="257"/>
      <c r="D306" s="256"/>
      <c r="E306" s="257"/>
      <c r="F306" s="256"/>
      <c r="G306" s="257"/>
      <c r="H306" s="256"/>
      <c r="I306" s="257"/>
      <c r="J306" s="256"/>
      <c r="K306" s="257"/>
      <c r="L306" s="256"/>
      <c r="M306" s="257"/>
      <c r="N306" s="256"/>
      <c r="O306" s="257"/>
      <c r="P306" s="256"/>
      <c r="Q306" s="257"/>
      <c r="R306" s="256"/>
      <c r="S306" s="257"/>
      <c r="T306" s="256"/>
      <c r="U306" s="257"/>
      <c r="V306" s="256"/>
      <c r="W306" s="257"/>
      <c r="X306" s="256"/>
    </row>
    <row r="307" spans="1:24" ht="12.75">
      <c r="A307" s="255"/>
      <c r="B307" s="256"/>
      <c r="C307" s="257"/>
      <c r="D307" s="256"/>
      <c r="E307" s="257"/>
      <c r="F307" s="256"/>
      <c r="G307" s="257"/>
      <c r="H307" s="256"/>
      <c r="I307" s="257"/>
      <c r="J307" s="256"/>
      <c r="K307" s="257"/>
      <c r="L307" s="256"/>
      <c r="M307" s="257"/>
      <c r="N307" s="256"/>
      <c r="O307" s="257"/>
      <c r="P307" s="256"/>
      <c r="Q307" s="257"/>
      <c r="R307" s="256"/>
      <c r="S307" s="257"/>
      <c r="T307" s="256"/>
      <c r="U307" s="257"/>
      <c r="V307" s="256"/>
      <c r="W307" s="257"/>
      <c r="X307" s="256"/>
    </row>
    <row r="308" spans="1:24" ht="12.75">
      <c r="A308" s="255"/>
      <c r="B308" s="256"/>
      <c r="C308" s="257"/>
      <c r="D308" s="256"/>
      <c r="E308" s="257"/>
      <c r="F308" s="256"/>
      <c r="G308" s="257"/>
      <c r="H308" s="256"/>
      <c r="I308" s="257"/>
      <c r="J308" s="256"/>
      <c r="K308" s="257"/>
      <c r="L308" s="256"/>
      <c r="M308" s="257"/>
      <c r="N308" s="256"/>
      <c r="O308" s="257"/>
      <c r="P308" s="256"/>
      <c r="Q308" s="257"/>
      <c r="R308" s="256"/>
      <c r="S308" s="257"/>
      <c r="T308" s="256"/>
      <c r="U308" s="257"/>
      <c r="V308" s="256"/>
      <c r="W308" s="257"/>
      <c r="X308" s="256"/>
    </row>
    <row r="309" spans="1:24" ht="12.75">
      <c r="A309" s="255"/>
      <c r="B309" s="256"/>
      <c r="C309" s="257"/>
      <c r="D309" s="256"/>
      <c r="E309" s="257"/>
      <c r="F309" s="256"/>
      <c r="G309" s="257"/>
      <c r="H309" s="256"/>
      <c r="I309" s="257"/>
      <c r="J309" s="256"/>
      <c r="K309" s="257"/>
      <c r="L309" s="256"/>
      <c r="M309" s="257"/>
      <c r="N309" s="256"/>
      <c r="O309" s="257"/>
      <c r="P309" s="256"/>
      <c r="Q309" s="257"/>
      <c r="R309" s="256"/>
      <c r="S309" s="257"/>
      <c r="T309" s="256"/>
      <c r="U309" s="257"/>
      <c r="V309" s="256"/>
      <c r="W309" s="257"/>
      <c r="X309" s="256"/>
    </row>
    <row r="310" spans="1:24" ht="12.75">
      <c r="A310" s="255"/>
      <c r="B310" s="256"/>
      <c r="C310" s="257"/>
      <c r="D310" s="256"/>
      <c r="E310" s="257"/>
      <c r="F310" s="256"/>
      <c r="G310" s="257"/>
      <c r="H310" s="256"/>
      <c r="I310" s="257"/>
      <c r="J310" s="256"/>
      <c r="K310" s="257"/>
      <c r="L310" s="256"/>
      <c r="M310" s="257"/>
      <c r="N310" s="256"/>
      <c r="O310" s="257"/>
      <c r="P310" s="256"/>
      <c r="Q310" s="257"/>
      <c r="R310" s="256"/>
      <c r="S310" s="257"/>
      <c r="T310" s="256"/>
      <c r="U310" s="257"/>
      <c r="V310" s="256"/>
      <c r="W310" s="257"/>
      <c r="X310" s="256"/>
    </row>
    <row r="311" spans="1:24" ht="12.75">
      <c r="A311" s="255"/>
      <c r="B311" s="256"/>
      <c r="C311" s="257"/>
      <c r="D311" s="256"/>
      <c r="E311" s="257"/>
      <c r="F311" s="256"/>
      <c r="G311" s="257"/>
      <c r="H311" s="256"/>
      <c r="I311" s="257"/>
      <c r="J311" s="256"/>
      <c r="K311" s="257"/>
      <c r="L311" s="256"/>
      <c r="M311" s="257"/>
      <c r="N311" s="256"/>
      <c r="O311" s="257"/>
      <c r="P311" s="256"/>
      <c r="Q311" s="257"/>
      <c r="R311" s="256"/>
      <c r="S311" s="257"/>
      <c r="T311" s="256"/>
      <c r="U311" s="257"/>
      <c r="V311" s="256"/>
      <c r="W311" s="257"/>
      <c r="X311" s="256"/>
    </row>
    <row r="312" spans="1:24" ht="12.75">
      <c r="A312" s="255"/>
      <c r="B312" s="256"/>
      <c r="C312" s="257"/>
      <c r="D312" s="256"/>
      <c r="E312" s="257"/>
      <c r="F312" s="256"/>
      <c r="G312" s="257"/>
      <c r="H312" s="256"/>
      <c r="I312" s="257"/>
      <c r="J312" s="256"/>
      <c r="K312" s="257"/>
      <c r="L312" s="256"/>
      <c r="M312" s="257"/>
      <c r="N312" s="256"/>
      <c r="O312" s="257"/>
      <c r="P312" s="256"/>
      <c r="Q312" s="257"/>
      <c r="R312" s="256"/>
      <c r="S312" s="257"/>
      <c r="T312" s="256"/>
      <c r="U312" s="257"/>
      <c r="V312" s="256"/>
      <c r="W312" s="257"/>
      <c r="X312" s="256"/>
    </row>
    <row r="313" spans="1:24" ht="12.75">
      <c r="A313" s="255"/>
      <c r="B313" s="256"/>
      <c r="C313" s="257"/>
      <c r="D313" s="256"/>
      <c r="E313" s="257"/>
      <c r="F313" s="256"/>
      <c r="G313" s="257"/>
      <c r="H313" s="256"/>
      <c r="I313" s="257"/>
      <c r="J313" s="256"/>
      <c r="K313" s="257"/>
      <c r="L313" s="256"/>
      <c r="M313" s="257"/>
      <c r="N313" s="256"/>
      <c r="O313" s="257"/>
      <c r="P313" s="256"/>
      <c r="Q313" s="257"/>
      <c r="R313" s="256"/>
      <c r="S313" s="257"/>
      <c r="T313" s="256"/>
      <c r="U313" s="257"/>
      <c r="V313" s="256"/>
      <c r="W313" s="257"/>
      <c r="X313" s="256"/>
    </row>
    <row r="314" spans="1:24" ht="12.75">
      <c r="A314" s="255"/>
      <c r="B314" s="256"/>
      <c r="C314" s="257"/>
      <c r="D314" s="256"/>
      <c r="E314" s="257"/>
      <c r="F314" s="256"/>
      <c r="G314" s="257"/>
      <c r="H314" s="256"/>
      <c r="I314" s="257"/>
      <c r="J314" s="256"/>
      <c r="K314" s="257"/>
      <c r="L314" s="256"/>
      <c r="M314" s="257"/>
      <c r="N314" s="256"/>
      <c r="O314" s="257"/>
      <c r="P314" s="256"/>
      <c r="Q314" s="257"/>
      <c r="R314" s="256"/>
      <c r="S314" s="257"/>
      <c r="T314" s="256"/>
      <c r="U314" s="257"/>
      <c r="V314" s="256"/>
      <c r="W314" s="257"/>
      <c r="X314" s="256"/>
    </row>
    <row r="315" spans="1:24" ht="12.75">
      <c r="A315" s="255"/>
      <c r="B315" s="256"/>
      <c r="C315" s="257"/>
      <c r="D315" s="256"/>
      <c r="E315" s="257"/>
      <c r="F315" s="256"/>
      <c r="G315" s="257"/>
      <c r="H315" s="256"/>
      <c r="I315" s="257"/>
      <c r="J315" s="256"/>
      <c r="K315" s="257"/>
      <c r="L315" s="256"/>
      <c r="M315" s="257"/>
      <c r="N315" s="256"/>
      <c r="O315" s="257"/>
      <c r="P315" s="256"/>
      <c r="Q315" s="257"/>
      <c r="R315" s="256"/>
      <c r="S315" s="257"/>
      <c r="T315" s="256"/>
      <c r="U315" s="257"/>
      <c r="V315" s="256"/>
      <c r="W315" s="257"/>
      <c r="X315" s="256"/>
    </row>
    <row r="316" spans="1:24" ht="12.75">
      <c r="A316" s="255"/>
      <c r="B316" s="256"/>
      <c r="C316" s="257"/>
      <c r="D316" s="256"/>
      <c r="E316" s="257"/>
      <c r="F316" s="256"/>
      <c r="G316" s="257"/>
      <c r="H316" s="256"/>
      <c r="I316" s="257"/>
      <c r="J316" s="256"/>
      <c r="K316" s="257"/>
      <c r="L316" s="256"/>
      <c r="M316" s="257"/>
      <c r="N316" s="256"/>
      <c r="O316" s="257"/>
      <c r="P316" s="256"/>
      <c r="Q316" s="257"/>
      <c r="R316" s="256"/>
      <c r="S316" s="257"/>
      <c r="T316" s="256"/>
      <c r="U316" s="257"/>
      <c r="V316" s="256"/>
      <c r="W316" s="257"/>
      <c r="X316" s="256"/>
    </row>
    <row r="317" spans="1:24" ht="12.75">
      <c r="A317" s="255"/>
      <c r="B317" s="256"/>
      <c r="C317" s="257"/>
      <c r="D317" s="256"/>
      <c r="E317" s="257"/>
      <c r="F317" s="256"/>
      <c r="G317" s="257"/>
      <c r="H317" s="256"/>
      <c r="I317" s="257"/>
      <c r="J317" s="256"/>
      <c r="K317" s="257"/>
      <c r="L317" s="256"/>
      <c r="M317" s="257"/>
      <c r="N317" s="256"/>
      <c r="O317" s="257"/>
      <c r="P317" s="256"/>
      <c r="Q317" s="257"/>
      <c r="R317" s="256"/>
      <c r="S317" s="257"/>
      <c r="T317" s="256"/>
      <c r="U317" s="257"/>
      <c r="V317" s="256"/>
      <c r="W317" s="257"/>
      <c r="X317" s="256"/>
    </row>
    <row r="318" spans="1:24" ht="12.75">
      <c r="A318" s="255"/>
      <c r="B318" s="256"/>
      <c r="C318" s="257"/>
      <c r="D318" s="256"/>
      <c r="E318" s="257"/>
      <c r="F318" s="256"/>
      <c r="G318" s="257"/>
      <c r="H318" s="256"/>
      <c r="I318" s="257"/>
      <c r="J318" s="256"/>
      <c r="K318" s="257"/>
      <c r="L318" s="256"/>
      <c r="M318" s="257"/>
      <c r="N318" s="256"/>
      <c r="O318" s="257"/>
      <c r="P318" s="256"/>
      <c r="Q318" s="257"/>
      <c r="R318" s="256"/>
      <c r="S318" s="257"/>
      <c r="T318" s="256"/>
      <c r="U318" s="257"/>
      <c r="V318" s="256"/>
      <c r="W318" s="257"/>
      <c r="X318" s="256"/>
    </row>
    <row r="319" spans="1:24" ht="12.75">
      <c r="A319" s="255"/>
      <c r="B319" s="256"/>
      <c r="C319" s="257"/>
      <c r="D319" s="256"/>
      <c r="E319" s="257"/>
      <c r="F319" s="256"/>
      <c r="G319" s="257"/>
      <c r="H319" s="256"/>
      <c r="I319" s="257"/>
      <c r="J319" s="256"/>
      <c r="K319" s="257"/>
      <c r="L319" s="256"/>
      <c r="M319" s="257"/>
      <c r="N319" s="256"/>
      <c r="O319" s="257"/>
      <c r="P319" s="256"/>
      <c r="Q319" s="257"/>
      <c r="R319" s="256"/>
      <c r="S319" s="257"/>
      <c r="T319" s="256"/>
      <c r="U319" s="257"/>
      <c r="V319" s="256"/>
      <c r="W319" s="257"/>
      <c r="X319" s="256"/>
    </row>
    <row r="320" spans="1:24" ht="12.75">
      <c r="A320" s="255"/>
      <c r="B320" s="256"/>
      <c r="C320" s="257"/>
      <c r="D320" s="256"/>
      <c r="E320" s="257"/>
      <c r="F320" s="256"/>
      <c r="G320" s="257"/>
      <c r="H320" s="256"/>
      <c r="I320" s="257"/>
      <c r="J320" s="256"/>
      <c r="K320" s="257"/>
      <c r="L320" s="256"/>
      <c r="M320" s="257"/>
      <c r="N320" s="256"/>
      <c r="O320" s="257"/>
      <c r="P320" s="256"/>
      <c r="Q320" s="257"/>
      <c r="R320" s="256"/>
      <c r="S320" s="257"/>
      <c r="T320" s="256"/>
      <c r="U320" s="257"/>
      <c r="V320" s="256"/>
      <c r="W320" s="257"/>
      <c r="X320" s="256"/>
    </row>
    <row r="321" spans="1:24" ht="12.75">
      <c r="A321" s="255"/>
      <c r="B321" s="256"/>
      <c r="C321" s="257"/>
      <c r="D321" s="256"/>
      <c r="E321" s="257"/>
      <c r="F321" s="256"/>
      <c r="G321" s="257"/>
      <c r="H321" s="256"/>
      <c r="I321" s="257"/>
      <c r="J321" s="256"/>
      <c r="K321" s="257"/>
      <c r="L321" s="256"/>
      <c r="M321" s="257"/>
      <c r="N321" s="256"/>
      <c r="O321" s="257"/>
      <c r="P321" s="256"/>
      <c r="Q321" s="257"/>
      <c r="R321" s="256"/>
      <c r="S321" s="257"/>
      <c r="T321" s="256"/>
      <c r="U321" s="257"/>
      <c r="V321" s="256"/>
      <c r="W321" s="257"/>
      <c r="X321" s="256"/>
    </row>
    <row r="322" spans="1:24" ht="12.75">
      <c r="A322" s="255"/>
      <c r="B322" s="256"/>
      <c r="C322" s="257"/>
      <c r="D322" s="256"/>
      <c r="E322" s="257"/>
      <c r="F322" s="256"/>
      <c r="G322" s="257"/>
      <c r="H322" s="256"/>
      <c r="I322" s="257"/>
      <c r="J322" s="256"/>
      <c r="K322" s="257"/>
      <c r="L322" s="256"/>
      <c r="M322" s="257"/>
      <c r="N322" s="256"/>
      <c r="O322" s="257"/>
      <c r="P322" s="256"/>
      <c r="Q322" s="257"/>
      <c r="R322" s="256"/>
      <c r="S322" s="257"/>
      <c r="T322" s="256"/>
      <c r="U322" s="257"/>
      <c r="V322" s="256"/>
      <c r="W322" s="257"/>
      <c r="X322" s="256"/>
    </row>
    <row r="323" spans="1:24" ht="12.75">
      <c r="A323" s="255"/>
      <c r="B323" s="256"/>
      <c r="C323" s="257"/>
      <c r="D323" s="256"/>
      <c r="E323" s="257"/>
      <c r="F323" s="256"/>
      <c r="G323" s="257"/>
      <c r="H323" s="256"/>
      <c r="I323" s="257"/>
      <c r="J323" s="256"/>
      <c r="K323" s="257"/>
      <c r="L323" s="256"/>
      <c r="M323" s="257"/>
      <c r="N323" s="256"/>
      <c r="O323" s="257"/>
      <c r="P323" s="256"/>
      <c r="Q323" s="257"/>
      <c r="R323" s="256"/>
      <c r="S323" s="257"/>
      <c r="T323" s="256"/>
      <c r="U323" s="257"/>
      <c r="V323" s="256"/>
      <c r="W323" s="257"/>
      <c r="X323" s="256"/>
    </row>
    <row r="324" spans="1:24" ht="12.75">
      <c r="A324" s="255"/>
      <c r="B324" s="256"/>
      <c r="C324" s="257"/>
      <c r="D324" s="256"/>
      <c r="E324" s="257"/>
      <c r="F324" s="256"/>
      <c r="G324" s="257"/>
      <c r="H324" s="256"/>
      <c r="I324" s="257"/>
      <c r="J324" s="256"/>
      <c r="K324" s="257"/>
      <c r="L324" s="256"/>
      <c r="M324" s="257"/>
      <c r="N324" s="256"/>
      <c r="O324" s="257"/>
      <c r="P324" s="256"/>
      <c r="Q324" s="257"/>
      <c r="R324" s="256"/>
      <c r="S324" s="257"/>
      <c r="T324" s="256"/>
      <c r="U324" s="257"/>
      <c r="V324" s="256"/>
      <c r="W324" s="257"/>
      <c r="X324" s="256"/>
    </row>
    <row r="325" spans="1:24" ht="12.75">
      <c r="A325" s="255"/>
      <c r="B325" s="256"/>
      <c r="C325" s="257"/>
      <c r="D325" s="256"/>
      <c r="E325" s="257"/>
      <c r="F325" s="256"/>
      <c r="G325" s="257"/>
      <c r="H325" s="256"/>
      <c r="I325" s="257"/>
      <c r="J325" s="256"/>
      <c r="K325" s="257"/>
      <c r="L325" s="256"/>
      <c r="M325" s="257"/>
      <c r="N325" s="256"/>
      <c r="O325" s="257"/>
      <c r="P325" s="256"/>
      <c r="Q325" s="257"/>
      <c r="R325" s="256"/>
      <c r="S325" s="257"/>
      <c r="T325" s="256"/>
      <c r="U325" s="257"/>
      <c r="V325" s="256"/>
      <c r="W325" s="257"/>
      <c r="X325" s="256"/>
    </row>
    <row r="326" spans="1:24" ht="12.75">
      <c r="A326" s="255"/>
      <c r="B326" s="256"/>
      <c r="C326" s="257"/>
      <c r="D326" s="256"/>
      <c r="E326" s="257"/>
      <c r="F326" s="256"/>
      <c r="G326" s="257"/>
      <c r="H326" s="256"/>
      <c r="I326" s="257"/>
      <c r="J326" s="256"/>
      <c r="K326" s="257"/>
      <c r="L326" s="256"/>
      <c r="M326" s="257"/>
      <c r="N326" s="256"/>
      <c r="O326" s="257"/>
      <c r="P326" s="256"/>
      <c r="Q326" s="257"/>
      <c r="R326" s="256"/>
      <c r="S326" s="257"/>
      <c r="T326" s="256"/>
      <c r="U326" s="257"/>
      <c r="V326" s="256"/>
      <c r="W326" s="257"/>
      <c r="X326" s="256"/>
    </row>
    <row r="327" spans="1:24" ht="12.75">
      <c r="A327" s="255"/>
      <c r="B327" s="256"/>
      <c r="C327" s="257"/>
      <c r="D327" s="256"/>
      <c r="E327" s="257"/>
      <c r="F327" s="256"/>
      <c r="G327" s="257"/>
      <c r="H327" s="256"/>
      <c r="I327" s="257"/>
      <c r="J327" s="256"/>
      <c r="K327" s="257"/>
      <c r="L327" s="256"/>
      <c r="M327" s="257"/>
      <c r="N327" s="256"/>
      <c r="O327" s="257"/>
      <c r="P327" s="256"/>
      <c r="Q327" s="257"/>
      <c r="R327" s="256"/>
      <c r="S327" s="257"/>
      <c r="T327" s="256"/>
      <c r="U327" s="257"/>
      <c r="V327" s="256"/>
      <c r="W327" s="257"/>
      <c r="X327" s="256"/>
    </row>
    <row r="328" spans="1:24" ht="12.75">
      <c r="A328" s="255"/>
      <c r="B328" s="256"/>
      <c r="C328" s="257"/>
      <c r="D328" s="256"/>
      <c r="E328" s="257"/>
      <c r="F328" s="256"/>
      <c r="G328" s="257"/>
      <c r="H328" s="256"/>
      <c r="I328" s="257"/>
      <c r="J328" s="256"/>
      <c r="K328" s="257"/>
      <c r="L328" s="256"/>
      <c r="M328" s="257"/>
      <c r="N328" s="256"/>
      <c r="O328" s="257"/>
      <c r="P328" s="256"/>
      <c r="Q328" s="257"/>
      <c r="R328" s="256"/>
      <c r="S328" s="257"/>
      <c r="T328" s="256"/>
      <c r="U328" s="257"/>
      <c r="V328" s="256"/>
      <c r="W328" s="257"/>
      <c r="X328" s="256"/>
    </row>
    <row r="329" spans="1:24" ht="12.75">
      <c r="A329" s="255"/>
      <c r="B329" s="256"/>
      <c r="C329" s="257"/>
      <c r="D329" s="256"/>
      <c r="E329" s="257"/>
      <c r="F329" s="256"/>
      <c r="G329" s="257"/>
      <c r="H329" s="256"/>
      <c r="I329" s="257"/>
      <c r="J329" s="256"/>
      <c r="K329" s="257"/>
      <c r="L329" s="256"/>
      <c r="M329" s="257"/>
      <c r="N329" s="256"/>
      <c r="O329" s="257"/>
      <c r="P329" s="256"/>
      <c r="Q329" s="257"/>
      <c r="R329" s="256"/>
      <c r="S329" s="257"/>
      <c r="T329" s="256"/>
      <c r="U329" s="257"/>
      <c r="V329" s="256"/>
      <c r="W329" s="257"/>
      <c r="X329" s="256"/>
    </row>
    <row r="330" spans="1:24" ht="12.75">
      <c r="A330" s="255"/>
      <c r="B330" s="256"/>
      <c r="C330" s="257"/>
      <c r="D330" s="256"/>
      <c r="E330" s="257"/>
      <c r="F330" s="256"/>
      <c r="G330" s="257"/>
      <c r="H330" s="256"/>
      <c r="I330" s="257"/>
      <c r="J330" s="256"/>
      <c r="K330" s="257"/>
      <c r="L330" s="256"/>
      <c r="M330" s="257"/>
      <c r="N330" s="256"/>
      <c r="O330" s="257"/>
      <c r="P330" s="256"/>
      <c r="Q330" s="257"/>
      <c r="R330" s="256"/>
      <c r="S330" s="257"/>
      <c r="T330" s="256"/>
      <c r="U330" s="257"/>
      <c r="V330" s="256"/>
      <c r="W330" s="257"/>
      <c r="X330" s="256"/>
    </row>
    <row r="331" spans="1:24" ht="12.75">
      <c r="A331" s="255"/>
      <c r="B331" s="256"/>
      <c r="C331" s="257"/>
      <c r="D331" s="256"/>
      <c r="E331" s="257"/>
      <c r="F331" s="256"/>
      <c r="G331" s="257"/>
      <c r="H331" s="256"/>
      <c r="I331" s="257"/>
      <c r="J331" s="256"/>
      <c r="K331" s="257"/>
      <c r="L331" s="256"/>
      <c r="M331" s="257"/>
      <c r="N331" s="256"/>
      <c r="O331" s="257"/>
      <c r="P331" s="256"/>
      <c r="Q331" s="257"/>
      <c r="R331" s="256"/>
      <c r="S331" s="257"/>
      <c r="T331" s="256"/>
      <c r="U331" s="257"/>
      <c r="V331" s="256"/>
      <c r="W331" s="257"/>
      <c r="X331" s="256"/>
    </row>
    <row r="332" spans="1:24" ht="12.75">
      <c r="A332" s="255"/>
      <c r="B332" s="256"/>
      <c r="C332" s="257"/>
      <c r="D332" s="256"/>
      <c r="E332" s="257"/>
      <c r="F332" s="256"/>
      <c r="G332" s="257"/>
      <c r="H332" s="256"/>
      <c r="I332" s="257"/>
      <c r="J332" s="256"/>
      <c r="K332" s="257"/>
      <c r="L332" s="256"/>
      <c r="M332" s="257"/>
      <c r="N332" s="256"/>
      <c r="O332" s="257"/>
      <c r="P332" s="256"/>
      <c r="Q332" s="257"/>
      <c r="R332" s="256"/>
      <c r="S332" s="257"/>
      <c r="T332" s="256"/>
      <c r="U332" s="257"/>
      <c r="V332" s="256"/>
      <c r="W332" s="257"/>
      <c r="X332" s="256"/>
    </row>
    <row r="333" spans="1:24" ht="12.75">
      <c r="A333" s="255"/>
      <c r="B333" s="256"/>
      <c r="C333" s="257"/>
      <c r="D333" s="256"/>
      <c r="E333" s="257"/>
      <c r="F333" s="256"/>
      <c r="G333" s="257"/>
      <c r="H333" s="256"/>
      <c r="I333" s="257"/>
      <c r="J333" s="256"/>
      <c r="K333" s="257"/>
      <c r="L333" s="256"/>
      <c r="M333" s="257"/>
      <c r="N333" s="256"/>
      <c r="O333" s="257"/>
      <c r="P333" s="256"/>
      <c r="Q333" s="257"/>
      <c r="R333" s="256"/>
      <c r="S333" s="257"/>
      <c r="T333" s="256"/>
      <c r="U333" s="257"/>
      <c r="V333" s="256"/>
      <c r="W333" s="257"/>
      <c r="X333" s="256"/>
    </row>
    <row r="334" spans="1:24" ht="12.75">
      <c r="A334" s="255"/>
      <c r="B334" s="256"/>
      <c r="C334" s="257"/>
      <c r="D334" s="256"/>
      <c r="E334" s="257"/>
      <c r="F334" s="256"/>
      <c r="G334" s="257"/>
      <c r="H334" s="256"/>
      <c r="I334" s="257"/>
      <c r="J334" s="256"/>
      <c r="K334" s="257"/>
      <c r="L334" s="256"/>
      <c r="M334" s="257"/>
      <c r="N334" s="256"/>
      <c r="O334" s="257"/>
      <c r="P334" s="256"/>
      <c r="Q334" s="257"/>
      <c r="R334" s="256"/>
      <c r="S334" s="257"/>
      <c r="T334" s="256"/>
      <c r="U334" s="257"/>
      <c r="V334" s="256"/>
      <c r="W334" s="257"/>
      <c r="X334" s="256"/>
    </row>
    <row r="335" spans="1:24" ht="12.75">
      <c r="A335" s="255"/>
      <c r="B335" s="256"/>
      <c r="C335" s="257"/>
      <c r="D335" s="256"/>
      <c r="E335" s="257"/>
      <c r="F335" s="256"/>
      <c r="G335" s="257"/>
      <c r="H335" s="256"/>
      <c r="I335" s="257"/>
      <c r="J335" s="256"/>
      <c r="K335" s="257"/>
      <c r="L335" s="256"/>
      <c r="M335" s="257"/>
      <c r="N335" s="256"/>
      <c r="O335" s="257"/>
      <c r="P335" s="256"/>
      <c r="Q335" s="257"/>
      <c r="R335" s="256"/>
      <c r="S335" s="257"/>
      <c r="T335" s="256"/>
      <c r="U335" s="257"/>
      <c r="V335" s="256"/>
      <c r="W335" s="257"/>
      <c r="X335" s="256"/>
    </row>
    <row r="336" spans="1:24" ht="12.75">
      <c r="A336" s="255"/>
      <c r="B336" s="256"/>
      <c r="C336" s="257"/>
      <c r="D336" s="256"/>
      <c r="E336" s="257"/>
      <c r="F336" s="256"/>
      <c r="G336" s="257"/>
      <c r="H336" s="256"/>
      <c r="I336" s="257"/>
      <c r="J336" s="256"/>
      <c r="K336" s="257"/>
      <c r="L336" s="256"/>
      <c r="M336" s="257"/>
      <c r="N336" s="256"/>
      <c r="O336" s="257"/>
      <c r="P336" s="256"/>
      <c r="Q336" s="257"/>
      <c r="R336" s="256"/>
      <c r="S336" s="257"/>
      <c r="T336" s="256"/>
      <c r="U336" s="257"/>
      <c r="V336" s="256"/>
      <c r="W336" s="257"/>
      <c r="X336" s="256"/>
    </row>
    <row r="337" spans="1:24" ht="12.75">
      <c r="A337" s="255"/>
      <c r="B337" s="256"/>
      <c r="C337" s="257"/>
      <c r="D337" s="256"/>
      <c r="E337" s="257"/>
      <c r="F337" s="256"/>
      <c r="G337" s="257"/>
      <c r="H337" s="256"/>
      <c r="I337" s="257"/>
      <c r="J337" s="256"/>
      <c r="K337" s="257"/>
      <c r="L337" s="256"/>
      <c r="M337" s="257"/>
      <c r="N337" s="256"/>
      <c r="O337" s="257"/>
      <c r="P337" s="256"/>
      <c r="Q337" s="257"/>
      <c r="R337" s="256"/>
      <c r="S337" s="257"/>
      <c r="T337" s="256"/>
      <c r="U337" s="257"/>
      <c r="V337" s="256"/>
      <c r="W337" s="257"/>
      <c r="X337" s="256"/>
    </row>
    <row r="338" spans="1:24" ht="12.75">
      <c r="A338" s="255"/>
      <c r="B338" s="256"/>
      <c r="C338" s="257"/>
      <c r="D338" s="256"/>
      <c r="E338" s="257"/>
      <c r="F338" s="256"/>
      <c r="G338" s="257"/>
      <c r="H338" s="256"/>
      <c r="I338" s="257"/>
      <c r="J338" s="256"/>
      <c r="K338" s="257"/>
      <c r="L338" s="256"/>
      <c r="M338" s="257"/>
      <c r="N338" s="256"/>
      <c r="O338" s="257"/>
      <c r="P338" s="256"/>
      <c r="Q338" s="257"/>
      <c r="R338" s="256"/>
      <c r="S338" s="257"/>
      <c r="T338" s="256"/>
      <c r="U338" s="257"/>
      <c r="V338" s="256"/>
      <c r="W338" s="257"/>
      <c r="X338" s="256"/>
    </row>
    <row r="339" spans="1:24" ht="12.75">
      <c r="A339" s="255"/>
      <c r="B339" s="256"/>
      <c r="C339" s="257"/>
      <c r="D339" s="256"/>
      <c r="E339" s="257"/>
      <c r="F339" s="256"/>
      <c r="G339" s="257"/>
      <c r="H339" s="256"/>
      <c r="I339" s="257"/>
      <c r="J339" s="256"/>
      <c r="K339" s="257"/>
      <c r="L339" s="256"/>
      <c r="M339" s="257"/>
      <c r="N339" s="256"/>
      <c r="O339" s="257"/>
      <c r="P339" s="256"/>
      <c r="Q339" s="257"/>
      <c r="R339" s="256"/>
      <c r="S339" s="257"/>
      <c r="T339" s="256"/>
      <c r="U339" s="257"/>
      <c r="V339" s="256"/>
      <c r="W339" s="257"/>
      <c r="X339" s="256"/>
    </row>
    <row r="340" spans="1:24" ht="12.75">
      <c r="A340" s="255"/>
      <c r="B340" s="256"/>
      <c r="C340" s="257"/>
      <c r="D340" s="256"/>
      <c r="E340" s="257"/>
      <c r="F340" s="256"/>
      <c r="G340" s="257"/>
      <c r="H340" s="256"/>
      <c r="I340" s="257"/>
      <c r="J340" s="256"/>
      <c r="K340" s="257"/>
      <c r="L340" s="256"/>
      <c r="M340" s="257"/>
      <c r="N340" s="256"/>
      <c r="O340" s="257"/>
      <c r="P340" s="256"/>
      <c r="Q340" s="257"/>
      <c r="R340" s="256"/>
      <c r="S340" s="257"/>
      <c r="T340" s="256"/>
      <c r="U340" s="257"/>
      <c r="V340" s="256"/>
      <c r="W340" s="257"/>
      <c r="X340" s="256"/>
    </row>
    <row r="341" spans="1:24" ht="12.75">
      <c r="A341" s="255"/>
      <c r="B341" s="256"/>
      <c r="C341" s="257"/>
      <c r="D341" s="256"/>
      <c r="E341" s="257"/>
      <c r="F341" s="256"/>
      <c r="G341" s="257"/>
      <c r="H341" s="256"/>
      <c r="I341" s="257"/>
      <c r="J341" s="256"/>
      <c r="K341" s="257"/>
      <c r="L341" s="256"/>
      <c r="M341" s="257"/>
      <c r="N341" s="256"/>
      <c r="O341" s="257"/>
      <c r="P341" s="256"/>
      <c r="Q341" s="257"/>
      <c r="R341" s="256"/>
      <c r="S341" s="257"/>
      <c r="T341" s="256"/>
      <c r="U341" s="257"/>
      <c r="V341" s="256"/>
      <c r="W341" s="257"/>
      <c r="X341" s="256"/>
    </row>
    <row r="342" spans="1:24" ht="12.75">
      <c r="A342" s="255"/>
      <c r="B342" s="256"/>
      <c r="C342" s="257"/>
      <c r="D342" s="256"/>
      <c r="E342" s="257"/>
      <c r="F342" s="256"/>
      <c r="G342" s="257"/>
      <c r="H342" s="256"/>
      <c r="I342" s="257"/>
      <c r="J342" s="256"/>
      <c r="K342" s="257"/>
      <c r="L342" s="256"/>
      <c r="M342" s="257"/>
      <c r="N342" s="256"/>
      <c r="O342" s="257"/>
      <c r="P342" s="256"/>
      <c r="Q342" s="257"/>
      <c r="R342" s="256"/>
      <c r="S342" s="257"/>
      <c r="T342" s="256"/>
      <c r="U342" s="257"/>
      <c r="V342" s="256"/>
      <c r="W342" s="257"/>
      <c r="X342" s="256"/>
    </row>
    <row r="343" spans="1:24" ht="12.75">
      <c r="A343" s="255"/>
      <c r="B343" s="256"/>
      <c r="C343" s="257"/>
      <c r="D343" s="256"/>
      <c r="E343" s="257"/>
      <c r="F343" s="256"/>
      <c r="G343" s="257"/>
      <c r="H343" s="256"/>
      <c r="I343" s="257"/>
      <c r="J343" s="256"/>
      <c r="K343" s="257"/>
      <c r="L343" s="256"/>
      <c r="M343" s="257"/>
      <c r="N343" s="256"/>
      <c r="O343" s="257"/>
      <c r="P343" s="256"/>
      <c r="Q343" s="257"/>
      <c r="R343" s="256"/>
      <c r="S343" s="257"/>
      <c r="T343" s="256"/>
      <c r="U343" s="257"/>
      <c r="V343" s="256"/>
      <c r="W343" s="257"/>
      <c r="X343" s="256"/>
    </row>
    <row r="344" spans="1:24" ht="12.75">
      <c r="A344" s="255"/>
      <c r="B344" s="256"/>
      <c r="C344" s="257"/>
      <c r="D344" s="256"/>
      <c r="E344" s="257"/>
      <c r="F344" s="256"/>
      <c r="G344" s="257"/>
      <c r="H344" s="256"/>
      <c r="I344" s="257"/>
      <c r="J344" s="256"/>
      <c r="K344" s="257"/>
      <c r="L344" s="256"/>
      <c r="M344" s="257"/>
      <c r="N344" s="256"/>
      <c r="O344" s="257"/>
      <c r="P344" s="256"/>
      <c r="Q344" s="257"/>
      <c r="R344" s="256"/>
      <c r="S344" s="257"/>
      <c r="T344" s="256"/>
      <c r="U344" s="257"/>
      <c r="V344" s="256"/>
      <c r="W344" s="257"/>
      <c r="X344" s="256"/>
    </row>
    <row r="345" spans="1:24" ht="12.75">
      <c r="A345" s="255"/>
      <c r="B345" s="256"/>
      <c r="C345" s="257"/>
      <c r="D345" s="256"/>
      <c r="E345" s="257"/>
      <c r="F345" s="256"/>
      <c r="G345" s="257"/>
      <c r="H345" s="256"/>
      <c r="I345" s="257"/>
      <c r="J345" s="256"/>
      <c r="K345" s="257"/>
      <c r="L345" s="256"/>
      <c r="M345" s="257"/>
      <c r="N345" s="256"/>
      <c r="O345" s="257"/>
      <c r="P345" s="256"/>
      <c r="Q345" s="257"/>
      <c r="R345" s="256"/>
      <c r="S345" s="257"/>
      <c r="T345" s="256"/>
      <c r="U345" s="257"/>
      <c r="V345" s="256"/>
      <c r="W345" s="257"/>
      <c r="X345" s="256"/>
    </row>
    <row r="346" spans="1:24" ht="12.75">
      <c r="A346" s="255"/>
      <c r="B346" s="256"/>
      <c r="C346" s="257"/>
      <c r="D346" s="256"/>
      <c r="E346" s="257"/>
      <c r="F346" s="256"/>
      <c r="G346" s="257"/>
      <c r="H346" s="256"/>
      <c r="I346" s="257"/>
      <c r="J346" s="256"/>
      <c r="K346" s="257"/>
      <c r="L346" s="256"/>
      <c r="M346" s="257"/>
      <c r="N346" s="256"/>
      <c r="O346" s="257"/>
      <c r="P346" s="256"/>
      <c r="Q346" s="257"/>
      <c r="R346" s="256"/>
      <c r="S346" s="257"/>
      <c r="T346" s="256"/>
      <c r="U346" s="257"/>
      <c r="V346" s="256"/>
      <c r="W346" s="257"/>
      <c r="X346" s="256"/>
    </row>
    <row r="347" spans="1:24" ht="12.75">
      <c r="A347" s="255"/>
      <c r="B347" s="256"/>
      <c r="C347" s="257"/>
      <c r="D347" s="256"/>
      <c r="E347" s="257"/>
      <c r="F347" s="256"/>
      <c r="G347" s="257"/>
      <c r="H347" s="256"/>
      <c r="I347" s="257"/>
      <c r="J347" s="256"/>
      <c r="K347" s="257"/>
      <c r="L347" s="256"/>
      <c r="M347" s="257"/>
      <c r="N347" s="256"/>
      <c r="O347" s="257"/>
      <c r="P347" s="256"/>
      <c r="Q347" s="257"/>
      <c r="R347" s="256"/>
      <c r="S347" s="257"/>
      <c r="T347" s="256"/>
      <c r="U347" s="257"/>
      <c r="V347" s="256"/>
      <c r="W347" s="257"/>
      <c r="X347" s="256"/>
    </row>
    <row r="348" spans="1:24" ht="12.75">
      <c r="A348" s="255"/>
      <c r="B348" s="256"/>
      <c r="C348" s="257"/>
      <c r="D348" s="256"/>
      <c r="E348" s="257"/>
      <c r="F348" s="256"/>
      <c r="G348" s="257"/>
      <c r="H348" s="256"/>
      <c r="I348" s="257"/>
      <c r="J348" s="256"/>
      <c r="K348" s="257"/>
      <c r="L348" s="256"/>
      <c r="M348" s="257"/>
      <c r="N348" s="256"/>
      <c r="O348" s="257"/>
      <c r="P348" s="256"/>
      <c r="Q348" s="257"/>
      <c r="R348" s="256"/>
      <c r="S348" s="257"/>
      <c r="T348" s="256"/>
      <c r="U348" s="257"/>
      <c r="V348" s="256"/>
      <c r="W348" s="257"/>
      <c r="X348" s="256"/>
    </row>
    <row r="349" spans="1:24" ht="12.75">
      <c r="A349" s="255"/>
      <c r="B349" s="256"/>
      <c r="C349" s="257"/>
      <c r="D349" s="256"/>
      <c r="E349" s="257"/>
      <c r="F349" s="256"/>
      <c r="G349" s="257"/>
      <c r="H349" s="256"/>
      <c r="I349" s="257"/>
      <c r="J349" s="256"/>
      <c r="K349" s="257"/>
      <c r="L349" s="256"/>
      <c r="M349" s="257"/>
      <c r="N349" s="256"/>
      <c r="O349" s="257"/>
      <c r="P349" s="256"/>
      <c r="Q349" s="257"/>
      <c r="R349" s="256"/>
      <c r="S349" s="257"/>
      <c r="T349" s="256"/>
      <c r="U349" s="257"/>
      <c r="V349" s="256"/>
      <c r="W349" s="257"/>
      <c r="X349" s="256"/>
    </row>
    <row r="350" spans="1:24" ht="12.75">
      <c r="A350" s="255"/>
      <c r="B350" s="256"/>
      <c r="C350" s="257"/>
      <c r="D350" s="256"/>
      <c r="E350" s="257"/>
      <c r="F350" s="256"/>
      <c r="G350" s="257"/>
      <c r="H350" s="256"/>
      <c r="I350" s="257"/>
      <c r="J350" s="256"/>
      <c r="K350" s="257"/>
      <c r="L350" s="256"/>
      <c r="M350" s="257"/>
      <c r="N350" s="256"/>
      <c r="O350" s="257"/>
      <c r="P350" s="256"/>
      <c r="Q350" s="257"/>
      <c r="R350" s="256"/>
      <c r="S350" s="257"/>
      <c r="T350" s="256"/>
      <c r="U350" s="257"/>
      <c r="V350" s="256"/>
      <c r="W350" s="257"/>
      <c r="X350" s="256"/>
    </row>
    <row r="351" spans="1:24" ht="12.75">
      <c r="A351" s="255"/>
      <c r="B351" s="256"/>
      <c r="C351" s="257"/>
      <c r="D351" s="256"/>
      <c r="E351" s="257"/>
      <c r="F351" s="256"/>
      <c r="G351" s="257"/>
      <c r="H351" s="256"/>
      <c r="I351" s="257"/>
      <c r="J351" s="256"/>
      <c r="K351" s="257"/>
      <c r="L351" s="256"/>
      <c r="M351" s="257"/>
      <c r="N351" s="256"/>
      <c r="O351" s="257"/>
      <c r="P351" s="256"/>
      <c r="Q351" s="257"/>
      <c r="R351" s="256"/>
      <c r="S351" s="257"/>
      <c r="T351" s="256"/>
      <c r="U351" s="257"/>
      <c r="V351" s="256"/>
      <c r="W351" s="257"/>
      <c r="X351" s="256"/>
    </row>
    <row r="352" spans="1:24" ht="12.75">
      <c r="A352" s="255"/>
      <c r="B352" s="256"/>
      <c r="C352" s="257"/>
      <c r="D352" s="256"/>
      <c r="E352" s="257"/>
      <c r="F352" s="256"/>
      <c r="G352" s="257"/>
      <c r="H352" s="256"/>
      <c r="I352" s="257"/>
      <c r="J352" s="256"/>
      <c r="K352" s="257"/>
      <c r="L352" s="256"/>
      <c r="M352" s="257"/>
      <c r="N352" s="256"/>
      <c r="O352" s="257"/>
      <c r="P352" s="256"/>
      <c r="Q352" s="257"/>
      <c r="R352" s="256"/>
      <c r="S352" s="257"/>
      <c r="T352" s="256"/>
      <c r="U352" s="257"/>
      <c r="V352" s="256"/>
      <c r="W352" s="257"/>
      <c r="X352" s="256"/>
    </row>
    <row r="353" spans="1:24" ht="12.75">
      <c r="A353" s="255"/>
      <c r="B353" s="256"/>
      <c r="C353" s="257"/>
      <c r="D353" s="256"/>
      <c r="E353" s="257"/>
      <c r="F353" s="256"/>
      <c r="G353" s="257"/>
      <c r="H353" s="256"/>
      <c r="I353" s="257"/>
      <c r="J353" s="256"/>
      <c r="K353" s="257"/>
      <c r="L353" s="256"/>
      <c r="M353" s="257"/>
      <c r="N353" s="256"/>
      <c r="O353" s="257"/>
      <c r="P353" s="256"/>
      <c r="Q353" s="257"/>
      <c r="R353" s="256"/>
      <c r="S353" s="257"/>
      <c r="T353" s="256"/>
      <c r="U353" s="257"/>
      <c r="V353" s="256"/>
      <c r="W353" s="257"/>
      <c r="X353" s="256"/>
    </row>
    <row r="354" spans="1:24" ht="12.75">
      <c r="A354" s="255"/>
      <c r="B354" s="256"/>
      <c r="C354" s="257"/>
      <c r="D354" s="256"/>
      <c r="E354" s="257"/>
      <c r="F354" s="256"/>
      <c r="G354" s="257"/>
      <c r="H354" s="256"/>
      <c r="I354" s="257"/>
      <c r="J354" s="256"/>
      <c r="K354" s="257"/>
      <c r="L354" s="256"/>
      <c r="M354" s="257"/>
      <c r="N354" s="256"/>
      <c r="O354" s="257"/>
      <c r="P354" s="256"/>
      <c r="Q354" s="257"/>
      <c r="R354" s="256"/>
      <c r="S354" s="257"/>
      <c r="T354" s="256"/>
      <c r="U354" s="257"/>
      <c r="V354" s="256"/>
      <c r="W354" s="257"/>
      <c r="X354" s="256"/>
    </row>
    <row r="355" spans="1:24" ht="12.75">
      <c r="A355" s="255"/>
      <c r="B355" s="256"/>
      <c r="C355" s="257"/>
      <c r="D355" s="256"/>
      <c r="E355" s="257"/>
      <c r="F355" s="256"/>
      <c r="G355" s="257"/>
      <c r="H355" s="256"/>
      <c r="I355" s="257"/>
      <c r="J355" s="256"/>
      <c r="K355" s="257"/>
      <c r="L355" s="256"/>
      <c r="M355" s="257"/>
      <c r="N355" s="256"/>
      <c r="O355" s="257"/>
      <c r="P355" s="256"/>
      <c r="Q355" s="257"/>
      <c r="R355" s="256"/>
      <c r="S355" s="257"/>
      <c r="T355" s="256"/>
      <c r="U355" s="257"/>
      <c r="V355" s="256"/>
      <c r="W355" s="257"/>
      <c r="X355" s="256"/>
    </row>
    <row r="356" spans="1:24" ht="12.75">
      <c r="A356" s="255"/>
      <c r="B356" s="256"/>
      <c r="C356" s="257"/>
      <c r="D356" s="256"/>
      <c r="E356" s="257"/>
      <c r="F356" s="256"/>
      <c r="G356" s="257"/>
      <c r="H356" s="256"/>
      <c r="I356" s="257"/>
      <c r="J356" s="256"/>
      <c r="K356" s="257"/>
      <c r="L356" s="256"/>
      <c r="M356" s="257"/>
      <c r="N356" s="256"/>
      <c r="O356" s="257"/>
      <c r="P356" s="256"/>
      <c r="Q356" s="257"/>
      <c r="R356" s="256"/>
      <c r="S356" s="257"/>
      <c r="T356" s="256"/>
      <c r="U356" s="257"/>
      <c r="V356" s="256"/>
      <c r="W356" s="257"/>
      <c r="X356" s="256"/>
    </row>
    <row r="357" spans="1:24" ht="12.75">
      <c r="A357" s="255"/>
      <c r="B357" s="256"/>
      <c r="C357" s="257"/>
      <c r="D357" s="256"/>
      <c r="E357" s="257"/>
      <c r="F357" s="256"/>
      <c r="G357" s="257"/>
      <c r="H357" s="256"/>
      <c r="I357" s="257"/>
      <c r="J357" s="256"/>
      <c r="K357" s="257"/>
      <c r="L357" s="256"/>
      <c r="M357" s="257"/>
      <c r="N357" s="256"/>
      <c r="O357" s="257"/>
      <c r="P357" s="256"/>
      <c r="Q357" s="257"/>
      <c r="R357" s="256"/>
      <c r="S357" s="257"/>
      <c r="T357" s="256"/>
      <c r="U357" s="257"/>
      <c r="V357" s="256"/>
      <c r="W357" s="257"/>
      <c r="X357" s="256"/>
    </row>
    <row r="358" spans="1:24" ht="12.75">
      <c r="A358" s="255"/>
      <c r="B358" s="256"/>
      <c r="C358" s="257"/>
      <c r="D358" s="256"/>
      <c r="E358" s="257"/>
      <c r="F358" s="256"/>
      <c r="G358" s="257"/>
      <c r="H358" s="256"/>
      <c r="I358" s="257"/>
      <c r="J358" s="256"/>
      <c r="K358" s="257"/>
      <c r="L358" s="256"/>
      <c r="M358" s="257"/>
      <c r="N358" s="256"/>
      <c r="O358" s="257"/>
      <c r="P358" s="256"/>
      <c r="Q358" s="257"/>
      <c r="R358" s="256"/>
      <c r="S358" s="257"/>
      <c r="T358" s="256"/>
      <c r="U358" s="257"/>
      <c r="V358" s="256"/>
      <c r="W358" s="257"/>
      <c r="X358" s="256"/>
    </row>
    <row r="359" spans="1:24" ht="12.75">
      <c r="A359" s="255"/>
      <c r="B359" s="256"/>
      <c r="C359" s="257"/>
      <c r="D359" s="256"/>
      <c r="E359" s="257"/>
      <c r="F359" s="256"/>
      <c r="G359" s="257"/>
      <c r="H359" s="256"/>
      <c r="I359" s="257"/>
      <c r="J359" s="256"/>
      <c r="K359" s="257"/>
      <c r="L359" s="256"/>
      <c r="M359" s="257"/>
      <c r="N359" s="256"/>
      <c r="O359" s="257"/>
      <c r="P359" s="256"/>
      <c r="Q359" s="257"/>
      <c r="R359" s="256"/>
      <c r="S359" s="257"/>
      <c r="T359" s="256"/>
      <c r="U359" s="257"/>
      <c r="V359" s="256"/>
      <c r="W359" s="257"/>
      <c r="X359" s="256"/>
    </row>
    <row r="360" spans="1:24" ht="12.75">
      <c r="A360" s="255"/>
      <c r="B360" s="256"/>
      <c r="C360" s="257"/>
      <c r="D360" s="256"/>
      <c r="E360" s="257"/>
      <c r="F360" s="256"/>
      <c r="G360" s="257"/>
      <c r="H360" s="256"/>
      <c r="I360" s="257"/>
      <c r="J360" s="256"/>
      <c r="K360" s="257"/>
      <c r="L360" s="256"/>
      <c r="M360" s="257"/>
      <c r="N360" s="256"/>
      <c r="O360" s="257"/>
      <c r="P360" s="256"/>
      <c r="Q360" s="257"/>
      <c r="R360" s="256"/>
      <c r="S360" s="257"/>
      <c r="T360" s="256"/>
      <c r="U360" s="257"/>
      <c r="V360" s="256"/>
      <c r="W360" s="257"/>
      <c r="X360" s="256"/>
    </row>
    <row r="361" spans="1:24" ht="12.75">
      <c r="A361" s="255"/>
      <c r="B361" s="256"/>
      <c r="C361" s="257"/>
      <c r="D361" s="256"/>
      <c r="E361" s="257"/>
      <c r="F361" s="256"/>
      <c r="G361" s="257"/>
      <c r="H361" s="256"/>
      <c r="I361" s="257"/>
      <c r="J361" s="256"/>
      <c r="K361" s="257"/>
      <c r="L361" s="256"/>
      <c r="M361" s="257"/>
      <c r="N361" s="256"/>
      <c r="O361" s="257"/>
      <c r="P361" s="256"/>
      <c r="Q361" s="257"/>
      <c r="R361" s="256"/>
      <c r="S361" s="257"/>
      <c r="T361" s="256"/>
      <c r="U361" s="257"/>
      <c r="V361" s="256"/>
      <c r="W361" s="257"/>
      <c r="X361" s="256"/>
    </row>
    <row r="362" spans="1:24" ht="12.75">
      <c r="A362" s="255"/>
      <c r="B362" s="256"/>
      <c r="C362" s="257"/>
      <c r="D362" s="256"/>
      <c r="E362" s="257"/>
      <c r="F362" s="256"/>
      <c r="G362" s="257"/>
      <c r="H362" s="256"/>
      <c r="I362" s="257"/>
      <c r="J362" s="256"/>
      <c r="K362" s="257"/>
      <c r="L362" s="256"/>
      <c r="M362" s="257"/>
      <c r="N362" s="256"/>
      <c r="O362" s="257"/>
      <c r="P362" s="256"/>
      <c r="Q362" s="257"/>
      <c r="R362" s="256"/>
      <c r="S362" s="257"/>
      <c r="T362" s="256"/>
      <c r="U362" s="257"/>
      <c r="V362" s="256"/>
      <c r="W362" s="257"/>
      <c r="X362" s="256"/>
    </row>
    <row r="363" spans="1:24" ht="12.75">
      <c r="A363" s="255"/>
      <c r="B363" s="256"/>
      <c r="C363" s="257"/>
      <c r="D363" s="256"/>
      <c r="E363" s="257"/>
      <c r="F363" s="256"/>
      <c r="G363" s="257"/>
      <c r="H363" s="256"/>
      <c r="I363" s="257"/>
      <c r="J363" s="256"/>
      <c r="K363" s="257"/>
      <c r="L363" s="256"/>
      <c r="M363" s="257"/>
      <c r="N363" s="256"/>
      <c r="O363" s="257"/>
      <c r="P363" s="256"/>
      <c r="Q363" s="257"/>
      <c r="R363" s="256"/>
      <c r="S363" s="257"/>
      <c r="T363" s="256"/>
      <c r="U363" s="257"/>
      <c r="V363" s="256"/>
      <c r="W363" s="257"/>
      <c r="X363" s="256"/>
    </row>
    <row r="364" spans="1:24" ht="12.75">
      <c r="A364" s="255"/>
      <c r="B364" s="256"/>
      <c r="C364" s="257"/>
      <c r="D364" s="256"/>
      <c r="E364" s="257"/>
      <c r="F364" s="256"/>
      <c r="G364" s="257"/>
      <c r="H364" s="256"/>
      <c r="I364" s="257"/>
      <c r="J364" s="256"/>
      <c r="K364" s="257"/>
      <c r="L364" s="256"/>
      <c r="M364" s="257"/>
      <c r="N364" s="256"/>
      <c r="O364" s="257"/>
      <c r="P364" s="256"/>
      <c r="Q364" s="257"/>
      <c r="R364" s="256"/>
      <c r="S364" s="257"/>
      <c r="T364" s="256"/>
      <c r="U364" s="257"/>
      <c r="V364" s="256"/>
      <c r="W364" s="257"/>
      <c r="X364" s="256"/>
    </row>
    <row r="365" spans="1:24" ht="12.75">
      <c r="A365" s="255"/>
      <c r="B365" s="256"/>
      <c r="C365" s="257"/>
      <c r="D365" s="256"/>
      <c r="E365" s="257"/>
      <c r="F365" s="256"/>
      <c r="G365" s="257"/>
      <c r="H365" s="256"/>
      <c r="I365" s="257"/>
      <c r="J365" s="256"/>
      <c r="K365" s="257"/>
      <c r="L365" s="256"/>
      <c r="M365" s="257"/>
      <c r="N365" s="256"/>
      <c r="O365" s="257"/>
      <c r="P365" s="256"/>
      <c r="Q365" s="257"/>
      <c r="R365" s="256"/>
      <c r="S365" s="257"/>
      <c r="T365" s="256"/>
      <c r="U365" s="257"/>
      <c r="V365" s="256"/>
      <c r="W365" s="257"/>
      <c r="X365" s="256"/>
    </row>
    <row r="366" spans="1:24" ht="12.75">
      <c r="A366" s="255"/>
      <c r="B366" s="256"/>
      <c r="C366" s="257"/>
      <c r="D366" s="256"/>
      <c r="E366" s="257"/>
      <c r="F366" s="256"/>
      <c r="G366" s="257"/>
      <c r="H366" s="256"/>
      <c r="I366" s="257"/>
      <c r="J366" s="256"/>
      <c r="K366" s="257"/>
      <c r="L366" s="256"/>
      <c r="M366" s="257"/>
      <c r="N366" s="256"/>
      <c r="O366" s="257"/>
      <c r="P366" s="256"/>
      <c r="Q366" s="257"/>
      <c r="R366" s="256"/>
      <c r="S366" s="257"/>
      <c r="T366" s="256"/>
      <c r="U366" s="257"/>
      <c r="V366" s="256"/>
      <c r="W366" s="257"/>
      <c r="X366" s="256"/>
    </row>
    <row r="367" spans="1:24" ht="12.75">
      <c r="A367" s="255"/>
      <c r="B367" s="256"/>
      <c r="C367" s="257"/>
      <c r="D367" s="256"/>
      <c r="E367" s="257"/>
      <c r="F367" s="256"/>
      <c r="G367" s="257"/>
      <c r="H367" s="256"/>
      <c r="I367" s="257"/>
      <c r="J367" s="256"/>
      <c r="K367" s="257"/>
      <c r="L367" s="256"/>
      <c r="M367" s="257"/>
      <c r="N367" s="256"/>
      <c r="O367" s="257"/>
      <c r="P367" s="256"/>
      <c r="Q367" s="257"/>
      <c r="R367" s="256"/>
      <c r="S367" s="257"/>
      <c r="T367" s="256"/>
      <c r="U367" s="257"/>
      <c r="V367" s="256"/>
      <c r="W367" s="257"/>
      <c r="X367" s="256"/>
    </row>
    <row r="368" spans="1:24" ht="12.75">
      <c r="A368" s="255"/>
      <c r="B368" s="256"/>
      <c r="C368" s="257"/>
      <c r="D368" s="256"/>
      <c r="E368" s="257"/>
      <c r="F368" s="256"/>
      <c r="G368" s="257"/>
      <c r="H368" s="256"/>
      <c r="I368" s="257"/>
      <c r="J368" s="256"/>
      <c r="K368" s="257"/>
      <c r="L368" s="256"/>
      <c r="M368" s="257"/>
      <c r="N368" s="256"/>
      <c r="O368" s="257"/>
      <c r="P368" s="256"/>
      <c r="Q368" s="257"/>
      <c r="R368" s="256"/>
      <c r="S368" s="257"/>
      <c r="T368" s="256"/>
      <c r="U368" s="257"/>
      <c r="V368" s="256"/>
      <c r="W368" s="257"/>
      <c r="X368" s="256"/>
    </row>
    <row r="369" spans="1:24" ht="12.75">
      <c r="A369" s="255"/>
      <c r="B369" s="256"/>
      <c r="C369" s="257"/>
      <c r="D369" s="256"/>
      <c r="E369" s="257"/>
      <c r="F369" s="256"/>
      <c r="G369" s="257"/>
      <c r="H369" s="256"/>
      <c r="I369" s="257"/>
      <c r="J369" s="256"/>
      <c r="K369" s="257"/>
      <c r="L369" s="256"/>
      <c r="M369" s="257"/>
      <c r="N369" s="256"/>
      <c r="O369" s="257"/>
      <c r="P369" s="256"/>
      <c r="Q369" s="257"/>
      <c r="R369" s="256"/>
      <c r="S369" s="257"/>
      <c r="T369" s="256"/>
      <c r="U369" s="257"/>
      <c r="V369" s="256"/>
      <c r="W369" s="257"/>
      <c r="X369" s="256"/>
    </row>
    <row r="370" spans="1:24" ht="12.75">
      <c r="A370" s="255"/>
      <c r="B370" s="256"/>
      <c r="C370" s="257"/>
      <c r="D370" s="256"/>
      <c r="E370" s="257"/>
      <c r="F370" s="256"/>
      <c r="G370" s="257"/>
      <c r="H370" s="256"/>
      <c r="I370" s="257"/>
      <c r="J370" s="256"/>
      <c r="K370" s="257"/>
      <c r="L370" s="256"/>
      <c r="M370" s="257"/>
      <c r="N370" s="256"/>
      <c r="O370" s="257"/>
      <c r="P370" s="256"/>
      <c r="Q370" s="257"/>
      <c r="R370" s="256"/>
      <c r="S370" s="257"/>
      <c r="T370" s="256"/>
      <c r="U370" s="257"/>
      <c r="V370" s="256"/>
      <c r="W370" s="257"/>
      <c r="X370" s="256"/>
    </row>
    <row r="371" spans="1:24" ht="12.75">
      <c r="A371" s="255"/>
      <c r="B371" s="256"/>
      <c r="C371" s="257"/>
      <c r="D371" s="256"/>
      <c r="E371" s="257"/>
      <c r="F371" s="256"/>
      <c r="G371" s="257"/>
      <c r="H371" s="256"/>
      <c r="I371" s="257"/>
      <c r="J371" s="256"/>
      <c r="K371" s="257"/>
      <c r="L371" s="256"/>
      <c r="M371" s="257"/>
      <c r="N371" s="256"/>
      <c r="O371" s="257"/>
      <c r="P371" s="256"/>
      <c r="Q371" s="257"/>
      <c r="R371" s="256"/>
      <c r="S371" s="257"/>
      <c r="T371" s="256"/>
      <c r="U371" s="257"/>
      <c r="V371" s="256"/>
      <c r="W371" s="257"/>
      <c r="X371" s="256"/>
    </row>
    <row r="372" spans="1:24" ht="12.75">
      <c r="A372" s="255"/>
      <c r="B372" s="256"/>
      <c r="C372" s="257"/>
      <c r="D372" s="256"/>
      <c r="E372" s="257"/>
      <c r="F372" s="256"/>
      <c r="G372" s="257"/>
      <c r="H372" s="256"/>
      <c r="I372" s="257"/>
      <c r="J372" s="256"/>
      <c r="K372" s="257"/>
      <c r="L372" s="256"/>
      <c r="M372" s="257"/>
      <c r="N372" s="256"/>
      <c r="O372" s="257"/>
      <c r="P372" s="256"/>
      <c r="Q372" s="257"/>
      <c r="R372" s="256"/>
      <c r="S372" s="257"/>
      <c r="T372" s="256"/>
      <c r="U372" s="257"/>
      <c r="V372" s="256"/>
      <c r="W372" s="257"/>
      <c r="X372" s="256"/>
    </row>
    <row r="373" spans="1:24" ht="12.75">
      <c r="A373" s="255"/>
      <c r="B373" s="256"/>
      <c r="C373" s="257"/>
      <c r="D373" s="256"/>
      <c r="E373" s="257"/>
      <c r="F373" s="256"/>
      <c r="G373" s="257"/>
      <c r="H373" s="256"/>
      <c r="I373" s="257"/>
      <c r="J373" s="256"/>
      <c r="K373" s="257"/>
      <c r="L373" s="256"/>
      <c r="M373" s="257"/>
      <c r="N373" s="256"/>
      <c r="O373" s="257"/>
      <c r="P373" s="256"/>
      <c r="Q373" s="257"/>
      <c r="R373" s="256"/>
      <c r="S373" s="257"/>
      <c r="T373" s="256"/>
      <c r="U373" s="257"/>
      <c r="V373" s="256"/>
      <c r="W373" s="257"/>
      <c r="X373" s="256"/>
    </row>
    <row r="374" spans="1:24" ht="12.75">
      <c r="A374" s="255"/>
      <c r="B374" s="256"/>
      <c r="C374" s="257"/>
      <c r="D374" s="256"/>
      <c r="E374" s="257"/>
      <c r="F374" s="256"/>
      <c r="G374" s="257"/>
      <c r="H374" s="256"/>
      <c r="I374" s="257"/>
      <c r="J374" s="256"/>
      <c r="K374" s="257"/>
      <c r="L374" s="256"/>
      <c r="M374" s="257"/>
      <c r="N374" s="256"/>
      <c r="O374" s="257"/>
      <c r="P374" s="256"/>
      <c r="Q374" s="257"/>
      <c r="R374" s="256"/>
      <c r="S374" s="257"/>
      <c r="T374" s="256"/>
      <c r="U374" s="257"/>
      <c r="V374" s="256"/>
      <c r="W374" s="257"/>
      <c r="X374" s="256"/>
    </row>
    <row r="375" spans="1:24" ht="12.75">
      <c r="A375" s="255"/>
      <c r="B375" s="256"/>
      <c r="C375" s="257"/>
      <c r="D375" s="256"/>
      <c r="E375" s="257"/>
      <c r="F375" s="256"/>
      <c r="G375" s="257"/>
      <c r="H375" s="256"/>
      <c r="I375" s="257"/>
      <c r="J375" s="256"/>
      <c r="K375" s="257"/>
      <c r="L375" s="256"/>
      <c r="M375" s="257"/>
      <c r="N375" s="256"/>
      <c r="O375" s="257"/>
      <c r="P375" s="256"/>
      <c r="Q375" s="257"/>
      <c r="R375" s="256"/>
      <c r="S375" s="257"/>
      <c r="T375" s="256"/>
      <c r="U375" s="257"/>
      <c r="V375" s="256"/>
      <c r="W375" s="257"/>
      <c r="X375" s="256"/>
    </row>
    <row r="376" spans="1:24" ht="12.75">
      <c r="A376" s="255"/>
      <c r="B376" s="256"/>
      <c r="C376" s="257"/>
      <c r="D376" s="256"/>
      <c r="E376" s="257"/>
      <c r="F376" s="256"/>
      <c r="G376" s="257"/>
      <c r="H376" s="256"/>
      <c r="I376" s="257"/>
      <c r="J376" s="256"/>
      <c r="K376" s="257"/>
      <c r="L376" s="256"/>
      <c r="M376" s="257"/>
      <c r="N376" s="256"/>
      <c r="O376" s="257"/>
      <c r="P376" s="256"/>
      <c r="Q376" s="257"/>
      <c r="R376" s="256"/>
      <c r="S376" s="257"/>
      <c r="T376" s="256"/>
      <c r="U376" s="257"/>
      <c r="V376" s="256"/>
      <c r="W376" s="257"/>
      <c r="X376" s="256"/>
    </row>
    <row r="377" spans="1:24" ht="12.75">
      <c r="A377" s="255"/>
      <c r="B377" s="256"/>
      <c r="C377" s="257"/>
      <c r="D377" s="256"/>
      <c r="E377" s="257"/>
      <c r="F377" s="256"/>
      <c r="G377" s="257"/>
      <c r="H377" s="256"/>
      <c r="I377" s="257"/>
      <c r="J377" s="256"/>
      <c r="K377" s="257"/>
      <c r="L377" s="256"/>
      <c r="M377" s="257"/>
      <c r="N377" s="256"/>
      <c r="O377" s="257"/>
      <c r="P377" s="256"/>
      <c r="Q377" s="257"/>
      <c r="R377" s="256"/>
      <c r="S377" s="257"/>
      <c r="T377" s="256"/>
      <c r="U377" s="257"/>
      <c r="V377" s="256"/>
      <c r="W377" s="257"/>
      <c r="X377" s="256"/>
    </row>
    <row r="378" spans="1:24" ht="12.75">
      <c r="A378" s="255"/>
      <c r="B378" s="256"/>
      <c r="C378" s="257"/>
      <c r="D378" s="256"/>
      <c r="E378" s="257"/>
      <c r="F378" s="256"/>
      <c r="G378" s="257"/>
      <c r="H378" s="256"/>
      <c r="I378" s="257"/>
      <c r="J378" s="256"/>
      <c r="K378" s="257"/>
      <c r="L378" s="256"/>
      <c r="M378" s="257"/>
      <c r="N378" s="256"/>
      <c r="O378" s="257"/>
      <c r="P378" s="256"/>
      <c r="Q378" s="257"/>
      <c r="R378" s="256"/>
      <c r="S378" s="257"/>
      <c r="T378" s="256"/>
      <c r="U378" s="257"/>
      <c r="V378" s="256"/>
      <c r="W378" s="257"/>
      <c r="X378" s="256"/>
    </row>
    <row r="379" spans="1:24" ht="12.75">
      <c r="A379" s="255"/>
      <c r="B379" s="256"/>
      <c r="C379" s="257"/>
      <c r="D379" s="256"/>
      <c r="E379" s="257"/>
      <c r="F379" s="256"/>
      <c r="G379" s="257"/>
      <c r="H379" s="256"/>
      <c r="I379" s="257"/>
      <c r="J379" s="256"/>
      <c r="K379" s="257"/>
      <c r="L379" s="256"/>
      <c r="M379" s="257"/>
      <c r="N379" s="256"/>
      <c r="O379" s="257"/>
      <c r="P379" s="256"/>
      <c r="Q379" s="257"/>
      <c r="R379" s="256"/>
      <c r="S379" s="257"/>
      <c r="T379" s="256"/>
      <c r="U379" s="257"/>
      <c r="V379" s="256"/>
      <c r="W379" s="257"/>
      <c r="X379" s="256"/>
    </row>
    <row r="380" spans="1:24" ht="12.75">
      <c r="A380" s="255"/>
      <c r="B380" s="256"/>
      <c r="C380" s="257"/>
      <c r="D380" s="256"/>
      <c r="E380" s="257"/>
      <c r="F380" s="256"/>
      <c r="G380" s="257"/>
      <c r="H380" s="256"/>
      <c r="I380" s="257"/>
      <c r="J380" s="256"/>
      <c r="K380" s="257"/>
      <c r="L380" s="256"/>
      <c r="M380" s="257"/>
      <c r="N380" s="256"/>
      <c r="O380" s="257"/>
      <c r="P380" s="256"/>
      <c r="Q380" s="257"/>
      <c r="R380" s="256"/>
      <c r="S380" s="257"/>
      <c r="T380" s="256"/>
      <c r="U380" s="257"/>
      <c r="V380" s="256"/>
      <c r="W380" s="257"/>
      <c r="X380" s="256"/>
    </row>
    <row r="381" spans="1:24" ht="12.75">
      <c r="A381" s="255"/>
      <c r="B381" s="256"/>
      <c r="C381" s="257"/>
      <c r="D381" s="256"/>
      <c r="E381" s="257"/>
      <c r="F381" s="256"/>
      <c r="G381" s="257"/>
      <c r="H381" s="256"/>
      <c r="I381" s="257"/>
      <c r="J381" s="256"/>
      <c r="K381" s="257"/>
      <c r="L381" s="256"/>
      <c r="M381" s="257"/>
      <c r="N381" s="256"/>
      <c r="O381" s="257"/>
      <c r="P381" s="256"/>
      <c r="Q381" s="257"/>
      <c r="R381" s="256"/>
      <c r="S381" s="257"/>
      <c r="T381" s="256"/>
      <c r="U381" s="257"/>
      <c r="V381" s="256"/>
      <c r="W381" s="257"/>
      <c r="X381" s="256"/>
    </row>
    <row r="382" spans="1:24" ht="12.75">
      <c r="A382" s="255"/>
      <c r="B382" s="256"/>
      <c r="C382" s="257"/>
      <c r="D382" s="256"/>
      <c r="E382" s="257"/>
      <c r="F382" s="256"/>
      <c r="G382" s="257"/>
      <c r="H382" s="256"/>
      <c r="I382" s="257"/>
      <c r="J382" s="256"/>
      <c r="K382" s="257"/>
      <c r="L382" s="256"/>
      <c r="M382" s="257"/>
      <c r="N382" s="256"/>
      <c r="O382" s="257"/>
      <c r="P382" s="256"/>
      <c r="Q382" s="257"/>
      <c r="R382" s="256"/>
      <c r="S382" s="257"/>
      <c r="T382" s="256"/>
      <c r="U382" s="257"/>
      <c r="V382" s="256"/>
      <c r="W382" s="257"/>
      <c r="X382" s="256"/>
    </row>
    <row r="383" spans="1:24" ht="12.75">
      <c r="A383" s="255"/>
      <c r="B383" s="256"/>
      <c r="C383" s="257"/>
      <c r="D383" s="256"/>
      <c r="E383" s="257"/>
      <c r="F383" s="256"/>
      <c r="G383" s="257"/>
      <c r="H383" s="256"/>
      <c r="I383" s="257"/>
      <c r="J383" s="256"/>
      <c r="K383" s="257"/>
      <c r="L383" s="256"/>
      <c r="M383" s="257"/>
      <c r="N383" s="256"/>
      <c r="O383" s="257"/>
      <c r="P383" s="256"/>
      <c r="Q383" s="257"/>
      <c r="R383" s="256"/>
      <c r="S383" s="257"/>
      <c r="T383" s="256"/>
      <c r="U383" s="257"/>
      <c r="V383" s="256"/>
      <c r="W383" s="257"/>
      <c r="X383" s="256"/>
    </row>
    <row r="384" spans="1:24" ht="12.75">
      <c r="A384" s="255"/>
      <c r="B384" s="256"/>
      <c r="C384" s="257"/>
      <c r="D384" s="256"/>
      <c r="E384" s="257"/>
      <c r="F384" s="256"/>
      <c r="G384" s="257"/>
      <c r="H384" s="256"/>
      <c r="I384" s="257"/>
      <c r="J384" s="256"/>
      <c r="K384" s="257"/>
      <c r="L384" s="256"/>
      <c r="M384" s="257"/>
      <c r="N384" s="256"/>
      <c r="O384" s="257"/>
      <c r="P384" s="256"/>
      <c r="Q384" s="257"/>
      <c r="R384" s="256"/>
      <c r="S384" s="257"/>
      <c r="T384" s="256"/>
      <c r="U384" s="257"/>
      <c r="V384" s="256"/>
      <c r="W384" s="257"/>
      <c r="X384" s="256"/>
    </row>
    <row r="385" spans="1:24" ht="12.75">
      <c r="A385" s="255"/>
      <c r="B385" s="256"/>
      <c r="C385" s="257"/>
      <c r="D385" s="256"/>
      <c r="E385" s="257"/>
      <c r="F385" s="256"/>
      <c r="G385" s="257"/>
      <c r="H385" s="256"/>
      <c r="I385" s="257"/>
      <c r="J385" s="256"/>
      <c r="K385" s="257"/>
      <c r="L385" s="256"/>
      <c r="M385" s="257"/>
      <c r="N385" s="256"/>
      <c r="O385" s="257"/>
      <c r="P385" s="256"/>
      <c r="Q385" s="257"/>
      <c r="R385" s="256"/>
      <c r="S385" s="257"/>
      <c r="T385" s="256"/>
      <c r="U385" s="257"/>
      <c r="V385" s="256"/>
      <c r="W385" s="257"/>
      <c r="X385" s="256"/>
    </row>
    <row r="386" spans="1:24" ht="12.75">
      <c r="A386" s="255"/>
      <c r="B386" s="256"/>
      <c r="C386" s="257"/>
      <c r="D386" s="256"/>
      <c r="E386" s="257"/>
      <c r="F386" s="256"/>
      <c r="G386" s="257"/>
      <c r="H386" s="256"/>
      <c r="I386" s="257"/>
      <c r="J386" s="256"/>
      <c r="K386" s="257"/>
      <c r="L386" s="256"/>
      <c r="M386" s="257"/>
      <c r="N386" s="256"/>
      <c r="O386" s="257"/>
      <c r="P386" s="256"/>
      <c r="Q386" s="257"/>
      <c r="R386" s="256"/>
      <c r="S386" s="257"/>
      <c r="T386" s="256"/>
      <c r="U386" s="257"/>
      <c r="V386" s="256"/>
      <c r="W386" s="257"/>
      <c r="X386" s="256"/>
    </row>
    <row r="387" spans="1:24" ht="12.75">
      <c r="A387" s="255"/>
      <c r="B387" s="256"/>
      <c r="C387" s="257"/>
      <c r="D387" s="256"/>
      <c r="E387" s="257"/>
      <c r="F387" s="256"/>
      <c r="G387" s="257"/>
      <c r="H387" s="256"/>
      <c r="I387" s="257"/>
      <c r="J387" s="256"/>
      <c r="K387" s="257"/>
      <c r="L387" s="256"/>
      <c r="M387" s="257"/>
      <c r="N387" s="256"/>
      <c r="O387" s="257"/>
      <c r="P387" s="256"/>
      <c r="Q387" s="257"/>
      <c r="R387" s="256"/>
      <c r="S387" s="257"/>
      <c r="T387" s="256"/>
      <c r="U387" s="257"/>
      <c r="V387" s="256"/>
      <c r="W387" s="257"/>
      <c r="X387" s="256"/>
    </row>
    <row r="388" spans="1:24" ht="12.75">
      <c r="A388" s="255"/>
      <c r="B388" s="256"/>
      <c r="C388" s="257"/>
      <c r="D388" s="256"/>
      <c r="E388" s="257"/>
      <c r="F388" s="256"/>
      <c r="G388" s="257"/>
      <c r="H388" s="256"/>
      <c r="I388" s="257"/>
      <c r="J388" s="256"/>
      <c r="K388" s="257"/>
      <c r="L388" s="256"/>
      <c r="M388" s="257"/>
      <c r="N388" s="256"/>
      <c r="O388" s="257"/>
      <c r="P388" s="256"/>
      <c r="Q388" s="257"/>
      <c r="R388" s="256"/>
      <c r="S388" s="257"/>
      <c r="T388" s="256"/>
      <c r="U388" s="257"/>
      <c r="V388" s="256"/>
      <c r="W388" s="257"/>
      <c r="X388" s="256"/>
    </row>
    <row r="389" spans="1:24" ht="12.75">
      <c r="A389" s="255"/>
      <c r="B389" s="256"/>
      <c r="C389" s="257"/>
      <c r="D389" s="256"/>
      <c r="E389" s="257"/>
      <c r="F389" s="256"/>
      <c r="G389" s="257"/>
      <c r="H389" s="256"/>
      <c r="I389" s="257"/>
      <c r="J389" s="256"/>
      <c r="K389" s="257"/>
      <c r="L389" s="256"/>
      <c r="M389" s="257"/>
      <c r="N389" s="256"/>
      <c r="O389" s="257"/>
      <c r="P389" s="256"/>
      <c r="Q389" s="257"/>
      <c r="R389" s="256"/>
      <c r="S389" s="257"/>
      <c r="T389" s="256"/>
      <c r="U389" s="257"/>
      <c r="V389" s="256"/>
      <c r="W389" s="257"/>
      <c r="X389" s="256"/>
    </row>
    <row r="390" spans="1:24" ht="12.75">
      <c r="A390" s="255"/>
      <c r="B390" s="256"/>
      <c r="C390" s="257"/>
      <c r="D390" s="256"/>
      <c r="E390" s="257"/>
      <c r="F390" s="256"/>
      <c r="G390" s="257"/>
      <c r="H390" s="256"/>
      <c r="I390" s="257"/>
      <c r="J390" s="256"/>
      <c r="K390" s="257"/>
      <c r="L390" s="256"/>
      <c r="M390" s="257"/>
      <c r="N390" s="256"/>
      <c r="O390" s="257"/>
      <c r="P390" s="256"/>
      <c r="Q390" s="257"/>
      <c r="R390" s="256"/>
      <c r="S390" s="257"/>
      <c r="T390" s="256"/>
      <c r="U390" s="257"/>
      <c r="V390" s="256"/>
      <c r="W390" s="257"/>
      <c r="X390" s="256"/>
    </row>
    <row r="391" spans="1:24" ht="12.75">
      <c r="A391" s="255"/>
      <c r="B391" s="256"/>
      <c r="C391" s="257"/>
      <c r="D391" s="256"/>
      <c r="E391" s="257"/>
      <c r="F391" s="256"/>
      <c r="G391" s="257"/>
      <c r="H391" s="256"/>
      <c r="I391" s="257"/>
      <c r="J391" s="256"/>
      <c r="K391" s="257"/>
      <c r="L391" s="256"/>
      <c r="M391" s="257"/>
      <c r="N391" s="256"/>
      <c r="O391" s="257"/>
      <c r="P391" s="256"/>
      <c r="Q391" s="257"/>
      <c r="R391" s="256"/>
      <c r="S391" s="257"/>
      <c r="T391" s="256"/>
      <c r="U391" s="257"/>
      <c r="V391" s="256"/>
      <c r="W391" s="257"/>
      <c r="X391" s="256"/>
    </row>
    <row r="392" spans="1:24" ht="12.75">
      <c r="A392" s="255"/>
      <c r="B392" s="256"/>
      <c r="C392" s="257"/>
      <c r="D392" s="256"/>
      <c r="E392" s="257"/>
      <c r="F392" s="256"/>
      <c r="G392" s="257"/>
      <c r="H392" s="256"/>
      <c r="I392" s="257"/>
      <c r="J392" s="256"/>
      <c r="K392" s="257"/>
      <c r="L392" s="256"/>
      <c r="M392" s="257"/>
      <c r="N392" s="256"/>
      <c r="O392" s="257"/>
      <c r="P392" s="256"/>
      <c r="Q392" s="257"/>
      <c r="R392" s="256"/>
      <c r="S392" s="257"/>
      <c r="T392" s="256"/>
      <c r="U392" s="257"/>
      <c r="V392" s="256"/>
      <c r="W392" s="257"/>
      <c r="X392" s="256"/>
    </row>
    <row r="393" spans="1:24" ht="12.75">
      <c r="A393" s="255"/>
      <c r="B393" s="256"/>
      <c r="C393" s="257"/>
      <c r="D393" s="256"/>
      <c r="E393" s="257"/>
      <c r="F393" s="256"/>
      <c r="G393" s="257"/>
      <c r="H393" s="256"/>
      <c r="I393" s="257"/>
      <c r="J393" s="256"/>
      <c r="K393" s="257"/>
      <c r="L393" s="256"/>
      <c r="M393" s="257"/>
      <c r="N393" s="256"/>
      <c r="O393" s="257"/>
      <c r="P393" s="256"/>
      <c r="Q393" s="257"/>
      <c r="R393" s="256"/>
      <c r="S393" s="257"/>
      <c r="T393" s="256"/>
      <c r="U393" s="257"/>
      <c r="V393" s="256"/>
      <c r="W393" s="257"/>
      <c r="X393" s="256"/>
    </row>
    <row r="394" spans="1:24" ht="12.75">
      <c r="A394" s="255"/>
      <c r="B394" s="256"/>
      <c r="C394" s="257"/>
      <c r="D394" s="256"/>
      <c r="E394" s="257"/>
      <c r="F394" s="256"/>
      <c r="G394" s="257"/>
      <c r="H394" s="256"/>
      <c r="I394" s="257"/>
      <c r="J394" s="256"/>
      <c r="K394" s="257"/>
      <c r="L394" s="256"/>
      <c r="M394" s="257"/>
      <c r="N394" s="256"/>
      <c r="O394" s="257"/>
      <c r="P394" s="256"/>
      <c r="Q394" s="257"/>
      <c r="R394" s="256"/>
      <c r="S394" s="257"/>
      <c r="T394" s="256"/>
      <c r="U394" s="257"/>
      <c r="V394" s="256"/>
      <c r="W394" s="257"/>
      <c r="X394" s="256"/>
    </row>
    <row r="395" spans="1:24" ht="12.75">
      <c r="A395" s="255"/>
      <c r="B395" s="256"/>
      <c r="C395" s="257"/>
      <c r="D395" s="256"/>
      <c r="E395" s="257"/>
      <c r="F395" s="256"/>
      <c r="G395" s="257"/>
      <c r="H395" s="256"/>
      <c r="I395" s="257"/>
      <c r="J395" s="256"/>
      <c r="K395" s="257"/>
      <c r="L395" s="256"/>
      <c r="M395" s="257"/>
      <c r="N395" s="256"/>
      <c r="O395" s="257"/>
      <c r="P395" s="256"/>
      <c r="Q395" s="257"/>
      <c r="R395" s="256"/>
      <c r="S395" s="257"/>
      <c r="T395" s="256"/>
      <c r="U395" s="257"/>
      <c r="V395" s="256"/>
      <c r="W395" s="257"/>
      <c r="X395" s="256"/>
    </row>
    <row r="396" spans="1:24" ht="12.75">
      <c r="A396" s="255"/>
      <c r="B396" s="256"/>
      <c r="C396" s="257"/>
      <c r="D396" s="256"/>
      <c r="E396" s="257"/>
      <c r="F396" s="256"/>
      <c r="G396" s="257"/>
      <c r="H396" s="256"/>
      <c r="I396" s="257"/>
      <c r="J396" s="256"/>
      <c r="K396" s="257"/>
      <c r="L396" s="256"/>
      <c r="M396" s="257"/>
      <c r="N396" s="256"/>
      <c r="O396" s="257"/>
      <c r="P396" s="256"/>
      <c r="Q396" s="257"/>
      <c r="R396" s="256"/>
      <c r="S396" s="257"/>
      <c r="T396" s="256"/>
      <c r="U396" s="257"/>
      <c r="V396" s="256"/>
      <c r="W396" s="257"/>
      <c r="X396" s="256"/>
    </row>
    <row r="397" spans="1:24" ht="12.75">
      <c r="A397" s="255"/>
      <c r="B397" s="256"/>
      <c r="C397" s="257"/>
      <c r="D397" s="256"/>
      <c r="E397" s="257"/>
      <c r="F397" s="256"/>
      <c r="G397" s="257"/>
      <c r="H397" s="256"/>
      <c r="I397" s="257"/>
      <c r="J397" s="256"/>
      <c r="K397" s="257"/>
      <c r="L397" s="256"/>
      <c r="M397" s="257"/>
      <c r="N397" s="256"/>
      <c r="O397" s="257"/>
      <c r="P397" s="256"/>
      <c r="Q397" s="257"/>
      <c r="R397" s="256"/>
      <c r="S397" s="257"/>
      <c r="T397" s="256"/>
      <c r="U397" s="257"/>
      <c r="V397" s="256"/>
      <c r="W397" s="257"/>
      <c r="X397" s="256"/>
    </row>
    <row r="398" spans="1:24" ht="12.75">
      <c r="A398" s="255"/>
      <c r="B398" s="256"/>
      <c r="C398" s="257"/>
      <c r="D398" s="256"/>
      <c r="E398" s="257"/>
      <c r="F398" s="256"/>
      <c r="G398" s="257"/>
      <c r="H398" s="256"/>
      <c r="I398" s="257"/>
      <c r="J398" s="256"/>
      <c r="K398" s="257"/>
      <c r="L398" s="256"/>
      <c r="M398" s="257"/>
      <c r="N398" s="256"/>
      <c r="O398" s="257"/>
      <c r="P398" s="256"/>
      <c r="Q398" s="257"/>
      <c r="R398" s="256"/>
      <c r="S398" s="257"/>
      <c r="T398" s="256"/>
      <c r="U398" s="257"/>
      <c r="V398" s="256"/>
      <c r="W398" s="257"/>
      <c r="X398" s="256"/>
    </row>
    <row r="399" spans="1:24" ht="12.75">
      <c r="A399" s="255"/>
      <c r="B399" s="256"/>
      <c r="C399" s="257"/>
      <c r="D399" s="256"/>
      <c r="E399" s="257"/>
      <c r="F399" s="256"/>
      <c r="G399" s="257"/>
      <c r="H399" s="256"/>
      <c r="I399" s="257"/>
      <c r="J399" s="256"/>
      <c r="K399" s="257"/>
      <c r="L399" s="256"/>
      <c r="M399" s="257"/>
      <c r="N399" s="256"/>
      <c r="O399" s="257"/>
      <c r="P399" s="256"/>
      <c r="Q399" s="257"/>
      <c r="R399" s="256"/>
      <c r="S399" s="257"/>
      <c r="T399" s="256"/>
      <c r="U399" s="257"/>
      <c r="V399" s="256"/>
      <c r="W399" s="257"/>
      <c r="X399" s="256"/>
    </row>
    <row r="400" spans="1:24" ht="12.75">
      <c r="A400" s="255"/>
      <c r="B400" s="256"/>
      <c r="C400" s="257"/>
      <c r="D400" s="256"/>
      <c r="E400" s="257"/>
      <c r="F400" s="256"/>
      <c r="G400" s="257"/>
      <c r="H400" s="256"/>
      <c r="I400" s="257"/>
      <c r="J400" s="256"/>
      <c r="K400" s="257"/>
      <c r="L400" s="256"/>
      <c r="M400" s="257"/>
      <c r="N400" s="256"/>
      <c r="O400" s="257"/>
      <c r="P400" s="256"/>
      <c r="Q400" s="257"/>
      <c r="R400" s="256"/>
      <c r="S400" s="257"/>
      <c r="T400" s="256"/>
      <c r="U400" s="257"/>
      <c r="V400" s="256"/>
      <c r="W400" s="257"/>
      <c r="X400" s="256"/>
    </row>
    <row r="401" spans="1:24" ht="12.75">
      <c r="A401" s="255"/>
      <c r="B401" s="256"/>
      <c r="C401" s="257"/>
      <c r="D401" s="256"/>
      <c r="E401" s="257"/>
      <c r="F401" s="256"/>
      <c r="G401" s="257"/>
      <c r="H401" s="256"/>
      <c r="I401" s="257"/>
      <c r="J401" s="256"/>
      <c r="K401" s="257"/>
      <c r="L401" s="256"/>
      <c r="M401" s="257"/>
      <c r="N401" s="256"/>
      <c r="O401" s="257"/>
      <c r="P401" s="256"/>
      <c r="Q401" s="257"/>
      <c r="R401" s="256"/>
      <c r="S401" s="257"/>
      <c r="T401" s="256"/>
      <c r="U401" s="257"/>
      <c r="V401" s="256"/>
      <c r="W401" s="257"/>
      <c r="X401" s="256"/>
    </row>
    <row r="402" spans="1:24" ht="12.75">
      <c r="A402" s="255"/>
      <c r="B402" s="256"/>
      <c r="C402" s="257"/>
      <c r="D402" s="256"/>
      <c r="E402" s="257"/>
      <c r="F402" s="256"/>
      <c r="G402" s="257"/>
      <c r="H402" s="256"/>
      <c r="I402" s="257"/>
      <c r="J402" s="256"/>
      <c r="K402" s="257"/>
      <c r="L402" s="256"/>
      <c r="M402" s="257"/>
      <c r="N402" s="256"/>
      <c r="O402" s="257"/>
      <c r="P402" s="256"/>
      <c r="Q402" s="257"/>
      <c r="R402" s="256"/>
      <c r="S402" s="257"/>
      <c r="T402" s="256"/>
      <c r="U402" s="257"/>
      <c r="V402" s="256"/>
      <c r="W402" s="257"/>
      <c r="X402" s="256"/>
    </row>
    <row r="403" spans="1:24" ht="12.75">
      <c r="A403" s="255"/>
      <c r="B403" s="256"/>
      <c r="C403" s="257"/>
      <c r="D403" s="256"/>
      <c r="E403" s="257"/>
      <c r="F403" s="256"/>
      <c r="G403" s="257"/>
      <c r="H403" s="256"/>
      <c r="I403" s="257"/>
      <c r="J403" s="256"/>
      <c r="K403" s="257"/>
      <c r="L403" s="256"/>
      <c r="M403" s="257"/>
      <c r="N403" s="256"/>
      <c r="O403" s="257"/>
      <c r="P403" s="256"/>
      <c r="Q403" s="257"/>
      <c r="R403" s="256"/>
      <c r="S403" s="257"/>
      <c r="T403" s="256"/>
      <c r="U403" s="257"/>
      <c r="V403" s="256"/>
      <c r="W403" s="257"/>
      <c r="X403" s="256"/>
    </row>
    <row r="404" spans="1:24" ht="12.75">
      <c r="A404" s="255"/>
      <c r="B404" s="256"/>
      <c r="C404" s="257"/>
      <c r="D404" s="256"/>
      <c r="E404" s="257"/>
      <c r="F404" s="256"/>
      <c r="G404" s="257"/>
      <c r="H404" s="256"/>
      <c r="I404" s="257"/>
      <c r="J404" s="256"/>
      <c r="K404" s="257"/>
      <c r="L404" s="256"/>
      <c r="M404" s="257"/>
      <c r="N404" s="256"/>
      <c r="O404" s="257"/>
      <c r="P404" s="256"/>
      <c r="Q404" s="257"/>
      <c r="R404" s="256"/>
      <c r="S404" s="257"/>
      <c r="T404" s="256"/>
      <c r="U404" s="257"/>
      <c r="V404" s="256"/>
      <c r="W404" s="257"/>
      <c r="X404" s="256"/>
    </row>
    <row r="405" spans="1:24" ht="12.75">
      <c r="A405" s="255"/>
      <c r="B405" s="256"/>
      <c r="C405" s="257"/>
      <c r="D405" s="256"/>
      <c r="E405" s="257"/>
      <c r="F405" s="256"/>
      <c r="G405" s="257"/>
      <c r="H405" s="256"/>
      <c r="I405" s="257"/>
      <c r="J405" s="256"/>
      <c r="K405" s="257"/>
      <c r="L405" s="256"/>
      <c r="M405" s="257"/>
      <c r="N405" s="256"/>
      <c r="O405" s="257"/>
      <c r="P405" s="256"/>
      <c r="Q405" s="257"/>
      <c r="R405" s="256"/>
      <c r="S405" s="257"/>
      <c r="T405" s="256"/>
      <c r="U405" s="257"/>
      <c r="V405" s="256"/>
      <c r="W405" s="257"/>
      <c r="X405" s="256"/>
    </row>
    <row r="406" spans="1:24" ht="12.75">
      <c r="A406" s="255"/>
      <c r="B406" s="256"/>
      <c r="C406" s="257"/>
      <c r="D406" s="256"/>
      <c r="E406" s="257"/>
      <c r="F406" s="256"/>
      <c r="G406" s="257"/>
      <c r="H406" s="256"/>
      <c r="I406" s="257"/>
      <c r="J406" s="256"/>
      <c r="K406" s="257"/>
      <c r="L406" s="256"/>
      <c r="M406" s="257"/>
      <c r="N406" s="256"/>
      <c r="O406" s="257"/>
      <c r="P406" s="256"/>
      <c r="Q406" s="257"/>
      <c r="R406" s="256"/>
      <c r="S406" s="257"/>
      <c r="T406" s="256"/>
      <c r="U406" s="257"/>
      <c r="V406" s="256"/>
      <c r="W406" s="257"/>
      <c r="X406" s="256"/>
    </row>
    <row r="407" spans="1:24" ht="12.75">
      <c r="A407" s="255"/>
      <c r="B407" s="256"/>
      <c r="C407" s="257"/>
      <c r="D407" s="256"/>
      <c r="E407" s="257"/>
      <c r="F407" s="256"/>
      <c r="G407" s="257"/>
      <c r="H407" s="256"/>
      <c r="I407" s="257"/>
      <c r="J407" s="256"/>
      <c r="K407" s="257"/>
      <c r="L407" s="256"/>
      <c r="M407" s="257"/>
      <c r="N407" s="256"/>
      <c r="O407" s="257"/>
      <c r="P407" s="256"/>
      <c r="Q407" s="257"/>
      <c r="R407" s="256"/>
      <c r="S407" s="257"/>
      <c r="T407" s="256"/>
      <c r="U407" s="257"/>
      <c r="V407" s="256"/>
      <c r="W407" s="257"/>
      <c r="X407" s="256"/>
    </row>
    <row r="408" spans="1:24" ht="12.75">
      <c r="A408" s="255"/>
      <c r="B408" s="256"/>
      <c r="C408" s="257"/>
      <c r="D408" s="256"/>
      <c r="E408" s="257"/>
      <c r="F408" s="256"/>
      <c r="G408" s="257"/>
      <c r="H408" s="256"/>
      <c r="I408" s="257"/>
      <c r="J408" s="256"/>
      <c r="K408" s="257"/>
      <c r="L408" s="256"/>
      <c r="M408" s="257"/>
      <c r="N408" s="256"/>
      <c r="O408" s="257"/>
      <c r="P408" s="256"/>
      <c r="Q408" s="257"/>
      <c r="R408" s="256"/>
      <c r="S408" s="257"/>
      <c r="T408" s="256"/>
      <c r="U408" s="257"/>
      <c r="V408" s="256"/>
      <c r="W408" s="257"/>
      <c r="X408" s="256"/>
    </row>
    <row r="409" spans="1:24" ht="12.75">
      <c r="A409" s="255"/>
      <c r="B409" s="256"/>
      <c r="C409" s="257"/>
      <c r="D409" s="256"/>
      <c r="E409" s="257"/>
      <c r="F409" s="256"/>
      <c r="G409" s="257"/>
      <c r="H409" s="256"/>
      <c r="I409" s="257"/>
      <c r="J409" s="256"/>
      <c r="K409" s="257"/>
      <c r="L409" s="256"/>
      <c r="M409" s="257"/>
      <c r="N409" s="256"/>
      <c r="O409" s="257"/>
      <c r="P409" s="256"/>
      <c r="Q409" s="257"/>
      <c r="R409" s="256"/>
      <c r="S409" s="257"/>
      <c r="T409" s="256"/>
      <c r="U409" s="257"/>
      <c r="V409" s="256"/>
      <c r="W409" s="257"/>
      <c r="X409" s="256"/>
    </row>
    <row r="410" spans="1:24" ht="12.75">
      <c r="A410" s="255"/>
      <c r="B410" s="256"/>
      <c r="C410" s="257"/>
      <c r="D410" s="256"/>
      <c r="E410" s="257"/>
      <c r="F410" s="256"/>
      <c r="G410" s="257"/>
      <c r="H410" s="256"/>
      <c r="I410" s="257"/>
      <c r="J410" s="256"/>
      <c r="K410" s="257"/>
      <c r="L410" s="256"/>
      <c r="M410" s="257"/>
      <c r="N410" s="256"/>
      <c r="O410" s="257"/>
      <c r="P410" s="256"/>
      <c r="Q410" s="257"/>
      <c r="R410" s="256"/>
      <c r="S410" s="257"/>
      <c r="T410" s="256"/>
      <c r="U410" s="257"/>
      <c r="V410" s="256"/>
      <c r="W410" s="257"/>
      <c r="X410" s="256"/>
    </row>
    <row r="411" spans="1:24" ht="12.75">
      <c r="A411" s="255"/>
      <c r="B411" s="256"/>
      <c r="C411" s="257"/>
      <c r="D411" s="256"/>
      <c r="E411" s="257"/>
      <c r="F411" s="256"/>
      <c r="G411" s="257"/>
      <c r="H411" s="256"/>
      <c r="I411" s="257"/>
      <c r="J411" s="256"/>
      <c r="K411" s="257"/>
      <c r="L411" s="256"/>
      <c r="M411" s="257"/>
      <c r="N411" s="256"/>
      <c r="O411" s="257"/>
      <c r="P411" s="256"/>
      <c r="Q411" s="257"/>
      <c r="R411" s="256"/>
      <c r="S411" s="257"/>
      <c r="T411" s="256"/>
      <c r="U411" s="257"/>
      <c r="V411" s="256"/>
      <c r="W411" s="257"/>
      <c r="X411" s="256"/>
    </row>
    <row r="412" spans="1:24" ht="12.75">
      <c r="A412" s="255"/>
      <c r="B412" s="256"/>
      <c r="C412" s="257"/>
      <c r="D412" s="256"/>
      <c r="E412" s="257"/>
      <c r="F412" s="256"/>
      <c r="G412" s="257"/>
      <c r="H412" s="256"/>
      <c r="I412" s="257"/>
      <c r="J412" s="256"/>
      <c r="K412" s="257"/>
      <c r="L412" s="256"/>
      <c r="M412" s="257"/>
      <c r="N412" s="256"/>
      <c r="O412" s="257"/>
      <c r="P412" s="256"/>
      <c r="Q412" s="257"/>
      <c r="R412" s="256"/>
      <c r="S412" s="257"/>
      <c r="T412" s="256"/>
      <c r="U412" s="257"/>
      <c r="V412" s="256"/>
      <c r="W412" s="257"/>
      <c r="X412" s="256"/>
    </row>
    <row r="413" spans="1:24" ht="12.75">
      <c r="A413" s="255"/>
      <c r="B413" s="256"/>
      <c r="C413" s="257"/>
      <c r="D413" s="256"/>
      <c r="E413" s="257"/>
      <c r="F413" s="256"/>
      <c r="G413" s="257"/>
      <c r="H413" s="256"/>
      <c r="I413" s="257"/>
      <c r="J413" s="256"/>
      <c r="K413" s="257"/>
      <c r="L413" s="256"/>
      <c r="M413" s="257"/>
      <c r="N413" s="256"/>
      <c r="O413" s="257"/>
      <c r="P413" s="256"/>
      <c r="Q413" s="257"/>
      <c r="R413" s="256"/>
      <c r="S413" s="257"/>
      <c r="T413" s="256"/>
      <c r="U413" s="257"/>
      <c r="V413" s="256"/>
      <c r="W413" s="257"/>
      <c r="X413" s="256"/>
    </row>
    <row r="414" spans="1:24" ht="12.75">
      <c r="A414" s="255"/>
      <c r="B414" s="256"/>
      <c r="C414" s="257"/>
      <c r="D414" s="256"/>
      <c r="E414" s="257"/>
      <c r="F414" s="256"/>
      <c r="G414" s="257"/>
      <c r="H414" s="256"/>
      <c r="I414" s="257"/>
      <c r="J414" s="256"/>
      <c r="K414" s="257"/>
      <c r="L414" s="256"/>
      <c r="M414" s="257"/>
      <c r="N414" s="256"/>
      <c r="O414" s="257"/>
      <c r="P414" s="256"/>
      <c r="Q414" s="257"/>
      <c r="R414" s="256"/>
      <c r="S414" s="257"/>
      <c r="T414" s="256"/>
      <c r="U414" s="257"/>
      <c r="V414" s="256"/>
      <c r="W414" s="257"/>
      <c r="X414" s="256"/>
    </row>
    <row r="415" spans="1:24" ht="12.75">
      <c r="A415" s="255"/>
      <c r="B415" s="256"/>
      <c r="C415" s="257"/>
      <c r="D415" s="256"/>
      <c r="E415" s="257"/>
      <c r="F415" s="256"/>
      <c r="G415" s="257"/>
      <c r="H415" s="256"/>
      <c r="I415" s="257"/>
      <c r="J415" s="256"/>
      <c r="K415" s="257"/>
      <c r="L415" s="256"/>
      <c r="M415" s="257"/>
      <c r="N415" s="256"/>
      <c r="O415" s="257"/>
      <c r="P415" s="256"/>
      <c r="Q415" s="257"/>
      <c r="R415" s="256"/>
      <c r="S415" s="257"/>
      <c r="T415" s="256"/>
      <c r="U415" s="257"/>
      <c r="V415" s="256"/>
      <c r="W415" s="257"/>
      <c r="X415" s="256"/>
    </row>
    <row r="416" spans="1:24" ht="12.75">
      <c r="A416" s="255"/>
      <c r="B416" s="256"/>
      <c r="C416" s="257"/>
      <c r="D416" s="256"/>
      <c r="E416" s="257"/>
      <c r="F416" s="256"/>
      <c r="G416" s="257"/>
      <c r="H416" s="256"/>
      <c r="I416" s="257"/>
      <c r="J416" s="256"/>
      <c r="K416" s="257"/>
      <c r="L416" s="256"/>
      <c r="M416" s="257"/>
      <c r="N416" s="256"/>
      <c r="O416" s="257"/>
      <c r="P416" s="256"/>
      <c r="Q416" s="257"/>
      <c r="R416" s="256"/>
      <c r="S416" s="257"/>
      <c r="T416" s="256"/>
      <c r="U416" s="257"/>
      <c r="V416" s="256"/>
      <c r="W416" s="257"/>
      <c r="X416" s="256"/>
    </row>
    <row r="417" spans="1:24" ht="12.75">
      <c r="A417" s="255"/>
      <c r="B417" s="256"/>
      <c r="C417" s="257"/>
      <c r="D417" s="256"/>
      <c r="E417" s="257"/>
      <c r="F417" s="256"/>
      <c r="G417" s="257"/>
      <c r="H417" s="256"/>
      <c r="I417" s="257"/>
      <c r="J417" s="256"/>
      <c r="K417" s="257"/>
      <c r="L417" s="256"/>
      <c r="M417" s="257"/>
      <c r="N417" s="256"/>
      <c r="O417" s="257"/>
      <c r="P417" s="256"/>
      <c r="Q417" s="257"/>
      <c r="R417" s="256"/>
      <c r="S417" s="257"/>
      <c r="T417" s="256"/>
      <c r="U417" s="257"/>
      <c r="V417" s="256"/>
      <c r="W417" s="257"/>
      <c r="X417" s="256"/>
    </row>
    <row r="418" spans="1:24" ht="12.75">
      <c r="A418" s="255"/>
      <c r="B418" s="256"/>
      <c r="C418" s="257"/>
      <c r="D418" s="256"/>
      <c r="E418" s="257"/>
      <c r="F418" s="256"/>
      <c r="G418" s="257"/>
      <c r="H418" s="256"/>
      <c r="I418" s="257"/>
      <c r="J418" s="256"/>
      <c r="K418" s="257"/>
      <c r="L418" s="256"/>
      <c r="M418" s="257"/>
      <c r="N418" s="256"/>
      <c r="O418" s="257"/>
      <c r="P418" s="256"/>
      <c r="Q418" s="257"/>
      <c r="R418" s="256"/>
      <c r="S418" s="257"/>
      <c r="T418" s="256"/>
      <c r="U418" s="257"/>
      <c r="V418" s="256"/>
      <c r="W418" s="257"/>
      <c r="X418" s="256"/>
    </row>
    <row r="419" spans="1:24" ht="12.75">
      <c r="A419" s="255"/>
      <c r="B419" s="256"/>
      <c r="C419" s="257"/>
      <c r="D419" s="256"/>
      <c r="E419" s="257"/>
      <c r="F419" s="256"/>
      <c r="G419" s="257"/>
      <c r="H419" s="256"/>
      <c r="I419" s="257"/>
      <c r="J419" s="256"/>
      <c r="K419" s="257"/>
      <c r="L419" s="256"/>
      <c r="M419" s="257"/>
      <c r="N419" s="256"/>
      <c r="O419" s="257"/>
      <c r="P419" s="256"/>
      <c r="Q419" s="257"/>
      <c r="R419" s="256"/>
      <c r="S419" s="257"/>
      <c r="T419" s="256"/>
      <c r="U419" s="257"/>
      <c r="V419" s="256"/>
      <c r="W419" s="257"/>
      <c r="X419" s="256"/>
    </row>
    <row r="420" spans="1:24" ht="12.75">
      <c r="A420" s="255"/>
      <c r="B420" s="256"/>
      <c r="C420" s="257"/>
      <c r="D420" s="256"/>
      <c r="E420" s="257"/>
      <c r="F420" s="256"/>
      <c r="G420" s="257"/>
      <c r="H420" s="256"/>
      <c r="I420" s="257"/>
      <c r="J420" s="256"/>
      <c r="K420" s="257"/>
      <c r="L420" s="256"/>
      <c r="M420" s="257"/>
      <c r="N420" s="256"/>
      <c r="O420" s="257"/>
      <c r="P420" s="256"/>
      <c r="Q420" s="257"/>
      <c r="R420" s="256"/>
      <c r="S420" s="257"/>
      <c r="T420" s="256"/>
      <c r="U420" s="257"/>
      <c r="V420" s="256"/>
      <c r="W420" s="257"/>
      <c r="X420" s="256"/>
    </row>
    <row r="421" spans="1:24" ht="12.75">
      <c r="A421" s="255"/>
      <c r="B421" s="256"/>
      <c r="C421" s="257"/>
      <c r="D421" s="256"/>
      <c r="E421" s="257"/>
      <c r="F421" s="256"/>
      <c r="G421" s="257"/>
      <c r="H421" s="256"/>
      <c r="I421" s="257"/>
      <c r="J421" s="256"/>
      <c r="K421" s="257"/>
      <c r="L421" s="256"/>
      <c r="M421" s="257"/>
      <c r="N421" s="256"/>
      <c r="O421" s="257"/>
      <c r="P421" s="256"/>
      <c r="Q421" s="257"/>
      <c r="R421" s="256"/>
      <c r="S421" s="257"/>
      <c r="T421" s="256"/>
      <c r="U421" s="257"/>
      <c r="V421" s="256"/>
      <c r="W421" s="257"/>
      <c r="X421" s="256"/>
    </row>
    <row r="422" spans="1:24" ht="12.75">
      <c r="A422" s="255"/>
      <c r="B422" s="256"/>
      <c r="C422" s="257"/>
      <c r="D422" s="256"/>
      <c r="E422" s="257"/>
      <c r="F422" s="256"/>
      <c r="G422" s="257"/>
      <c r="H422" s="256"/>
      <c r="I422" s="257"/>
      <c r="J422" s="256"/>
      <c r="K422" s="257"/>
      <c r="L422" s="256"/>
      <c r="M422" s="257"/>
      <c r="N422" s="256"/>
      <c r="O422" s="257"/>
      <c r="P422" s="256"/>
      <c r="Q422" s="257"/>
      <c r="R422" s="256"/>
      <c r="S422" s="257"/>
      <c r="T422" s="256"/>
      <c r="U422" s="257"/>
      <c r="V422" s="256"/>
      <c r="W422" s="257"/>
      <c r="X422" s="256"/>
    </row>
    <row r="423" spans="1:24" ht="12.75">
      <c r="A423" s="255"/>
      <c r="B423" s="256"/>
      <c r="C423" s="257"/>
      <c r="D423" s="256"/>
      <c r="E423" s="257"/>
      <c r="F423" s="256"/>
      <c r="G423" s="257"/>
      <c r="H423" s="256"/>
      <c r="I423" s="257"/>
      <c r="J423" s="256"/>
      <c r="K423" s="257"/>
      <c r="L423" s="256"/>
      <c r="M423" s="257"/>
      <c r="N423" s="256"/>
      <c r="O423" s="257"/>
      <c r="P423" s="256"/>
      <c r="Q423" s="257"/>
      <c r="R423" s="256"/>
      <c r="S423" s="257"/>
      <c r="T423" s="256"/>
      <c r="U423" s="257"/>
      <c r="V423" s="256"/>
      <c r="W423" s="257"/>
      <c r="X423" s="256"/>
    </row>
    <row r="424" spans="1:24" ht="12.75">
      <c r="A424" s="255"/>
      <c r="B424" s="256"/>
      <c r="C424" s="257"/>
      <c r="D424" s="256"/>
      <c r="E424" s="257"/>
      <c r="F424" s="256"/>
      <c r="G424" s="257"/>
      <c r="H424" s="256"/>
      <c r="I424" s="257"/>
      <c r="J424" s="256"/>
      <c r="K424" s="257"/>
      <c r="L424" s="256"/>
      <c r="M424" s="257"/>
      <c r="N424" s="256"/>
      <c r="O424" s="257"/>
      <c r="P424" s="256"/>
      <c r="Q424" s="257"/>
      <c r="R424" s="256"/>
      <c r="S424" s="257"/>
      <c r="T424" s="256"/>
      <c r="U424" s="257"/>
      <c r="V424" s="256"/>
      <c r="W424" s="257"/>
      <c r="X424" s="256"/>
    </row>
    <row r="425" spans="1:24" ht="12.75">
      <c r="A425" s="255"/>
      <c r="B425" s="256"/>
      <c r="C425" s="257"/>
      <c r="D425" s="256"/>
      <c r="E425" s="257"/>
      <c r="F425" s="256"/>
      <c r="G425" s="257"/>
      <c r="H425" s="256"/>
      <c r="I425" s="257"/>
      <c r="J425" s="256"/>
      <c r="K425" s="257"/>
      <c r="L425" s="256"/>
      <c r="M425" s="257"/>
      <c r="N425" s="256"/>
      <c r="O425" s="257"/>
      <c r="P425" s="256"/>
      <c r="Q425" s="257"/>
      <c r="R425" s="256"/>
      <c r="S425" s="257"/>
      <c r="T425" s="256"/>
      <c r="U425" s="257"/>
      <c r="V425" s="256"/>
      <c r="W425" s="257"/>
      <c r="X425" s="256"/>
    </row>
    <row r="426" spans="1:24" ht="12.75">
      <c r="A426" s="255"/>
      <c r="B426" s="256"/>
      <c r="C426" s="257"/>
      <c r="D426" s="256"/>
      <c r="E426" s="257"/>
      <c r="F426" s="256"/>
      <c r="G426" s="257"/>
      <c r="H426" s="256"/>
      <c r="I426" s="257"/>
      <c r="J426" s="256"/>
      <c r="K426" s="257"/>
      <c r="L426" s="256"/>
      <c r="M426" s="257"/>
      <c r="N426" s="256"/>
      <c r="O426" s="257"/>
      <c r="P426" s="256"/>
      <c r="Q426" s="257"/>
      <c r="R426" s="256"/>
      <c r="S426" s="257"/>
      <c r="T426" s="256"/>
      <c r="U426" s="257"/>
      <c r="V426" s="256"/>
      <c r="W426" s="257"/>
      <c r="X426" s="256"/>
    </row>
    <row r="427" spans="1:24" ht="12.75">
      <c r="A427" s="255"/>
      <c r="B427" s="256"/>
      <c r="C427" s="257"/>
      <c r="D427" s="256"/>
      <c r="E427" s="257"/>
      <c r="F427" s="256"/>
      <c r="G427" s="257"/>
      <c r="H427" s="256"/>
      <c r="I427" s="257"/>
      <c r="J427" s="256"/>
      <c r="K427" s="257"/>
      <c r="L427" s="256"/>
      <c r="M427" s="257"/>
      <c r="N427" s="256"/>
      <c r="O427" s="257"/>
      <c r="P427" s="256"/>
      <c r="Q427" s="257"/>
      <c r="R427" s="256"/>
      <c r="S427" s="257"/>
      <c r="T427" s="256"/>
      <c r="U427" s="257"/>
      <c r="V427" s="256"/>
      <c r="W427" s="257"/>
      <c r="X427" s="256"/>
    </row>
    <row r="428" spans="1:24" ht="12.75">
      <c r="A428" s="255"/>
      <c r="B428" s="256"/>
      <c r="C428" s="257"/>
      <c r="D428" s="256"/>
      <c r="E428" s="257"/>
      <c r="F428" s="256"/>
      <c r="G428" s="257"/>
      <c r="H428" s="256"/>
      <c r="I428" s="257"/>
      <c r="J428" s="256"/>
      <c r="K428" s="257"/>
      <c r="L428" s="256"/>
      <c r="M428" s="257"/>
      <c r="N428" s="256"/>
      <c r="O428" s="257"/>
      <c r="P428" s="256"/>
      <c r="Q428" s="257"/>
      <c r="R428" s="256"/>
      <c r="S428" s="257"/>
      <c r="T428" s="256"/>
      <c r="U428" s="257"/>
      <c r="V428" s="256"/>
      <c r="W428" s="257"/>
      <c r="X428" s="256"/>
    </row>
    <row r="429" spans="1:24" ht="12.75">
      <c r="A429" s="255"/>
      <c r="B429" s="256"/>
      <c r="C429" s="257"/>
      <c r="D429" s="256"/>
      <c r="E429" s="257"/>
      <c r="F429" s="256"/>
      <c r="G429" s="257"/>
      <c r="H429" s="256"/>
      <c r="I429" s="257"/>
      <c r="J429" s="256"/>
      <c r="K429" s="257"/>
      <c r="L429" s="256"/>
      <c r="M429" s="257"/>
      <c r="N429" s="256"/>
      <c r="O429" s="257"/>
      <c r="P429" s="256"/>
      <c r="Q429" s="257"/>
      <c r="R429" s="256"/>
      <c r="S429" s="257"/>
      <c r="T429" s="256"/>
      <c r="U429" s="257"/>
      <c r="V429" s="256"/>
      <c r="W429" s="257"/>
      <c r="X429" s="256"/>
    </row>
    <row r="430" spans="1:24" ht="12.75">
      <c r="A430" s="255"/>
      <c r="B430" s="256"/>
      <c r="C430" s="257"/>
      <c r="D430" s="256"/>
      <c r="E430" s="257"/>
      <c r="F430" s="256"/>
      <c r="G430" s="257"/>
      <c r="H430" s="256"/>
      <c r="I430" s="257"/>
      <c r="J430" s="256"/>
      <c r="K430" s="257"/>
      <c r="L430" s="256"/>
      <c r="M430" s="257"/>
      <c r="N430" s="256"/>
      <c r="O430" s="257"/>
      <c r="P430" s="256"/>
      <c r="Q430" s="257"/>
      <c r="R430" s="256"/>
      <c r="S430" s="257"/>
      <c r="T430" s="256"/>
      <c r="U430" s="257"/>
      <c r="V430" s="256"/>
      <c r="W430" s="257"/>
      <c r="X430" s="256"/>
    </row>
    <row r="431" spans="1:24" ht="12.75">
      <c r="A431" s="255"/>
      <c r="B431" s="256"/>
      <c r="C431" s="257"/>
      <c r="D431" s="256"/>
      <c r="E431" s="257"/>
      <c r="F431" s="256"/>
      <c r="G431" s="257"/>
      <c r="H431" s="256"/>
      <c r="I431" s="257"/>
      <c r="J431" s="256"/>
      <c r="K431" s="257"/>
      <c r="L431" s="256"/>
      <c r="M431" s="257"/>
      <c r="N431" s="256"/>
      <c r="O431" s="257"/>
      <c r="P431" s="256"/>
      <c r="Q431" s="257"/>
      <c r="R431" s="256"/>
      <c r="S431" s="257"/>
      <c r="T431" s="256"/>
      <c r="U431" s="257"/>
      <c r="V431" s="256"/>
      <c r="W431" s="257"/>
      <c r="X431" s="256"/>
    </row>
    <row r="432" spans="1:24" ht="12.75">
      <c r="A432" s="255"/>
      <c r="B432" s="256"/>
      <c r="C432" s="257"/>
      <c r="D432" s="256"/>
      <c r="E432" s="257"/>
      <c r="F432" s="256"/>
      <c r="G432" s="257"/>
      <c r="H432" s="256"/>
      <c r="I432" s="257"/>
      <c r="J432" s="256"/>
      <c r="K432" s="257"/>
      <c r="L432" s="256"/>
      <c r="M432" s="257"/>
      <c r="N432" s="256"/>
      <c r="O432" s="257"/>
      <c r="P432" s="256"/>
      <c r="Q432" s="257"/>
      <c r="R432" s="256"/>
      <c r="S432" s="257"/>
      <c r="T432" s="256"/>
      <c r="U432" s="257"/>
      <c r="V432" s="256"/>
      <c r="W432" s="257"/>
      <c r="X432" s="256"/>
    </row>
    <row r="433" spans="1:24" ht="12.75">
      <c r="A433" s="255"/>
      <c r="B433" s="256"/>
      <c r="C433" s="257"/>
      <c r="D433" s="256"/>
      <c r="E433" s="257"/>
      <c r="F433" s="256"/>
      <c r="G433" s="257"/>
      <c r="H433" s="256"/>
      <c r="I433" s="257"/>
      <c r="J433" s="256"/>
      <c r="K433" s="257"/>
      <c r="L433" s="256"/>
      <c r="M433" s="257"/>
      <c r="N433" s="256"/>
      <c r="O433" s="257"/>
      <c r="P433" s="256"/>
      <c r="Q433" s="257"/>
      <c r="R433" s="256"/>
      <c r="S433" s="257"/>
      <c r="T433" s="256"/>
      <c r="U433" s="257"/>
      <c r="V433" s="256"/>
      <c r="W433" s="257"/>
      <c r="X433" s="256"/>
    </row>
    <row r="434" spans="1:24" ht="12.75">
      <c r="A434" s="255"/>
      <c r="B434" s="256"/>
      <c r="C434" s="257"/>
      <c r="D434" s="256"/>
      <c r="E434" s="257"/>
      <c r="F434" s="256"/>
      <c r="G434" s="257"/>
      <c r="H434" s="256"/>
      <c r="I434" s="257"/>
      <c r="J434" s="256"/>
      <c r="K434" s="257"/>
      <c r="L434" s="256"/>
      <c r="M434" s="257"/>
      <c r="N434" s="256"/>
      <c r="O434" s="257"/>
      <c r="P434" s="256"/>
      <c r="Q434" s="257"/>
      <c r="R434" s="256"/>
      <c r="S434" s="257"/>
      <c r="T434" s="256"/>
      <c r="U434" s="257"/>
      <c r="V434" s="256"/>
      <c r="W434" s="257"/>
      <c r="X434" s="256"/>
    </row>
    <row r="435" spans="1:24" ht="12.75">
      <c r="A435" s="255"/>
      <c r="B435" s="256"/>
      <c r="C435" s="257"/>
      <c r="D435" s="256"/>
      <c r="E435" s="257"/>
      <c r="F435" s="256"/>
      <c r="G435" s="257"/>
      <c r="H435" s="256"/>
      <c r="I435" s="257"/>
      <c r="J435" s="256"/>
      <c r="K435" s="257"/>
      <c r="L435" s="256"/>
      <c r="M435" s="257"/>
      <c r="N435" s="256"/>
      <c r="O435" s="257"/>
      <c r="P435" s="256"/>
      <c r="Q435" s="257"/>
      <c r="R435" s="256"/>
      <c r="S435" s="257"/>
      <c r="T435" s="256"/>
      <c r="U435" s="257"/>
      <c r="V435" s="256"/>
      <c r="W435" s="257"/>
      <c r="X435" s="256"/>
    </row>
    <row r="436" spans="1:24" ht="12.75">
      <c r="A436" s="255"/>
      <c r="B436" s="256"/>
      <c r="C436" s="257"/>
      <c r="D436" s="256"/>
      <c r="E436" s="257"/>
      <c r="F436" s="256"/>
      <c r="G436" s="257"/>
      <c r="H436" s="256"/>
      <c r="I436" s="257"/>
      <c r="J436" s="256"/>
      <c r="K436" s="257"/>
      <c r="L436" s="256"/>
      <c r="M436" s="257"/>
      <c r="N436" s="256"/>
      <c r="O436" s="257"/>
      <c r="P436" s="256"/>
      <c r="Q436" s="257"/>
      <c r="R436" s="256"/>
      <c r="S436" s="257"/>
      <c r="T436" s="256"/>
      <c r="U436" s="257"/>
      <c r="V436" s="256"/>
      <c r="W436" s="257"/>
      <c r="X436" s="256"/>
    </row>
    <row r="437" spans="1:24" ht="12.75">
      <c r="A437" s="255"/>
      <c r="B437" s="256"/>
      <c r="C437" s="257"/>
      <c r="D437" s="256"/>
      <c r="E437" s="257"/>
      <c r="F437" s="256"/>
      <c r="G437" s="257"/>
      <c r="H437" s="256"/>
      <c r="I437" s="257"/>
      <c r="J437" s="256"/>
      <c r="K437" s="257"/>
      <c r="L437" s="256"/>
      <c r="M437" s="257"/>
      <c r="N437" s="256"/>
      <c r="O437" s="257"/>
      <c r="P437" s="256"/>
      <c r="Q437" s="257"/>
      <c r="R437" s="256"/>
      <c r="S437" s="257"/>
      <c r="T437" s="256"/>
      <c r="U437" s="257"/>
      <c r="V437" s="256"/>
      <c r="W437" s="257"/>
      <c r="X437" s="256"/>
    </row>
    <row r="438" spans="1:24" ht="12.75">
      <c r="A438" s="255"/>
      <c r="B438" s="256"/>
      <c r="C438" s="257"/>
      <c r="D438" s="256"/>
      <c r="E438" s="257"/>
      <c r="F438" s="256"/>
      <c r="G438" s="257"/>
      <c r="H438" s="256"/>
      <c r="I438" s="257"/>
      <c r="J438" s="256"/>
      <c r="K438" s="257"/>
      <c r="L438" s="256"/>
      <c r="M438" s="257"/>
      <c r="N438" s="256"/>
      <c r="O438" s="257"/>
      <c r="P438" s="256"/>
      <c r="Q438" s="257"/>
      <c r="R438" s="256"/>
      <c r="S438" s="257"/>
      <c r="T438" s="256"/>
      <c r="U438" s="257"/>
      <c r="V438" s="256"/>
      <c r="W438" s="257"/>
      <c r="X438" s="256"/>
    </row>
    <row r="439" spans="1:24" ht="12.75">
      <c r="A439" s="255"/>
      <c r="B439" s="256"/>
      <c r="C439" s="257"/>
      <c r="D439" s="256"/>
      <c r="E439" s="257"/>
      <c r="F439" s="256"/>
      <c r="G439" s="257"/>
      <c r="H439" s="256"/>
      <c r="I439" s="257"/>
      <c r="J439" s="256"/>
      <c r="K439" s="257"/>
      <c r="L439" s="256"/>
      <c r="M439" s="257"/>
      <c r="N439" s="256"/>
      <c r="O439" s="257"/>
      <c r="P439" s="256"/>
      <c r="Q439" s="257"/>
      <c r="R439" s="256"/>
      <c r="S439" s="257"/>
      <c r="T439" s="256"/>
      <c r="U439" s="257"/>
      <c r="V439" s="256"/>
      <c r="W439" s="257"/>
      <c r="X439" s="256"/>
    </row>
    <row r="440" spans="1:24" ht="12.75">
      <c r="A440" s="255"/>
      <c r="B440" s="256"/>
      <c r="C440" s="257"/>
      <c r="D440" s="256"/>
      <c r="E440" s="257"/>
      <c r="F440" s="256"/>
      <c r="G440" s="257"/>
      <c r="H440" s="256"/>
      <c r="I440" s="257"/>
      <c r="J440" s="256"/>
      <c r="K440" s="257"/>
      <c r="L440" s="256"/>
      <c r="M440" s="257"/>
      <c r="N440" s="256"/>
      <c r="O440" s="257"/>
      <c r="P440" s="256"/>
      <c r="Q440" s="257"/>
      <c r="R440" s="256"/>
      <c r="S440" s="257"/>
      <c r="T440" s="256"/>
      <c r="U440" s="257"/>
      <c r="V440" s="256"/>
      <c r="W440" s="257"/>
      <c r="X440" s="256"/>
    </row>
    <row r="441" spans="1:24" ht="12.75">
      <c r="A441" s="255"/>
      <c r="B441" s="256"/>
      <c r="C441" s="257"/>
      <c r="D441" s="256"/>
      <c r="E441" s="257"/>
      <c r="F441" s="256"/>
      <c r="G441" s="257"/>
      <c r="H441" s="256"/>
      <c r="I441" s="257"/>
      <c r="J441" s="256"/>
      <c r="K441" s="257"/>
      <c r="L441" s="256"/>
      <c r="M441" s="257"/>
      <c r="N441" s="256"/>
      <c r="O441" s="257"/>
      <c r="P441" s="256"/>
      <c r="Q441" s="257"/>
      <c r="R441" s="256"/>
      <c r="S441" s="257"/>
      <c r="T441" s="256"/>
      <c r="U441" s="257"/>
      <c r="V441" s="256"/>
      <c r="W441" s="257"/>
      <c r="X441" s="256"/>
    </row>
    <row r="442" spans="1:24" ht="12.75">
      <c r="A442" s="255"/>
      <c r="B442" s="256"/>
      <c r="C442" s="257"/>
      <c r="D442" s="256"/>
      <c r="E442" s="257"/>
      <c r="F442" s="256"/>
      <c r="G442" s="257"/>
      <c r="H442" s="256"/>
      <c r="I442" s="257"/>
      <c r="J442" s="256"/>
      <c r="K442" s="257"/>
      <c r="L442" s="256"/>
      <c r="M442" s="257"/>
      <c r="N442" s="256"/>
      <c r="O442" s="257"/>
      <c r="P442" s="256"/>
      <c r="Q442" s="257"/>
      <c r="R442" s="256"/>
      <c r="S442" s="257"/>
      <c r="T442" s="256"/>
      <c r="U442" s="257"/>
      <c r="V442" s="256"/>
      <c r="W442" s="257"/>
      <c r="X442" s="256"/>
    </row>
    <row r="443" spans="1:24" ht="12.75">
      <c r="A443" s="255"/>
      <c r="B443" s="256"/>
      <c r="C443" s="257"/>
      <c r="D443" s="256"/>
      <c r="E443" s="257"/>
      <c r="F443" s="256"/>
      <c r="G443" s="257"/>
      <c r="H443" s="256"/>
      <c r="I443" s="257"/>
      <c r="J443" s="256"/>
      <c r="K443" s="257"/>
      <c r="L443" s="256"/>
      <c r="M443" s="257"/>
      <c r="N443" s="256"/>
      <c r="O443" s="257"/>
      <c r="P443" s="256"/>
      <c r="Q443" s="257"/>
      <c r="R443" s="256"/>
      <c r="S443" s="257"/>
      <c r="T443" s="256"/>
      <c r="U443" s="257"/>
      <c r="V443" s="256"/>
      <c r="W443" s="257"/>
      <c r="X443" s="256"/>
    </row>
    <row r="444" spans="1:24" ht="12.75">
      <c r="A444" s="255"/>
      <c r="B444" s="256"/>
      <c r="C444" s="257"/>
      <c r="D444" s="256"/>
      <c r="E444" s="257"/>
      <c r="F444" s="256"/>
      <c r="G444" s="257"/>
      <c r="H444" s="256"/>
      <c r="I444" s="257"/>
      <c r="J444" s="256"/>
      <c r="K444" s="257"/>
      <c r="L444" s="256"/>
      <c r="M444" s="257"/>
      <c r="N444" s="256"/>
      <c r="O444" s="257"/>
      <c r="P444" s="256"/>
      <c r="Q444" s="257"/>
      <c r="R444" s="256"/>
      <c r="S444" s="257"/>
      <c r="T444" s="256"/>
      <c r="U444" s="257"/>
      <c r="V444" s="256"/>
      <c r="W444" s="257"/>
      <c r="X444" s="256"/>
    </row>
    <row r="445" spans="1:24" ht="12.75">
      <c r="A445" s="255"/>
      <c r="B445" s="256"/>
      <c r="C445" s="257"/>
      <c r="D445" s="256"/>
      <c r="E445" s="257"/>
      <c r="F445" s="256"/>
      <c r="G445" s="257"/>
      <c r="H445" s="256"/>
      <c r="I445" s="257"/>
      <c r="J445" s="256"/>
      <c r="K445" s="257"/>
      <c r="L445" s="256"/>
      <c r="M445" s="257"/>
      <c r="N445" s="256"/>
      <c r="O445" s="257"/>
      <c r="P445" s="256"/>
      <c r="Q445" s="257"/>
      <c r="R445" s="256"/>
      <c r="S445" s="257"/>
      <c r="T445" s="256"/>
      <c r="U445" s="257"/>
      <c r="V445" s="256"/>
      <c r="W445" s="257"/>
      <c r="X445" s="256"/>
    </row>
    <row r="446" spans="1:24" ht="12.75">
      <c r="A446" s="255"/>
      <c r="B446" s="256"/>
      <c r="C446" s="257"/>
      <c r="D446" s="256"/>
      <c r="E446" s="257"/>
      <c r="F446" s="256"/>
      <c r="G446" s="257"/>
      <c r="H446" s="256"/>
      <c r="I446" s="257"/>
      <c r="J446" s="256"/>
      <c r="K446" s="257"/>
      <c r="L446" s="256"/>
      <c r="M446" s="257"/>
      <c r="N446" s="256"/>
      <c r="O446" s="257"/>
      <c r="P446" s="256"/>
      <c r="Q446" s="257"/>
      <c r="R446" s="256"/>
      <c r="S446" s="257"/>
      <c r="T446" s="256"/>
      <c r="U446" s="257"/>
      <c r="V446" s="256"/>
      <c r="W446" s="257"/>
      <c r="X446" s="256"/>
    </row>
    <row r="447" spans="1:24" ht="12.75">
      <c r="A447" s="255"/>
      <c r="B447" s="256"/>
      <c r="C447" s="257"/>
      <c r="D447" s="256"/>
      <c r="E447" s="257"/>
      <c r="F447" s="256"/>
      <c r="G447" s="257"/>
      <c r="H447" s="256"/>
      <c r="I447" s="257"/>
      <c r="J447" s="256"/>
      <c r="K447" s="257"/>
      <c r="L447" s="256"/>
      <c r="M447" s="257"/>
      <c r="N447" s="256"/>
      <c r="O447" s="257"/>
      <c r="P447" s="256"/>
      <c r="Q447" s="257"/>
      <c r="R447" s="256"/>
      <c r="S447" s="257"/>
      <c r="T447" s="256"/>
      <c r="U447" s="257"/>
      <c r="V447" s="256"/>
      <c r="W447" s="257"/>
      <c r="X447" s="256"/>
    </row>
    <row r="448" spans="1:24" ht="12.75">
      <c r="A448" s="255"/>
      <c r="B448" s="256"/>
      <c r="C448" s="257"/>
      <c r="D448" s="256"/>
      <c r="E448" s="257"/>
      <c r="F448" s="256"/>
      <c r="G448" s="257"/>
      <c r="H448" s="256"/>
      <c r="I448" s="257"/>
      <c r="J448" s="256"/>
      <c r="K448" s="257"/>
      <c r="L448" s="256"/>
      <c r="M448" s="257"/>
      <c r="N448" s="256"/>
      <c r="O448" s="257"/>
      <c r="P448" s="256"/>
      <c r="Q448" s="257"/>
      <c r="R448" s="256"/>
      <c r="S448" s="257"/>
      <c r="T448" s="256"/>
      <c r="U448" s="257"/>
      <c r="V448" s="256"/>
      <c r="W448" s="257"/>
      <c r="X448" s="256"/>
    </row>
    <row r="449" spans="1:24" ht="12.75">
      <c r="A449" s="255"/>
      <c r="B449" s="256"/>
      <c r="C449" s="257"/>
      <c r="D449" s="256"/>
      <c r="E449" s="257"/>
      <c r="F449" s="256"/>
      <c r="G449" s="257"/>
      <c r="H449" s="256"/>
      <c r="I449" s="257"/>
      <c r="J449" s="256"/>
      <c r="K449" s="257"/>
      <c r="L449" s="256"/>
      <c r="M449" s="257"/>
      <c r="N449" s="256"/>
      <c r="O449" s="257"/>
      <c r="P449" s="256"/>
      <c r="Q449" s="257"/>
      <c r="R449" s="256"/>
      <c r="S449" s="257"/>
      <c r="T449" s="256"/>
      <c r="U449" s="257"/>
      <c r="V449" s="256"/>
      <c r="W449" s="257"/>
      <c r="X449" s="256"/>
    </row>
    <row r="450" spans="1:24" ht="12.75">
      <c r="A450" s="255"/>
      <c r="B450" s="256"/>
      <c r="C450" s="257"/>
      <c r="D450" s="256"/>
      <c r="E450" s="257"/>
      <c r="F450" s="256"/>
      <c r="G450" s="257"/>
      <c r="H450" s="256"/>
      <c r="I450" s="257"/>
      <c r="J450" s="256"/>
      <c r="K450" s="257"/>
      <c r="L450" s="256"/>
      <c r="M450" s="257"/>
      <c r="N450" s="256"/>
      <c r="O450" s="257"/>
      <c r="P450" s="256"/>
      <c r="Q450" s="257"/>
      <c r="R450" s="256"/>
      <c r="S450" s="257"/>
      <c r="T450" s="256"/>
      <c r="U450" s="257"/>
      <c r="V450" s="256"/>
      <c r="W450" s="257"/>
      <c r="X450" s="256"/>
    </row>
    <row r="451" spans="1:24" ht="12.75">
      <c r="A451" s="255"/>
      <c r="B451" s="256"/>
      <c r="C451" s="257"/>
      <c r="D451" s="256"/>
      <c r="E451" s="257"/>
      <c r="F451" s="256"/>
      <c r="G451" s="257"/>
      <c r="H451" s="256"/>
      <c r="I451" s="257"/>
      <c r="J451" s="256"/>
      <c r="K451" s="257"/>
      <c r="L451" s="256"/>
      <c r="M451" s="257"/>
      <c r="N451" s="256"/>
      <c r="O451" s="257"/>
      <c r="P451" s="256"/>
      <c r="Q451" s="257"/>
      <c r="R451" s="256"/>
      <c r="S451" s="257"/>
      <c r="T451" s="256"/>
      <c r="U451" s="257"/>
      <c r="V451" s="256"/>
      <c r="W451" s="257"/>
      <c r="X451" s="256"/>
    </row>
    <row r="452" spans="1:24" ht="12.75">
      <c r="A452" s="255"/>
      <c r="B452" s="256"/>
      <c r="C452" s="257"/>
      <c r="D452" s="256"/>
      <c r="E452" s="257"/>
      <c r="F452" s="256"/>
      <c r="G452" s="257"/>
      <c r="H452" s="256"/>
      <c r="I452" s="257"/>
      <c r="J452" s="256"/>
      <c r="K452" s="257"/>
      <c r="L452" s="256"/>
      <c r="M452" s="257"/>
      <c r="N452" s="256"/>
      <c r="O452" s="257"/>
      <c r="P452" s="256"/>
      <c r="Q452" s="257"/>
      <c r="R452" s="256"/>
      <c r="S452" s="257"/>
      <c r="T452" s="256"/>
      <c r="U452" s="257"/>
      <c r="V452" s="256"/>
      <c r="W452" s="257"/>
      <c r="X452" s="256"/>
    </row>
    <row r="453" spans="1:24" ht="12.75">
      <c r="A453" s="255"/>
      <c r="B453" s="256"/>
      <c r="C453" s="257"/>
      <c r="D453" s="256"/>
      <c r="E453" s="257"/>
      <c r="F453" s="256"/>
      <c r="G453" s="257"/>
      <c r="H453" s="256"/>
      <c r="I453" s="257"/>
      <c r="J453" s="256"/>
      <c r="K453" s="257"/>
      <c r="L453" s="256"/>
      <c r="M453" s="257"/>
      <c r="N453" s="256"/>
      <c r="O453" s="257"/>
      <c r="P453" s="256"/>
      <c r="Q453" s="257"/>
      <c r="R453" s="256"/>
      <c r="S453" s="257"/>
      <c r="T453" s="256"/>
      <c r="U453" s="257"/>
      <c r="V453" s="256"/>
      <c r="W453" s="257"/>
      <c r="X453" s="256"/>
    </row>
    <row r="454" spans="1:24" ht="12.75">
      <c r="A454" s="255"/>
      <c r="B454" s="256"/>
      <c r="C454" s="257"/>
      <c r="D454" s="256"/>
      <c r="E454" s="257"/>
      <c r="F454" s="256"/>
      <c r="G454" s="257"/>
      <c r="H454" s="256"/>
      <c r="I454" s="257"/>
      <c r="J454" s="256"/>
      <c r="K454" s="257"/>
      <c r="L454" s="256"/>
      <c r="M454" s="257"/>
      <c r="N454" s="256"/>
      <c r="O454" s="257"/>
      <c r="P454" s="256"/>
      <c r="Q454" s="257"/>
      <c r="R454" s="256"/>
      <c r="S454" s="257"/>
      <c r="T454" s="256"/>
      <c r="U454" s="257"/>
      <c r="V454" s="256"/>
      <c r="W454" s="257"/>
      <c r="X454" s="256"/>
    </row>
    <row r="455" spans="1:24" ht="12.75">
      <c r="A455" s="255"/>
      <c r="B455" s="256"/>
      <c r="C455" s="257"/>
      <c r="D455" s="256"/>
      <c r="E455" s="257"/>
      <c r="F455" s="256"/>
      <c r="G455" s="257"/>
      <c r="H455" s="256"/>
      <c r="I455" s="257"/>
      <c r="J455" s="256"/>
      <c r="K455" s="257"/>
      <c r="L455" s="256"/>
      <c r="M455" s="257"/>
      <c r="N455" s="256"/>
      <c r="O455" s="257"/>
      <c r="P455" s="256"/>
      <c r="Q455" s="257"/>
      <c r="R455" s="256"/>
      <c r="S455" s="257"/>
      <c r="T455" s="256"/>
      <c r="U455" s="257"/>
      <c r="V455" s="256"/>
      <c r="W455" s="257"/>
      <c r="X455" s="256"/>
    </row>
    <row r="456" spans="1:24" ht="12.75">
      <c r="A456" s="255"/>
      <c r="B456" s="256"/>
      <c r="C456" s="257"/>
      <c r="D456" s="256"/>
      <c r="E456" s="257"/>
      <c r="F456" s="256"/>
      <c r="G456" s="257"/>
      <c r="H456" s="256"/>
      <c r="I456" s="257"/>
      <c r="J456" s="256"/>
      <c r="K456" s="257"/>
      <c r="L456" s="256"/>
      <c r="M456" s="257"/>
      <c r="N456" s="256"/>
      <c r="O456" s="257"/>
      <c r="P456" s="256"/>
      <c r="Q456" s="257"/>
      <c r="R456" s="256"/>
      <c r="S456" s="257"/>
      <c r="T456" s="256"/>
      <c r="U456" s="257"/>
      <c r="V456" s="256"/>
      <c r="W456" s="257"/>
      <c r="X456" s="256"/>
    </row>
    <row r="457" spans="1:24" ht="12.75">
      <c r="A457" s="255"/>
      <c r="B457" s="256"/>
      <c r="C457" s="257"/>
      <c r="D457" s="256"/>
      <c r="E457" s="257"/>
      <c r="F457" s="256"/>
      <c r="G457" s="257"/>
      <c r="H457" s="256"/>
      <c r="I457" s="257"/>
      <c r="J457" s="256"/>
      <c r="K457" s="257"/>
      <c r="L457" s="256"/>
      <c r="M457" s="257"/>
      <c r="N457" s="256"/>
      <c r="O457" s="257"/>
      <c r="P457" s="256"/>
      <c r="Q457" s="257"/>
      <c r="R457" s="256"/>
      <c r="S457" s="257"/>
      <c r="T457" s="256"/>
      <c r="U457" s="257"/>
      <c r="V457" s="256"/>
      <c r="W457" s="257"/>
      <c r="X457" s="256"/>
    </row>
    <row r="458" spans="1:24" ht="12.75">
      <c r="A458" s="255"/>
      <c r="B458" s="256"/>
      <c r="C458" s="257"/>
      <c r="D458" s="256"/>
      <c r="E458" s="257"/>
      <c r="F458" s="256"/>
      <c r="G458" s="257"/>
      <c r="H458" s="256"/>
      <c r="I458" s="257"/>
      <c r="J458" s="256"/>
      <c r="K458" s="257"/>
      <c r="L458" s="256"/>
      <c r="M458" s="257"/>
      <c r="N458" s="256"/>
      <c r="O458" s="257"/>
      <c r="P458" s="256"/>
      <c r="Q458" s="257"/>
      <c r="R458" s="256"/>
      <c r="S458" s="257"/>
      <c r="T458" s="256"/>
      <c r="U458" s="257"/>
      <c r="V458" s="256"/>
      <c r="W458" s="257"/>
      <c r="X458" s="256"/>
    </row>
    <row r="459" spans="1:24" ht="12.75">
      <c r="A459" s="255"/>
      <c r="B459" s="256"/>
      <c r="C459" s="257"/>
      <c r="D459" s="256"/>
      <c r="E459" s="257"/>
      <c r="F459" s="256"/>
      <c r="G459" s="257"/>
      <c r="H459" s="256"/>
      <c r="I459" s="257"/>
      <c r="J459" s="256"/>
      <c r="K459" s="257"/>
      <c r="L459" s="256"/>
      <c r="M459" s="257"/>
      <c r="N459" s="256"/>
      <c r="O459" s="257"/>
      <c r="P459" s="256"/>
      <c r="Q459" s="257"/>
      <c r="R459" s="256"/>
      <c r="S459" s="257"/>
      <c r="T459" s="256"/>
      <c r="U459" s="257"/>
      <c r="V459" s="256"/>
      <c r="W459" s="257"/>
      <c r="X459" s="256"/>
    </row>
    <row r="460" spans="1:24" ht="12.75">
      <c r="A460" s="255"/>
      <c r="B460" s="256"/>
      <c r="C460" s="257"/>
      <c r="D460" s="256"/>
      <c r="E460" s="257"/>
      <c r="F460" s="256"/>
      <c r="G460" s="257"/>
      <c r="H460" s="256"/>
      <c r="I460" s="257"/>
      <c r="J460" s="256"/>
      <c r="K460" s="257"/>
      <c r="L460" s="256"/>
      <c r="M460" s="257"/>
      <c r="N460" s="256"/>
      <c r="O460" s="257"/>
      <c r="P460" s="256"/>
      <c r="Q460" s="257"/>
      <c r="R460" s="256"/>
      <c r="S460" s="257"/>
      <c r="T460" s="256"/>
      <c r="U460" s="257"/>
      <c r="V460" s="256"/>
      <c r="W460" s="257"/>
      <c r="X460" s="256"/>
    </row>
    <row r="461" spans="1:24" ht="12.75">
      <c r="A461" s="255"/>
      <c r="B461" s="256"/>
      <c r="C461" s="257"/>
      <c r="D461" s="256"/>
      <c r="E461" s="257"/>
      <c r="F461" s="256"/>
      <c r="G461" s="257"/>
      <c r="H461" s="256"/>
      <c r="I461" s="257"/>
      <c r="J461" s="256"/>
      <c r="K461" s="257"/>
      <c r="L461" s="256"/>
      <c r="M461" s="257"/>
      <c r="N461" s="256"/>
      <c r="O461" s="257"/>
      <c r="P461" s="256"/>
      <c r="Q461" s="257"/>
      <c r="R461" s="256"/>
      <c r="S461" s="257"/>
      <c r="T461" s="256"/>
      <c r="U461" s="257"/>
      <c r="V461" s="256"/>
      <c r="W461" s="257"/>
      <c r="X461" s="256"/>
    </row>
    <row r="462" spans="1:24" ht="12.75">
      <c r="A462" s="255"/>
      <c r="B462" s="256"/>
      <c r="C462" s="257"/>
      <c r="D462" s="256"/>
      <c r="E462" s="257"/>
      <c r="F462" s="256"/>
      <c r="G462" s="257"/>
      <c r="H462" s="256"/>
      <c r="I462" s="257"/>
      <c r="J462" s="256"/>
      <c r="K462" s="257"/>
      <c r="L462" s="256"/>
      <c r="M462" s="257"/>
      <c r="N462" s="256"/>
      <c r="O462" s="257"/>
      <c r="P462" s="256"/>
      <c r="Q462" s="257"/>
      <c r="R462" s="256"/>
      <c r="S462" s="257"/>
      <c r="T462" s="256"/>
      <c r="U462" s="257"/>
      <c r="V462" s="256"/>
      <c r="W462" s="257"/>
      <c r="X462" s="256"/>
    </row>
    <row r="463" spans="1:24" ht="12.75">
      <c r="A463" s="255"/>
      <c r="B463" s="256"/>
      <c r="C463" s="257"/>
      <c r="D463" s="256"/>
      <c r="E463" s="257"/>
      <c r="F463" s="256"/>
      <c r="G463" s="257"/>
      <c r="H463" s="256"/>
      <c r="I463" s="257"/>
      <c r="J463" s="256"/>
      <c r="K463" s="257"/>
      <c r="L463" s="256"/>
      <c r="M463" s="257"/>
      <c r="N463" s="256"/>
      <c r="O463" s="257"/>
      <c r="P463" s="256"/>
      <c r="Q463" s="257"/>
      <c r="R463" s="256"/>
      <c r="S463" s="257"/>
      <c r="T463" s="256"/>
      <c r="U463" s="257"/>
      <c r="V463" s="256"/>
      <c r="W463" s="257"/>
      <c r="X463" s="256"/>
    </row>
    <row r="464" spans="1:24" ht="12.75">
      <c r="A464" s="255"/>
      <c r="B464" s="256"/>
      <c r="C464" s="257"/>
      <c r="D464" s="256"/>
      <c r="E464" s="257"/>
      <c r="F464" s="256"/>
      <c r="G464" s="257"/>
      <c r="H464" s="256"/>
      <c r="I464" s="257"/>
      <c r="J464" s="256"/>
      <c r="K464" s="257"/>
      <c r="L464" s="256"/>
      <c r="M464" s="257"/>
      <c r="N464" s="256"/>
      <c r="O464" s="257"/>
      <c r="P464" s="256"/>
      <c r="Q464" s="257"/>
      <c r="R464" s="256"/>
      <c r="S464" s="257"/>
      <c r="T464" s="256"/>
      <c r="U464" s="257"/>
      <c r="V464" s="256"/>
      <c r="W464" s="257"/>
      <c r="X464" s="256"/>
    </row>
    <row r="465" spans="1:24" ht="12.75">
      <c r="A465" s="255"/>
      <c r="B465" s="256"/>
      <c r="C465" s="257"/>
      <c r="D465" s="256"/>
      <c r="E465" s="257"/>
      <c r="F465" s="256"/>
      <c r="G465" s="257"/>
      <c r="H465" s="256"/>
      <c r="I465" s="257"/>
      <c r="J465" s="256"/>
      <c r="K465" s="257"/>
      <c r="L465" s="256"/>
      <c r="M465" s="257"/>
      <c r="N465" s="256"/>
      <c r="O465" s="257"/>
      <c r="P465" s="256"/>
      <c r="Q465" s="257"/>
      <c r="R465" s="256"/>
      <c r="S465" s="257"/>
      <c r="T465" s="256"/>
      <c r="U465" s="257"/>
      <c r="V465" s="256"/>
      <c r="W465" s="257"/>
      <c r="X465" s="256"/>
    </row>
    <row r="466" spans="1:24" ht="12.75">
      <c r="A466" s="255"/>
      <c r="B466" s="256"/>
      <c r="C466" s="257"/>
      <c r="D466" s="256"/>
      <c r="E466" s="257"/>
      <c r="F466" s="256"/>
      <c r="G466" s="257"/>
      <c r="H466" s="256"/>
      <c r="I466" s="257"/>
      <c r="J466" s="256"/>
      <c r="K466" s="257"/>
      <c r="L466" s="256"/>
      <c r="M466" s="257"/>
      <c r="N466" s="256"/>
      <c r="O466" s="257"/>
      <c r="P466" s="256"/>
      <c r="Q466" s="257"/>
      <c r="R466" s="256"/>
      <c r="S466" s="257"/>
      <c r="T466" s="256"/>
      <c r="U466" s="257"/>
      <c r="V466" s="256"/>
      <c r="W466" s="257"/>
      <c r="X466" s="256"/>
    </row>
    <row r="467" spans="1:24" ht="12.75">
      <c r="A467" s="255"/>
      <c r="B467" s="256"/>
      <c r="C467" s="257"/>
      <c r="D467" s="256"/>
      <c r="E467" s="257"/>
      <c r="F467" s="256"/>
      <c r="G467" s="257"/>
      <c r="H467" s="256"/>
      <c r="I467" s="257"/>
      <c r="J467" s="256"/>
      <c r="K467" s="257"/>
      <c r="L467" s="256"/>
      <c r="M467" s="257"/>
      <c r="N467" s="256"/>
      <c r="O467" s="257"/>
      <c r="P467" s="256"/>
      <c r="Q467" s="257"/>
      <c r="R467" s="256"/>
      <c r="S467" s="257"/>
      <c r="T467" s="256"/>
      <c r="U467" s="257"/>
      <c r="V467" s="256"/>
      <c r="W467" s="257"/>
      <c r="X467" s="256"/>
    </row>
    <row r="468" spans="1:24" ht="12.75">
      <c r="A468" s="255"/>
      <c r="B468" s="256"/>
      <c r="C468" s="257"/>
      <c r="D468" s="256"/>
      <c r="E468" s="257"/>
      <c r="F468" s="256"/>
      <c r="G468" s="257"/>
      <c r="H468" s="256"/>
      <c r="I468" s="257"/>
      <c r="J468" s="256"/>
      <c r="K468" s="257"/>
      <c r="L468" s="256"/>
      <c r="M468" s="257"/>
      <c r="N468" s="256"/>
      <c r="O468" s="257"/>
      <c r="P468" s="256"/>
      <c r="Q468" s="257"/>
      <c r="R468" s="256"/>
      <c r="S468" s="257"/>
      <c r="T468" s="256"/>
      <c r="U468" s="257"/>
      <c r="V468" s="256"/>
      <c r="W468" s="257"/>
      <c r="X468" s="256"/>
    </row>
    <row r="469" spans="1:24" ht="12.75">
      <c r="A469" s="255"/>
      <c r="B469" s="256"/>
      <c r="C469" s="257"/>
      <c r="D469" s="256"/>
      <c r="E469" s="257"/>
      <c r="F469" s="256"/>
      <c r="G469" s="257"/>
      <c r="H469" s="256"/>
      <c r="I469" s="257"/>
      <c r="J469" s="256"/>
      <c r="K469" s="257"/>
      <c r="L469" s="256"/>
      <c r="M469" s="257"/>
      <c r="N469" s="256"/>
      <c r="O469" s="257"/>
      <c r="P469" s="256"/>
      <c r="Q469" s="257"/>
      <c r="R469" s="256"/>
      <c r="S469" s="257"/>
      <c r="T469" s="256"/>
      <c r="U469" s="257"/>
      <c r="V469" s="256"/>
      <c r="W469" s="257"/>
      <c r="X469" s="256"/>
    </row>
    <row r="470" spans="1:24" ht="12.75">
      <c r="A470" s="255"/>
      <c r="B470" s="256"/>
      <c r="C470" s="257"/>
      <c r="D470" s="256"/>
      <c r="E470" s="257"/>
      <c r="F470" s="256"/>
      <c r="G470" s="257"/>
      <c r="H470" s="256"/>
      <c r="I470" s="257"/>
      <c r="J470" s="256"/>
      <c r="K470" s="257"/>
      <c r="L470" s="256"/>
      <c r="M470" s="257"/>
      <c r="N470" s="256"/>
      <c r="O470" s="257"/>
      <c r="P470" s="256"/>
      <c r="Q470" s="257"/>
      <c r="R470" s="256"/>
      <c r="S470" s="257"/>
      <c r="T470" s="256"/>
      <c r="U470" s="257"/>
      <c r="V470" s="256"/>
      <c r="W470" s="257"/>
      <c r="X470" s="256"/>
    </row>
    <row r="471" spans="1:24" ht="12.75">
      <c r="A471" s="255"/>
      <c r="B471" s="256"/>
      <c r="C471" s="257"/>
      <c r="D471" s="256"/>
      <c r="E471" s="257"/>
      <c r="F471" s="256"/>
      <c r="G471" s="257"/>
      <c r="H471" s="256"/>
      <c r="I471" s="257"/>
      <c r="J471" s="256"/>
      <c r="K471" s="257"/>
      <c r="L471" s="256"/>
      <c r="M471" s="257"/>
      <c r="N471" s="256"/>
      <c r="O471" s="257"/>
      <c r="P471" s="256"/>
      <c r="Q471" s="257"/>
      <c r="R471" s="256"/>
      <c r="S471" s="257"/>
      <c r="T471" s="256"/>
      <c r="U471" s="257"/>
      <c r="V471" s="256"/>
      <c r="W471" s="257"/>
      <c r="X471" s="256"/>
    </row>
    <row r="472" spans="1:24" ht="12.75">
      <c r="A472" s="255"/>
      <c r="B472" s="256"/>
      <c r="C472" s="257"/>
      <c r="D472" s="256"/>
      <c r="E472" s="257"/>
      <c r="F472" s="256"/>
      <c r="G472" s="257"/>
      <c r="H472" s="256"/>
      <c r="I472" s="257"/>
      <c r="J472" s="256"/>
      <c r="K472" s="257"/>
      <c r="L472" s="256"/>
      <c r="M472" s="257"/>
      <c r="N472" s="256"/>
      <c r="O472" s="257"/>
      <c r="P472" s="256"/>
      <c r="Q472" s="257"/>
      <c r="R472" s="256"/>
      <c r="S472" s="257"/>
      <c r="T472" s="256"/>
      <c r="U472" s="257"/>
      <c r="V472" s="256"/>
      <c r="W472" s="257"/>
      <c r="X472" s="256"/>
    </row>
    <row r="473" spans="1:24" ht="12.75">
      <c r="A473" s="255"/>
      <c r="B473" s="256"/>
      <c r="C473" s="257"/>
      <c r="D473" s="256"/>
      <c r="E473" s="257"/>
      <c r="F473" s="256"/>
      <c r="G473" s="257"/>
      <c r="H473" s="256"/>
      <c r="I473" s="257"/>
      <c r="J473" s="256"/>
      <c r="K473" s="257"/>
      <c r="L473" s="256"/>
      <c r="M473" s="257"/>
      <c r="N473" s="256"/>
      <c r="O473" s="257"/>
      <c r="P473" s="256"/>
      <c r="Q473" s="257"/>
      <c r="R473" s="256"/>
      <c r="S473" s="257"/>
      <c r="T473" s="256"/>
      <c r="U473" s="257"/>
      <c r="V473" s="256"/>
      <c r="W473" s="257"/>
      <c r="X473" s="256"/>
    </row>
    <row r="474" spans="1:24" ht="12.75">
      <c r="A474" s="255"/>
      <c r="B474" s="256"/>
      <c r="C474" s="257"/>
      <c r="D474" s="256"/>
      <c r="E474" s="257"/>
      <c r="F474" s="256"/>
      <c r="G474" s="257"/>
      <c r="H474" s="256"/>
      <c r="I474" s="257"/>
      <c r="J474" s="256"/>
      <c r="K474" s="257"/>
      <c r="L474" s="256"/>
      <c r="M474" s="257"/>
      <c r="N474" s="256"/>
      <c r="O474" s="257"/>
      <c r="P474" s="256"/>
      <c r="Q474" s="257"/>
      <c r="R474" s="256"/>
      <c r="S474" s="257"/>
      <c r="T474" s="256"/>
      <c r="U474" s="257"/>
      <c r="V474" s="256"/>
      <c r="W474" s="257"/>
      <c r="X474" s="256"/>
    </row>
    <row r="475" spans="1:24" ht="12.75">
      <c r="A475" s="255"/>
      <c r="B475" s="256"/>
      <c r="C475" s="257"/>
      <c r="D475" s="256"/>
      <c r="E475" s="257"/>
      <c r="F475" s="256"/>
      <c r="G475" s="257"/>
      <c r="H475" s="256"/>
      <c r="I475" s="257"/>
      <c r="J475" s="256"/>
      <c r="K475" s="257"/>
      <c r="L475" s="256"/>
      <c r="M475" s="257"/>
      <c r="N475" s="256"/>
      <c r="O475" s="257"/>
      <c r="P475" s="256"/>
      <c r="Q475" s="257"/>
      <c r="R475" s="256"/>
      <c r="S475" s="257"/>
      <c r="T475" s="256"/>
      <c r="U475" s="257"/>
      <c r="V475" s="256"/>
      <c r="W475" s="257"/>
      <c r="X475" s="256"/>
    </row>
    <row r="476" spans="1:24" ht="12.75">
      <c r="A476" s="255"/>
      <c r="B476" s="256"/>
      <c r="C476" s="257"/>
      <c r="D476" s="256"/>
      <c r="E476" s="257"/>
      <c r="F476" s="256"/>
      <c r="G476" s="257"/>
      <c r="H476" s="256"/>
      <c r="I476" s="257"/>
      <c r="J476" s="256"/>
      <c r="K476" s="257"/>
      <c r="L476" s="256"/>
      <c r="M476" s="257"/>
      <c r="N476" s="256"/>
      <c r="O476" s="257"/>
      <c r="P476" s="256"/>
      <c r="Q476" s="257"/>
      <c r="R476" s="256"/>
      <c r="S476" s="257"/>
      <c r="T476" s="256"/>
      <c r="U476" s="257"/>
      <c r="V476" s="256"/>
      <c r="W476" s="257"/>
      <c r="X476" s="256"/>
    </row>
    <row r="477" spans="1:24" ht="12.75">
      <c r="A477" s="255"/>
      <c r="B477" s="256"/>
      <c r="C477" s="257"/>
      <c r="D477" s="256"/>
      <c r="E477" s="257"/>
      <c r="F477" s="256"/>
      <c r="G477" s="257"/>
      <c r="H477" s="256"/>
      <c r="I477" s="257"/>
      <c r="J477" s="256"/>
      <c r="K477" s="257"/>
      <c r="L477" s="256"/>
      <c r="M477" s="257"/>
      <c r="N477" s="256"/>
      <c r="O477" s="257"/>
      <c r="P477" s="256"/>
      <c r="Q477" s="257"/>
      <c r="R477" s="256"/>
      <c r="S477" s="257"/>
      <c r="T477" s="256"/>
      <c r="U477" s="257"/>
      <c r="V477" s="256"/>
      <c r="W477" s="257"/>
      <c r="X477" s="256"/>
    </row>
    <row r="478" spans="1:24" ht="12.75">
      <c r="A478" s="255"/>
      <c r="B478" s="256"/>
      <c r="C478" s="257"/>
      <c r="D478" s="256"/>
      <c r="E478" s="257"/>
      <c r="F478" s="256"/>
      <c r="G478" s="257"/>
      <c r="H478" s="256"/>
      <c r="I478" s="257"/>
      <c r="J478" s="256"/>
      <c r="K478" s="257"/>
      <c r="L478" s="256"/>
      <c r="M478" s="257"/>
      <c r="N478" s="256"/>
      <c r="O478" s="257"/>
      <c r="P478" s="256"/>
      <c r="Q478" s="257"/>
      <c r="R478" s="256"/>
      <c r="S478" s="257"/>
      <c r="T478" s="256"/>
      <c r="U478" s="257"/>
      <c r="V478" s="256"/>
      <c r="W478" s="257"/>
      <c r="X478" s="256"/>
    </row>
    <row r="479" spans="1:24" ht="12.75">
      <c r="A479" s="255"/>
      <c r="B479" s="256"/>
      <c r="C479" s="257"/>
      <c r="D479" s="256"/>
      <c r="E479" s="257"/>
      <c r="F479" s="256"/>
      <c r="G479" s="257"/>
      <c r="H479" s="256"/>
      <c r="I479" s="257"/>
      <c r="J479" s="256"/>
      <c r="K479" s="257"/>
      <c r="L479" s="256"/>
      <c r="M479" s="257"/>
      <c r="N479" s="256"/>
      <c r="O479" s="257"/>
      <c r="P479" s="256"/>
      <c r="Q479" s="257"/>
      <c r="R479" s="256"/>
      <c r="S479" s="257"/>
      <c r="T479" s="256"/>
      <c r="U479" s="257"/>
      <c r="V479" s="256"/>
      <c r="W479" s="257"/>
      <c r="X479" s="256"/>
    </row>
    <row r="480" spans="1:24" ht="12.75">
      <c r="A480" s="255"/>
      <c r="B480" s="256"/>
      <c r="C480" s="257"/>
      <c r="D480" s="256"/>
      <c r="E480" s="257"/>
      <c r="F480" s="256"/>
      <c r="G480" s="257"/>
      <c r="H480" s="256"/>
      <c r="I480" s="257"/>
      <c r="J480" s="256"/>
      <c r="K480" s="257"/>
      <c r="L480" s="256"/>
      <c r="M480" s="257"/>
      <c r="N480" s="256"/>
      <c r="O480" s="257"/>
      <c r="P480" s="256"/>
      <c r="Q480" s="257"/>
      <c r="R480" s="256"/>
      <c r="S480" s="257"/>
      <c r="T480" s="256"/>
      <c r="U480" s="257"/>
      <c r="V480" s="256"/>
      <c r="W480" s="257"/>
      <c r="X480" s="256"/>
    </row>
    <row r="481" spans="1:24" ht="12.75">
      <c r="A481" s="255"/>
      <c r="B481" s="256"/>
      <c r="C481" s="257"/>
      <c r="D481" s="256"/>
      <c r="E481" s="257"/>
      <c r="F481" s="256"/>
      <c r="G481" s="257"/>
      <c r="H481" s="256"/>
      <c r="I481" s="257"/>
      <c r="J481" s="256"/>
      <c r="K481" s="257"/>
      <c r="L481" s="256"/>
      <c r="M481" s="257"/>
      <c r="N481" s="256"/>
      <c r="O481" s="257"/>
      <c r="P481" s="256"/>
      <c r="Q481" s="257"/>
      <c r="R481" s="256"/>
      <c r="S481" s="257"/>
      <c r="T481" s="256"/>
      <c r="U481" s="257"/>
      <c r="V481" s="256"/>
      <c r="W481" s="257"/>
      <c r="X481" s="256"/>
    </row>
    <row r="482" spans="1:24" ht="12.75">
      <c r="A482" s="255"/>
      <c r="B482" s="256"/>
      <c r="C482" s="257"/>
      <c r="D482" s="256"/>
      <c r="E482" s="257"/>
      <c r="F482" s="256"/>
      <c r="G482" s="257"/>
      <c r="H482" s="256"/>
      <c r="I482" s="257"/>
      <c r="J482" s="256"/>
      <c r="K482" s="257"/>
      <c r="L482" s="256"/>
      <c r="M482" s="257"/>
      <c r="N482" s="256"/>
      <c r="O482" s="257"/>
      <c r="P482" s="256"/>
      <c r="Q482" s="257"/>
      <c r="R482" s="256"/>
      <c r="S482" s="257"/>
      <c r="T482" s="256"/>
      <c r="U482" s="257"/>
      <c r="V482" s="256"/>
      <c r="W482" s="257"/>
      <c r="X482" s="256"/>
    </row>
    <row r="483" spans="1:24" ht="12.75">
      <c r="A483" s="255"/>
      <c r="B483" s="256"/>
      <c r="C483" s="257"/>
      <c r="D483" s="256"/>
      <c r="E483" s="257"/>
      <c r="F483" s="256"/>
      <c r="G483" s="257"/>
      <c r="H483" s="256"/>
      <c r="I483" s="257"/>
      <c r="J483" s="256"/>
      <c r="K483" s="257"/>
      <c r="L483" s="256"/>
      <c r="M483" s="257"/>
      <c r="N483" s="256"/>
      <c r="O483" s="257"/>
      <c r="P483" s="256"/>
      <c r="Q483" s="257"/>
      <c r="R483" s="256"/>
      <c r="S483" s="257"/>
      <c r="T483" s="256"/>
      <c r="U483" s="257"/>
      <c r="V483" s="256"/>
      <c r="W483" s="257"/>
      <c r="X483" s="256"/>
    </row>
    <row r="484" spans="1:24" ht="12.75">
      <c r="A484" s="255"/>
      <c r="B484" s="256"/>
      <c r="C484" s="257"/>
      <c r="D484" s="256"/>
      <c r="E484" s="257"/>
      <c r="F484" s="256"/>
      <c r="G484" s="257"/>
      <c r="H484" s="256"/>
      <c r="I484" s="257"/>
      <c r="J484" s="256"/>
      <c r="K484" s="257"/>
      <c r="L484" s="256"/>
      <c r="M484" s="257"/>
      <c r="N484" s="256"/>
      <c r="O484" s="257"/>
      <c r="P484" s="256"/>
      <c r="Q484" s="257"/>
      <c r="R484" s="256"/>
      <c r="S484" s="257"/>
      <c r="T484" s="256"/>
      <c r="U484" s="257"/>
      <c r="V484" s="256"/>
      <c r="W484" s="257"/>
      <c r="X484" s="256"/>
    </row>
    <row r="485" spans="1:24" ht="12.75">
      <c r="A485" s="255"/>
      <c r="B485" s="256"/>
      <c r="C485" s="257"/>
      <c r="D485" s="256"/>
      <c r="E485" s="257"/>
      <c r="F485" s="256"/>
      <c r="G485" s="257"/>
      <c r="H485" s="256"/>
      <c r="I485" s="257"/>
      <c r="J485" s="256"/>
      <c r="K485" s="257"/>
      <c r="L485" s="256"/>
      <c r="M485" s="257"/>
      <c r="N485" s="256"/>
      <c r="O485" s="257"/>
      <c r="P485" s="256"/>
      <c r="Q485" s="257"/>
      <c r="R485" s="256"/>
      <c r="S485" s="257"/>
      <c r="T485" s="256"/>
      <c r="U485" s="257"/>
      <c r="V485" s="256"/>
      <c r="W485" s="257"/>
      <c r="X485" s="256"/>
    </row>
    <row r="486" spans="1:24" ht="12.75">
      <c r="A486" s="255"/>
      <c r="B486" s="256"/>
      <c r="C486" s="257"/>
      <c r="D486" s="256"/>
      <c r="E486" s="257"/>
      <c r="F486" s="256"/>
      <c r="G486" s="257"/>
      <c r="H486" s="256"/>
      <c r="I486" s="257"/>
      <c r="J486" s="256"/>
      <c r="K486" s="257"/>
      <c r="L486" s="256"/>
      <c r="M486" s="257"/>
      <c r="N486" s="256"/>
      <c r="O486" s="257"/>
      <c r="P486" s="256"/>
      <c r="Q486" s="257"/>
      <c r="R486" s="256"/>
      <c r="S486" s="257"/>
      <c r="T486" s="256"/>
      <c r="U486" s="257"/>
      <c r="V486" s="256"/>
      <c r="W486" s="257"/>
      <c r="X486" s="256"/>
    </row>
    <row r="487" spans="1:24" ht="12.75">
      <c r="A487" s="255"/>
      <c r="B487" s="256"/>
      <c r="C487" s="257"/>
      <c r="D487" s="256"/>
      <c r="E487" s="257"/>
      <c r="F487" s="256"/>
      <c r="G487" s="257"/>
      <c r="H487" s="256"/>
      <c r="I487" s="257"/>
      <c r="J487" s="256"/>
      <c r="K487" s="257"/>
      <c r="L487" s="256"/>
      <c r="M487" s="257"/>
      <c r="N487" s="256"/>
      <c r="O487" s="257"/>
      <c r="P487" s="256"/>
      <c r="Q487" s="257"/>
      <c r="R487" s="256"/>
      <c r="S487" s="257"/>
      <c r="T487" s="256"/>
      <c r="U487" s="257"/>
      <c r="V487" s="256"/>
      <c r="W487" s="257"/>
      <c r="X487" s="256"/>
    </row>
    <row r="488" spans="1:24" ht="12.75">
      <c r="A488" s="255"/>
      <c r="B488" s="256"/>
      <c r="C488" s="257"/>
      <c r="D488" s="256"/>
      <c r="E488" s="257"/>
      <c r="F488" s="256"/>
      <c r="G488" s="257"/>
      <c r="H488" s="256"/>
      <c r="I488" s="257"/>
      <c r="J488" s="256"/>
      <c r="K488" s="257"/>
      <c r="L488" s="256"/>
      <c r="M488" s="257"/>
      <c r="N488" s="256"/>
      <c r="O488" s="257"/>
      <c r="P488" s="256"/>
      <c r="Q488" s="257"/>
      <c r="R488" s="256"/>
      <c r="S488" s="257"/>
      <c r="T488" s="256"/>
      <c r="U488" s="257"/>
      <c r="V488" s="256"/>
      <c r="W488" s="257"/>
      <c r="X488" s="256"/>
    </row>
    <row r="489" spans="1:24" ht="12.75">
      <c r="A489" s="255"/>
      <c r="B489" s="256"/>
      <c r="C489" s="257"/>
      <c r="D489" s="256"/>
      <c r="E489" s="257"/>
      <c r="F489" s="256"/>
      <c r="G489" s="257"/>
      <c r="H489" s="256"/>
      <c r="I489" s="257"/>
      <c r="J489" s="256"/>
      <c r="K489" s="257"/>
      <c r="L489" s="256"/>
      <c r="M489" s="257"/>
      <c r="N489" s="256"/>
      <c r="O489" s="257"/>
      <c r="P489" s="256"/>
      <c r="Q489" s="257"/>
      <c r="R489" s="256"/>
      <c r="S489" s="257"/>
      <c r="T489" s="256"/>
      <c r="U489" s="257"/>
      <c r="V489" s="256"/>
      <c r="W489" s="257"/>
      <c r="X489" s="256"/>
    </row>
    <row r="490" spans="1:24" ht="12.75">
      <c r="A490" s="255"/>
      <c r="B490" s="256"/>
      <c r="C490" s="257"/>
      <c r="D490" s="256"/>
      <c r="E490" s="257"/>
      <c r="F490" s="256"/>
      <c r="G490" s="257"/>
      <c r="H490" s="256"/>
      <c r="I490" s="257"/>
      <c r="J490" s="256"/>
      <c r="K490" s="257"/>
      <c r="L490" s="256"/>
      <c r="M490" s="257"/>
      <c r="N490" s="256"/>
      <c r="O490" s="257"/>
      <c r="P490" s="256"/>
      <c r="Q490" s="257"/>
      <c r="R490" s="256"/>
      <c r="S490" s="257"/>
      <c r="T490" s="256"/>
      <c r="U490" s="257"/>
      <c r="V490" s="256"/>
      <c r="W490" s="257"/>
      <c r="X490" s="256"/>
    </row>
    <row r="491" spans="1:24" ht="12.75">
      <c r="A491" s="255"/>
      <c r="B491" s="256"/>
      <c r="C491" s="257"/>
      <c r="D491" s="256"/>
      <c r="E491" s="257"/>
      <c r="F491" s="256"/>
      <c r="G491" s="257"/>
      <c r="H491" s="256"/>
      <c r="I491" s="257"/>
      <c r="J491" s="256"/>
      <c r="K491" s="257"/>
      <c r="L491" s="256"/>
      <c r="M491" s="257"/>
      <c r="N491" s="256"/>
      <c r="O491" s="257"/>
      <c r="P491" s="256"/>
      <c r="Q491" s="257"/>
      <c r="R491" s="256"/>
      <c r="S491" s="257"/>
      <c r="T491" s="256"/>
      <c r="U491" s="257"/>
      <c r="V491" s="256"/>
      <c r="W491" s="257"/>
      <c r="X491" s="256"/>
    </row>
    <row r="492" spans="1:24" ht="12.75">
      <c r="A492" s="255"/>
      <c r="B492" s="256"/>
      <c r="C492" s="257"/>
      <c r="D492" s="256"/>
      <c r="E492" s="257"/>
      <c r="F492" s="256"/>
      <c r="G492" s="257"/>
      <c r="H492" s="256"/>
      <c r="I492" s="257"/>
      <c r="J492" s="256"/>
      <c r="K492" s="257"/>
      <c r="L492" s="256"/>
      <c r="M492" s="257"/>
      <c r="N492" s="256"/>
      <c r="O492" s="257"/>
      <c r="P492" s="256"/>
      <c r="Q492" s="257"/>
      <c r="R492" s="256"/>
      <c r="S492" s="257"/>
      <c r="T492" s="256"/>
      <c r="U492" s="257"/>
      <c r="V492" s="256"/>
      <c r="W492" s="257"/>
      <c r="X492" s="256"/>
    </row>
    <row r="493" spans="1:24" ht="12.75">
      <c r="A493" s="255"/>
      <c r="B493" s="256"/>
      <c r="C493" s="257"/>
      <c r="D493" s="256"/>
      <c r="E493" s="257"/>
      <c r="F493" s="256"/>
      <c r="G493" s="257"/>
      <c r="H493" s="256"/>
      <c r="I493" s="257"/>
      <c r="J493" s="256"/>
      <c r="K493" s="257"/>
      <c r="L493" s="256"/>
      <c r="M493" s="257"/>
      <c r="N493" s="256"/>
      <c r="O493" s="257"/>
      <c r="P493" s="256"/>
      <c r="Q493" s="257"/>
      <c r="R493" s="256"/>
      <c r="S493" s="257"/>
      <c r="T493" s="256"/>
      <c r="U493" s="257"/>
      <c r="V493" s="256"/>
      <c r="W493" s="257"/>
      <c r="X493" s="256"/>
    </row>
    <row r="494" spans="1:24" ht="12.75">
      <c r="A494" s="255"/>
      <c r="B494" s="256"/>
      <c r="C494" s="257"/>
      <c r="D494" s="256"/>
      <c r="E494" s="257"/>
      <c r="F494" s="256"/>
      <c r="G494" s="257"/>
      <c r="H494" s="256"/>
      <c r="I494" s="257"/>
      <c r="J494" s="256"/>
      <c r="K494" s="257"/>
      <c r="L494" s="256"/>
      <c r="M494" s="257"/>
      <c r="N494" s="256"/>
      <c r="O494" s="257"/>
      <c r="P494" s="256"/>
      <c r="Q494" s="257"/>
      <c r="R494" s="256"/>
      <c r="S494" s="257"/>
      <c r="T494" s="256"/>
      <c r="U494" s="257"/>
      <c r="V494" s="256"/>
      <c r="W494" s="257"/>
      <c r="X494" s="256"/>
    </row>
    <row r="495" spans="1:24" ht="12.75">
      <c r="A495" s="255"/>
      <c r="B495" s="256"/>
      <c r="C495" s="257"/>
      <c r="D495" s="256"/>
      <c r="E495" s="257"/>
      <c r="F495" s="256"/>
      <c r="G495" s="257"/>
      <c r="H495" s="256"/>
      <c r="I495" s="257"/>
      <c r="J495" s="256"/>
      <c r="K495" s="257"/>
      <c r="L495" s="256"/>
      <c r="M495" s="257"/>
      <c r="N495" s="256"/>
      <c r="O495" s="257"/>
      <c r="P495" s="256"/>
      <c r="Q495" s="257"/>
      <c r="R495" s="256"/>
      <c r="S495" s="257"/>
      <c r="T495" s="256"/>
      <c r="U495" s="257"/>
      <c r="V495" s="256"/>
      <c r="W495" s="257"/>
      <c r="X495" s="256"/>
    </row>
    <row r="496" spans="1:24" ht="12.75">
      <c r="A496" s="255"/>
      <c r="B496" s="256"/>
      <c r="C496" s="257"/>
      <c r="D496" s="256"/>
      <c r="E496" s="257"/>
      <c r="F496" s="256"/>
      <c r="G496" s="257"/>
      <c r="H496" s="256"/>
      <c r="I496" s="257"/>
      <c r="J496" s="256"/>
      <c r="K496" s="257"/>
      <c r="L496" s="256"/>
      <c r="M496" s="257"/>
      <c r="N496" s="256"/>
      <c r="O496" s="257"/>
      <c r="P496" s="256"/>
      <c r="Q496" s="257"/>
      <c r="R496" s="256"/>
      <c r="S496" s="257"/>
      <c r="T496" s="256"/>
      <c r="U496" s="257"/>
      <c r="V496" s="256"/>
      <c r="W496" s="257"/>
      <c r="X496" s="256"/>
    </row>
    <row r="497" spans="1:24" ht="12.75">
      <c r="A497" s="255"/>
      <c r="B497" s="256"/>
      <c r="C497" s="257"/>
      <c r="D497" s="256"/>
      <c r="E497" s="257"/>
      <c r="F497" s="256"/>
      <c r="G497" s="257"/>
      <c r="H497" s="256"/>
      <c r="I497" s="257"/>
      <c r="J497" s="256"/>
      <c r="K497" s="257"/>
      <c r="L497" s="256"/>
      <c r="M497" s="257"/>
      <c r="N497" s="256"/>
      <c r="O497" s="257"/>
      <c r="P497" s="256"/>
      <c r="Q497" s="257"/>
      <c r="R497" s="256"/>
      <c r="S497" s="257"/>
      <c r="T497" s="256"/>
      <c r="U497" s="257"/>
      <c r="V497" s="256"/>
      <c r="W497" s="257"/>
      <c r="X497" s="256"/>
    </row>
    <row r="498" spans="1:24" ht="12.75">
      <c r="A498" s="255"/>
      <c r="B498" s="256"/>
      <c r="C498" s="257"/>
      <c r="D498" s="256"/>
      <c r="E498" s="257"/>
      <c r="F498" s="256"/>
      <c r="G498" s="257"/>
      <c r="H498" s="256"/>
      <c r="I498" s="257"/>
      <c r="J498" s="256"/>
      <c r="K498" s="257"/>
      <c r="L498" s="256"/>
      <c r="M498" s="257"/>
      <c r="N498" s="256"/>
      <c r="O498" s="257"/>
      <c r="P498" s="256"/>
      <c r="Q498" s="257"/>
      <c r="R498" s="256"/>
      <c r="S498" s="257"/>
      <c r="T498" s="256"/>
      <c r="U498" s="257"/>
      <c r="V498" s="256"/>
      <c r="W498" s="257"/>
      <c r="X498" s="256"/>
    </row>
    <row r="499" spans="1:24" ht="12.75">
      <c r="A499" s="255"/>
      <c r="B499" s="256"/>
      <c r="C499" s="257"/>
      <c r="D499" s="256"/>
      <c r="E499" s="257"/>
      <c r="F499" s="256"/>
      <c r="G499" s="257"/>
      <c r="H499" s="256"/>
      <c r="I499" s="257"/>
      <c r="J499" s="256"/>
      <c r="K499" s="257"/>
      <c r="L499" s="256"/>
      <c r="M499" s="257"/>
      <c r="N499" s="256"/>
      <c r="O499" s="257"/>
      <c r="P499" s="256"/>
      <c r="Q499" s="257"/>
      <c r="R499" s="256"/>
      <c r="S499" s="257"/>
      <c r="T499" s="256"/>
      <c r="U499" s="257"/>
      <c r="V499" s="256"/>
      <c r="W499" s="257"/>
      <c r="X499" s="256"/>
    </row>
    <row r="500" spans="1:24" ht="12.75">
      <c r="A500" s="255"/>
      <c r="B500" s="256"/>
      <c r="C500" s="257"/>
      <c r="D500" s="256"/>
      <c r="E500" s="257"/>
      <c r="F500" s="256"/>
      <c r="G500" s="257"/>
      <c r="H500" s="256"/>
      <c r="I500" s="257"/>
      <c r="J500" s="256"/>
      <c r="K500" s="257"/>
      <c r="L500" s="256"/>
      <c r="M500" s="257"/>
      <c r="N500" s="256"/>
      <c r="O500" s="257"/>
      <c r="P500" s="256"/>
      <c r="Q500" s="257"/>
      <c r="R500" s="256"/>
      <c r="S500" s="257"/>
      <c r="T500" s="256"/>
      <c r="U500" s="257"/>
      <c r="V500" s="256"/>
      <c r="W500" s="257"/>
      <c r="X500" s="256"/>
    </row>
    <row r="501" spans="1:24" ht="12.75">
      <c r="A501" s="255"/>
      <c r="B501" s="256"/>
      <c r="C501" s="257"/>
      <c r="D501" s="256"/>
      <c r="E501" s="257"/>
      <c r="F501" s="256"/>
      <c r="G501" s="257"/>
      <c r="H501" s="256"/>
      <c r="I501" s="257"/>
      <c r="J501" s="256"/>
      <c r="K501" s="257"/>
      <c r="L501" s="256"/>
      <c r="M501" s="257"/>
      <c r="N501" s="256"/>
      <c r="O501" s="257"/>
      <c r="P501" s="256"/>
      <c r="Q501" s="257"/>
      <c r="R501" s="256"/>
      <c r="S501" s="257"/>
      <c r="T501" s="256"/>
      <c r="U501" s="257"/>
      <c r="V501" s="256"/>
      <c r="W501" s="257"/>
      <c r="X501" s="256"/>
    </row>
    <row r="502" spans="1:24" ht="12.75">
      <c r="A502" s="255"/>
      <c r="B502" s="256"/>
      <c r="C502" s="257"/>
      <c r="D502" s="256"/>
      <c r="E502" s="257"/>
      <c r="F502" s="256"/>
      <c r="G502" s="257"/>
      <c r="H502" s="256"/>
      <c r="I502" s="257"/>
      <c r="J502" s="256"/>
      <c r="K502" s="257"/>
      <c r="L502" s="256"/>
      <c r="M502" s="257"/>
      <c r="N502" s="256"/>
      <c r="O502" s="257"/>
      <c r="P502" s="256"/>
      <c r="Q502" s="257"/>
      <c r="R502" s="256"/>
      <c r="S502" s="257"/>
      <c r="T502" s="256"/>
      <c r="U502" s="257"/>
      <c r="V502" s="256"/>
      <c r="W502" s="257"/>
      <c r="X502" s="256"/>
    </row>
    <row r="503" spans="1:24" ht="12.75">
      <c r="A503" s="255"/>
      <c r="B503" s="256"/>
      <c r="C503" s="257"/>
      <c r="D503" s="256"/>
      <c r="E503" s="257"/>
      <c r="F503" s="256"/>
      <c r="G503" s="257"/>
      <c r="H503" s="256"/>
      <c r="I503" s="257"/>
      <c r="J503" s="256"/>
      <c r="K503" s="257"/>
      <c r="L503" s="256"/>
      <c r="M503" s="257"/>
      <c r="N503" s="256"/>
      <c r="O503" s="257"/>
      <c r="P503" s="256"/>
      <c r="Q503" s="257"/>
      <c r="R503" s="256"/>
      <c r="S503" s="257"/>
      <c r="T503" s="256"/>
      <c r="U503" s="257"/>
      <c r="V503" s="256"/>
      <c r="W503" s="257"/>
      <c r="X503" s="256"/>
    </row>
    <row r="504" spans="1:24" ht="12.75">
      <c r="A504" s="255"/>
      <c r="B504" s="256"/>
      <c r="C504" s="257"/>
      <c r="D504" s="256"/>
      <c r="E504" s="257"/>
      <c r="F504" s="256"/>
      <c r="G504" s="257"/>
      <c r="H504" s="256"/>
      <c r="I504" s="257"/>
      <c r="J504" s="256"/>
      <c r="K504" s="257"/>
      <c r="L504" s="256"/>
      <c r="M504" s="257"/>
      <c r="N504" s="256"/>
      <c r="O504" s="257"/>
      <c r="P504" s="256"/>
      <c r="Q504" s="257"/>
      <c r="R504" s="256"/>
      <c r="S504" s="257"/>
      <c r="T504" s="256"/>
      <c r="U504" s="257"/>
      <c r="V504" s="256"/>
      <c r="W504" s="257"/>
      <c r="X504" s="256"/>
    </row>
    <row r="505" spans="1:24" ht="12.75">
      <c r="A505" s="255"/>
      <c r="B505" s="256"/>
      <c r="C505" s="257"/>
      <c r="D505" s="256"/>
      <c r="E505" s="257"/>
      <c r="F505" s="256"/>
      <c r="G505" s="257"/>
      <c r="H505" s="256"/>
      <c r="I505" s="257"/>
      <c r="J505" s="256"/>
      <c r="K505" s="257"/>
      <c r="L505" s="256"/>
      <c r="M505" s="257"/>
      <c r="N505" s="256"/>
      <c r="O505" s="257"/>
      <c r="P505" s="256"/>
      <c r="Q505" s="257"/>
      <c r="R505" s="256"/>
      <c r="S505" s="257"/>
      <c r="T505" s="256"/>
      <c r="U505" s="257"/>
      <c r="V505" s="256"/>
      <c r="W505" s="257"/>
      <c r="X505" s="256"/>
    </row>
    <row r="506" spans="1:24" ht="12.75">
      <c r="A506" s="255"/>
      <c r="B506" s="256"/>
      <c r="C506" s="257"/>
      <c r="D506" s="256"/>
      <c r="E506" s="257"/>
      <c r="F506" s="256"/>
      <c r="G506" s="257"/>
      <c r="H506" s="256"/>
      <c r="I506" s="257"/>
      <c r="J506" s="256"/>
      <c r="K506" s="257"/>
      <c r="L506" s="256"/>
      <c r="M506" s="257"/>
      <c r="N506" s="256"/>
      <c r="O506" s="257"/>
      <c r="P506" s="256"/>
      <c r="Q506" s="257"/>
      <c r="R506" s="256"/>
      <c r="S506" s="257"/>
      <c r="T506" s="256"/>
      <c r="U506" s="257"/>
      <c r="V506" s="256"/>
      <c r="W506" s="257"/>
      <c r="X506" s="256"/>
    </row>
    <row r="507" spans="1:24" ht="12.75">
      <c r="A507" s="255"/>
      <c r="B507" s="256"/>
      <c r="C507" s="257"/>
      <c r="D507" s="256"/>
      <c r="E507" s="257"/>
      <c r="F507" s="256"/>
      <c r="G507" s="257"/>
      <c r="H507" s="256"/>
      <c r="I507" s="257"/>
      <c r="J507" s="256"/>
      <c r="K507" s="257"/>
      <c r="L507" s="256"/>
      <c r="M507" s="257"/>
      <c r="N507" s="256"/>
      <c r="O507" s="257"/>
      <c r="P507" s="256"/>
      <c r="Q507" s="257"/>
      <c r="R507" s="256"/>
      <c r="S507" s="257"/>
      <c r="T507" s="256"/>
      <c r="U507" s="257"/>
      <c r="V507" s="256"/>
      <c r="W507" s="257"/>
      <c r="X507" s="256"/>
    </row>
    <row r="508" spans="1:24" ht="12.75">
      <c r="A508" s="255"/>
      <c r="B508" s="256"/>
      <c r="C508" s="257"/>
      <c r="D508" s="256"/>
      <c r="E508" s="257"/>
      <c r="F508" s="256"/>
      <c r="G508" s="257"/>
      <c r="H508" s="256"/>
      <c r="I508" s="257"/>
      <c r="J508" s="256"/>
      <c r="K508" s="257"/>
      <c r="L508" s="256"/>
      <c r="M508" s="257"/>
      <c r="N508" s="256"/>
      <c r="O508" s="257"/>
      <c r="P508" s="256"/>
      <c r="Q508" s="257"/>
      <c r="R508" s="256"/>
      <c r="S508" s="257"/>
      <c r="T508" s="256"/>
      <c r="U508" s="257"/>
      <c r="V508" s="256"/>
      <c r="W508" s="257"/>
      <c r="X508" s="256"/>
    </row>
    <row r="509" spans="1:24" ht="12.75">
      <c r="A509" s="255"/>
      <c r="B509" s="256"/>
      <c r="C509" s="257"/>
      <c r="D509" s="256"/>
      <c r="E509" s="257"/>
      <c r="F509" s="256"/>
      <c r="G509" s="257"/>
      <c r="H509" s="256"/>
      <c r="I509" s="257"/>
      <c r="J509" s="256"/>
      <c r="K509" s="257"/>
      <c r="L509" s="256"/>
      <c r="M509" s="257"/>
      <c r="N509" s="256"/>
      <c r="O509" s="257"/>
      <c r="P509" s="256"/>
      <c r="Q509" s="257"/>
      <c r="R509" s="256"/>
      <c r="S509" s="257"/>
      <c r="T509" s="256"/>
      <c r="U509" s="257"/>
      <c r="V509" s="256"/>
      <c r="W509" s="257"/>
      <c r="X509" s="256"/>
    </row>
    <row r="510" spans="1:24" ht="12.75">
      <c r="A510" s="255"/>
      <c r="B510" s="256"/>
      <c r="C510" s="257"/>
      <c r="D510" s="256"/>
      <c r="E510" s="257"/>
      <c r="F510" s="256"/>
      <c r="G510" s="257"/>
      <c r="H510" s="256"/>
      <c r="I510" s="257"/>
      <c r="J510" s="256"/>
      <c r="K510" s="257"/>
      <c r="L510" s="256"/>
      <c r="M510" s="257"/>
      <c r="N510" s="256"/>
      <c r="O510" s="257"/>
      <c r="P510" s="256"/>
      <c r="Q510" s="257"/>
      <c r="R510" s="256"/>
      <c r="S510" s="257"/>
      <c r="T510" s="256"/>
      <c r="U510" s="257"/>
      <c r="V510" s="256"/>
      <c r="W510" s="257"/>
      <c r="X510" s="256"/>
    </row>
    <row r="511" spans="1:24" ht="12.75">
      <c r="A511" s="255"/>
      <c r="B511" s="256"/>
      <c r="C511" s="257"/>
      <c r="D511" s="256"/>
      <c r="E511" s="257"/>
      <c r="F511" s="256"/>
      <c r="G511" s="257"/>
      <c r="H511" s="256"/>
      <c r="I511" s="257"/>
      <c r="J511" s="256"/>
      <c r="K511" s="257"/>
      <c r="L511" s="256"/>
      <c r="M511" s="257"/>
      <c r="N511" s="256"/>
      <c r="O511" s="257"/>
      <c r="P511" s="256"/>
      <c r="Q511" s="257"/>
      <c r="R511" s="256"/>
      <c r="S511" s="257"/>
      <c r="T511" s="256"/>
      <c r="U511" s="257"/>
      <c r="V511" s="256"/>
      <c r="W511" s="257"/>
      <c r="X511" s="256"/>
    </row>
    <row r="512" spans="1:24" ht="12.75">
      <c r="A512" s="255"/>
      <c r="B512" s="256"/>
      <c r="C512" s="257"/>
      <c r="D512" s="256"/>
      <c r="E512" s="257"/>
      <c r="F512" s="256"/>
      <c r="G512" s="257"/>
      <c r="H512" s="256"/>
      <c r="I512" s="257"/>
      <c r="J512" s="256"/>
      <c r="K512" s="257"/>
      <c r="L512" s="256"/>
      <c r="M512" s="257"/>
      <c r="N512" s="256"/>
      <c r="O512" s="257"/>
      <c r="P512" s="256"/>
      <c r="Q512" s="257"/>
      <c r="R512" s="256"/>
      <c r="S512" s="257"/>
      <c r="T512" s="256"/>
      <c r="U512" s="257"/>
      <c r="V512" s="256"/>
      <c r="W512" s="257"/>
      <c r="X512" s="256"/>
    </row>
    <row r="513" spans="1:24" ht="12.75">
      <c r="A513" s="255"/>
      <c r="B513" s="256"/>
      <c r="C513" s="257"/>
      <c r="D513" s="256"/>
      <c r="E513" s="257"/>
      <c r="F513" s="256"/>
      <c r="G513" s="257"/>
      <c r="H513" s="256"/>
      <c r="I513" s="257"/>
      <c r="J513" s="256"/>
      <c r="K513" s="257"/>
      <c r="L513" s="256"/>
      <c r="M513" s="257"/>
      <c r="N513" s="256"/>
      <c r="O513" s="257"/>
      <c r="P513" s="256"/>
      <c r="Q513" s="257"/>
      <c r="R513" s="256"/>
      <c r="S513" s="257"/>
      <c r="T513" s="256"/>
      <c r="U513" s="257"/>
      <c r="V513" s="256"/>
      <c r="W513" s="257"/>
      <c r="X513" s="256"/>
    </row>
    <row r="514" spans="1:24" ht="12.75">
      <c r="A514" s="255"/>
      <c r="B514" s="256"/>
      <c r="C514" s="257"/>
      <c r="D514" s="256"/>
      <c r="E514" s="257"/>
      <c r="F514" s="256"/>
      <c r="G514" s="257"/>
      <c r="H514" s="256"/>
      <c r="I514" s="257"/>
      <c r="J514" s="256"/>
      <c r="K514" s="257"/>
      <c r="L514" s="256"/>
      <c r="M514" s="257"/>
      <c r="N514" s="256"/>
      <c r="O514" s="257"/>
      <c r="P514" s="256"/>
      <c r="Q514" s="257"/>
      <c r="R514" s="256"/>
      <c r="S514" s="257"/>
      <c r="T514" s="256"/>
      <c r="U514" s="257"/>
      <c r="V514" s="256"/>
      <c r="W514" s="257"/>
      <c r="X514" s="256"/>
    </row>
    <row r="515" spans="1:24" ht="12.75">
      <c r="A515" s="255"/>
      <c r="B515" s="256"/>
      <c r="C515" s="257"/>
      <c r="D515" s="256"/>
      <c r="E515" s="257"/>
      <c r="F515" s="256"/>
      <c r="G515" s="257"/>
      <c r="H515" s="256"/>
      <c r="I515" s="257"/>
      <c r="J515" s="256"/>
      <c r="K515" s="257"/>
      <c r="L515" s="256"/>
      <c r="M515" s="257"/>
      <c r="N515" s="256"/>
      <c r="O515" s="257"/>
      <c r="P515" s="256"/>
      <c r="Q515" s="257"/>
      <c r="R515" s="256"/>
      <c r="S515" s="257"/>
      <c r="T515" s="256"/>
      <c r="U515" s="257"/>
      <c r="V515" s="256"/>
      <c r="W515" s="257"/>
      <c r="X515" s="256"/>
    </row>
    <row r="516" spans="1:24" ht="12.75">
      <c r="A516" s="255"/>
      <c r="B516" s="256"/>
      <c r="C516" s="257"/>
      <c r="D516" s="256"/>
      <c r="E516" s="257"/>
      <c r="F516" s="256"/>
      <c r="G516" s="257"/>
      <c r="H516" s="256"/>
      <c r="I516" s="257"/>
      <c r="J516" s="256"/>
      <c r="K516" s="257"/>
      <c r="L516" s="256"/>
      <c r="M516" s="257"/>
      <c r="N516" s="256"/>
      <c r="O516" s="257"/>
      <c r="P516" s="256"/>
      <c r="Q516" s="257"/>
      <c r="R516" s="256"/>
      <c r="S516" s="257"/>
      <c r="T516" s="256"/>
      <c r="U516" s="257"/>
      <c r="V516" s="256"/>
      <c r="W516" s="257"/>
      <c r="X516" s="256"/>
    </row>
    <row r="517" spans="1:24" ht="12.75">
      <c r="A517" s="255"/>
      <c r="B517" s="256"/>
      <c r="C517" s="257"/>
      <c r="D517" s="256"/>
      <c r="E517" s="257"/>
      <c r="F517" s="256"/>
      <c r="G517" s="257"/>
      <c r="H517" s="256"/>
      <c r="I517" s="257"/>
      <c r="J517" s="256"/>
      <c r="K517" s="257"/>
      <c r="L517" s="256"/>
      <c r="M517" s="257"/>
      <c r="N517" s="256"/>
      <c r="O517" s="257"/>
      <c r="P517" s="256"/>
      <c r="Q517" s="257"/>
      <c r="R517" s="256"/>
      <c r="S517" s="257"/>
      <c r="T517" s="256"/>
      <c r="U517" s="257"/>
      <c r="V517" s="256"/>
      <c r="W517" s="257"/>
      <c r="X517" s="256"/>
    </row>
    <row r="518" spans="1:24" ht="12.75">
      <c r="A518" s="255"/>
      <c r="B518" s="256"/>
      <c r="C518" s="257"/>
      <c r="D518" s="256"/>
      <c r="E518" s="257"/>
      <c r="F518" s="256"/>
      <c r="G518" s="257"/>
      <c r="H518" s="256"/>
      <c r="I518" s="257"/>
      <c r="J518" s="256"/>
      <c r="K518" s="257"/>
      <c r="L518" s="256"/>
      <c r="M518" s="257"/>
      <c r="N518" s="256"/>
      <c r="O518" s="257"/>
      <c r="P518" s="256"/>
      <c r="Q518" s="257"/>
      <c r="R518" s="256"/>
      <c r="S518" s="257"/>
      <c r="T518" s="256"/>
      <c r="U518" s="257"/>
      <c r="V518" s="256"/>
      <c r="W518" s="257"/>
      <c r="X518" s="256"/>
    </row>
    <row r="519" spans="1:24" ht="12.75">
      <c r="A519" s="255"/>
      <c r="B519" s="256"/>
      <c r="C519" s="257"/>
      <c r="D519" s="256"/>
      <c r="E519" s="257"/>
      <c r="F519" s="256"/>
      <c r="G519" s="257"/>
      <c r="H519" s="256"/>
      <c r="I519" s="257"/>
      <c r="J519" s="256"/>
      <c r="K519" s="257"/>
      <c r="L519" s="256"/>
      <c r="M519" s="257"/>
      <c r="N519" s="256"/>
      <c r="O519" s="257"/>
      <c r="P519" s="256"/>
      <c r="Q519" s="257"/>
      <c r="R519" s="256"/>
      <c r="S519" s="257"/>
      <c r="T519" s="256"/>
      <c r="U519" s="257"/>
      <c r="V519" s="256"/>
      <c r="W519" s="257"/>
      <c r="X519" s="256"/>
    </row>
    <row r="520" spans="1:24" ht="12.75">
      <c r="A520" s="255"/>
      <c r="B520" s="256"/>
      <c r="C520" s="257"/>
      <c r="D520" s="256"/>
      <c r="E520" s="257"/>
      <c r="F520" s="256"/>
      <c r="G520" s="257"/>
      <c r="H520" s="256"/>
      <c r="I520" s="257"/>
      <c r="J520" s="256"/>
      <c r="K520" s="257"/>
      <c r="L520" s="256"/>
      <c r="M520" s="257"/>
      <c r="N520" s="256"/>
      <c r="O520" s="257"/>
      <c r="P520" s="256"/>
      <c r="Q520" s="257"/>
      <c r="R520" s="256"/>
      <c r="S520" s="257"/>
      <c r="T520" s="256"/>
      <c r="U520" s="257"/>
      <c r="V520" s="256"/>
      <c r="W520" s="257"/>
      <c r="X520" s="256"/>
    </row>
    <row r="521" spans="1:24" ht="12.75">
      <c r="A521" s="255"/>
      <c r="B521" s="256"/>
      <c r="C521" s="257"/>
      <c r="D521" s="256"/>
      <c r="E521" s="257"/>
      <c r="F521" s="256"/>
      <c r="G521" s="257"/>
      <c r="H521" s="256"/>
      <c r="I521" s="257"/>
      <c r="J521" s="256"/>
      <c r="K521" s="257"/>
      <c r="L521" s="256"/>
      <c r="M521" s="257"/>
      <c r="N521" s="256"/>
      <c r="O521" s="257"/>
      <c r="P521" s="256"/>
      <c r="Q521" s="257"/>
      <c r="R521" s="256"/>
      <c r="S521" s="257"/>
      <c r="T521" s="256"/>
      <c r="U521" s="257"/>
      <c r="V521" s="256"/>
      <c r="W521" s="257"/>
      <c r="X521" s="256"/>
    </row>
    <row r="522" spans="1:24" ht="12.75">
      <c r="A522" s="255"/>
      <c r="B522" s="256"/>
      <c r="C522" s="257"/>
      <c r="D522" s="256"/>
      <c r="E522" s="257"/>
      <c r="F522" s="256"/>
      <c r="G522" s="257"/>
      <c r="H522" s="256"/>
      <c r="I522" s="257"/>
      <c r="J522" s="256"/>
      <c r="K522" s="257"/>
      <c r="L522" s="256"/>
      <c r="M522" s="257"/>
      <c r="N522" s="256"/>
      <c r="O522" s="257"/>
      <c r="P522" s="256"/>
      <c r="Q522" s="257"/>
      <c r="R522" s="256"/>
      <c r="S522" s="257"/>
      <c r="T522" s="256"/>
      <c r="U522" s="257"/>
      <c r="V522" s="256"/>
      <c r="W522" s="257"/>
      <c r="X522" s="256"/>
    </row>
    <row r="523" spans="1:24" ht="12.75">
      <c r="A523" s="255"/>
      <c r="B523" s="256"/>
      <c r="C523" s="257"/>
      <c r="D523" s="256"/>
      <c r="E523" s="257"/>
      <c r="F523" s="256"/>
      <c r="G523" s="257"/>
      <c r="H523" s="256"/>
      <c r="I523" s="257"/>
      <c r="J523" s="256"/>
      <c r="K523" s="257"/>
      <c r="L523" s="256"/>
      <c r="M523" s="257"/>
      <c r="N523" s="256"/>
      <c r="O523" s="257"/>
      <c r="P523" s="256"/>
      <c r="Q523" s="257"/>
      <c r="R523" s="256"/>
      <c r="S523" s="257"/>
      <c r="T523" s="256"/>
      <c r="U523" s="257"/>
      <c r="V523" s="256"/>
      <c r="W523" s="257"/>
      <c r="X523" s="256"/>
    </row>
    <row r="524" spans="1:24" ht="12.75">
      <c r="A524" s="255"/>
      <c r="B524" s="256"/>
      <c r="C524" s="257"/>
      <c r="D524" s="256"/>
      <c r="E524" s="257"/>
      <c r="F524" s="256"/>
      <c r="G524" s="257"/>
      <c r="H524" s="256"/>
      <c r="I524" s="257"/>
      <c r="J524" s="256"/>
      <c r="K524" s="257"/>
      <c r="L524" s="256"/>
      <c r="M524" s="257"/>
      <c r="N524" s="256"/>
      <c r="O524" s="257"/>
      <c r="P524" s="256"/>
      <c r="Q524" s="257"/>
      <c r="R524" s="256"/>
      <c r="S524" s="257"/>
      <c r="T524" s="256"/>
      <c r="U524" s="257"/>
      <c r="V524" s="256"/>
      <c r="W524" s="257"/>
      <c r="X524" s="256"/>
    </row>
    <row r="525" spans="1:24" ht="12.75">
      <c r="A525" s="255"/>
      <c r="B525" s="256"/>
      <c r="C525" s="257"/>
      <c r="D525" s="256"/>
      <c r="E525" s="257"/>
      <c r="F525" s="256"/>
      <c r="G525" s="257"/>
      <c r="H525" s="256"/>
      <c r="I525" s="257"/>
      <c r="J525" s="256"/>
      <c r="K525" s="257"/>
      <c r="L525" s="256"/>
      <c r="M525" s="257"/>
      <c r="N525" s="256"/>
      <c r="O525" s="257"/>
      <c r="P525" s="256"/>
      <c r="Q525" s="257"/>
      <c r="R525" s="256"/>
      <c r="S525" s="257"/>
      <c r="T525" s="256"/>
      <c r="U525" s="257"/>
      <c r="V525" s="256"/>
      <c r="W525" s="257"/>
      <c r="X525" s="256"/>
    </row>
    <row r="526" spans="1:24" ht="12.75">
      <c r="A526" s="255"/>
      <c r="B526" s="256"/>
      <c r="C526" s="257"/>
      <c r="D526" s="256"/>
      <c r="E526" s="257"/>
      <c r="F526" s="256"/>
      <c r="G526" s="257"/>
      <c r="H526" s="256"/>
      <c r="I526" s="257"/>
      <c r="J526" s="256"/>
      <c r="K526" s="257"/>
      <c r="L526" s="256"/>
      <c r="M526" s="257"/>
      <c r="N526" s="256"/>
      <c r="O526" s="257"/>
      <c r="P526" s="256"/>
      <c r="Q526" s="257"/>
      <c r="R526" s="256"/>
      <c r="S526" s="257"/>
      <c r="T526" s="256"/>
      <c r="U526" s="257"/>
      <c r="V526" s="256"/>
      <c r="W526" s="257"/>
      <c r="X526" s="256"/>
    </row>
    <row r="527" spans="1:24" ht="12.75">
      <c r="A527" s="255"/>
      <c r="B527" s="256"/>
      <c r="C527" s="257"/>
      <c r="D527" s="256"/>
      <c r="E527" s="257"/>
      <c r="F527" s="256"/>
      <c r="G527" s="257"/>
      <c r="H527" s="256"/>
      <c r="I527" s="257"/>
      <c r="J527" s="256"/>
      <c r="K527" s="257"/>
      <c r="L527" s="256"/>
      <c r="M527" s="257"/>
      <c r="N527" s="256"/>
      <c r="O527" s="257"/>
      <c r="P527" s="256"/>
      <c r="Q527" s="257"/>
      <c r="R527" s="256"/>
      <c r="S527" s="257"/>
      <c r="T527" s="256"/>
      <c r="U527" s="257"/>
      <c r="V527" s="256"/>
      <c r="W527" s="257"/>
      <c r="X527" s="256"/>
    </row>
    <row r="528" spans="1:24" ht="12.75">
      <c r="A528" s="255"/>
      <c r="B528" s="256"/>
      <c r="C528" s="257"/>
      <c r="D528" s="256"/>
      <c r="E528" s="257"/>
      <c r="F528" s="256"/>
      <c r="G528" s="257"/>
      <c r="H528" s="256"/>
      <c r="I528" s="257"/>
      <c r="J528" s="256"/>
      <c r="K528" s="257"/>
      <c r="L528" s="256"/>
      <c r="M528" s="257"/>
      <c r="N528" s="256"/>
      <c r="O528" s="257"/>
      <c r="P528" s="256"/>
      <c r="Q528" s="257"/>
      <c r="R528" s="256"/>
      <c r="S528" s="257"/>
      <c r="T528" s="256"/>
      <c r="U528" s="257"/>
      <c r="V528" s="256"/>
      <c r="W528" s="257"/>
      <c r="X528" s="256"/>
    </row>
    <row r="529" spans="1:24" ht="12.75">
      <c r="A529" s="255"/>
      <c r="B529" s="256"/>
      <c r="C529" s="257"/>
      <c r="D529" s="256"/>
      <c r="E529" s="257"/>
      <c r="F529" s="256"/>
      <c r="G529" s="257"/>
      <c r="H529" s="256"/>
      <c r="I529" s="257"/>
      <c r="J529" s="256"/>
      <c r="K529" s="257"/>
      <c r="L529" s="256"/>
      <c r="M529" s="257"/>
      <c r="N529" s="256"/>
      <c r="O529" s="257"/>
      <c r="P529" s="256"/>
      <c r="Q529" s="257"/>
      <c r="R529" s="256"/>
      <c r="S529" s="257"/>
      <c r="T529" s="256"/>
      <c r="U529" s="257"/>
      <c r="V529" s="256"/>
      <c r="W529" s="257"/>
      <c r="X529" s="256"/>
    </row>
    <row r="530" spans="1:24" ht="12.75">
      <c r="A530" s="255"/>
      <c r="B530" s="256"/>
      <c r="C530" s="257"/>
      <c r="D530" s="256"/>
      <c r="E530" s="257"/>
      <c r="F530" s="256"/>
      <c r="G530" s="257"/>
      <c r="H530" s="256"/>
      <c r="I530" s="257"/>
      <c r="J530" s="256"/>
      <c r="K530" s="257"/>
      <c r="L530" s="256"/>
      <c r="M530" s="257"/>
      <c r="N530" s="256"/>
      <c r="O530" s="257"/>
      <c r="P530" s="256"/>
      <c r="Q530" s="257"/>
      <c r="R530" s="256"/>
      <c r="S530" s="257"/>
      <c r="T530" s="256"/>
      <c r="U530" s="257"/>
      <c r="V530" s="256"/>
      <c r="W530" s="257"/>
      <c r="X530" s="256"/>
    </row>
    <row r="531" spans="1:24" ht="12.75">
      <c r="A531" s="255"/>
      <c r="B531" s="256"/>
      <c r="C531" s="257"/>
      <c r="D531" s="256"/>
      <c r="E531" s="257"/>
      <c r="F531" s="256"/>
      <c r="G531" s="257"/>
      <c r="H531" s="256"/>
      <c r="I531" s="257"/>
      <c r="J531" s="256"/>
      <c r="K531" s="257"/>
      <c r="L531" s="256"/>
      <c r="M531" s="257"/>
      <c r="N531" s="256"/>
      <c r="O531" s="257"/>
      <c r="P531" s="256"/>
      <c r="Q531" s="257"/>
      <c r="R531" s="256"/>
      <c r="S531" s="257"/>
      <c r="T531" s="256"/>
      <c r="U531" s="257"/>
      <c r="V531" s="256"/>
      <c r="W531" s="257"/>
      <c r="X531" s="256"/>
    </row>
    <row r="532" spans="1:24" ht="12.75">
      <c r="A532" s="255"/>
      <c r="B532" s="256"/>
      <c r="C532" s="257"/>
      <c r="D532" s="256"/>
      <c r="E532" s="257"/>
      <c r="F532" s="256"/>
      <c r="G532" s="257"/>
      <c r="H532" s="256"/>
      <c r="I532" s="257"/>
      <c r="J532" s="256"/>
      <c r="K532" s="257"/>
      <c r="L532" s="256"/>
      <c r="M532" s="257"/>
      <c r="N532" s="256"/>
      <c r="O532" s="257"/>
      <c r="P532" s="256"/>
      <c r="Q532" s="257"/>
      <c r="R532" s="256"/>
      <c r="S532" s="257"/>
      <c r="T532" s="256"/>
      <c r="U532" s="257"/>
      <c r="V532" s="256"/>
      <c r="W532" s="257"/>
      <c r="X532" s="256"/>
    </row>
    <row r="533" spans="1:24" ht="12.75">
      <c r="A533" s="255"/>
      <c r="B533" s="256"/>
      <c r="C533" s="257"/>
      <c r="D533" s="256"/>
      <c r="E533" s="257"/>
      <c r="F533" s="256"/>
      <c r="G533" s="257"/>
      <c r="H533" s="256"/>
      <c r="I533" s="257"/>
      <c r="J533" s="256"/>
      <c r="K533" s="257"/>
      <c r="L533" s="256"/>
      <c r="M533" s="257"/>
      <c r="N533" s="256"/>
      <c r="O533" s="257"/>
      <c r="P533" s="256"/>
      <c r="Q533" s="257"/>
      <c r="R533" s="256"/>
      <c r="S533" s="257"/>
      <c r="T533" s="256"/>
      <c r="U533" s="257"/>
      <c r="V533" s="256"/>
      <c r="W533" s="257"/>
      <c r="X533" s="256"/>
    </row>
    <row r="534" spans="1:24" ht="12.75">
      <c r="A534" s="255"/>
      <c r="B534" s="256"/>
      <c r="C534" s="257"/>
      <c r="D534" s="256"/>
      <c r="E534" s="257"/>
      <c r="F534" s="256"/>
      <c r="G534" s="257"/>
      <c r="H534" s="256"/>
      <c r="I534" s="257"/>
      <c r="J534" s="256"/>
      <c r="K534" s="257"/>
      <c r="L534" s="256"/>
      <c r="M534" s="257"/>
      <c r="N534" s="256"/>
      <c r="O534" s="257"/>
      <c r="P534" s="256"/>
      <c r="Q534" s="257"/>
      <c r="R534" s="256"/>
      <c r="S534" s="257"/>
      <c r="T534" s="256"/>
      <c r="U534" s="257"/>
      <c r="V534" s="256"/>
      <c r="W534" s="257"/>
      <c r="X534" s="256"/>
    </row>
    <row r="535" spans="1:24" ht="12.75">
      <c r="A535" s="255"/>
      <c r="B535" s="256"/>
      <c r="C535" s="257"/>
      <c r="D535" s="256"/>
      <c r="E535" s="257"/>
      <c r="F535" s="256"/>
      <c r="G535" s="257"/>
      <c r="H535" s="256"/>
      <c r="I535" s="257"/>
      <c r="J535" s="256"/>
      <c r="K535" s="257"/>
      <c r="L535" s="256"/>
      <c r="M535" s="257"/>
      <c r="N535" s="256"/>
      <c r="O535" s="257"/>
      <c r="P535" s="256"/>
      <c r="Q535" s="257"/>
      <c r="R535" s="256"/>
      <c r="S535" s="257"/>
      <c r="T535" s="256"/>
      <c r="U535" s="257"/>
      <c r="V535" s="256"/>
      <c r="W535" s="257"/>
      <c r="X535" s="256"/>
    </row>
    <row r="536" spans="1:24" ht="12.75">
      <c r="A536" s="255"/>
      <c r="B536" s="256"/>
      <c r="C536" s="257"/>
      <c r="D536" s="256"/>
      <c r="E536" s="257"/>
      <c r="F536" s="256"/>
      <c r="G536" s="257"/>
      <c r="H536" s="256"/>
      <c r="I536" s="257"/>
      <c r="J536" s="256"/>
      <c r="K536" s="257"/>
      <c r="L536" s="256"/>
      <c r="M536" s="257"/>
      <c r="N536" s="256"/>
      <c r="O536" s="257"/>
      <c r="P536" s="256"/>
      <c r="Q536" s="257"/>
      <c r="R536" s="256"/>
      <c r="S536" s="257"/>
      <c r="T536" s="256"/>
      <c r="U536" s="257"/>
      <c r="V536" s="256"/>
      <c r="W536" s="257"/>
      <c r="X536" s="256"/>
    </row>
    <row r="537" spans="1:24" ht="12.75">
      <c r="A537" s="255"/>
      <c r="B537" s="256"/>
      <c r="C537" s="257"/>
      <c r="D537" s="256"/>
      <c r="E537" s="257"/>
      <c r="F537" s="256"/>
      <c r="G537" s="257"/>
      <c r="H537" s="256"/>
      <c r="I537" s="257"/>
      <c r="J537" s="256"/>
      <c r="K537" s="257"/>
      <c r="L537" s="256"/>
      <c r="M537" s="257"/>
      <c r="N537" s="256"/>
      <c r="O537" s="257"/>
      <c r="P537" s="256"/>
      <c r="Q537" s="257"/>
      <c r="R537" s="256"/>
      <c r="S537" s="257"/>
      <c r="T537" s="256"/>
      <c r="U537" s="257"/>
      <c r="V537" s="256"/>
      <c r="W537" s="257"/>
      <c r="X537" s="256"/>
    </row>
    <row r="538" spans="1:24" ht="12.75">
      <c r="A538" s="255"/>
      <c r="B538" s="256"/>
      <c r="C538" s="257"/>
      <c r="D538" s="256"/>
      <c r="E538" s="257"/>
      <c r="F538" s="256"/>
      <c r="G538" s="257"/>
      <c r="H538" s="256"/>
      <c r="I538" s="257"/>
      <c r="J538" s="256"/>
      <c r="K538" s="257"/>
      <c r="L538" s="256"/>
      <c r="M538" s="257"/>
      <c r="N538" s="256"/>
      <c r="O538" s="257"/>
      <c r="P538" s="256"/>
      <c r="Q538" s="257"/>
      <c r="R538" s="256"/>
      <c r="S538" s="257"/>
      <c r="T538" s="256"/>
      <c r="U538" s="257"/>
      <c r="V538" s="256"/>
      <c r="W538" s="257"/>
      <c r="X538" s="256"/>
    </row>
    <row r="539" spans="1:24" ht="12.75">
      <c r="A539" s="255"/>
      <c r="B539" s="256"/>
      <c r="C539" s="257"/>
      <c r="D539" s="256"/>
      <c r="E539" s="257"/>
      <c r="F539" s="256"/>
      <c r="G539" s="257"/>
      <c r="H539" s="256"/>
      <c r="I539" s="257"/>
      <c r="J539" s="256"/>
      <c r="K539" s="257"/>
      <c r="L539" s="256"/>
      <c r="M539" s="257"/>
      <c r="N539" s="256"/>
      <c r="O539" s="257"/>
      <c r="P539" s="256"/>
      <c r="Q539" s="257"/>
      <c r="R539" s="256"/>
      <c r="S539" s="257"/>
      <c r="T539" s="256"/>
      <c r="U539" s="257"/>
      <c r="V539" s="256"/>
      <c r="W539" s="257"/>
      <c r="X539" s="256"/>
    </row>
    <row r="540" spans="1:24" ht="12.75">
      <c r="A540" s="255"/>
      <c r="B540" s="256"/>
      <c r="C540" s="257"/>
      <c r="D540" s="256"/>
      <c r="E540" s="257"/>
      <c r="F540" s="256"/>
      <c r="G540" s="257"/>
      <c r="H540" s="256"/>
      <c r="I540" s="257"/>
      <c r="J540" s="256"/>
      <c r="K540" s="257"/>
      <c r="L540" s="256"/>
      <c r="M540" s="257"/>
      <c r="N540" s="256"/>
      <c r="O540" s="257"/>
      <c r="P540" s="256"/>
      <c r="Q540" s="257"/>
      <c r="R540" s="256"/>
      <c r="S540" s="257"/>
      <c r="T540" s="256"/>
      <c r="U540" s="257"/>
      <c r="V540" s="256"/>
      <c r="W540" s="257"/>
      <c r="X540" s="256"/>
    </row>
    <row r="541" spans="1:24" ht="12.75">
      <c r="A541" s="255"/>
      <c r="B541" s="256"/>
      <c r="C541" s="257"/>
      <c r="D541" s="256"/>
      <c r="E541" s="257"/>
      <c r="F541" s="256"/>
      <c r="G541" s="257"/>
      <c r="H541" s="256"/>
      <c r="I541" s="257"/>
      <c r="J541" s="256"/>
      <c r="K541" s="257"/>
      <c r="L541" s="256"/>
      <c r="M541" s="257"/>
      <c r="N541" s="256"/>
      <c r="O541" s="257"/>
      <c r="P541" s="256"/>
      <c r="Q541" s="257"/>
      <c r="R541" s="256"/>
      <c r="S541" s="257"/>
      <c r="T541" s="256"/>
      <c r="U541" s="257"/>
      <c r="V541" s="256"/>
      <c r="W541" s="257"/>
      <c r="X541" s="256"/>
    </row>
    <row r="542" spans="1:24" ht="12.75">
      <c r="A542" s="255"/>
      <c r="B542" s="256"/>
      <c r="C542" s="257"/>
      <c r="D542" s="256"/>
      <c r="E542" s="257"/>
      <c r="F542" s="256"/>
      <c r="G542" s="257"/>
      <c r="H542" s="256"/>
      <c r="I542" s="257"/>
      <c r="J542" s="256"/>
      <c r="K542" s="257"/>
      <c r="L542" s="256"/>
      <c r="M542" s="257"/>
      <c r="N542" s="256"/>
      <c r="O542" s="257"/>
      <c r="P542" s="256"/>
      <c r="Q542" s="257"/>
      <c r="R542" s="256"/>
      <c r="S542" s="257"/>
      <c r="T542" s="256"/>
      <c r="U542" s="257"/>
      <c r="V542" s="256"/>
      <c r="W542" s="257"/>
      <c r="X542" s="256"/>
    </row>
    <row r="543" spans="1:24" ht="12.75">
      <c r="A543" s="255"/>
      <c r="B543" s="256"/>
      <c r="C543" s="257"/>
      <c r="D543" s="256"/>
      <c r="E543" s="257"/>
      <c r="F543" s="256"/>
      <c r="G543" s="257"/>
      <c r="H543" s="256"/>
      <c r="I543" s="257"/>
      <c r="J543" s="256"/>
      <c r="K543" s="257"/>
      <c r="L543" s="256"/>
      <c r="M543" s="257"/>
      <c r="N543" s="256"/>
      <c r="O543" s="257"/>
      <c r="P543" s="256"/>
      <c r="Q543" s="257"/>
      <c r="R543" s="256"/>
      <c r="S543" s="257"/>
      <c r="T543" s="256"/>
      <c r="U543" s="257"/>
      <c r="V543" s="256"/>
      <c r="W543" s="257"/>
      <c r="X543" s="256"/>
    </row>
    <row r="544" spans="1:24" ht="12.75">
      <c r="A544" s="255"/>
      <c r="B544" s="256"/>
      <c r="C544" s="257"/>
      <c r="D544" s="256"/>
      <c r="E544" s="257"/>
      <c r="F544" s="256"/>
      <c r="G544" s="257"/>
      <c r="H544" s="256"/>
      <c r="I544" s="257"/>
      <c r="J544" s="256"/>
      <c r="K544" s="257"/>
      <c r="L544" s="256"/>
      <c r="M544" s="257"/>
      <c r="N544" s="256"/>
      <c r="O544" s="257"/>
      <c r="P544" s="256"/>
      <c r="Q544" s="257"/>
      <c r="R544" s="256"/>
      <c r="S544" s="257"/>
      <c r="T544" s="256"/>
      <c r="U544" s="257"/>
      <c r="V544" s="256"/>
      <c r="W544" s="257"/>
      <c r="X544" s="256"/>
    </row>
    <row r="545" spans="1:24" ht="12.75">
      <c r="A545" s="255"/>
      <c r="B545" s="256"/>
      <c r="C545" s="257"/>
      <c r="D545" s="256"/>
      <c r="E545" s="257"/>
      <c r="F545" s="256"/>
      <c r="G545" s="257"/>
      <c r="H545" s="256"/>
      <c r="I545" s="257"/>
      <c r="J545" s="256"/>
      <c r="K545" s="257"/>
      <c r="L545" s="256"/>
      <c r="M545" s="257"/>
      <c r="N545" s="256"/>
      <c r="O545" s="257"/>
      <c r="P545" s="256"/>
      <c r="Q545" s="257"/>
      <c r="R545" s="256"/>
      <c r="S545" s="257"/>
      <c r="T545" s="256"/>
      <c r="U545" s="257"/>
      <c r="V545" s="256"/>
      <c r="W545" s="257"/>
      <c r="X545" s="256"/>
    </row>
    <row r="546" spans="1:24" ht="12.75">
      <c r="A546" s="255"/>
      <c r="B546" s="256"/>
      <c r="C546" s="257"/>
      <c r="D546" s="256"/>
      <c r="E546" s="257"/>
      <c r="F546" s="256"/>
      <c r="G546" s="257"/>
      <c r="H546" s="256"/>
      <c r="I546" s="257"/>
      <c r="J546" s="256"/>
      <c r="K546" s="257"/>
      <c r="L546" s="256"/>
      <c r="M546" s="257"/>
      <c r="N546" s="256"/>
      <c r="O546" s="257"/>
      <c r="P546" s="256"/>
      <c r="Q546" s="257"/>
      <c r="R546" s="256"/>
      <c r="S546" s="257"/>
      <c r="T546" s="256"/>
      <c r="U546" s="257"/>
      <c r="V546" s="256"/>
      <c r="W546" s="257"/>
      <c r="X546" s="256"/>
    </row>
    <row r="547" spans="1:24" ht="12.75">
      <c r="A547" s="255"/>
      <c r="B547" s="256"/>
      <c r="C547" s="257"/>
      <c r="D547" s="256"/>
      <c r="E547" s="257"/>
      <c r="F547" s="256"/>
      <c r="G547" s="257"/>
      <c r="H547" s="256"/>
      <c r="I547" s="257"/>
      <c r="J547" s="256"/>
      <c r="K547" s="257"/>
      <c r="L547" s="256"/>
      <c r="M547" s="257"/>
      <c r="N547" s="256"/>
      <c r="O547" s="257"/>
      <c r="P547" s="256"/>
      <c r="Q547" s="257"/>
      <c r="R547" s="256"/>
      <c r="S547" s="257"/>
      <c r="T547" s="256"/>
      <c r="U547" s="257"/>
      <c r="V547" s="256"/>
      <c r="W547" s="257"/>
      <c r="X547" s="256"/>
    </row>
    <row r="548" spans="1:24" ht="12.75">
      <c r="A548" s="255"/>
      <c r="B548" s="256"/>
      <c r="C548" s="257"/>
      <c r="D548" s="256"/>
      <c r="E548" s="257"/>
      <c r="F548" s="256"/>
      <c r="G548" s="257"/>
      <c r="H548" s="256"/>
      <c r="I548" s="257"/>
      <c r="J548" s="256"/>
      <c r="K548" s="257"/>
      <c r="L548" s="256"/>
      <c r="M548" s="257"/>
      <c r="N548" s="256"/>
      <c r="O548" s="257"/>
      <c r="P548" s="256"/>
      <c r="Q548" s="257"/>
      <c r="R548" s="256"/>
      <c r="S548" s="257"/>
      <c r="T548" s="256"/>
      <c r="U548" s="257"/>
      <c r="V548" s="256"/>
      <c r="W548" s="257"/>
      <c r="X548" s="256"/>
    </row>
    <row r="549" spans="1:24" ht="12.75">
      <c r="A549" s="255"/>
      <c r="B549" s="256"/>
      <c r="C549" s="257"/>
      <c r="D549" s="256"/>
      <c r="E549" s="257"/>
      <c r="F549" s="256"/>
      <c r="G549" s="257"/>
      <c r="H549" s="256"/>
      <c r="I549" s="257"/>
      <c r="J549" s="256"/>
      <c r="K549" s="257"/>
      <c r="L549" s="256"/>
      <c r="M549" s="257"/>
      <c r="N549" s="256"/>
      <c r="O549" s="257"/>
      <c r="P549" s="256"/>
      <c r="Q549" s="257"/>
      <c r="R549" s="256"/>
      <c r="S549" s="257"/>
      <c r="T549" s="256"/>
      <c r="U549" s="257"/>
      <c r="V549" s="256"/>
      <c r="W549" s="257"/>
      <c r="X549" s="256"/>
    </row>
    <row r="550" spans="1:24" ht="12.75">
      <c r="A550" s="255"/>
      <c r="B550" s="256"/>
      <c r="C550" s="257"/>
      <c r="D550" s="256"/>
      <c r="E550" s="257"/>
      <c r="F550" s="256"/>
      <c r="G550" s="257"/>
      <c r="H550" s="256"/>
      <c r="I550" s="257"/>
      <c r="J550" s="256"/>
      <c r="K550" s="257"/>
      <c r="L550" s="256"/>
      <c r="M550" s="257"/>
      <c r="N550" s="256"/>
      <c r="O550" s="257"/>
      <c r="P550" s="256"/>
      <c r="Q550" s="257"/>
      <c r="R550" s="256"/>
      <c r="S550" s="257"/>
      <c r="T550" s="256"/>
      <c r="U550" s="257"/>
      <c r="V550" s="256"/>
      <c r="W550" s="257"/>
      <c r="X550" s="256"/>
    </row>
    <row r="551" spans="1:24" ht="12.75">
      <c r="A551" s="255"/>
      <c r="B551" s="256"/>
      <c r="C551" s="257"/>
      <c r="D551" s="256"/>
      <c r="E551" s="257"/>
      <c r="F551" s="256"/>
      <c r="G551" s="257"/>
      <c r="H551" s="256"/>
      <c r="I551" s="257"/>
      <c r="J551" s="256"/>
      <c r="K551" s="257"/>
      <c r="L551" s="256"/>
      <c r="M551" s="257"/>
      <c r="N551" s="256"/>
      <c r="O551" s="257"/>
      <c r="P551" s="256"/>
      <c r="Q551" s="257"/>
      <c r="R551" s="256"/>
      <c r="S551" s="257"/>
      <c r="T551" s="256"/>
      <c r="U551" s="257"/>
      <c r="V551" s="256"/>
      <c r="W551" s="257"/>
      <c r="X551" s="256"/>
    </row>
    <row r="552" spans="1:24" ht="12.75">
      <c r="A552" s="255"/>
      <c r="B552" s="256"/>
      <c r="C552" s="257"/>
      <c r="D552" s="256"/>
      <c r="E552" s="257"/>
      <c r="F552" s="256"/>
      <c r="G552" s="257"/>
      <c r="H552" s="256"/>
      <c r="I552" s="257"/>
      <c r="J552" s="256"/>
      <c r="K552" s="257"/>
      <c r="L552" s="256"/>
      <c r="M552" s="257"/>
      <c r="N552" s="256"/>
      <c r="O552" s="257"/>
      <c r="P552" s="256"/>
      <c r="Q552" s="257"/>
      <c r="R552" s="256"/>
      <c r="S552" s="257"/>
      <c r="T552" s="256"/>
      <c r="U552" s="257"/>
      <c r="V552" s="256"/>
      <c r="W552" s="257"/>
      <c r="X552" s="256"/>
    </row>
    <row r="553" spans="1:24" ht="12.75">
      <c r="A553" s="255"/>
      <c r="B553" s="256"/>
      <c r="C553" s="257"/>
      <c r="D553" s="256"/>
      <c r="E553" s="257"/>
      <c r="F553" s="256"/>
      <c r="G553" s="257"/>
      <c r="H553" s="256"/>
      <c r="I553" s="257"/>
      <c r="J553" s="256"/>
      <c r="K553" s="257"/>
      <c r="L553" s="256"/>
      <c r="M553" s="257"/>
      <c r="N553" s="256"/>
      <c r="O553" s="257"/>
      <c r="P553" s="256"/>
      <c r="Q553" s="257"/>
      <c r="R553" s="256"/>
      <c r="S553" s="257"/>
      <c r="T553" s="256"/>
      <c r="U553" s="257"/>
      <c r="V553" s="256"/>
      <c r="W553" s="257"/>
      <c r="X553" s="256"/>
    </row>
    <row r="554" spans="1:24" ht="12.75">
      <c r="A554" s="255"/>
      <c r="B554" s="256"/>
      <c r="C554" s="257"/>
      <c r="D554" s="256"/>
      <c r="E554" s="257"/>
      <c r="F554" s="256"/>
      <c r="G554" s="257"/>
      <c r="H554" s="256"/>
      <c r="I554" s="257"/>
      <c r="J554" s="256"/>
      <c r="K554" s="257"/>
      <c r="L554" s="256"/>
      <c r="M554" s="257"/>
      <c r="N554" s="256"/>
      <c r="O554" s="257"/>
      <c r="P554" s="256"/>
      <c r="Q554" s="257"/>
      <c r="R554" s="256"/>
      <c r="S554" s="257"/>
      <c r="T554" s="256"/>
      <c r="U554" s="257"/>
      <c r="V554" s="256"/>
      <c r="W554" s="257"/>
      <c r="X554" s="256"/>
    </row>
    <row r="555" spans="1:24" ht="12.75">
      <c r="A555" s="255"/>
      <c r="B555" s="256"/>
      <c r="C555" s="257"/>
      <c r="D555" s="256"/>
      <c r="E555" s="257"/>
      <c r="F555" s="256"/>
      <c r="G555" s="257"/>
      <c r="H555" s="256"/>
      <c r="I555" s="257"/>
      <c r="J555" s="256"/>
      <c r="K555" s="257"/>
      <c r="L555" s="256"/>
      <c r="M555" s="257"/>
      <c r="N555" s="256"/>
      <c r="O555" s="257"/>
      <c r="P555" s="256"/>
      <c r="Q555" s="257"/>
      <c r="R555" s="256"/>
      <c r="S555" s="257"/>
      <c r="T555" s="256"/>
      <c r="U555" s="257"/>
      <c r="V555" s="256"/>
      <c r="W555" s="257"/>
      <c r="X555" s="256"/>
    </row>
    <row r="556" spans="1:24" ht="12.75">
      <c r="A556" s="255"/>
      <c r="B556" s="256"/>
      <c r="C556" s="257"/>
      <c r="D556" s="256"/>
      <c r="E556" s="257"/>
      <c r="F556" s="256"/>
      <c r="G556" s="257"/>
      <c r="H556" s="256"/>
      <c r="I556" s="257"/>
      <c r="J556" s="256"/>
      <c r="K556" s="257"/>
      <c r="L556" s="256"/>
      <c r="M556" s="257"/>
      <c r="N556" s="256"/>
      <c r="O556" s="257"/>
      <c r="P556" s="256"/>
      <c r="Q556" s="257"/>
      <c r="R556" s="256"/>
      <c r="S556" s="257"/>
      <c r="T556" s="256"/>
      <c r="U556" s="257"/>
      <c r="V556" s="256"/>
      <c r="W556" s="257"/>
      <c r="X556" s="256"/>
    </row>
    <row r="557" spans="1:24" ht="12.75">
      <c r="A557" s="255"/>
      <c r="B557" s="256"/>
      <c r="C557" s="257"/>
      <c r="D557" s="256"/>
      <c r="E557" s="257"/>
      <c r="F557" s="256"/>
      <c r="G557" s="257"/>
      <c r="H557" s="256"/>
      <c r="I557" s="257"/>
      <c r="J557" s="256"/>
      <c r="K557" s="257"/>
      <c r="L557" s="256"/>
      <c r="M557" s="257"/>
      <c r="N557" s="256"/>
      <c r="O557" s="257"/>
      <c r="P557" s="256"/>
      <c r="Q557" s="257"/>
      <c r="R557" s="256"/>
      <c r="S557" s="257"/>
      <c r="T557" s="256"/>
      <c r="U557" s="257"/>
      <c r="V557" s="256"/>
      <c r="W557" s="257"/>
      <c r="X557" s="256"/>
    </row>
    <row r="558" spans="1:24" ht="12.75">
      <c r="A558" s="255"/>
      <c r="B558" s="256"/>
      <c r="C558" s="257"/>
      <c r="D558" s="256"/>
      <c r="E558" s="257"/>
      <c r="F558" s="256"/>
      <c r="G558" s="257"/>
      <c r="H558" s="256"/>
      <c r="I558" s="257"/>
      <c r="J558" s="256"/>
      <c r="K558" s="257"/>
      <c r="L558" s="256"/>
      <c r="M558" s="257"/>
      <c r="N558" s="256"/>
      <c r="O558" s="257"/>
      <c r="P558" s="256"/>
      <c r="Q558" s="257"/>
      <c r="R558" s="256"/>
      <c r="S558" s="257"/>
      <c r="T558" s="256"/>
      <c r="U558" s="257"/>
      <c r="V558" s="256"/>
      <c r="W558" s="257"/>
      <c r="X558" s="256"/>
    </row>
    <row r="559" spans="1:24" ht="12.75">
      <c r="A559" s="255"/>
      <c r="B559" s="256"/>
      <c r="C559" s="257"/>
      <c r="D559" s="256"/>
      <c r="E559" s="257"/>
      <c r="F559" s="256"/>
      <c r="G559" s="257"/>
      <c r="H559" s="256"/>
      <c r="I559" s="257"/>
      <c r="J559" s="256"/>
      <c r="K559" s="257"/>
      <c r="L559" s="256"/>
      <c r="M559" s="257"/>
      <c r="N559" s="256"/>
      <c r="O559" s="257"/>
      <c r="P559" s="256"/>
      <c r="Q559" s="257"/>
      <c r="R559" s="256"/>
      <c r="S559" s="257"/>
      <c r="T559" s="256"/>
      <c r="U559" s="257"/>
      <c r="V559" s="256"/>
      <c r="W559" s="257"/>
      <c r="X559" s="256"/>
    </row>
    <row r="560" spans="1:24" ht="12.75">
      <c r="A560" s="255"/>
      <c r="B560" s="256"/>
      <c r="C560" s="257"/>
      <c r="D560" s="256"/>
      <c r="E560" s="257"/>
      <c r="F560" s="256"/>
      <c r="G560" s="257"/>
      <c r="H560" s="256"/>
      <c r="I560" s="257"/>
      <c r="J560" s="256"/>
      <c r="K560" s="257"/>
      <c r="L560" s="256"/>
      <c r="M560" s="257"/>
      <c r="N560" s="256"/>
      <c r="O560" s="257"/>
      <c r="P560" s="256"/>
      <c r="Q560" s="257"/>
      <c r="R560" s="256"/>
      <c r="S560" s="257"/>
      <c r="T560" s="256"/>
      <c r="U560" s="257"/>
      <c r="V560" s="256"/>
      <c r="W560" s="257"/>
      <c r="X560" s="256"/>
    </row>
    <row r="561" spans="1:24" ht="12.75">
      <c r="A561" s="255"/>
      <c r="B561" s="256"/>
      <c r="C561" s="257"/>
      <c r="D561" s="256"/>
      <c r="E561" s="257"/>
      <c r="F561" s="256"/>
      <c r="G561" s="257"/>
      <c r="H561" s="256"/>
      <c r="I561" s="257"/>
      <c r="J561" s="256"/>
      <c r="K561" s="257"/>
      <c r="L561" s="256"/>
      <c r="M561" s="257"/>
      <c r="N561" s="256"/>
      <c r="O561" s="257"/>
      <c r="P561" s="256"/>
      <c r="Q561" s="257"/>
      <c r="R561" s="256"/>
      <c r="S561" s="257"/>
      <c r="T561" s="256"/>
      <c r="U561" s="257"/>
      <c r="V561" s="256"/>
      <c r="W561" s="257"/>
      <c r="X561" s="256"/>
    </row>
    <row r="562" spans="1:24" ht="12.75">
      <c r="A562" s="255"/>
      <c r="B562" s="256"/>
      <c r="C562" s="257"/>
      <c r="D562" s="256"/>
      <c r="E562" s="257"/>
      <c r="F562" s="256"/>
      <c r="G562" s="257"/>
      <c r="H562" s="256"/>
      <c r="I562" s="257"/>
      <c r="J562" s="256"/>
      <c r="K562" s="257"/>
      <c r="L562" s="256"/>
      <c r="M562" s="257"/>
      <c r="N562" s="256"/>
      <c r="O562" s="257"/>
      <c r="P562" s="256"/>
      <c r="Q562" s="257"/>
      <c r="R562" s="256"/>
      <c r="S562" s="257"/>
      <c r="T562" s="256"/>
      <c r="U562" s="257"/>
      <c r="V562" s="256"/>
      <c r="W562" s="257"/>
      <c r="X562" s="256"/>
    </row>
    <row r="563" spans="1:24" ht="12.75">
      <c r="A563" s="255"/>
      <c r="B563" s="256"/>
      <c r="C563" s="257"/>
      <c r="D563" s="256"/>
      <c r="E563" s="257"/>
      <c r="F563" s="256"/>
      <c r="G563" s="257"/>
      <c r="H563" s="256"/>
      <c r="I563" s="257"/>
      <c r="J563" s="256"/>
      <c r="K563" s="257"/>
      <c r="L563" s="256"/>
      <c r="M563" s="257"/>
      <c r="N563" s="256"/>
      <c r="O563" s="257"/>
      <c r="P563" s="256"/>
      <c r="Q563" s="257"/>
      <c r="R563" s="256"/>
      <c r="S563" s="257"/>
      <c r="T563" s="256"/>
      <c r="U563" s="257"/>
      <c r="V563" s="256"/>
      <c r="W563" s="257"/>
      <c r="X563" s="256"/>
    </row>
    <row r="564" spans="1:24" ht="12.75">
      <c r="A564" s="255"/>
      <c r="B564" s="256"/>
      <c r="C564" s="257"/>
      <c r="D564" s="256"/>
      <c r="E564" s="257"/>
      <c r="F564" s="256"/>
      <c r="G564" s="257"/>
      <c r="H564" s="256"/>
      <c r="I564" s="257"/>
      <c r="J564" s="256"/>
      <c r="K564" s="257"/>
      <c r="L564" s="256"/>
      <c r="M564" s="257"/>
      <c r="N564" s="256"/>
      <c r="O564" s="257"/>
      <c r="P564" s="256"/>
      <c r="Q564" s="257"/>
      <c r="R564" s="256"/>
      <c r="S564" s="257"/>
      <c r="T564" s="256"/>
      <c r="U564" s="257"/>
      <c r="V564" s="256"/>
      <c r="W564" s="257"/>
      <c r="X564" s="256"/>
    </row>
    <row r="565" spans="1:24" ht="12.75">
      <c r="A565" s="255"/>
      <c r="B565" s="256"/>
      <c r="C565" s="257"/>
      <c r="D565" s="256"/>
      <c r="E565" s="257"/>
      <c r="F565" s="256"/>
      <c r="G565" s="257"/>
      <c r="H565" s="256"/>
      <c r="I565" s="257"/>
      <c r="J565" s="256"/>
      <c r="K565" s="257"/>
      <c r="L565" s="256"/>
      <c r="M565" s="257"/>
      <c r="N565" s="256"/>
      <c r="O565" s="257"/>
      <c r="P565" s="256"/>
      <c r="Q565" s="257"/>
      <c r="R565" s="256"/>
      <c r="S565" s="257"/>
      <c r="T565" s="256"/>
      <c r="U565" s="257"/>
      <c r="V565" s="256"/>
      <c r="W565" s="257"/>
      <c r="X565" s="256"/>
    </row>
    <row r="566" spans="1:24" ht="12.75">
      <c r="A566" s="255"/>
      <c r="B566" s="256"/>
      <c r="C566" s="257"/>
      <c r="D566" s="256"/>
      <c r="E566" s="257"/>
      <c r="F566" s="256"/>
      <c r="G566" s="257"/>
      <c r="H566" s="256"/>
      <c r="I566" s="257"/>
      <c r="J566" s="256"/>
      <c r="K566" s="257"/>
      <c r="L566" s="256"/>
      <c r="M566" s="257"/>
      <c r="N566" s="256"/>
      <c r="O566" s="257"/>
      <c r="P566" s="256"/>
      <c r="Q566" s="257"/>
      <c r="R566" s="256"/>
      <c r="S566" s="257"/>
      <c r="T566" s="256"/>
      <c r="U566" s="257"/>
      <c r="V566" s="256"/>
      <c r="W566" s="257"/>
      <c r="X566" s="256"/>
    </row>
    <row r="567" spans="1:24" ht="12.75">
      <c r="A567" s="255"/>
      <c r="B567" s="256"/>
      <c r="C567" s="257"/>
      <c r="D567" s="256"/>
      <c r="E567" s="257"/>
      <c r="F567" s="256"/>
      <c r="G567" s="257"/>
      <c r="H567" s="256"/>
      <c r="I567" s="257"/>
      <c r="J567" s="256"/>
      <c r="K567" s="257"/>
      <c r="L567" s="256"/>
      <c r="M567" s="257"/>
      <c r="N567" s="256"/>
      <c r="O567" s="257"/>
      <c r="P567" s="256"/>
      <c r="Q567" s="257"/>
      <c r="R567" s="256"/>
      <c r="S567" s="257"/>
      <c r="T567" s="256"/>
      <c r="U567" s="257"/>
      <c r="V567" s="256"/>
      <c r="W567" s="257"/>
      <c r="X567" s="256"/>
    </row>
    <row r="568" spans="1:24" ht="12.75">
      <c r="A568" s="255"/>
      <c r="B568" s="256"/>
      <c r="C568" s="257"/>
      <c r="D568" s="256"/>
      <c r="E568" s="257"/>
      <c r="F568" s="256"/>
      <c r="G568" s="257"/>
      <c r="H568" s="256"/>
      <c r="I568" s="257"/>
      <c r="J568" s="256"/>
      <c r="K568" s="257"/>
      <c r="L568" s="256"/>
      <c r="M568" s="257"/>
      <c r="N568" s="256"/>
      <c r="O568" s="257"/>
      <c r="P568" s="256"/>
      <c r="Q568" s="257"/>
      <c r="R568" s="256"/>
      <c r="S568" s="257"/>
      <c r="T568" s="256"/>
      <c r="U568" s="257"/>
      <c r="V568" s="256"/>
      <c r="W568" s="257"/>
      <c r="X568" s="256"/>
    </row>
    <row r="569" spans="1:24" ht="12.75">
      <c r="A569" s="255"/>
      <c r="B569" s="256"/>
      <c r="C569" s="257"/>
      <c r="D569" s="256"/>
      <c r="E569" s="257"/>
      <c r="F569" s="256"/>
      <c r="G569" s="257"/>
      <c r="H569" s="256"/>
      <c r="I569" s="257"/>
      <c r="J569" s="256"/>
      <c r="K569" s="257"/>
      <c r="L569" s="256"/>
      <c r="M569" s="257"/>
      <c r="N569" s="256"/>
      <c r="O569" s="257"/>
      <c r="P569" s="256"/>
      <c r="Q569" s="257"/>
      <c r="R569" s="256"/>
      <c r="S569" s="257"/>
      <c r="T569" s="256"/>
      <c r="U569" s="257"/>
      <c r="V569" s="256"/>
      <c r="W569" s="257"/>
      <c r="X569" s="256"/>
    </row>
    <row r="570" spans="1:24" ht="12.75">
      <c r="A570" s="255"/>
      <c r="B570" s="256"/>
      <c r="C570" s="257"/>
      <c r="D570" s="256"/>
      <c r="E570" s="257"/>
      <c r="F570" s="256"/>
      <c r="G570" s="257"/>
      <c r="H570" s="256"/>
      <c r="I570" s="257"/>
      <c r="J570" s="256"/>
      <c r="K570" s="257"/>
      <c r="L570" s="256"/>
      <c r="M570" s="257"/>
      <c r="N570" s="256"/>
      <c r="O570" s="257"/>
      <c r="P570" s="256"/>
      <c r="Q570" s="257"/>
      <c r="R570" s="256"/>
      <c r="S570" s="257"/>
      <c r="T570" s="256"/>
      <c r="U570" s="257"/>
      <c r="V570" s="256"/>
      <c r="W570" s="257"/>
      <c r="X570" s="256"/>
    </row>
    <row r="571" spans="1:24" ht="12.75">
      <c r="A571" s="255"/>
      <c r="B571" s="256"/>
      <c r="C571" s="257"/>
      <c r="D571" s="256"/>
      <c r="E571" s="257"/>
      <c r="F571" s="256"/>
      <c r="G571" s="257"/>
      <c r="H571" s="256"/>
      <c r="I571" s="257"/>
      <c r="J571" s="256"/>
      <c r="K571" s="257"/>
      <c r="L571" s="256"/>
      <c r="M571" s="257"/>
      <c r="N571" s="256"/>
      <c r="O571" s="257"/>
      <c r="P571" s="256"/>
      <c r="Q571" s="257"/>
      <c r="R571" s="256"/>
      <c r="S571" s="257"/>
      <c r="T571" s="256"/>
      <c r="U571" s="257"/>
      <c r="V571" s="256"/>
      <c r="W571" s="257"/>
      <c r="X571" s="256"/>
    </row>
    <row r="572" spans="1:24" ht="12.75">
      <c r="A572" s="255"/>
      <c r="B572" s="256"/>
      <c r="C572" s="257"/>
      <c r="D572" s="256"/>
      <c r="E572" s="257"/>
      <c r="F572" s="256"/>
      <c r="G572" s="257"/>
      <c r="H572" s="256"/>
      <c r="I572" s="257"/>
      <c r="J572" s="256"/>
      <c r="K572" s="257"/>
      <c r="L572" s="256"/>
      <c r="M572" s="257"/>
      <c r="N572" s="256"/>
      <c r="O572" s="257"/>
      <c r="P572" s="256"/>
      <c r="Q572" s="257"/>
      <c r="R572" s="256"/>
      <c r="S572" s="257"/>
      <c r="T572" s="256"/>
      <c r="U572" s="257"/>
      <c r="V572" s="256"/>
      <c r="W572" s="257"/>
      <c r="X572" s="256"/>
    </row>
    <row r="573" spans="1:24" ht="12.75">
      <c r="A573" s="255"/>
      <c r="B573" s="256"/>
      <c r="C573" s="257"/>
      <c r="D573" s="256"/>
      <c r="E573" s="257"/>
      <c r="F573" s="256"/>
      <c r="G573" s="257"/>
      <c r="H573" s="256"/>
      <c r="I573" s="257"/>
      <c r="J573" s="256"/>
      <c r="K573" s="257"/>
      <c r="L573" s="256"/>
      <c r="M573" s="257"/>
      <c r="N573" s="256"/>
      <c r="O573" s="257"/>
      <c r="P573" s="256"/>
      <c r="Q573" s="257"/>
      <c r="R573" s="256"/>
      <c r="S573" s="257"/>
      <c r="T573" s="256"/>
      <c r="U573" s="257"/>
      <c r="V573" s="256"/>
      <c r="W573" s="257"/>
      <c r="X573" s="256"/>
    </row>
    <row r="574" spans="1:24" ht="12.75">
      <c r="A574" s="255"/>
      <c r="B574" s="256"/>
      <c r="C574" s="257"/>
      <c r="D574" s="256"/>
      <c r="E574" s="257"/>
      <c r="F574" s="256"/>
      <c r="G574" s="257"/>
      <c r="H574" s="256"/>
      <c r="I574" s="257"/>
      <c r="J574" s="256"/>
      <c r="K574" s="257"/>
      <c r="L574" s="256"/>
      <c r="M574" s="257"/>
      <c r="N574" s="256"/>
      <c r="O574" s="257"/>
      <c r="P574" s="256"/>
      <c r="Q574" s="257"/>
      <c r="R574" s="256"/>
      <c r="S574" s="257"/>
      <c r="T574" s="256"/>
      <c r="U574" s="257"/>
      <c r="V574" s="256"/>
      <c r="W574" s="257"/>
      <c r="X574" s="256"/>
    </row>
    <row r="575" spans="1:24" ht="12.75">
      <c r="A575" s="255"/>
      <c r="B575" s="256"/>
      <c r="C575" s="257"/>
      <c r="D575" s="256"/>
      <c r="E575" s="257"/>
      <c r="F575" s="256"/>
      <c r="G575" s="257"/>
      <c r="H575" s="256"/>
      <c r="I575" s="257"/>
      <c r="J575" s="256"/>
      <c r="K575" s="257"/>
      <c r="L575" s="256"/>
      <c r="M575" s="257"/>
      <c r="N575" s="256"/>
      <c r="O575" s="257"/>
      <c r="P575" s="256"/>
      <c r="Q575" s="257"/>
      <c r="R575" s="256"/>
      <c r="S575" s="257"/>
      <c r="T575" s="256"/>
      <c r="U575" s="257"/>
      <c r="V575" s="256"/>
      <c r="W575" s="257"/>
      <c r="X575" s="256"/>
    </row>
    <row r="576" spans="1:24" ht="12.75">
      <c r="A576" s="255"/>
      <c r="B576" s="256"/>
      <c r="C576" s="257"/>
      <c r="D576" s="256"/>
      <c r="E576" s="257"/>
      <c r="F576" s="256"/>
      <c r="G576" s="257"/>
      <c r="H576" s="256"/>
      <c r="I576" s="257"/>
      <c r="J576" s="256"/>
      <c r="K576" s="257"/>
      <c r="L576" s="256"/>
      <c r="M576" s="257"/>
      <c r="N576" s="256"/>
      <c r="O576" s="257"/>
      <c r="P576" s="256"/>
      <c r="Q576" s="257"/>
      <c r="R576" s="256"/>
      <c r="S576" s="257"/>
      <c r="T576" s="256"/>
      <c r="U576" s="257"/>
      <c r="V576" s="256"/>
      <c r="W576" s="257"/>
      <c r="X576" s="256"/>
    </row>
    <row r="577" spans="1:24" ht="12.75">
      <c r="A577" s="255"/>
      <c r="B577" s="256"/>
      <c r="C577" s="257"/>
      <c r="D577" s="256"/>
      <c r="E577" s="257"/>
      <c r="F577" s="256"/>
      <c r="G577" s="257"/>
      <c r="H577" s="256"/>
      <c r="I577" s="257"/>
      <c r="J577" s="256"/>
      <c r="K577" s="257"/>
      <c r="L577" s="256"/>
      <c r="M577" s="257"/>
      <c r="N577" s="256"/>
      <c r="O577" s="257"/>
      <c r="P577" s="256"/>
      <c r="Q577" s="257"/>
      <c r="R577" s="256"/>
      <c r="S577" s="257"/>
      <c r="T577" s="256"/>
      <c r="U577" s="257"/>
      <c r="V577" s="256"/>
      <c r="W577" s="257"/>
      <c r="X577" s="256"/>
    </row>
    <row r="578" spans="1:24" ht="12.75">
      <c r="A578" s="255"/>
      <c r="B578" s="256"/>
      <c r="C578" s="257"/>
      <c r="D578" s="256"/>
      <c r="E578" s="257"/>
      <c r="F578" s="256"/>
      <c r="G578" s="257"/>
      <c r="H578" s="256"/>
      <c r="I578" s="257"/>
      <c r="J578" s="256"/>
      <c r="K578" s="257"/>
      <c r="L578" s="256"/>
      <c r="M578" s="257"/>
      <c r="N578" s="256"/>
      <c r="O578" s="257"/>
      <c r="P578" s="256"/>
      <c r="Q578" s="257"/>
      <c r="R578" s="256"/>
      <c r="S578" s="257"/>
      <c r="T578" s="256"/>
      <c r="U578" s="257"/>
      <c r="V578" s="256"/>
      <c r="W578" s="257"/>
      <c r="X578" s="256"/>
    </row>
    <row r="579" spans="1:24" ht="12.75">
      <c r="A579" s="255"/>
      <c r="B579" s="256"/>
      <c r="C579" s="257"/>
      <c r="D579" s="256"/>
      <c r="E579" s="257"/>
      <c r="F579" s="256"/>
      <c r="G579" s="257"/>
      <c r="H579" s="256"/>
      <c r="I579" s="257"/>
      <c r="J579" s="256"/>
      <c r="K579" s="257"/>
      <c r="L579" s="256"/>
      <c r="M579" s="257"/>
      <c r="N579" s="256"/>
      <c r="O579" s="257"/>
      <c r="P579" s="256"/>
      <c r="Q579" s="257"/>
      <c r="R579" s="256"/>
      <c r="S579" s="257"/>
      <c r="T579" s="256"/>
      <c r="U579" s="257"/>
      <c r="V579" s="256"/>
      <c r="W579" s="257"/>
      <c r="X579" s="256"/>
    </row>
    <row r="580" spans="1:24" ht="12.75">
      <c r="A580" s="255"/>
      <c r="B580" s="256"/>
      <c r="C580" s="257"/>
      <c r="D580" s="256"/>
      <c r="E580" s="257"/>
      <c r="F580" s="256"/>
      <c r="G580" s="257"/>
      <c r="H580" s="256"/>
      <c r="I580" s="257"/>
      <c r="J580" s="256"/>
      <c r="K580" s="257"/>
      <c r="L580" s="256"/>
      <c r="M580" s="257"/>
      <c r="N580" s="256"/>
      <c r="O580" s="257"/>
      <c r="P580" s="256"/>
      <c r="Q580" s="257"/>
      <c r="R580" s="256"/>
      <c r="S580" s="257"/>
      <c r="T580" s="256"/>
      <c r="U580" s="257"/>
      <c r="V580" s="256"/>
      <c r="W580" s="257"/>
      <c r="X580" s="256"/>
    </row>
    <row r="581" spans="1:24" ht="12.75">
      <c r="A581" s="255"/>
      <c r="B581" s="256"/>
      <c r="C581" s="257"/>
      <c r="D581" s="256"/>
      <c r="E581" s="257"/>
      <c r="F581" s="256"/>
      <c r="G581" s="257"/>
      <c r="H581" s="256"/>
      <c r="I581" s="257"/>
      <c r="J581" s="256"/>
      <c r="K581" s="257"/>
      <c r="L581" s="256"/>
      <c r="M581" s="257"/>
      <c r="N581" s="256"/>
      <c r="O581" s="257"/>
      <c r="P581" s="256"/>
      <c r="Q581" s="257"/>
      <c r="R581" s="256"/>
      <c r="S581" s="257"/>
      <c r="T581" s="256"/>
      <c r="U581" s="257"/>
      <c r="V581" s="256"/>
      <c r="W581" s="257"/>
      <c r="X581" s="256"/>
    </row>
    <row r="582" spans="1:24" ht="12.75">
      <c r="A582" s="255"/>
      <c r="B582" s="256"/>
      <c r="C582" s="257"/>
      <c r="D582" s="256"/>
      <c r="E582" s="257"/>
      <c r="F582" s="256"/>
      <c r="G582" s="257"/>
      <c r="H582" s="256"/>
      <c r="I582" s="257"/>
      <c r="J582" s="256"/>
      <c r="K582" s="257"/>
      <c r="L582" s="256"/>
      <c r="M582" s="257"/>
      <c r="N582" s="256"/>
      <c r="O582" s="257"/>
      <c r="P582" s="256"/>
      <c r="Q582" s="257"/>
      <c r="R582" s="256"/>
      <c r="S582" s="257"/>
      <c r="T582" s="256"/>
      <c r="U582" s="257"/>
      <c r="V582" s="256"/>
      <c r="W582" s="257"/>
      <c r="X582" s="256"/>
    </row>
    <row r="583" spans="1:24" ht="12.75">
      <c r="A583" s="255"/>
      <c r="B583" s="256"/>
      <c r="C583" s="257"/>
      <c r="D583" s="256"/>
      <c r="E583" s="257"/>
      <c r="F583" s="256"/>
      <c r="G583" s="257"/>
      <c r="H583" s="256"/>
      <c r="I583" s="257"/>
      <c r="J583" s="256"/>
      <c r="K583" s="257"/>
      <c r="L583" s="256"/>
      <c r="M583" s="257"/>
      <c r="N583" s="256"/>
      <c r="O583" s="257"/>
      <c r="P583" s="256"/>
      <c r="Q583" s="257"/>
      <c r="R583" s="256"/>
      <c r="S583" s="257"/>
      <c r="T583" s="256"/>
      <c r="U583" s="257"/>
      <c r="V583" s="256"/>
      <c r="W583" s="257"/>
      <c r="X583" s="256"/>
    </row>
    <row r="584" spans="1:24" ht="12.75">
      <c r="A584" s="255"/>
      <c r="B584" s="256"/>
      <c r="C584" s="257"/>
      <c r="D584" s="256"/>
      <c r="E584" s="257"/>
      <c r="F584" s="256"/>
      <c r="G584" s="257"/>
      <c r="H584" s="256"/>
      <c r="I584" s="257"/>
      <c r="J584" s="256"/>
      <c r="K584" s="257"/>
      <c r="L584" s="256"/>
      <c r="M584" s="257"/>
      <c r="N584" s="256"/>
      <c r="O584" s="257"/>
      <c r="P584" s="256"/>
      <c r="Q584" s="257"/>
      <c r="R584" s="256"/>
      <c r="S584" s="257"/>
      <c r="T584" s="256"/>
      <c r="U584" s="257"/>
      <c r="V584" s="256"/>
      <c r="W584" s="257"/>
      <c r="X584" s="256"/>
    </row>
    <row r="585" spans="1:24" ht="12.75">
      <c r="A585" s="255"/>
      <c r="B585" s="256"/>
      <c r="C585" s="257"/>
      <c r="D585" s="256"/>
      <c r="E585" s="257"/>
      <c r="F585" s="256"/>
      <c r="G585" s="257"/>
      <c r="H585" s="256"/>
      <c r="I585" s="257"/>
      <c r="J585" s="256"/>
      <c r="K585" s="257"/>
      <c r="L585" s="256"/>
      <c r="M585" s="257"/>
      <c r="N585" s="256"/>
      <c r="O585" s="257"/>
      <c r="P585" s="256"/>
      <c r="Q585" s="257"/>
      <c r="R585" s="256"/>
      <c r="S585" s="257"/>
      <c r="T585" s="256"/>
      <c r="U585" s="257"/>
      <c r="V585" s="256"/>
      <c r="W585" s="257"/>
      <c r="X585" s="256"/>
    </row>
    <row r="586" spans="1:24" ht="12.75">
      <c r="A586" s="255"/>
      <c r="B586" s="256"/>
      <c r="C586" s="257"/>
      <c r="D586" s="256"/>
      <c r="E586" s="257"/>
      <c r="F586" s="256"/>
      <c r="G586" s="257"/>
      <c r="H586" s="256"/>
      <c r="I586" s="257"/>
      <c r="J586" s="256"/>
      <c r="K586" s="257"/>
      <c r="L586" s="256"/>
      <c r="M586" s="257"/>
      <c r="N586" s="256"/>
      <c r="O586" s="257"/>
      <c r="P586" s="256"/>
      <c r="Q586" s="257"/>
      <c r="R586" s="256"/>
      <c r="S586" s="257"/>
      <c r="T586" s="256"/>
      <c r="U586" s="257"/>
      <c r="V586" s="256"/>
      <c r="W586" s="257"/>
      <c r="X586" s="256"/>
    </row>
    <row r="587" spans="1:24" ht="12.75">
      <c r="A587" s="255"/>
      <c r="B587" s="256"/>
      <c r="C587" s="257"/>
      <c r="D587" s="256"/>
      <c r="E587" s="257"/>
      <c r="F587" s="256"/>
      <c r="G587" s="257"/>
      <c r="H587" s="256"/>
      <c r="I587" s="257"/>
      <c r="J587" s="256"/>
      <c r="K587" s="257"/>
      <c r="L587" s="256"/>
      <c r="M587" s="257"/>
      <c r="N587" s="256"/>
      <c r="O587" s="257"/>
      <c r="P587" s="256"/>
      <c r="Q587" s="257"/>
      <c r="R587" s="256"/>
      <c r="S587" s="257"/>
      <c r="T587" s="256"/>
      <c r="U587" s="257"/>
      <c r="V587" s="256"/>
      <c r="W587" s="257"/>
      <c r="X587" s="256"/>
    </row>
    <row r="588" spans="1:24" ht="12.75">
      <c r="A588" s="255"/>
      <c r="B588" s="256"/>
      <c r="C588" s="257"/>
      <c r="D588" s="256"/>
      <c r="E588" s="257"/>
      <c r="F588" s="256"/>
      <c r="G588" s="257"/>
      <c r="H588" s="256"/>
      <c r="I588" s="257"/>
      <c r="J588" s="256"/>
      <c r="K588" s="257"/>
      <c r="L588" s="256"/>
      <c r="M588" s="257"/>
      <c r="N588" s="256"/>
      <c r="O588" s="257"/>
      <c r="P588" s="256"/>
      <c r="Q588" s="257"/>
      <c r="R588" s="256"/>
      <c r="S588" s="257"/>
      <c r="T588" s="256"/>
      <c r="U588" s="257"/>
      <c r="V588" s="256"/>
      <c r="W588" s="257"/>
      <c r="X588" s="256"/>
    </row>
    <row r="589" spans="1:24" ht="12.75">
      <c r="A589" s="255"/>
      <c r="B589" s="256"/>
      <c r="C589" s="257"/>
      <c r="D589" s="256"/>
      <c r="E589" s="257"/>
      <c r="F589" s="256"/>
      <c r="G589" s="257"/>
      <c r="H589" s="256"/>
      <c r="I589" s="257"/>
      <c r="J589" s="256"/>
      <c r="K589" s="257"/>
      <c r="L589" s="256"/>
      <c r="M589" s="257"/>
      <c r="N589" s="256"/>
      <c r="O589" s="257"/>
      <c r="P589" s="256"/>
      <c r="Q589" s="257"/>
      <c r="R589" s="256"/>
      <c r="S589" s="257"/>
      <c r="T589" s="256"/>
      <c r="U589" s="257"/>
      <c r="V589" s="256"/>
      <c r="W589" s="257"/>
      <c r="X589" s="256"/>
    </row>
    <row r="590" spans="1:24" ht="12.75">
      <c r="A590" s="255"/>
      <c r="B590" s="256"/>
      <c r="C590" s="257"/>
      <c r="D590" s="256"/>
      <c r="E590" s="257"/>
      <c r="F590" s="256"/>
      <c r="G590" s="257"/>
      <c r="H590" s="256"/>
      <c r="I590" s="257"/>
      <c r="J590" s="256"/>
      <c r="K590" s="257"/>
      <c r="L590" s="256"/>
      <c r="M590" s="257"/>
      <c r="N590" s="256"/>
      <c r="O590" s="257"/>
      <c r="P590" s="256"/>
      <c r="Q590" s="257"/>
      <c r="R590" s="256"/>
      <c r="S590" s="257"/>
      <c r="T590" s="256"/>
      <c r="U590" s="257"/>
      <c r="V590" s="256"/>
      <c r="W590" s="257"/>
      <c r="X590" s="256"/>
    </row>
    <row r="591" spans="1:24" ht="12.75">
      <c r="A591" s="255"/>
      <c r="B591" s="256"/>
      <c r="C591" s="257"/>
      <c r="D591" s="256"/>
      <c r="E591" s="257"/>
      <c r="F591" s="256"/>
      <c r="G591" s="257"/>
      <c r="H591" s="256"/>
      <c r="I591" s="257"/>
      <c r="J591" s="256"/>
      <c r="K591" s="257"/>
      <c r="L591" s="256"/>
      <c r="M591" s="257"/>
      <c r="N591" s="256"/>
      <c r="O591" s="257"/>
      <c r="P591" s="256"/>
      <c r="Q591" s="257"/>
      <c r="R591" s="256"/>
      <c r="S591" s="257"/>
      <c r="T591" s="256"/>
      <c r="U591" s="257"/>
      <c r="V591" s="256"/>
      <c r="W591" s="257"/>
      <c r="X591" s="256"/>
    </row>
    <row r="592" spans="1:24" ht="12.75">
      <c r="A592" s="255"/>
      <c r="B592" s="256"/>
      <c r="C592" s="257"/>
      <c r="D592" s="256"/>
      <c r="E592" s="257"/>
      <c r="F592" s="256"/>
      <c r="G592" s="257"/>
      <c r="H592" s="256"/>
      <c r="I592" s="257"/>
      <c r="J592" s="256"/>
      <c r="K592" s="257"/>
      <c r="L592" s="256"/>
      <c r="M592" s="257"/>
      <c r="N592" s="256"/>
      <c r="O592" s="257"/>
      <c r="P592" s="256"/>
      <c r="Q592" s="257"/>
      <c r="R592" s="256"/>
      <c r="S592" s="257"/>
      <c r="T592" s="256"/>
      <c r="U592" s="257"/>
      <c r="V592" s="256"/>
      <c r="W592" s="257"/>
      <c r="X592" s="256"/>
    </row>
    <row r="593" spans="1:24" ht="12.75">
      <c r="A593" s="255"/>
      <c r="B593" s="256"/>
      <c r="C593" s="257"/>
      <c r="D593" s="256"/>
      <c r="E593" s="257"/>
      <c r="F593" s="256"/>
      <c r="G593" s="257"/>
      <c r="H593" s="256"/>
      <c r="I593" s="257"/>
      <c r="J593" s="256"/>
      <c r="K593" s="257"/>
      <c r="L593" s="256"/>
      <c r="M593" s="257"/>
      <c r="N593" s="256"/>
      <c r="O593" s="257"/>
      <c r="P593" s="256"/>
      <c r="Q593" s="257"/>
      <c r="R593" s="256"/>
      <c r="S593" s="257"/>
      <c r="T593" s="256"/>
      <c r="U593" s="257"/>
      <c r="V593" s="256"/>
      <c r="W593" s="257"/>
      <c r="X593" s="256"/>
    </row>
    <row r="594" spans="1:24" ht="12.75">
      <c r="A594" s="255"/>
      <c r="B594" s="256"/>
      <c r="C594" s="257"/>
      <c r="D594" s="256"/>
      <c r="E594" s="257"/>
      <c r="F594" s="256"/>
      <c r="G594" s="257"/>
      <c r="H594" s="256"/>
      <c r="I594" s="257"/>
      <c r="J594" s="256"/>
      <c r="K594" s="257"/>
      <c r="L594" s="256"/>
      <c r="M594" s="257"/>
      <c r="N594" s="256"/>
      <c r="O594" s="257"/>
      <c r="P594" s="256"/>
      <c r="Q594" s="257"/>
      <c r="R594" s="256"/>
      <c r="S594" s="257"/>
      <c r="T594" s="256"/>
      <c r="U594" s="257"/>
      <c r="V594" s="256"/>
      <c r="W594" s="257"/>
      <c r="X594" s="256"/>
    </row>
    <row r="595" spans="1:24" ht="12.75">
      <c r="A595" s="255"/>
      <c r="B595" s="256"/>
      <c r="C595" s="257"/>
      <c r="D595" s="256"/>
      <c r="E595" s="257"/>
      <c r="F595" s="256"/>
      <c r="G595" s="257"/>
      <c r="H595" s="256"/>
      <c r="I595" s="257"/>
      <c r="J595" s="256"/>
      <c r="K595" s="257"/>
      <c r="L595" s="256"/>
      <c r="M595" s="257"/>
      <c r="N595" s="256"/>
      <c r="O595" s="257"/>
      <c r="P595" s="256"/>
      <c r="Q595" s="257"/>
      <c r="R595" s="256"/>
      <c r="S595" s="257"/>
      <c r="T595" s="256"/>
      <c r="U595" s="257"/>
      <c r="V595" s="256"/>
      <c r="W595" s="257"/>
      <c r="X595" s="256"/>
    </row>
    <row r="596" spans="1:24" ht="12.75">
      <c r="A596" s="255"/>
      <c r="B596" s="256"/>
      <c r="C596" s="257"/>
      <c r="D596" s="256"/>
      <c r="E596" s="257"/>
      <c r="F596" s="256"/>
      <c r="G596" s="257"/>
      <c r="H596" s="256"/>
      <c r="I596" s="257"/>
      <c r="J596" s="256"/>
      <c r="K596" s="257"/>
      <c r="L596" s="256"/>
      <c r="M596" s="257"/>
      <c r="N596" s="256"/>
      <c r="O596" s="257"/>
      <c r="P596" s="256"/>
      <c r="Q596" s="257"/>
      <c r="R596" s="256"/>
      <c r="S596" s="257"/>
      <c r="T596" s="256"/>
      <c r="U596" s="257"/>
      <c r="V596" s="256"/>
      <c r="W596" s="257"/>
      <c r="X596" s="256"/>
    </row>
    <row r="597" spans="1:24" ht="12.75">
      <c r="A597" s="255"/>
      <c r="B597" s="256"/>
      <c r="C597" s="257"/>
      <c r="D597" s="256"/>
      <c r="E597" s="257"/>
      <c r="F597" s="256"/>
      <c r="G597" s="257"/>
      <c r="H597" s="256"/>
      <c r="I597" s="257"/>
      <c r="J597" s="256"/>
      <c r="K597" s="257"/>
      <c r="L597" s="256"/>
      <c r="M597" s="257"/>
      <c r="N597" s="256"/>
      <c r="O597" s="257"/>
      <c r="P597" s="256"/>
      <c r="Q597" s="257"/>
      <c r="R597" s="256"/>
      <c r="S597" s="257"/>
      <c r="T597" s="256"/>
      <c r="U597" s="257"/>
      <c r="V597" s="256"/>
      <c r="W597" s="257"/>
      <c r="X597" s="256"/>
    </row>
    <row r="598" spans="1:24" ht="12.75">
      <c r="A598" s="255"/>
      <c r="B598" s="256"/>
      <c r="C598" s="257"/>
      <c r="D598" s="256"/>
      <c r="E598" s="257"/>
      <c r="F598" s="256"/>
      <c r="G598" s="257"/>
      <c r="H598" s="256"/>
      <c r="I598" s="257"/>
      <c r="J598" s="256"/>
      <c r="K598" s="257"/>
      <c r="L598" s="256"/>
      <c r="M598" s="257"/>
      <c r="N598" s="256"/>
      <c r="O598" s="257"/>
      <c r="P598" s="256"/>
      <c r="Q598" s="257"/>
      <c r="R598" s="256"/>
      <c r="S598" s="257"/>
      <c r="T598" s="256"/>
      <c r="U598" s="257"/>
      <c r="V598" s="256"/>
      <c r="W598" s="257"/>
      <c r="X598" s="256"/>
    </row>
    <row r="599" spans="1:24" ht="12.75">
      <c r="A599" s="255"/>
      <c r="B599" s="256"/>
      <c r="C599" s="257"/>
      <c r="D599" s="256"/>
      <c r="E599" s="257"/>
      <c r="F599" s="256"/>
      <c r="G599" s="257"/>
      <c r="H599" s="256"/>
      <c r="I599" s="257"/>
      <c r="J599" s="256"/>
      <c r="K599" s="257"/>
      <c r="L599" s="256"/>
      <c r="M599" s="257"/>
      <c r="N599" s="256"/>
      <c r="O599" s="257"/>
      <c r="P599" s="256"/>
      <c r="Q599" s="257"/>
      <c r="R599" s="256"/>
      <c r="S599" s="257"/>
      <c r="T599" s="256"/>
      <c r="U599" s="257"/>
      <c r="V599" s="256"/>
      <c r="W599" s="257"/>
      <c r="X599" s="256"/>
    </row>
    <row r="600" spans="1:24" ht="12.75">
      <c r="A600" s="255"/>
      <c r="B600" s="256"/>
      <c r="C600" s="257"/>
      <c r="D600" s="256"/>
      <c r="E600" s="257"/>
      <c r="F600" s="256"/>
      <c r="G600" s="257"/>
      <c r="H600" s="256"/>
      <c r="I600" s="257"/>
      <c r="J600" s="256"/>
      <c r="K600" s="257"/>
      <c r="L600" s="256"/>
      <c r="M600" s="257"/>
      <c r="N600" s="256"/>
      <c r="O600" s="257"/>
      <c r="P600" s="256"/>
      <c r="Q600" s="257"/>
      <c r="R600" s="256"/>
      <c r="S600" s="257"/>
      <c r="T600" s="256"/>
      <c r="U600" s="257"/>
      <c r="V600" s="256"/>
      <c r="W600" s="257"/>
      <c r="X600" s="256"/>
    </row>
    <row r="601" spans="1:24" ht="12.75">
      <c r="A601" s="255"/>
      <c r="B601" s="256"/>
      <c r="C601" s="257"/>
      <c r="D601" s="256"/>
      <c r="E601" s="257"/>
      <c r="F601" s="256"/>
      <c r="G601" s="257"/>
      <c r="H601" s="256"/>
      <c r="I601" s="257"/>
      <c r="J601" s="256"/>
      <c r="K601" s="257"/>
      <c r="L601" s="256"/>
      <c r="M601" s="257"/>
      <c r="N601" s="256"/>
      <c r="O601" s="257"/>
      <c r="P601" s="256"/>
      <c r="Q601" s="257"/>
      <c r="R601" s="256"/>
      <c r="S601" s="257"/>
      <c r="T601" s="256"/>
      <c r="U601" s="257"/>
      <c r="V601" s="256"/>
      <c r="W601" s="257"/>
      <c r="X601" s="256"/>
    </row>
    <row r="602" spans="1:24" ht="12.75">
      <c r="A602" s="255"/>
      <c r="B602" s="256"/>
      <c r="C602" s="257"/>
      <c r="D602" s="256"/>
      <c r="E602" s="257"/>
      <c r="F602" s="256"/>
      <c r="G602" s="257"/>
      <c r="H602" s="256"/>
      <c r="I602" s="257"/>
      <c r="J602" s="256"/>
      <c r="K602" s="257"/>
      <c r="L602" s="256"/>
      <c r="M602" s="257"/>
      <c r="N602" s="256"/>
      <c r="O602" s="257"/>
      <c r="P602" s="256"/>
      <c r="Q602" s="257"/>
      <c r="R602" s="256"/>
      <c r="S602" s="257"/>
      <c r="T602" s="256"/>
      <c r="U602" s="257"/>
      <c r="V602" s="256"/>
      <c r="W602" s="257"/>
      <c r="X602" s="256"/>
    </row>
    <row r="603" spans="1:24" ht="12.75">
      <c r="A603" s="255"/>
      <c r="B603" s="256"/>
      <c r="C603" s="257"/>
      <c r="D603" s="256"/>
      <c r="E603" s="257"/>
      <c r="F603" s="256"/>
      <c r="G603" s="257"/>
      <c r="H603" s="256"/>
      <c r="I603" s="257"/>
      <c r="J603" s="256"/>
      <c r="K603" s="257"/>
      <c r="L603" s="256"/>
      <c r="M603" s="257"/>
      <c r="N603" s="256"/>
      <c r="O603" s="257"/>
      <c r="P603" s="256"/>
      <c r="Q603" s="257"/>
      <c r="R603" s="256"/>
      <c r="S603" s="257"/>
      <c r="T603" s="256"/>
      <c r="U603" s="257"/>
      <c r="V603" s="256"/>
      <c r="W603" s="257"/>
      <c r="X603" s="256"/>
    </row>
    <row r="604" spans="1:24" ht="12.75">
      <c r="A604" s="255"/>
      <c r="B604" s="256"/>
      <c r="C604" s="257"/>
      <c r="D604" s="256"/>
      <c r="E604" s="257"/>
      <c r="F604" s="256"/>
      <c r="G604" s="257"/>
      <c r="H604" s="256"/>
      <c r="I604" s="257"/>
      <c r="J604" s="256"/>
      <c r="K604" s="257"/>
      <c r="L604" s="256"/>
      <c r="M604" s="257"/>
      <c r="N604" s="256"/>
      <c r="O604" s="257"/>
      <c r="P604" s="256"/>
      <c r="Q604" s="257"/>
      <c r="R604" s="256"/>
      <c r="S604" s="257"/>
      <c r="T604" s="256"/>
      <c r="U604" s="257"/>
      <c r="V604" s="256"/>
      <c r="W604" s="257"/>
      <c r="X604" s="256"/>
    </row>
    <row r="605" spans="1:24" ht="12.75">
      <c r="A605" s="255"/>
      <c r="B605" s="256"/>
      <c r="C605" s="257"/>
      <c r="D605" s="256"/>
      <c r="E605" s="257"/>
      <c r="F605" s="256"/>
      <c r="G605" s="257"/>
      <c r="H605" s="256"/>
      <c r="I605" s="257"/>
      <c r="J605" s="256"/>
      <c r="K605" s="257"/>
      <c r="L605" s="256"/>
      <c r="M605" s="257"/>
      <c r="N605" s="256"/>
      <c r="O605" s="257"/>
      <c r="P605" s="256"/>
      <c r="Q605" s="257"/>
      <c r="R605" s="256"/>
      <c r="S605" s="257"/>
      <c r="T605" s="256"/>
      <c r="U605" s="257"/>
      <c r="V605" s="256"/>
      <c r="W605" s="257"/>
      <c r="X605" s="256"/>
    </row>
    <row r="606" spans="1:24" ht="12.75">
      <c r="A606" s="255"/>
      <c r="B606" s="256"/>
      <c r="C606" s="257"/>
      <c r="D606" s="256"/>
      <c r="E606" s="257"/>
      <c r="F606" s="256"/>
      <c r="G606" s="257"/>
      <c r="H606" s="256"/>
      <c r="I606" s="257"/>
      <c r="J606" s="256"/>
      <c r="K606" s="257"/>
      <c r="L606" s="256"/>
      <c r="M606" s="257"/>
      <c r="N606" s="256"/>
      <c r="O606" s="257"/>
      <c r="P606" s="256"/>
      <c r="Q606" s="257"/>
      <c r="R606" s="256"/>
      <c r="S606" s="257"/>
      <c r="T606" s="256"/>
      <c r="U606" s="257"/>
      <c r="V606" s="256"/>
      <c r="W606" s="257"/>
      <c r="X606" s="256"/>
    </row>
    <row r="607" spans="1:24" ht="12.75">
      <c r="A607" s="255"/>
      <c r="B607" s="256"/>
      <c r="C607" s="257"/>
      <c r="D607" s="256"/>
      <c r="E607" s="257"/>
      <c r="F607" s="256"/>
      <c r="G607" s="257"/>
      <c r="H607" s="256"/>
      <c r="I607" s="257"/>
      <c r="J607" s="256"/>
      <c r="K607" s="257"/>
      <c r="L607" s="256"/>
      <c r="M607" s="257"/>
      <c r="N607" s="256"/>
      <c r="O607" s="257"/>
      <c r="P607" s="256"/>
      <c r="Q607" s="257"/>
      <c r="R607" s="256"/>
      <c r="S607" s="257"/>
      <c r="T607" s="256"/>
      <c r="U607" s="257"/>
      <c r="V607" s="256"/>
      <c r="W607" s="257"/>
      <c r="X607" s="256"/>
    </row>
    <row r="608" spans="1:24" ht="12.75">
      <c r="A608" s="255"/>
      <c r="B608" s="256"/>
      <c r="C608" s="257"/>
      <c r="D608" s="256"/>
      <c r="E608" s="257"/>
      <c r="F608" s="256"/>
      <c r="G608" s="257"/>
      <c r="H608" s="256"/>
      <c r="I608" s="257"/>
      <c r="J608" s="256"/>
      <c r="K608" s="257"/>
      <c r="L608" s="256"/>
      <c r="M608" s="257"/>
      <c r="N608" s="256"/>
      <c r="O608" s="257"/>
      <c r="P608" s="256"/>
      <c r="Q608" s="257"/>
      <c r="R608" s="256"/>
      <c r="S608" s="257"/>
      <c r="T608" s="256"/>
      <c r="U608" s="257"/>
      <c r="V608" s="256"/>
      <c r="W608" s="257"/>
      <c r="X608" s="256"/>
    </row>
    <row r="609" spans="1:24" ht="12.75">
      <c r="A609" s="255"/>
      <c r="B609" s="256"/>
      <c r="C609" s="257"/>
      <c r="D609" s="256"/>
      <c r="E609" s="257"/>
      <c r="F609" s="256"/>
      <c r="G609" s="257"/>
      <c r="H609" s="256"/>
      <c r="I609" s="257"/>
      <c r="J609" s="256"/>
      <c r="K609" s="257"/>
      <c r="L609" s="256"/>
      <c r="M609" s="257"/>
      <c r="N609" s="256"/>
      <c r="O609" s="257"/>
      <c r="P609" s="256"/>
      <c r="Q609" s="257"/>
      <c r="R609" s="256"/>
      <c r="S609" s="257"/>
      <c r="T609" s="256"/>
      <c r="U609" s="257"/>
      <c r="V609" s="256"/>
      <c r="W609" s="257"/>
      <c r="X609" s="256"/>
    </row>
    <row r="610" spans="1:24" ht="12.75">
      <c r="A610" s="255"/>
      <c r="B610" s="256"/>
      <c r="C610" s="257"/>
      <c r="D610" s="256"/>
      <c r="E610" s="257"/>
      <c r="F610" s="256"/>
      <c r="G610" s="257"/>
      <c r="H610" s="256"/>
      <c r="I610" s="257"/>
      <c r="J610" s="256"/>
      <c r="K610" s="257"/>
      <c r="L610" s="256"/>
      <c r="M610" s="257"/>
      <c r="N610" s="256"/>
      <c r="O610" s="257"/>
      <c r="P610" s="256"/>
      <c r="Q610" s="257"/>
      <c r="R610" s="256"/>
      <c r="S610" s="257"/>
      <c r="T610" s="256"/>
      <c r="U610" s="257"/>
      <c r="V610" s="256"/>
      <c r="W610" s="257"/>
      <c r="X610" s="256"/>
    </row>
    <row r="611" spans="1:24" ht="12.75">
      <c r="A611" s="255"/>
      <c r="B611" s="256"/>
      <c r="C611" s="257"/>
      <c r="D611" s="256"/>
      <c r="E611" s="257"/>
      <c r="F611" s="256"/>
      <c r="G611" s="257"/>
      <c r="H611" s="256"/>
      <c r="I611" s="257"/>
      <c r="J611" s="256"/>
      <c r="K611" s="257"/>
      <c r="L611" s="256"/>
      <c r="M611" s="257"/>
      <c r="N611" s="256"/>
      <c r="O611" s="257"/>
      <c r="P611" s="256"/>
      <c r="Q611" s="257"/>
      <c r="R611" s="256"/>
      <c r="S611" s="257"/>
      <c r="T611" s="256"/>
      <c r="U611" s="257"/>
      <c r="V611" s="256"/>
      <c r="W611" s="257"/>
      <c r="X611" s="256"/>
    </row>
    <row r="612" spans="1:24" ht="12.75">
      <c r="A612" s="255"/>
      <c r="B612" s="256"/>
      <c r="C612" s="257"/>
      <c r="D612" s="256"/>
      <c r="E612" s="257"/>
      <c r="F612" s="256"/>
      <c r="G612" s="257"/>
      <c r="H612" s="256"/>
      <c r="I612" s="257"/>
      <c r="J612" s="256"/>
      <c r="K612" s="257"/>
      <c r="L612" s="256"/>
      <c r="M612" s="257"/>
      <c r="N612" s="256"/>
      <c r="O612" s="257"/>
      <c r="P612" s="256"/>
      <c r="Q612" s="257"/>
      <c r="R612" s="256"/>
      <c r="S612" s="257"/>
      <c r="T612" s="256"/>
      <c r="U612" s="257"/>
      <c r="V612" s="256"/>
      <c r="W612" s="257"/>
      <c r="X612" s="256"/>
    </row>
    <row r="613" spans="1:24" ht="12.75">
      <c r="A613" s="255"/>
      <c r="B613" s="256"/>
      <c r="C613" s="257"/>
      <c r="D613" s="256"/>
      <c r="E613" s="257"/>
      <c r="F613" s="256"/>
      <c r="G613" s="257"/>
      <c r="H613" s="256"/>
      <c r="I613" s="257"/>
      <c r="J613" s="256"/>
      <c r="K613" s="257"/>
      <c r="L613" s="256"/>
      <c r="M613" s="257"/>
      <c r="N613" s="256"/>
      <c r="O613" s="257"/>
      <c r="P613" s="256"/>
      <c r="Q613" s="257"/>
      <c r="R613" s="256"/>
      <c r="S613" s="257"/>
      <c r="T613" s="256"/>
      <c r="U613" s="257"/>
      <c r="V613" s="256"/>
      <c r="W613" s="257"/>
      <c r="X613" s="256"/>
    </row>
    <row r="614" spans="1:24" ht="12.75">
      <c r="A614" s="255"/>
      <c r="B614" s="256"/>
      <c r="C614" s="257"/>
      <c r="D614" s="256"/>
      <c r="E614" s="257"/>
      <c r="F614" s="256"/>
      <c r="G614" s="257"/>
      <c r="H614" s="256"/>
      <c r="I614" s="257"/>
      <c r="J614" s="256"/>
      <c r="K614" s="257"/>
      <c r="L614" s="256"/>
      <c r="M614" s="257"/>
      <c r="N614" s="256"/>
      <c r="O614" s="257"/>
      <c r="P614" s="256"/>
      <c r="Q614" s="257"/>
      <c r="R614" s="256"/>
      <c r="S614" s="257"/>
      <c r="T614" s="256"/>
      <c r="U614" s="257"/>
      <c r="V614" s="256"/>
      <c r="W614" s="257"/>
      <c r="X614" s="256"/>
    </row>
    <row r="615" spans="1:24" ht="12.75">
      <c r="A615" s="255"/>
      <c r="B615" s="256"/>
      <c r="C615" s="257"/>
      <c r="D615" s="256"/>
      <c r="E615" s="257"/>
      <c r="F615" s="256"/>
      <c r="G615" s="257"/>
      <c r="H615" s="256"/>
      <c r="I615" s="257"/>
      <c r="J615" s="256"/>
      <c r="K615" s="257"/>
      <c r="L615" s="256"/>
      <c r="M615" s="257"/>
      <c r="N615" s="256"/>
      <c r="O615" s="257"/>
      <c r="P615" s="256"/>
      <c r="Q615" s="257"/>
      <c r="R615" s="256"/>
      <c r="S615" s="257"/>
      <c r="T615" s="256"/>
      <c r="U615" s="257"/>
      <c r="V615" s="256"/>
      <c r="W615" s="257"/>
      <c r="X615" s="256"/>
    </row>
    <row r="616" spans="1:24" ht="12.75">
      <c r="A616" s="255"/>
      <c r="B616" s="256"/>
      <c r="C616" s="257"/>
      <c r="D616" s="256"/>
      <c r="E616" s="257"/>
      <c r="F616" s="256"/>
      <c r="G616" s="257"/>
      <c r="H616" s="256"/>
      <c r="I616" s="257"/>
      <c r="J616" s="256"/>
      <c r="K616" s="257"/>
      <c r="L616" s="256"/>
      <c r="M616" s="257"/>
      <c r="N616" s="256"/>
      <c r="O616" s="257"/>
      <c r="P616" s="256"/>
      <c r="Q616" s="257"/>
      <c r="R616" s="256"/>
      <c r="S616" s="257"/>
      <c r="T616" s="256"/>
      <c r="U616" s="257"/>
      <c r="V616" s="256"/>
      <c r="W616" s="257"/>
      <c r="X616" s="256"/>
    </row>
    <row r="617" spans="1:24" ht="12.75">
      <c r="A617" s="255"/>
      <c r="B617" s="256"/>
      <c r="C617" s="257"/>
      <c r="D617" s="256"/>
      <c r="E617" s="257"/>
      <c r="F617" s="256"/>
      <c r="G617" s="257"/>
      <c r="H617" s="256"/>
      <c r="I617" s="257"/>
      <c r="J617" s="256"/>
      <c r="K617" s="257"/>
      <c r="L617" s="256"/>
      <c r="M617" s="257"/>
      <c r="N617" s="256"/>
      <c r="O617" s="257"/>
      <c r="P617" s="256"/>
      <c r="Q617" s="257"/>
      <c r="R617" s="256"/>
      <c r="S617" s="257"/>
      <c r="T617" s="256"/>
      <c r="U617" s="257"/>
      <c r="V617" s="256"/>
      <c r="W617" s="257"/>
      <c r="X617" s="256"/>
    </row>
    <row r="618" spans="1:24" ht="12.75">
      <c r="A618" s="255"/>
      <c r="B618" s="256"/>
      <c r="C618" s="257"/>
      <c r="D618" s="256"/>
      <c r="E618" s="257"/>
      <c r="F618" s="256"/>
      <c r="G618" s="257"/>
      <c r="H618" s="256"/>
      <c r="I618" s="257"/>
      <c r="J618" s="256"/>
      <c r="K618" s="257"/>
      <c r="L618" s="256"/>
      <c r="M618" s="257"/>
      <c r="N618" s="256"/>
      <c r="O618" s="257"/>
      <c r="P618" s="256"/>
      <c r="Q618" s="257"/>
      <c r="R618" s="256"/>
      <c r="S618" s="257"/>
      <c r="T618" s="256"/>
      <c r="U618" s="257"/>
      <c r="V618" s="256"/>
      <c r="W618" s="257"/>
      <c r="X618" s="256"/>
    </row>
    <row r="619" spans="1:24" ht="12.75">
      <c r="A619" s="255"/>
      <c r="B619" s="256"/>
      <c r="C619" s="257"/>
      <c r="D619" s="256"/>
      <c r="E619" s="257"/>
      <c r="F619" s="256"/>
      <c r="G619" s="257"/>
      <c r="H619" s="256"/>
      <c r="I619" s="257"/>
      <c r="J619" s="256"/>
      <c r="K619" s="257"/>
      <c r="L619" s="256"/>
      <c r="M619" s="257"/>
      <c r="N619" s="256"/>
      <c r="O619" s="257"/>
      <c r="P619" s="256"/>
      <c r="Q619" s="257"/>
      <c r="R619" s="256"/>
      <c r="S619" s="257"/>
      <c r="T619" s="256"/>
      <c r="U619" s="257"/>
      <c r="V619" s="256"/>
      <c r="W619" s="257"/>
      <c r="X619" s="256"/>
    </row>
    <row r="620" spans="1:24" ht="12.75">
      <c r="A620" s="255"/>
      <c r="B620" s="256"/>
      <c r="C620" s="257"/>
      <c r="D620" s="256"/>
      <c r="E620" s="257"/>
      <c r="F620" s="256"/>
      <c r="G620" s="257"/>
      <c r="H620" s="256"/>
      <c r="I620" s="257"/>
      <c r="J620" s="256"/>
      <c r="K620" s="257"/>
      <c r="L620" s="256"/>
      <c r="M620" s="257"/>
      <c r="N620" s="256"/>
      <c r="O620" s="257"/>
      <c r="P620" s="256"/>
      <c r="Q620" s="257"/>
      <c r="R620" s="256"/>
      <c r="S620" s="257"/>
      <c r="T620" s="256"/>
      <c r="U620" s="257"/>
      <c r="V620" s="256"/>
      <c r="W620" s="257"/>
      <c r="X620" s="256"/>
    </row>
    <row r="621" spans="1:24" ht="12.75">
      <c r="A621" s="255"/>
      <c r="B621" s="256"/>
      <c r="C621" s="257"/>
      <c r="D621" s="256"/>
      <c r="E621" s="257"/>
      <c r="F621" s="256"/>
      <c r="G621" s="257"/>
      <c r="H621" s="256"/>
      <c r="I621" s="257"/>
      <c r="J621" s="256"/>
      <c r="K621" s="257"/>
      <c r="L621" s="256"/>
      <c r="M621" s="257"/>
      <c r="N621" s="256"/>
      <c r="O621" s="257"/>
      <c r="P621" s="256"/>
      <c r="Q621" s="257"/>
      <c r="R621" s="256"/>
      <c r="S621" s="257"/>
      <c r="T621" s="256"/>
      <c r="U621" s="257"/>
      <c r="V621" s="256"/>
      <c r="W621" s="257"/>
      <c r="X621" s="256"/>
    </row>
    <row r="622" spans="1:24" ht="12.75">
      <c r="A622" s="255"/>
      <c r="B622" s="256"/>
      <c r="C622" s="257"/>
      <c r="D622" s="256"/>
      <c r="E622" s="257"/>
      <c r="F622" s="256"/>
      <c r="G622" s="257"/>
      <c r="H622" s="256"/>
      <c r="I622" s="257"/>
      <c r="J622" s="256"/>
      <c r="K622" s="257"/>
      <c r="L622" s="256"/>
      <c r="M622" s="257"/>
      <c r="N622" s="256"/>
      <c r="O622" s="257"/>
      <c r="P622" s="256"/>
      <c r="Q622" s="257"/>
      <c r="R622" s="256"/>
      <c r="S622" s="257"/>
      <c r="T622" s="256"/>
      <c r="U622" s="257"/>
      <c r="V622" s="256"/>
      <c r="W622" s="257"/>
      <c r="X622" s="256"/>
    </row>
    <row r="623" spans="1:24" ht="12.75">
      <c r="A623" s="255"/>
      <c r="B623" s="256"/>
      <c r="C623" s="257"/>
      <c r="D623" s="256"/>
      <c r="E623" s="257"/>
      <c r="F623" s="256"/>
      <c r="G623" s="257"/>
      <c r="H623" s="256"/>
      <c r="I623" s="257"/>
      <c r="J623" s="256"/>
      <c r="K623" s="257"/>
      <c r="L623" s="256"/>
      <c r="M623" s="257"/>
      <c r="N623" s="256"/>
      <c r="O623" s="257"/>
      <c r="P623" s="256"/>
      <c r="Q623" s="257"/>
      <c r="R623" s="256"/>
      <c r="S623" s="257"/>
      <c r="T623" s="256"/>
      <c r="U623" s="257"/>
      <c r="V623" s="256"/>
      <c r="W623" s="257"/>
      <c r="X623" s="256"/>
    </row>
    <row r="624" spans="1:24" ht="12.75">
      <c r="A624" s="255"/>
      <c r="B624" s="256"/>
      <c r="C624" s="257"/>
      <c r="D624" s="256"/>
      <c r="E624" s="257"/>
      <c r="F624" s="256"/>
      <c r="G624" s="257"/>
      <c r="H624" s="256"/>
      <c r="I624" s="257"/>
      <c r="J624" s="256"/>
      <c r="K624" s="257"/>
      <c r="L624" s="256"/>
      <c r="M624" s="257"/>
      <c r="N624" s="256"/>
      <c r="O624" s="257"/>
      <c r="P624" s="256"/>
      <c r="Q624" s="257"/>
      <c r="R624" s="256"/>
      <c r="S624" s="257"/>
      <c r="T624" s="256"/>
      <c r="U624" s="257"/>
      <c r="V624" s="256"/>
      <c r="W624" s="257"/>
      <c r="X624" s="256"/>
    </row>
    <row r="625" spans="1:24" ht="12.75">
      <c r="A625" s="255"/>
      <c r="B625" s="256"/>
      <c r="C625" s="257"/>
      <c r="D625" s="256"/>
      <c r="E625" s="257"/>
      <c r="F625" s="256"/>
      <c r="G625" s="257"/>
      <c r="H625" s="256"/>
      <c r="I625" s="257"/>
      <c r="J625" s="256"/>
      <c r="K625" s="257"/>
      <c r="L625" s="256"/>
      <c r="M625" s="257"/>
      <c r="N625" s="256"/>
      <c r="O625" s="257"/>
      <c r="P625" s="256"/>
      <c r="Q625" s="257"/>
      <c r="R625" s="256"/>
      <c r="S625" s="257"/>
      <c r="T625" s="256"/>
      <c r="U625" s="257"/>
      <c r="V625" s="256"/>
      <c r="W625" s="257"/>
      <c r="X625" s="256"/>
    </row>
    <row r="626" spans="1:24" ht="12.75">
      <c r="A626" s="255"/>
      <c r="B626" s="256"/>
      <c r="C626" s="257"/>
      <c r="D626" s="256"/>
      <c r="E626" s="257"/>
      <c r="F626" s="256"/>
      <c r="G626" s="257"/>
      <c r="H626" s="256"/>
      <c r="I626" s="257"/>
      <c r="J626" s="256"/>
      <c r="K626" s="257"/>
      <c r="L626" s="256"/>
      <c r="M626" s="257"/>
      <c r="N626" s="256"/>
      <c r="O626" s="257"/>
      <c r="P626" s="256"/>
      <c r="Q626" s="257"/>
      <c r="R626" s="256"/>
      <c r="S626" s="257"/>
      <c r="T626" s="256"/>
      <c r="U626" s="257"/>
      <c r="V626" s="256"/>
      <c r="W626" s="257"/>
      <c r="X626" s="256"/>
    </row>
    <row r="627" spans="1:24" ht="12.75">
      <c r="A627" s="255"/>
      <c r="B627" s="256"/>
      <c r="C627" s="257"/>
      <c r="D627" s="256"/>
      <c r="E627" s="257"/>
      <c r="F627" s="256"/>
      <c r="G627" s="257"/>
      <c r="H627" s="256"/>
      <c r="I627" s="257"/>
      <c r="J627" s="256"/>
      <c r="K627" s="257"/>
      <c r="L627" s="256"/>
      <c r="M627" s="257"/>
      <c r="N627" s="256"/>
      <c r="O627" s="257"/>
      <c r="P627" s="256"/>
      <c r="Q627" s="257"/>
      <c r="R627" s="256"/>
      <c r="S627" s="257"/>
      <c r="T627" s="256"/>
      <c r="U627" s="257"/>
      <c r="V627" s="256"/>
      <c r="W627" s="257"/>
      <c r="X627" s="256"/>
    </row>
    <row r="628" spans="1:24" ht="12.75">
      <c r="A628" s="255"/>
      <c r="B628" s="256"/>
      <c r="C628" s="257"/>
      <c r="D628" s="256"/>
      <c r="E628" s="257"/>
      <c r="F628" s="256"/>
      <c r="G628" s="257"/>
      <c r="H628" s="256"/>
      <c r="I628" s="257"/>
      <c r="J628" s="256"/>
      <c r="K628" s="257"/>
      <c r="L628" s="256"/>
      <c r="M628" s="257"/>
      <c r="N628" s="256"/>
      <c r="O628" s="257"/>
      <c r="P628" s="256"/>
      <c r="Q628" s="257"/>
      <c r="R628" s="256"/>
      <c r="S628" s="257"/>
      <c r="T628" s="256"/>
      <c r="U628" s="257"/>
      <c r="V628" s="256"/>
      <c r="W628" s="257"/>
      <c r="X628" s="256"/>
    </row>
    <row r="629" spans="1:24" ht="12.75">
      <c r="A629" s="255"/>
      <c r="B629" s="256"/>
      <c r="C629" s="257"/>
      <c r="D629" s="256"/>
      <c r="E629" s="257"/>
      <c r="F629" s="256"/>
      <c r="G629" s="257"/>
      <c r="H629" s="256"/>
      <c r="I629" s="257"/>
      <c r="J629" s="256"/>
      <c r="K629" s="257"/>
      <c r="L629" s="256"/>
      <c r="M629" s="257"/>
      <c r="N629" s="256"/>
      <c r="O629" s="257"/>
      <c r="P629" s="256"/>
      <c r="Q629" s="257"/>
      <c r="R629" s="256"/>
      <c r="S629" s="257"/>
      <c r="T629" s="256"/>
      <c r="U629" s="257"/>
      <c r="V629" s="256"/>
      <c r="W629" s="257"/>
      <c r="X629" s="256"/>
    </row>
    <row r="630" spans="1:24" ht="12.75">
      <c r="A630" s="255"/>
      <c r="B630" s="256"/>
      <c r="C630" s="257"/>
      <c r="D630" s="256"/>
      <c r="E630" s="257"/>
      <c r="F630" s="256"/>
      <c r="G630" s="257"/>
      <c r="H630" s="256"/>
      <c r="I630" s="257"/>
      <c r="J630" s="256"/>
      <c r="K630" s="257"/>
      <c r="L630" s="256"/>
      <c r="M630" s="257"/>
      <c r="N630" s="256"/>
      <c r="O630" s="257"/>
      <c r="P630" s="256"/>
      <c r="Q630" s="257"/>
      <c r="R630" s="256"/>
      <c r="S630" s="257"/>
      <c r="T630" s="256"/>
      <c r="U630" s="257"/>
      <c r="V630" s="256"/>
      <c r="W630" s="257"/>
      <c r="X630" s="256"/>
    </row>
    <row r="631" spans="1:24" ht="12.75">
      <c r="A631" s="255"/>
      <c r="B631" s="256"/>
      <c r="C631" s="257"/>
      <c r="D631" s="256"/>
      <c r="E631" s="257"/>
      <c r="F631" s="256"/>
      <c r="G631" s="257"/>
      <c r="H631" s="256"/>
      <c r="I631" s="257"/>
      <c r="J631" s="256"/>
      <c r="K631" s="257"/>
      <c r="L631" s="256"/>
      <c r="M631" s="257"/>
      <c r="N631" s="256"/>
      <c r="O631" s="257"/>
      <c r="P631" s="256"/>
      <c r="Q631" s="257"/>
      <c r="R631" s="256"/>
      <c r="S631" s="257"/>
      <c r="T631" s="256"/>
      <c r="U631" s="257"/>
      <c r="V631" s="256"/>
      <c r="W631" s="257"/>
      <c r="X631" s="256"/>
    </row>
    <row r="632" spans="1:24" ht="12.75">
      <c r="A632" s="255"/>
      <c r="B632" s="256"/>
      <c r="C632" s="257"/>
      <c r="D632" s="256"/>
      <c r="E632" s="257"/>
      <c r="F632" s="256"/>
      <c r="G632" s="257"/>
      <c r="H632" s="256"/>
      <c r="I632" s="257"/>
      <c r="J632" s="256"/>
      <c r="K632" s="257"/>
      <c r="L632" s="256"/>
      <c r="M632" s="257"/>
      <c r="N632" s="256"/>
      <c r="O632" s="257"/>
      <c r="P632" s="256"/>
      <c r="Q632" s="257"/>
      <c r="R632" s="256"/>
      <c r="S632" s="257"/>
      <c r="T632" s="256"/>
      <c r="U632" s="257"/>
      <c r="V632" s="256"/>
      <c r="W632" s="257"/>
      <c r="X632" s="256"/>
    </row>
    <row r="633" spans="1:24" ht="12.75">
      <c r="A633" s="255"/>
      <c r="B633" s="256"/>
      <c r="C633" s="257"/>
      <c r="D633" s="256"/>
      <c r="E633" s="257"/>
      <c r="F633" s="256"/>
      <c r="G633" s="257"/>
      <c r="H633" s="256"/>
      <c r="I633" s="257"/>
      <c r="J633" s="256"/>
      <c r="K633" s="257"/>
      <c r="L633" s="256"/>
      <c r="M633" s="257"/>
      <c r="N633" s="256"/>
      <c r="O633" s="257"/>
      <c r="P633" s="256"/>
      <c r="Q633" s="257"/>
      <c r="R633" s="256"/>
      <c r="S633" s="257"/>
      <c r="T633" s="256"/>
      <c r="U633" s="257"/>
      <c r="V633" s="256"/>
      <c r="W633" s="257"/>
      <c r="X633" s="256"/>
    </row>
    <row r="634" spans="1:24" ht="12.75">
      <c r="A634" s="255"/>
      <c r="B634" s="256"/>
      <c r="C634" s="257"/>
      <c r="D634" s="256"/>
      <c r="E634" s="257"/>
      <c r="F634" s="256"/>
      <c r="G634" s="257"/>
      <c r="H634" s="256"/>
      <c r="I634" s="257"/>
      <c r="J634" s="256"/>
      <c r="K634" s="257"/>
      <c r="L634" s="256"/>
      <c r="M634" s="257"/>
      <c r="N634" s="256"/>
      <c r="O634" s="257"/>
      <c r="P634" s="256"/>
      <c r="Q634" s="257"/>
      <c r="R634" s="256"/>
      <c r="S634" s="257"/>
      <c r="T634" s="256"/>
      <c r="U634" s="257"/>
      <c r="V634" s="256"/>
      <c r="W634" s="257"/>
      <c r="X634" s="256"/>
    </row>
    <row r="635" spans="1:24" ht="12.75">
      <c r="A635" s="255"/>
      <c r="B635" s="256"/>
      <c r="C635" s="257"/>
      <c r="D635" s="256"/>
      <c r="E635" s="257"/>
      <c r="F635" s="256"/>
      <c r="G635" s="257"/>
      <c r="H635" s="256"/>
      <c r="I635" s="257"/>
      <c r="J635" s="256"/>
      <c r="K635" s="257"/>
      <c r="L635" s="256"/>
      <c r="M635" s="257"/>
      <c r="N635" s="256"/>
      <c r="O635" s="257"/>
      <c r="P635" s="256"/>
      <c r="Q635" s="257"/>
      <c r="R635" s="256"/>
      <c r="S635" s="257"/>
      <c r="T635" s="256"/>
      <c r="U635" s="257"/>
      <c r="V635" s="256"/>
      <c r="W635" s="257"/>
      <c r="X635" s="256"/>
    </row>
    <row r="636" spans="1:24" ht="12.75">
      <c r="A636" s="255"/>
      <c r="B636" s="256"/>
      <c r="C636" s="257"/>
      <c r="D636" s="256"/>
      <c r="E636" s="257"/>
      <c r="F636" s="256"/>
      <c r="G636" s="257"/>
      <c r="H636" s="256"/>
      <c r="I636" s="257"/>
      <c r="J636" s="256"/>
      <c r="K636" s="257"/>
      <c r="L636" s="256"/>
      <c r="M636" s="257"/>
      <c r="N636" s="256"/>
      <c r="O636" s="257"/>
      <c r="P636" s="256"/>
      <c r="Q636" s="257"/>
      <c r="R636" s="256"/>
      <c r="S636" s="257"/>
      <c r="T636" s="256"/>
      <c r="U636" s="257"/>
      <c r="V636" s="256"/>
      <c r="W636" s="257"/>
      <c r="X636" s="256"/>
    </row>
    <row r="637" spans="1:24" ht="12.75">
      <c r="A637" s="255"/>
      <c r="B637" s="256"/>
      <c r="C637" s="257"/>
      <c r="D637" s="256"/>
      <c r="E637" s="257"/>
      <c r="F637" s="256"/>
      <c r="G637" s="257"/>
      <c r="H637" s="256"/>
      <c r="I637" s="257"/>
      <c r="J637" s="256"/>
      <c r="K637" s="257"/>
      <c r="L637" s="256"/>
      <c r="M637" s="257"/>
      <c r="N637" s="256"/>
      <c r="O637" s="257"/>
      <c r="P637" s="256"/>
      <c r="Q637" s="257"/>
      <c r="R637" s="256"/>
      <c r="S637" s="257"/>
      <c r="T637" s="256"/>
      <c r="U637" s="257"/>
      <c r="V637" s="256"/>
      <c r="W637" s="257"/>
      <c r="X637" s="256"/>
    </row>
    <row r="638" spans="1:24" ht="12.75">
      <c r="A638" s="255"/>
      <c r="B638" s="256"/>
      <c r="C638" s="257"/>
      <c r="D638" s="256"/>
      <c r="E638" s="257"/>
      <c r="F638" s="256"/>
      <c r="G638" s="257"/>
      <c r="H638" s="256"/>
      <c r="I638" s="257"/>
      <c r="J638" s="256"/>
      <c r="K638" s="257"/>
      <c r="L638" s="256"/>
      <c r="M638" s="257"/>
      <c r="N638" s="256"/>
      <c r="O638" s="257"/>
      <c r="P638" s="256"/>
      <c r="Q638" s="257"/>
      <c r="R638" s="256"/>
      <c r="S638" s="257"/>
      <c r="T638" s="256"/>
      <c r="U638" s="257"/>
      <c r="V638" s="256"/>
      <c r="W638" s="257"/>
      <c r="X638" s="256"/>
    </row>
    <row r="639" spans="1:24" ht="12.75">
      <c r="A639" s="255"/>
      <c r="B639" s="256"/>
      <c r="C639" s="257"/>
      <c r="D639" s="256"/>
      <c r="E639" s="257"/>
      <c r="F639" s="256"/>
      <c r="G639" s="257"/>
      <c r="H639" s="256"/>
      <c r="I639" s="257"/>
      <c r="J639" s="256"/>
      <c r="K639" s="257"/>
      <c r="L639" s="256"/>
      <c r="M639" s="257"/>
      <c r="N639" s="256"/>
      <c r="O639" s="257"/>
      <c r="P639" s="256"/>
      <c r="Q639" s="257"/>
      <c r="R639" s="256"/>
      <c r="S639" s="257"/>
      <c r="T639" s="256"/>
      <c r="U639" s="257"/>
      <c r="V639" s="256"/>
      <c r="W639" s="257"/>
      <c r="X639" s="256"/>
    </row>
    <row r="640" spans="1:24" ht="12.75">
      <c r="A640" s="255"/>
      <c r="B640" s="256"/>
      <c r="C640" s="257"/>
      <c r="D640" s="256"/>
      <c r="E640" s="257"/>
      <c r="F640" s="256"/>
      <c r="G640" s="257"/>
      <c r="H640" s="256"/>
      <c r="I640" s="257"/>
      <c r="J640" s="256"/>
      <c r="K640" s="257"/>
      <c r="L640" s="256"/>
      <c r="M640" s="257"/>
      <c r="N640" s="256"/>
      <c r="O640" s="257"/>
      <c r="P640" s="256"/>
      <c r="Q640" s="257"/>
      <c r="R640" s="256"/>
      <c r="S640" s="257"/>
      <c r="T640" s="256"/>
      <c r="U640" s="257"/>
      <c r="V640" s="256"/>
      <c r="W640" s="257"/>
      <c r="X640" s="256"/>
    </row>
    <row r="641" spans="1:24" ht="12.75">
      <c r="A641" s="255"/>
      <c r="B641" s="256"/>
      <c r="C641" s="257"/>
      <c r="D641" s="256"/>
      <c r="E641" s="257"/>
      <c r="F641" s="256"/>
      <c r="G641" s="257"/>
      <c r="H641" s="256"/>
      <c r="I641" s="257"/>
      <c r="J641" s="256"/>
      <c r="K641" s="257"/>
      <c r="L641" s="256"/>
      <c r="M641" s="257"/>
      <c r="N641" s="256"/>
      <c r="O641" s="257"/>
      <c r="P641" s="256"/>
      <c r="Q641" s="257"/>
      <c r="R641" s="256"/>
      <c r="S641" s="257"/>
      <c r="T641" s="256"/>
      <c r="U641" s="257"/>
      <c r="V641" s="256"/>
      <c r="W641" s="257"/>
      <c r="X641" s="256"/>
    </row>
    <row r="642" spans="1:24" ht="12.75">
      <c r="A642" s="255"/>
      <c r="B642" s="256"/>
      <c r="C642" s="257"/>
      <c r="D642" s="256"/>
      <c r="E642" s="257"/>
      <c r="F642" s="256"/>
      <c r="G642" s="257"/>
      <c r="H642" s="256"/>
      <c r="I642" s="257"/>
      <c r="J642" s="256"/>
      <c r="K642" s="257"/>
      <c r="L642" s="256"/>
      <c r="M642" s="257"/>
      <c r="N642" s="256"/>
      <c r="O642" s="257"/>
      <c r="P642" s="256"/>
      <c r="Q642" s="257"/>
      <c r="R642" s="256"/>
      <c r="S642" s="257"/>
      <c r="T642" s="256"/>
      <c r="U642" s="257"/>
      <c r="V642" s="256"/>
      <c r="W642" s="257"/>
      <c r="X642" s="256"/>
    </row>
    <row r="643" spans="1:24" ht="12.75">
      <c r="A643" s="255"/>
      <c r="B643" s="256"/>
      <c r="C643" s="257"/>
      <c r="D643" s="256"/>
      <c r="E643" s="257"/>
      <c r="F643" s="256"/>
      <c r="G643" s="257"/>
      <c r="H643" s="256"/>
      <c r="I643" s="257"/>
      <c r="J643" s="256"/>
      <c r="K643" s="257"/>
      <c r="L643" s="256"/>
      <c r="M643" s="257"/>
      <c r="N643" s="256"/>
      <c r="O643" s="257"/>
      <c r="P643" s="256"/>
      <c r="Q643" s="257"/>
      <c r="R643" s="256"/>
      <c r="S643" s="257"/>
      <c r="T643" s="256"/>
      <c r="U643" s="257"/>
      <c r="V643" s="256"/>
      <c r="W643" s="257"/>
      <c r="X643" s="256"/>
    </row>
    <row r="644" spans="1:24" ht="12.75">
      <c r="A644" s="255"/>
      <c r="B644" s="256"/>
      <c r="C644" s="257"/>
      <c r="D644" s="256"/>
      <c r="E644" s="257"/>
      <c r="F644" s="256"/>
      <c r="G644" s="257"/>
      <c r="H644" s="256"/>
      <c r="I644" s="257"/>
      <c r="J644" s="256"/>
      <c r="K644" s="257"/>
      <c r="L644" s="256"/>
      <c r="M644" s="257"/>
      <c r="N644" s="256"/>
      <c r="O644" s="257"/>
      <c r="P644" s="256"/>
      <c r="Q644" s="257"/>
      <c r="R644" s="256"/>
      <c r="S644" s="257"/>
      <c r="T644" s="256"/>
      <c r="U644" s="257"/>
      <c r="V644" s="256"/>
      <c r="W644" s="257"/>
      <c r="X644" s="256"/>
    </row>
    <row r="645" spans="1:24" ht="12.75">
      <c r="A645" s="255"/>
      <c r="B645" s="256"/>
      <c r="C645" s="257"/>
      <c r="D645" s="256"/>
      <c r="E645" s="257"/>
      <c r="F645" s="256"/>
      <c r="G645" s="257"/>
      <c r="H645" s="256"/>
      <c r="I645" s="257"/>
      <c r="J645" s="256"/>
      <c r="K645" s="257"/>
      <c r="L645" s="256"/>
      <c r="M645" s="257"/>
      <c r="N645" s="256"/>
      <c r="O645" s="257"/>
      <c r="P645" s="256"/>
      <c r="Q645" s="257"/>
      <c r="R645" s="256"/>
      <c r="S645" s="257"/>
      <c r="T645" s="256"/>
      <c r="U645" s="257"/>
      <c r="V645" s="256"/>
      <c r="W645" s="257"/>
      <c r="X645" s="256"/>
    </row>
    <row r="646" spans="1:24" ht="12.75">
      <c r="A646" s="255"/>
      <c r="B646" s="256"/>
      <c r="C646" s="257"/>
      <c r="D646" s="256"/>
      <c r="E646" s="257"/>
      <c r="F646" s="256"/>
      <c r="G646" s="257"/>
      <c r="H646" s="256"/>
      <c r="I646" s="257"/>
      <c r="J646" s="256"/>
      <c r="K646" s="257"/>
      <c r="L646" s="256"/>
      <c r="M646" s="257"/>
      <c r="N646" s="256"/>
      <c r="O646" s="257"/>
      <c r="P646" s="256"/>
      <c r="Q646" s="257"/>
      <c r="R646" s="256"/>
      <c r="S646" s="257"/>
      <c r="T646" s="256"/>
      <c r="U646" s="257"/>
      <c r="V646" s="256"/>
      <c r="W646" s="257"/>
      <c r="X646" s="256"/>
    </row>
    <row r="647" spans="1:24" ht="12.75">
      <c r="A647" s="255"/>
      <c r="B647" s="256"/>
      <c r="C647" s="257"/>
      <c r="D647" s="256"/>
      <c r="E647" s="257"/>
      <c r="F647" s="256"/>
      <c r="G647" s="257"/>
      <c r="H647" s="256"/>
      <c r="I647" s="257"/>
      <c r="J647" s="256"/>
      <c r="K647" s="257"/>
      <c r="L647" s="256"/>
      <c r="M647" s="257"/>
      <c r="N647" s="256"/>
      <c r="O647" s="257"/>
      <c r="P647" s="256"/>
      <c r="Q647" s="257"/>
      <c r="R647" s="256"/>
      <c r="S647" s="257"/>
      <c r="T647" s="256"/>
      <c r="U647" s="257"/>
      <c r="V647" s="256"/>
      <c r="W647" s="257"/>
      <c r="X647" s="256"/>
    </row>
    <row r="648" spans="1:24" ht="12.75">
      <c r="A648" s="255"/>
      <c r="B648" s="256"/>
      <c r="C648" s="257"/>
      <c r="D648" s="256"/>
      <c r="E648" s="257"/>
      <c r="F648" s="256"/>
      <c r="G648" s="257"/>
      <c r="H648" s="256"/>
      <c r="I648" s="257"/>
      <c r="J648" s="256"/>
      <c r="K648" s="257"/>
      <c r="L648" s="256"/>
      <c r="M648" s="257"/>
      <c r="N648" s="256"/>
      <c r="O648" s="257"/>
      <c r="P648" s="256"/>
      <c r="Q648" s="257"/>
      <c r="R648" s="256"/>
      <c r="S648" s="257"/>
      <c r="T648" s="256"/>
      <c r="U648" s="257"/>
      <c r="V648" s="256"/>
      <c r="W648" s="257"/>
      <c r="X648" s="256"/>
    </row>
    <row r="649" spans="1:24" ht="12.75">
      <c r="A649" s="255"/>
      <c r="B649" s="256"/>
      <c r="C649" s="257"/>
      <c r="D649" s="256"/>
      <c r="E649" s="257"/>
      <c r="F649" s="256"/>
      <c r="G649" s="257"/>
      <c r="H649" s="256"/>
      <c r="I649" s="257"/>
      <c r="J649" s="256"/>
      <c r="K649" s="257"/>
      <c r="L649" s="256"/>
      <c r="M649" s="257"/>
      <c r="N649" s="256"/>
      <c r="O649" s="257"/>
      <c r="P649" s="256"/>
      <c r="Q649" s="257"/>
      <c r="R649" s="256"/>
      <c r="S649" s="257"/>
      <c r="T649" s="256"/>
      <c r="U649" s="257"/>
      <c r="V649" s="256"/>
      <c r="W649" s="257"/>
      <c r="X649" s="256"/>
    </row>
    <row r="650" spans="1:24" ht="12.75">
      <c r="A650" s="255"/>
      <c r="B650" s="256"/>
      <c r="C650" s="257"/>
      <c r="D650" s="256"/>
      <c r="E650" s="257"/>
      <c r="F650" s="256"/>
      <c r="G650" s="257"/>
      <c r="H650" s="256"/>
      <c r="I650" s="257"/>
      <c r="J650" s="256"/>
      <c r="K650" s="257"/>
      <c r="L650" s="256"/>
      <c r="M650" s="257"/>
      <c r="N650" s="256"/>
      <c r="O650" s="257"/>
      <c r="P650" s="256"/>
      <c r="Q650" s="257"/>
      <c r="R650" s="256"/>
      <c r="S650" s="257"/>
      <c r="T650" s="256"/>
      <c r="U650" s="257"/>
      <c r="V650" s="256"/>
      <c r="W650" s="257"/>
      <c r="X650" s="256"/>
    </row>
    <row r="651" spans="1:24" ht="12.75">
      <c r="A651" s="255"/>
      <c r="B651" s="256"/>
      <c r="C651" s="257"/>
      <c r="D651" s="256"/>
      <c r="E651" s="257"/>
      <c r="F651" s="256"/>
      <c r="G651" s="257"/>
      <c r="H651" s="256"/>
      <c r="I651" s="257"/>
      <c r="J651" s="256"/>
      <c r="K651" s="257"/>
      <c r="L651" s="256"/>
      <c r="M651" s="257"/>
      <c r="N651" s="256"/>
      <c r="O651" s="257"/>
      <c r="P651" s="256"/>
      <c r="Q651" s="257"/>
      <c r="R651" s="256"/>
      <c r="S651" s="257"/>
      <c r="T651" s="256"/>
      <c r="U651" s="257"/>
      <c r="V651" s="256"/>
      <c r="W651" s="257"/>
      <c r="X651" s="256"/>
    </row>
    <row r="652" spans="1:24" ht="12.75">
      <c r="A652" s="255"/>
      <c r="B652" s="256"/>
      <c r="C652" s="257"/>
      <c r="D652" s="256"/>
      <c r="E652" s="257"/>
      <c r="F652" s="256"/>
      <c r="G652" s="257"/>
      <c r="H652" s="256"/>
      <c r="I652" s="257"/>
      <c r="J652" s="256"/>
      <c r="K652" s="257"/>
      <c r="L652" s="256"/>
      <c r="M652" s="257"/>
      <c r="N652" s="256"/>
      <c r="O652" s="257"/>
      <c r="P652" s="256"/>
      <c r="Q652" s="257"/>
      <c r="R652" s="256"/>
      <c r="S652" s="257"/>
      <c r="T652" s="256"/>
      <c r="U652" s="257"/>
      <c r="V652" s="256"/>
      <c r="W652" s="257"/>
      <c r="X652" s="256"/>
    </row>
    <row r="653" spans="1:24" ht="12.75">
      <c r="A653" s="255"/>
      <c r="B653" s="256"/>
      <c r="C653" s="257"/>
      <c r="D653" s="256"/>
      <c r="E653" s="257"/>
      <c r="F653" s="256"/>
      <c r="G653" s="257"/>
      <c r="H653" s="256"/>
      <c r="I653" s="257"/>
      <c r="J653" s="256"/>
      <c r="K653" s="257"/>
      <c r="L653" s="256"/>
      <c r="M653" s="257"/>
      <c r="N653" s="256"/>
      <c r="O653" s="257"/>
      <c r="P653" s="256"/>
      <c r="Q653" s="257"/>
      <c r="R653" s="256"/>
      <c r="S653" s="257"/>
      <c r="T653" s="256"/>
      <c r="U653" s="257"/>
      <c r="V653" s="256"/>
      <c r="W653" s="257"/>
      <c r="X653" s="256"/>
    </row>
    <row r="654" spans="1:24" ht="12.75">
      <c r="A654" s="255"/>
      <c r="B654" s="256"/>
      <c r="C654" s="257"/>
      <c r="D654" s="256"/>
      <c r="E654" s="257"/>
      <c r="F654" s="256"/>
      <c r="G654" s="257"/>
      <c r="H654" s="256"/>
      <c r="I654" s="257"/>
      <c r="J654" s="256"/>
      <c r="K654" s="257"/>
      <c r="L654" s="256"/>
      <c r="M654" s="257"/>
      <c r="N654" s="256"/>
      <c r="O654" s="257"/>
      <c r="P654" s="256"/>
      <c r="Q654" s="257"/>
      <c r="R654" s="256"/>
      <c r="S654" s="257"/>
      <c r="T654" s="256"/>
      <c r="U654" s="257"/>
      <c r="V654" s="256"/>
      <c r="W654" s="257"/>
      <c r="X654" s="256"/>
    </row>
    <row r="655" spans="1:24" ht="12.75">
      <c r="A655" s="255"/>
      <c r="B655" s="256"/>
      <c r="C655" s="257"/>
      <c r="D655" s="256"/>
      <c r="E655" s="257"/>
      <c r="F655" s="256"/>
      <c r="G655" s="257"/>
      <c r="H655" s="256"/>
      <c r="I655" s="257"/>
      <c r="J655" s="256"/>
      <c r="K655" s="257"/>
      <c r="L655" s="256"/>
      <c r="M655" s="257"/>
      <c r="N655" s="256"/>
      <c r="O655" s="257"/>
      <c r="P655" s="256"/>
      <c r="Q655" s="257"/>
      <c r="R655" s="256"/>
      <c r="S655" s="257"/>
      <c r="T655" s="256"/>
      <c r="U655" s="257"/>
      <c r="V655" s="256"/>
      <c r="W655" s="257"/>
      <c r="X655" s="256"/>
    </row>
    <row r="656" spans="1:24" ht="12.75">
      <c r="A656" s="255"/>
      <c r="B656" s="256"/>
      <c r="C656" s="257"/>
      <c r="D656" s="256"/>
      <c r="E656" s="257"/>
      <c r="F656" s="256"/>
      <c r="G656" s="257"/>
      <c r="H656" s="256"/>
      <c r="I656" s="257"/>
      <c r="J656" s="256"/>
      <c r="K656" s="257"/>
      <c r="L656" s="256"/>
      <c r="M656" s="257"/>
      <c r="N656" s="256"/>
      <c r="O656" s="257"/>
      <c r="P656" s="256"/>
      <c r="Q656" s="257"/>
      <c r="R656" s="256"/>
      <c r="S656" s="257"/>
      <c r="T656" s="256"/>
      <c r="U656" s="257"/>
      <c r="V656" s="256"/>
      <c r="W656" s="257"/>
      <c r="X656" s="256"/>
    </row>
    <row r="657" spans="1:24" ht="12.75">
      <c r="A657" s="255"/>
      <c r="B657" s="256"/>
      <c r="C657" s="257"/>
      <c r="D657" s="256"/>
      <c r="E657" s="257"/>
      <c r="F657" s="256"/>
      <c r="G657" s="257"/>
      <c r="H657" s="256"/>
      <c r="I657" s="257"/>
      <c r="J657" s="256"/>
      <c r="K657" s="257"/>
      <c r="L657" s="256"/>
      <c r="M657" s="257"/>
      <c r="N657" s="256"/>
      <c r="O657" s="257"/>
      <c r="P657" s="256"/>
      <c r="Q657" s="257"/>
      <c r="R657" s="256"/>
      <c r="S657" s="257"/>
      <c r="T657" s="256"/>
      <c r="U657" s="257"/>
      <c r="V657" s="256"/>
      <c r="W657" s="257"/>
      <c r="X657" s="256"/>
    </row>
    <row r="658" spans="1:24" ht="12.75">
      <c r="A658" s="255"/>
      <c r="B658" s="256"/>
      <c r="C658" s="257"/>
      <c r="D658" s="256"/>
      <c r="E658" s="257"/>
      <c r="F658" s="256"/>
      <c r="G658" s="257"/>
      <c r="H658" s="256"/>
      <c r="I658" s="257"/>
      <c r="J658" s="256"/>
      <c r="K658" s="257"/>
      <c r="L658" s="256"/>
      <c r="M658" s="257"/>
      <c r="N658" s="256"/>
      <c r="O658" s="257"/>
      <c r="P658" s="256"/>
      <c r="Q658" s="257"/>
      <c r="R658" s="256"/>
      <c r="S658" s="257"/>
      <c r="T658" s="256"/>
      <c r="U658" s="257"/>
      <c r="V658" s="256"/>
      <c r="W658" s="257"/>
      <c r="X658" s="256"/>
    </row>
    <row r="659" spans="1:24" ht="12.75">
      <c r="A659" s="255"/>
      <c r="B659" s="256"/>
      <c r="C659" s="257"/>
      <c r="D659" s="256"/>
      <c r="E659" s="257"/>
      <c r="F659" s="256"/>
      <c r="G659" s="257"/>
      <c r="H659" s="256"/>
      <c r="I659" s="257"/>
      <c r="J659" s="256"/>
      <c r="K659" s="257"/>
      <c r="L659" s="256"/>
      <c r="M659" s="257"/>
      <c r="N659" s="256"/>
      <c r="O659" s="257"/>
      <c r="P659" s="256"/>
      <c r="Q659" s="257"/>
      <c r="R659" s="256"/>
      <c r="S659" s="257"/>
      <c r="T659" s="256"/>
      <c r="U659" s="257"/>
      <c r="V659" s="256"/>
      <c r="W659" s="257"/>
      <c r="X659" s="256"/>
    </row>
    <row r="660" spans="1:24" ht="12.75">
      <c r="A660" s="255"/>
      <c r="B660" s="256"/>
      <c r="C660" s="257"/>
      <c r="D660" s="256"/>
      <c r="E660" s="257"/>
      <c r="F660" s="256"/>
      <c r="G660" s="257"/>
      <c r="H660" s="256"/>
      <c r="I660" s="257"/>
      <c r="J660" s="256"/>
      <c r="K660" s="257"/>
      <c r="L660" s="256"/>
      <c r="M660" s="257"/>
      <c r="N660" s="256"/>
      <c r="O660" s="257"/>
      <c r="P660" s="256"/>
      <c r="Q660" s="257"/>
      <c r="R660" s="256"/>
      <c r="S660" s="257"/>
      <c r="T660" s="256"/>
      <c r="U660" s="257"/>
      <c r="V660" s="256"/>
      <c r="W660" s="257"/>
      <c r="X660" s="256"/>
    </row>
    <row r="661" spans="1:24" ht="12.75">
      <c r="A661" s="255"/>
      <c r="B661" s="256"/>
      <c r="C661" s="257"/>
      <c r="D661" s="256"/>
      <c r="E661" s="257"/>
      <c r="F661" s="256"/>
      <c r="G661" s="257"/>
      <c r="H661" s="256"/>
      <c r="I661" s="257"/>
      <c r="J661" s="256"/>
      <c r="K661" s="257"/>
      <c r="L661" s="256"/>
      <c r="M661" s="257"/>
      <c r="N661" s="256"/>
      <c r="O661" s="257"/>
      <c r="P661" s="256"/>
      <c r="Q661" s="257"/>
      <c r="R661" s="256"/>
      <c r="S661" s="257"/>
      <c r="T661" s="256"/>
      <c r="U661" s="257"/>
      <c r="V661" s="256"/>
      <c r="W661" s="257"/>
      <c r="X661" s="256"/>
    </row>
    <row r="662" spans="1:24" ht="12.75">
      <c r="A662" s="255"/>
      <c r="B662" s="256"/>
      <c r="C662" s="257"/>
      <c r="D662" s="256"/>
      <c r="E662" s="257"/>
      <c r="F662" s="256"/>
      <c r="G662" s="257"/>
      <c r="H662" s="256"/>
      <c r="I662" s="257"/>
      <c r="J662" s="256"/>
      <c r="K662" s="257"/>
      <c r="L662" s="256"/>
      <c r="M662" s="257"/>
      <c r="N662" s="256"/>
      <c r="O662" s="257"/>
      <c r="P662" s="256"/>
      <c r="Q662" s="257"/>
      <c r="R662" s="256"/>
      <c r="S662" s="257"/>
      <c r="T662" s="256"/>
      <c r="U662" s="257"/>
      <c r="V662" s="256"/>
      <c r="W662" s="257"/>
      <c r="X662" s="256"/>
    </row>
    <row r="663" spans="1:24" ht="12.75">
      <c r="A663" s="255"/>
      <c r="B663" s="256"/>
      <c r="C663" s="257"/>
      <c r="D663" s="256"/>
      <c r="E663" s="257"/>
      <c r="F663" s="256"/>
      <c r="G663" s="257"/>
      <c r="H663" s="256"/>
      <c r="I663" s="257"/>
      <c r="J663" s="256"/>
      <c r="K663" s="257"/>
      <c r="L663" s="256"/>
      <c r="M663" s="257"/>
      <c r="N663" s="256"/>
      <c r="O663" s="257"/>
      <c r="P663" s="256"/>
      <c r="Q663" s="257"/>
      <c r="R663" s="256"/>
      <c r="S663" s="257"/>
      <c r="T663" s="256"/>
      <c r="U663" s="257"/>
      <c r="V663" s="256"/>
      <c r="W663" s="257"/>
      <c r="X663" s="256"/>
    </row>
    <row r="664" spans="1:24" ht="12.75">
      <c r="A664" s="255"/>
      <c r="B664" s="256"/>
      <c r="C664" s="257"/>
      <c r="D664" s="256"/>
      <c r="E664" s="257"/>
      <c r="F664" s="256"/>
      <c r="G664" s="257"/>
      <c r="H664" s="256"/>
      <c r="I664" s="257"/>
      <c r="J664" s="256"/>
      <c r="K664" s="257"/>
      <c r="L664" s="256"/>
      <c r="M664" s="257"/>
      <c r="N664" s="256"/>
      <c r="O664" s="257"/>
      <c r="P664" s="256"/>
      <c r="Q664" s="257"/>
      <c r="R664" s="256"/>
      <c r="S664" s="257"/>
      <c r="T664" s="256"/>
      <c r="U664" s="257"/>
      <c r="V664" s="256"/>
      <c r="W664" s="257"/>
      <c r="X664" s="256"/>
    </row>
    <row r="665" spans="1:24" ht="12.75">
      <c r="A665" s="255"/>
      <c r="B665" s="256"/>
      <c r="C665" s="257"/>
      <c r="D665" s="256"/>
      <c r="E665" s="257"/>
      <c r="F665" s="256"/>
      <c r="G665" s="257"/>
      <c r="H665" s="256"/>
      <c r="I665" s="257"/>
      <c r="J665" s="256"/>
      <c r="K665" s="257"/>
      <c r="L665" s="256"/>
      <c r="M665" s="257"/>
      <c r="N665" s="256"/>
      <c r="O665" s="257"/>
      <c r="P665" s="256"/>
      <c r="Q665" s="257"/>
      <c r="R665" s="256"/>
      <c r="S665" s="257"/>
      <c r="T665" s="256"/>
      <c r="U665" s="257"/>
      <c r="V665" s="256"/>
      <c r="W665" s="257"/>
      <c r="X665" s="256"/>
    </row>
    <row r="666" spans="1:24" ht="12.75">
      <c r="A666" s="255"/>
      <c r="B666" s="256"/>
      <c r="C666" s="257"/>
      <c r="D666" s="256"/>
      <c r="E666" s="257"/>
      <c r="F666" s="256"/>
      <c r="G666" s="257"/>
      <c r="H666" s="256"/>
      <c r="I666" s="257"/>
      <c r="J666" s="256"/>
      <c r="K666" s="257"/>
      <c r="L666" s="256"/>
      <c r="M666" s="257"/>
      <c r="N666" s="256"/>
      <c r="O666" s="257"/>
      <c r="P666" s="256"/>
      <c r="Q666" s="257"/>
      <c r="R666" s="256"/>
      <c r="S666" s="257"/>
      <c r="T666" s="256"/>
      <c r="U666" s="257"/>
      <c r="V666" s="256"/>
      <c r="W666" s="257"/>
      <c r="X666" s="256"/>
    </row>
    <row r="667" spans="1:24" ht="12.75">
      <c r="A667" s="255"/>
      <c r="B667" s="256"/>
      <c r="C667" s="257"/>
      <c r="D667" s="256"/>
      <c r="E667" s="257"/>
      <c r="F667" s="256"/>
      <c r="G667" s="257"/>
      <c r="H667" s="256"/>
      <c r="I667" s="257"/>
      <c r="J667" s="256"/>
      <c r="K667" s="257"/>
      <c r="L667" s="256"/>
      <c r="M667" s="257"/>
      <c r="N667" s="256"/>
      <c r="O667" s="257"/>
      <c r="P667" s="256"/>
      <c r="Q667" s="257"/>
      <c r="R667" s="256"/>
      <c r="S667" s="257"/>
      <c r="T667" s="256"/>
      <c r="U667" s="257"/>
      <c r="V667" s="256"/>
      <c r="W667" s="257"/>
      <c r="X667" s="256"/>
    </row>
    <row r="668" spans="1:24" ht="12.75">
      <c r="A668" s="255"/>
      <c r="B668" s="256"/>
      <c r="C668" s="257"/>
      <c r="D668" s="256"/>
      <c r="E668" s="257"/>
      <c r="F668" s="256"/>
      <c r="G668" s="257"/>
      <c r="H668" s="256"/>
      <c r="I668" s="257"/>
      <c r="J668" s="256"/>
      <c r="K668" s="257"/>
      <c r="L668" s="256"/>
      <c r="M668" s="257"/>
      <c r="N668" s="256"/>
      <c r="O668" s="257"/>
      <c r="P668" s="256"/>
      <c r="Q668" s="257"/>
      <c r="R668" s="256"/>
      <c r="S668" s="257"/>
      <c r="T668" s="256"/>
      <c r="U668" s="257"/>
      <c r="V668" s="256"/>
      <c r="W668" s="257"/>
      <c r="X668" s="256"/>
    </row>
    <row r="669" spans="1:24" ht="12.75">
      <c r="A669" s="255"/>
      <c r="B669" s="256"/>
      <c r="C669" s="257"/>
      <c r="D669" s="256"/>
      <c r="E669" s="257"/>
      <c r="F669" s="256"/>
      <c r="G669" s="257"/>
      <c r="H669" s="256"/>
      <c r="I669" s="257"/>
      <c r="J669" s="256"/>
      <c r="K669" s="257"/>
      <c r="L669" s="256"/>
      <c r="M669" s="257"/>
      <c r="N669" s="256"/>
      <c r="O669" s="257"/>
      <c r="P669" s="256"/>
      <c r="Q669" s="257"/>
      <c r="R669" s="256"/>
      <c r="S669" s="257"/>
      <c r="T669" s="256"/>
      <c r="U669" s="257"/>
      <c r="V669" s="256"/>
      <c r="W669" s="257"/>
      <c r="X669" s="256"/>
    </row>
    <row r="670" spans="1:24" ht="12.75">
      <c r="A670" s="255"/>
      <c r="B670" s="256"/>
      <c r="C670" s="257"/>
      <c r="D670" s="256"/>
      <c r="E670" s="257"/>
      <c r="F670" s="256"/>
      <c r="G670" s="257"/>
      <c r="H670" s="256"/>
      <c r="I670" s="257"/>
      <c r="J670" s="256"/>
      <c r="K670" s="257"/>
      <c r="L670" s="256"/>
      <c r="M670" s="257"/>
      <c r="N670" s="256"/>
      <c r="O670" s="257"/>
      <c r="P670" s="256"/>
      <c r="Q670" s="257"/>
      <c r="R670" s="256"/>
      <c r="S670" s="257"/>
      <c r="T670" s="256"/>
      <c r="U670" s="257"/>
      <c r="V670" s="256"/>
      <c r="W670" s="257"/>
      <c r="X670" s="256"/>
    </row>
    <row r="671" spans="1:24" ht="12.75">
      <c r="A671" s="255"/>
      <c r="B671" s="256"/>
      <c r="C671" s="257"/>
      <c r="D671" s="256"/>
      <c r="E671" s="257"/>
      <c r="F671" s="256"/>
      <c r="G671" s="257"/>
      <c r="H671" s="256"/>
      <c r="I671" s="257"/>
      <c r="J671" s="256"/>
      <c r="K671" s="257"/>
      <c r="L671" s="256"/>
      <c r="M671" s="257"/>
      <c r="N671" s="256"/>
      <c r="O671" s="257"/>
      <c r="P671" s="256"/>
      <c r="Q671" s="257"/>
      <c r="R671" s="256"/>
      <c r="S671" s="257"/>
      <c r="T671" s="256"/>
      <c r="U671" s="257"/>
      <c r="V671" s="256"/>
      <c r="W671" s="257"/>
      <c r="X671" s="256"/>
    </row>
    <row r="672" spans="1:24" ht="12.75">
      <c r="A672" s="255"/>
      <c r="B672" s="256"/>
      <c r="C672" s="257"/>
      <c r="D672" s="256"/>
      <c r="E672" s="257"/>
      <c r="F672" s="256"/>
      <c r="G672" s="257"/>
      <c r="H672" s="256"/>
      <c r="I672" s="257"/>
      <c r="J672" s="256"/>
      <c r="K672" s="257"/>
      <c r="L672" s="256"/>
      <c r="M672" s="257"/>
      <c r="N672" s="256"/>
      <c r="O672" s="257"/>
      <c r="P672" s="256"/>
      <c r="Q672" s="257"/>
      <c r="R672" s="256"/>
      <c r="S672" s="257"/>
      <c r="T672" s="256"/>
      <c r="U672" s="257"/>
      <c r="V672" s="256"/>
      <c r="W672" s="257"/>
      <c r="X672" s="256"/>
    </row>
    <row r="673" spans="1:24" ht="12.75">
      <c r="A673" s="255"/>
      <c r="B673" s="256"/>
      <c r="C673" s="257"/>
      <c r="D673" s="256"/>
      <c r="E673" s="257"/>
      <c r="F673" s="256"/>
      <c r="G673" s="257"/>
      <c r="H673" s="256"/>
      <c r="I673" s="257"/>
      <c r="J673" s="256"/>
      <c r="K673" s="257"/>
      <c r="L673" s="256"/>
      <c r="M673" s="257"/>
      <c r="N673" s="256"/>
      <c r="O673" s="257"/>
      <c r="P673" s="256"/>
      <c r="Q673" s="257"/>
      <c r="R673" s="256"/>
      <c r="S673" s="257"/>
      <c r="T673" s="256"/>
      <c r="U673" s="257"/>
      <c r="V673" s="256"/>
      <c r="W673" s="257"/>
      <c r="X673" s="256"/>
    </row>
    <row r="674" spans="1:24" ht="12.75">
      <c r="A674" s="255"/>
      <c r="B674" s="256"/>
      <c r="C674" s="257"/>
      <c r="D674" s="256"/>
      <c r="E674" s="257"/>
      <c r="F674" s="256"/>
      <c r="G674" s="257"/>
      <c r="H674" s="256"/>
      <c r="I674" s="257"/>
      <c r="J674" s="256"/>
      <c r="K674" s="257"/>
      <c r="L674" s="256"/>
      <c r="M674" s="257"/>
      <c r="N674" s="256"/>
      <c r="O674" s="257"/>
      <c r="P674" s="256"/>
      <c r="Q674" s="257"/>
      <c r="R674" s="256"/>
      <c r="S674" s="257"/>
      <c r="T674" s="256"/>
      <c r="U674" s="257"/>
      <c r="V674" s="256"/>
      <c r="W674" s="257"/>
      <c r="X674" s="256"/>
    </row>
    <row r="675" spans="1:24" ht="12.75">
      <c r="A675" s="255"/>
      <c r="B675" s="256"/>
      <c r="C675" s="257"/>
      <c r="D675" s="256"/>
      <c r="E675" s="257"/>
      <c r="F675" s="256"/>
      <c r="G675" s="257"/>
      <c r="H675" s="256"/>
      <c r="I675" s="257"/>
      <c r="J675" s="256"/>
      <c r="K675" s="257"/>
      <c r="L675" s="256"/>
      <c r="M675" s="257"/>
      <c r="N675" s="256"/>
      <c r="O675" s="257"/>
      <c r="P675" s="256"/>
      <c r="Q675" s="257"/>
      <c r="R675" s="256"/>
      <c r="S675" s="257"/>
      <c r="T675" s="256"/>
      <c r="U675" s="257"/>
      <c r="V675" s="256"/>
      <c r="W675" s="257"/>
      <c r="X675" s="256"/>
    </row>
    <row r="676" spans="1:24" ht="12.75">
      <c r="A676" s="255"/>
      <c r="B676" s="256"/>
      <c r="C676" s="257"/>
      <c r="D676" s="256"/>
      <c r="E676" s="257"/>
      <c r="F676" s="256"/>
      <c r="G676" s="257"/>
      <c r="H676" s="256"/>
      <c r="I676" s="257"/>
      <c r="J676" s="256"/>
      <c r="K676" s="257"/>
      <c r="L676" s="256"/>
      <c r="M676" s="257"/>
      <c r="N676" s="256"/>
      <c r="O676" s="257"/>
      <c r="P676" s="256"/>
      <c r="Q676" s="257"/>
      <c r="R676" s="256"/>
      <c r="S676" s="257"/>
      <c r="T676" s="256"/>
      <c r="U676" s="257"/>
      <c r="V676" s="256"/>
      <c r="W676" s="257"/>
      <c r="X676" s="256"/>
    </row>
    <row r="677" spans="1:24" ht="12.75">
      <c r="A677" s="255"/>
      <c r="B677" s="256"/>
      <c r="C677" s="257"/>
      <c r="D677" s="256"/>
      <c r="E677" s="257"/>
      <c r="F677" s="256"/>
      <c r="G677" s="257"/>
      <c r="H677" s="256"/>
      <c r="I677" s="257"/>
      <c r="J677" s="256"/>
      <c r="K677" s="257"/>
      <c r="L677" s="256"/>
      <c r="M677" s="257"/>
      <c r="N677" s="256"/>
      <c r="O677" s="257"/>
      <c r="P677" s="256"/>
      <c r="Q677" s="257"/>
      <c r="R677" s="256"/>
      <c r="S677" s="257"/>
      <c r="T677" s="256"/>
      <c r="U677" s="257"/>
      <c r="V677" s="256"/>
      <c r="W677" s="257"/>
      <c r="X677" s="256"/>
    </row>
    <row r="678" spans="1:24" ht="12.75">
      <c r="A678" s="255"/>
      <c r="B678" s="256"/>
      <c r="C678" s="257"/>
      <c r="D678" s="256"/>
      <c r="E678" s="257"/>
      <c r="F678" s="256"/>
      <c r="G678" s="257"/>
      <c r="H678" s="256"/>
      <c r="I678" s="257"/>
      <c r="J678" s="256"/>
      <c r="K678" s="257"/>
      <c r="L678" s="256"/>
      <c r="M678" s="257"/>
      <c r="N678" s="256"/>
      <c r="O678" s="257"/>
      <c r="P678" s="256"/>
      <c r="Q678" s="257"/>
      <c r="R678" s="256"/>
      <c r="S678" s="257"/>
      <c r="T678" s="256"/>
      <c r="U678" s="257"/>
      <c r="V678" s="256"/>
      <c r="W678" s="257"/>
      <c r="X678" s="256"/>
    </row>
    <row r="679" spans="1:24" ht="12.75">
      <c r="A679" s="255"/>
      <c r="B679" s="256"/>
      <c r="C679" s="257"/>
      <c r="D679" s="256"/>
      <c r="E679" s="257"/>
      <c r="F679" s="256"/>
      <c r="G679" s="257"/>
      <c r="H679" s="256"/>
      <c r="I679" s="257"/>
      <c r="J679" s="256"/>
      <c r="K679" s="257"/>
      <c r="L679" s="256"/>
      <c r="M679" s="257"/>
      <c r="N679" s="256"/>
      <c r="O679" s="257"/>
      <c r="P679" s="256"/>
      <c r="Q679" s="257"/>
      <c r="R679" s="256"/>
      <c r="S679" s="257"/>
      <c r="T679" s="256"/>
      <c r="U679" s="257"/>
      <c r="V679" s="256"/>
      <c r="W679" s="257"/>
      <c r="X679" s="256"/>
    </row>
    <row r="680" spans="1:24" ht="12.75">
      <c r="A680" s="255"/>
      <c r="B680" s="256"/>
      <c r="C680" s="257"/>
      <c r="D680" s="256"/>
      <c r="E680" s="257"/>
      <c r="F680" s="256"/>
      <c r="G680" s="257"/>
      <c r="H680" s="256"/>
      <c r="I680" s="257"/>
      <c r="J680" s="256"/>
      <c r="K680" s="257"/>
      <c r="L680" s="256"/>
      <c r="M680" s="257"/>
      <c r="N680" s="256"/>
      <c r="O680" s="257"/>
      <c r="P680" s="256"/>
      <c r="Q680" s="257"/>
      <c r="R680" s="256"/>
      <c r="S680" s="257"/>
      <c r="T680" s="256"/>
      <c r="U680" s="257"/>
      <c r="V680" s="256"/>
      <c r="W680" s="257"/>
      <c r="X680" s="256"/>
    </row>
    <row r="681" spans="1:24" ht="12.75">
      <c r="A681" s="255"/>
      <c r="B681" s="256"/>
      <c r="C681" s="257"/>
      <c r="D681" s="256"/>
      <c r="E681" s="257"/>
      <c r="F681" s="256"/>
      <c r="G681" s="257"/>
      <c r="H681" s="256"/>
      <c r="I681" s="257"/>
      <c r="J681" s="256"/>
      <c r="K681" s="257"/>
      <c r="L681" s="256"/>
      <c r="M681" s="257"/>
      <c r="N681" s="256"/>
      <c r="O681" s="257"/>
      <c r="P681" s="256"/>
      <c r="Q681" s="257"/>
      <c r="R681" s="256"/>
      <c r="S681" s="257"/>
      <c r="T681" s="256"/>
      <c r="U681" s="257"/>
      <c r="V681" s="256"/>
      <c r="W681" s="257"/>
      <c r="X681" s="256"/>
    </row>
    <row r="682" spans="1:24" ht="12.75">
      <c r="A682" s="255"/>
      <c r="B682" s="256"/>
      <c r="C682" s="257"/>
      <c r="D682" s="256"/>
      <c r="E682" s="257"/>
      <c r="F682" s="256"/>
      <c r="G682" s="257"/>
      <c r="H682" s="256"/>
      <c r="I682" s="257"/>
      <c r="J682" s="256"/>
      <c r="K682" s="257"/>
      <c r="L682" s="256"/>
      <c r="M682" s="257"/>
      <c r="N682" s="256"/>
      <c r="O682" s="257"/>
      <c r="P682" s="256"/>
      <c r="Q682" s="257"/>
      <c r="R682" s="256"/>
      <c r="S682" s="257"/>
      <c r="T682" s="256"/>
      <c r="U682" s="257"/>
      <c r="V682" s="256"/>
      <c r="W682" s="257"/>
      <c r="X682" s="256"/>
    </row>
    <row r="683" spans="1:24" ht="12.75">
      <c r="A683" s="255"/>
      <c r="B683" s="256"/>
      <c r="C683" s="257"/>
      <c r="D683" s="256"/>
      <c r="E683" s="257"/>
      <c r="F683" s="256"/>
      <c r="G683" s="257"/>
      <c r="H683" s="256"/>
      <c r="I683" s="257"/>
      <c r="J683" s="256"/>
      <c r="K683" s="257"/>
      <c r="L683" s="256"/>
      <c r="M683" s="257"/>
      <c r="N683" s="256"/>
      <c r="O683" s="257"/>
      <c r="P683" s="256"/>
      <c r="Q683" s="257"/>
      <c r="R683" s="256"/>
      <c r="S683" s="257"/>
      <c r="T683" s="256"/>
      <c r="U683" s="257"/>
      <c r="V683" s="256"/>
      <c r="W683" s="257"/>
      <c r="X683" s="256"/>
    </row>
    <row r="684" spans="1:24" ht="12.75">
      <c r="A684" s="255"/>
      <c r="B684" s="256"/>
      <c r="C684" s="257"/>
      <c r="D684" s="256"/>
      <c r="E684" s="257"/>
      <c r="F684" s="256"/>
      <c r="G684" s="257"/>
      <c r="H684" s="256"/>
      <c r="I684" s="257"/>
      <c r="J684" s="256"/>
      <c r="K684" s="257"/>
      <c r="L684" s="256"/>
      <c r="M684" s="257"/>
      <c r="N684" s="256"/>
      <c r="O684" s="257"/>
      <c r="P684" s="256"/>
      <c r="Q684" s="257"/>
      <c r="R684" s="256"/>
      <c r="S684" s="257"/>
      <c r="T684" s="256"/>
      <c r="U684" s="257"/>
      <c r="V684" s="256"/>
      <c r="W684" s="257"/>
      <c r="X684" s="256"/>
    </row>
    <row r="685" spans="1:24" ht="12.75">
      <c r="A685" s="255"/>
      <c r="B685" s="256"/>
      <c r="C685" s="257"/>
      <c r="D685" s="256"/>
      <c r="E685" s="257"/>
      <c r="F685" s="256"/>
      <c r="G685" s="257"/>
      <c r="H685" s="256"/>
      <c r="I685" s="257"/>
      <c r="J685" s="256"/>
      <c r="K685" s="257"/>
      <c r="L685" s="256"/>
      <c r="M685" s="257"/>
      <c r="N685" s="256"/>
      <c r="O685" s="257"/>
      <c r="P685" s="256"/>
      <c r="Q685" s="257"/>
      <c r="R685" s="256"/>
      <c r="S685" s="257"/>
      <c r="T685" s="256"/>
      <c r="U685" s="257"/>
      <c r="V685" s="256"/>
      <c r="W685" s="257"/>
      <c r="X685" s="256"/>
    </row>
    <row r="686" spans="1:24" ht="12.75">
      <c r="A686" s="255"/>
      <c r="B686" s="256"/>
      <c r="C686" s="257"/>
      <c r="D686" s="256"/>
      <c r="E686" s="257"/>
      <c r="F686" s="256"/>
      <c r="G686" s="257"/>
      <c r="H686" s="256"/>
      <c r="I686" s="257"/>
      <c r="J686" s="256"/>
      <c r="K686" s="257"/>
      <c r="L686" s="256"/>
      <c r="M686" s="257"/>
      <c r="N686" s="256"/>
      <c r="O686" s="257"/>
      <c r="P686" s="256"/>
      <c r="Q686" s="257"/>
      <c r="R686" s="256"/>
      <c r="S686" s="257"/>
      <c r="T686" s="256"/>
      <c r="U686" s="257"/>
      <c r="V686" s="256"/>
      <c r="W686" s="257"/>
      <c r="X686" s="256"/>
    </row>
    <row r="687" spans="1:24" ht="12.75">
      <c r="A687" s="255"/>
      <c r="B687" s="256"/>
      <c r="C687" s="257"/>
      <c r="D687" s="256"/>
      <c r="E687" s="257"/>
      <c r="F687" s="256"/>
      <c r="G687" s="257"/>
      <c r="H687" s="256"/>
      <c r="I687" s="257"/>
      <c r="J687" s="256"/>
      <c r="K687" s="257"/>
      <c r="L687" s="256"/>
      <c r="M687" s="257"/>
      <c r="N687" s="256"/>
      <c r="O687" s="257"/>
      <c r="P687" s="256"/>
      <c r="Q687" s="257"/>
      <c r="R687" s="256"/>
      <c r="S687" s="257"/>
      <c r="T687" s="256"/>
      <c r="U687" s="257"/>
      <c r="V687" s="256"/>
      <c r="W687" s="257"/>
      <c r="X687" s="256"/>
    </row>
    <row r="688" spans="1:24" ht="12.75">
      <c r="A688" s="255"/>
      <c r="B688" s="256"/>
      <c r="C688" s="257"/>
      <c r="D688" s="256"/>
      <c r="E688" s="257"/>
      <c r="F688" s="256"/>
      <c r="G688" s="257"/>
      <c r="H688" s="256"/>
      <c r="I688" s="257"/>
      <c r="J688" s="256"/>
      <c r="K688" s="257"/>
      <c r="L688" s="256"/>
      <c r="M688" s="257"/>
      <c r="N688" s="256"/>
      <c r="O688" s="257"/>
      <c r="P688" s="256"/>
      <c r="Q688" s="257"/>
      <c r="R688" s="256"/>
      <c r="S688" s="257"/>
      <c r="T688" s="256"/>
      <c r="U688" s="257"/>
      <c r="V688" s="256"/>
      <c r="W688" s="257"/>
      <c r="X688" s="256"/>
    </row>
    <row r="689" spans="1:24" ht="12.75">
      <c r="A689" s="255"/>
      <c r="B689" s="256"/>
      <c r="C689" s="257"/>
      <c r="D689" s="256"/>
      <c r="E689" s="257"/>
      <c r="F689" s="256"/>
      <c r="G689" s="257"/>
      <c r="H689" s="256"/>
      <c r="I689" s="257"/>
      <c r="J689" s="256"/>
      <c r="K689" s="257"/>
      <c r="L689" s="256"/>
      <c r="M689" s="257"/>
      <c r="N689" s="256"/>
      <c r="O689" s="257"/>
      <c r="P689" s="256"/>
      <c r="Q689" s="257"/>
      <c r="R689" s="256"/>
      <c r="S689" s="257"/>
      <c r="T689" s="256"/>
      <c r="U689" s="257"/>
      <c r="V689" s="256"/>
      <c r="W689" s="257"/>
      <c r="X689" s="256"/>
    </row>
    <row r="690" spans="1:24" ht="12.75">
      <c r="A690" s="255"/>
      <c r="B690" s="256"/>
      <c r="C690" s="257"/>
      <c r="D690" s="256"/>
      <c r="E690" s="257"/>
      <c r="F690" s="256"/>
      <c r="G690" s="257"/>
      <c r="H690" s="256"/>
      <c r="I690" s="257"/>
      <c r="J690" s="256"/>
      <c r="K690" s="257"/>
      <c r="L690" s="256"/>
      <c r="M690" s="257"/>
      <c r="N690" s="256"/>
      <c r="O690" s="257"/>
      <c r="P690" s="256"/>
      <c r="Q690" s="257"/>
      <c r="R690" s="256"/>
      <c r="S690" s="257"/>
      <c r="T690" s="256"/>
      <c r="U690" s="257"/>
      <c r="V690" s="256"/>
      <c r="W690" s="257"/>
      <c r="X690" s="256"/>
    </row>
    <row r="691" spans="1:24" ht="12.75">
      <c r="A691" s="255"/>
      <c r="B691" s="256"/>
      <c r="C691" s="257"/>
      <c r="D691" s="256"/>
      <c r="E691" s="257"/>
      <c r="F691" s="256"/>
      <c r="G691" s="257"/>
      <c r="H691" s="256"/>
      <c r="I691" s="257"/>
      <c r="J691" s="256"/>
      <c r="K691" s="257"/>
      <c r="L691" s="256"/>
      <c r="M691" s="257"/>
      <c r="N691" s="256"/>
      <c r="O691" s="257"/>
      <c r="P691" s="256"/>
      <c r="Q691" s="257"/>
      <c r="R691" s="256"/>
      <c r="S691" s="257"/>
      <c r="T691" s="256"/>
      <c r="U691" s="257"/>
      <c r="V691" s="256"/>
      <c r="W691" s="257"/>
      <c r="X691" s="256"/>
    </row>
    <row r="692" spans="1:24" ht="12.75">
      <c r="A692" s="255"/>
      <c r="B692" s="256"/>
      <c r="C692" s="257"/>
      <c r="D692" s="256"/>
      <c r="E692" s="257"/>
      <c r="F692" s="256"/>
      <c r="G692" s="257"/>
      <c r="H692" s="256"/>
      <c r="I692" s="257"/>
      <c r="J692" s="256"/>
      <c r="K692" s="257"/>
      <c r="L692" s="256"/>
      <c r="M692" s="257"/>
      <c r="N692" s="256"/>
      <c r="O692" s="257"/>
      <c r="P692" s="256"/>
      <c r="Q692" s="257"/>
      <c r="R692" s="256"/>
      <c r="S692" s="257"/>
      <c r="T692" s="256"/>
      <c r="U692" s="257"/>
      <c r="V692" s="256"/>
      <c r="W692" s="257"/>
      <c r="X692" s="256"/>
    </row>
    <row r="693" spans="1:24" ht="12.75">
      <c r="A693" s="255"/>
      <c r="B693" s="256"/>
      <c r="C693" s="257"/>
      <c r="D693" s="256"/>
      <c r="E693" s="257"/>
      <c r="F693" s="256"/>
      <c r="G693" s="257"/>
      <c r="H693" s="256"/>
      <c r="I693" s="257"/>
      <c r="J693" s="256"/>
      <c r="K693" s="257"/>
      <c r="L693" s="256"/>
      <c r="M693" s="257"/>
      <c r="N693" s="256"/>
      <c r="O693" s="257"/>
      <c r="P693" s="256"/>
      <c r="Q693" s="257"/>
      <c r="R693" s="256"/>
      <c r="S693" s="257"/>
      <c r="T693" s="256"/>
      <c r="U693" s="257"/>
      <c r="V693" s="256"/>
      <c r="W693" s="257"/>
      <c r="X693" s="256"/>
    </row>
    <row r="694" spans="1:24" ht="12.75">
      <c r="A694" s="255"/>
      <c r="B694" s="256"/>
      <c r="C694" s="257"/>
      <c r="D694" s="256"/>
      <c r="E694" s="257"/>
      <c r="F694" s="256"/>
      <c r="G694" s="257"/>
      <c r="H694" s="256"/>
      <c r="I694" s="257"/>
      <c r="J694" s="256"/>
      <c r="K694" s="257"/>
      <c r="L694" s="256"/>
      <c r="M694" s="257"/>
      <c r="N694" s="256"/>
      <c r="O694" s="257"/>
      <c r="P694" s="256"/>
      <c r="Q694" s="257"/>
      <c r="R694" s="256"/>
      <c r="S694" s="257"/>
      <c r="T694" s="256"/>
      <c r="U694" s="257"/>
      <c r="V694" s="256"/>
      <c r="W694" s="257"/>
      <c r="X694" s="256"/>
    </row>
    <row r="695" spans="1:24" ht="12.75">
      <c r="A695" s="255"/>
      <c r="B695" s="256"/>
      <c r="C695" s="257"/>
      <c r="D695" s="256"/>
      <c r="E695" s="257"/>
      <c r="F695" s="256"/>
      <c r="G695" s="257"/>
      <c r="H695" s="256"/>
      <c r="I695" s="257"/>
      <c r="J695" s="256"/>
      <c r="K695" s="257"/>
      <c r="L695" s="256"/>
      <c r="M695" s="257"/>
      <c r="N695" s="256"/>
      <c r="O695" s="257"/>
      <c r="P695" s="256"/>
      <c r="Q695" s="257"/>
      <c r="R695" s="256"/>
      <c r="S695" s="257"/>
      <c r="T695" s="256"/>
      <c r="U695" s="257"/>
      <c r="V695" s="256"/>
      <c r="W695" s="257"/>
      <c r="X695" s="256"/>
    </row>
    <row r="696" spans="1:24" ht="12.75">
      <c r="A696" s="255"/>
      <c r="B696" s="256"/>
      <c r="C696" s="257"/>
      <c r="D696" s="256"/>
      <c r="E696" s="257"/>
      <c r="F696" s="256"/>
      <c r="G696" s="257"/>
      <c r="H696" s="256"/>
      <c r="I696" s="257"/>
      <c r="J696" s="256"/>
      <c r="K696" s="257"/>
      <c r="L696" s="256"/>
      <c r="M696" s="257"/>
      <c r="N696" s="256"/>
      <c r="O696" s="257"/>
      <c r="P696" s="256"/>
      <c r="Q696" s="257"/>
      <c r="R696" s="256"/>
      <c r="S696" s="257"/>
      <c r="T696" s="256"/>
      <c r="U696" s="257"/>
      <c r="V696" s="256"/>
      <c r="W696" s="257"/>
      <c r="X696" s="256"/>
    </row>
    <row r="697" spans="1:24" ht="12.75">
      <c r="A697" s="255"/>
      <c r="B697" s="256"/>
      <c r="C697" s="257"/>
      <c r="D697" s="256"/>
      <c r="E697" s="257"/>
      <c r="F697" s="256"/>
      <c r="G697" s="257"/>
      <c r="H697" s="256"/>
      <c r="I697" s="257"/>
      <c r="J697" s="256"/>
      <c r="K697" s="257"/>
      <c r="L697" s="256"/>
      <c r="M697" s="257"/>
      <c r="N697" s="256"/>
      <c r="O697" s="257"/>
      <c r="P697" s="256"/>
      <c r="Q697" s="257"/>
      <c r="R697" s="256"/>
      <c r="S697" s="257"/>
      <c r="T697" s="256"/>
      <c r="U697" s="257"/>
      <c r="V697" s="256"/>
      <c r="W697" s="257"/>
      <c r="X697" s="256"/>
    </row>
    <row r="698" spans="1:24" ht="12.75">
      <c r="A698" s="255"/>
      <c r="B698" s="256"/>
      <c r="C698" s="257"/>
      <c r="D698" s="256"/>
      <c r="E698" s="257"/>
      <c r="F698" s="256"/>
      <c r="G698" s="257"/>
      <c r="H698" s="256"/>
      <c r="I698" s="257"/>
      <c r="J698" s="256"/>
      <c r="K698" s="257"/>
      <c r="L698" s="256"/>
      <c r="M698" s="257"/>
      <c r="N698" s="256"/>
      <c r="O698" s="257"/>
      <c r="P698" s="256"/>
      <c r="Q698" s="257"/>
      <c r="R698" s="256"/>
      <c r="S698" s="257"/>
      <c r="T698" s="256"/>
      <c r="U698" s="257"/>
      <c r="V698" s="256"/>
      <c r="W698" s="257"/>
      <c r="X698" s="256"/>
    </row>
    <row r="699" spans="1:24" ht="12.75">
      <c r="A699" s="255"/>
      <c r="B699" s="256"/>
      <c r="C699" s="257"/>
      <c r="D699" s="256"/>
      <c r="E699" s="257"/>
      <c r="F699" s="256"/>
      <c r="G699" s="257"/>
      <c r="H699" s="256"/>
      <c r="I699" s="257"/>
      <c r="J699" s="256"/>
      <c r="K699" s="257"/>
      <c r="L699" s="256"/>
      <c r="M699" s="257"/>
      <c r="N699" s="256"/>
      <c r="O699" s="257"/>
      <c r="P699" s="256"/>
      <c r="Q699" s="257"/>
      <c r="R699" s="256"/>
      <c r="S699" s="257"/>
      <c r="T699" s="256"/>
      <c r="U699" s="257"/>
      <c r="V699" s="256"/>
      <c r="W699" s="257"/>
      <c r="X699" s="256"/>
    </row>
    <row r="700" spans="1:24" ht="12.75">
      <c r="A700" s="255"/>
      <c r="B700" s="256"/>
      <c r="C700" s="257"/>
      <c r="D700" s="256"/>
      <c r="E700" s="257"/>
      <c r="F700" s="256"/>
      <c r="G700" s="257"/>
      <c r="H700" s="256"/>
      <c r="I700" s="257"/>
      <c r="J700" s="256"/>
      <c r="K700" s="257"/>
      <c r="L700" s="256"/>
      <c r="M700" s="257"/>
      <c r="N700" s="256"/>
      <c r="O700" s="257"/>
      <c r="P700" s="256"/>
      <c r="Q700" s="257"/>
      <c r="R700" s="256"/>
      <c r="S700" s="257"/>
      <c r="T700" s="256"/>
      <c r="U700" s="257"/>
      <c r="V700" s="256"/>
      <c r="W700" s="257"/>
      <c r="X700" s="256"/>
    </row>
    <row r="701" spans="1:24" ht="12.75">
      <c r="A701" s="255"/>
      <c r="B701" s="256"/>
      <c r="C701" s="257"/>
      <c r="D701" s="256"/>
      <c r="E701" s="257"/>
      <c r="F701" s="256"/>
      <c r="G701" s="257"/>
      <c r="H701" s="256"/>
      <c r="I701" s="257"/>
      <c r="J701" s="256"/>
      <c r="K701" s="257"/>
      <c r="L701" s="256"/>
      <c r="M701" s="257"/>
      <c r="N701" s="256"/>
      <c r="O701" s="257"/>
      <c r="P701" s="256"/>
      <c r="Q701" s="257"/>
      <c r="R701" s="256"/>
      <c r="S701" s="257"/>
      <c r="T701" s="256"/>
      <c r="U701" s="257"/>
      <c r="V701" s="256"/>
      <c r="W701" s="257"/>
      <c r="X701" s="256"/>
    </row>
    <row r="702" spans="1:24" ht="12.75">
      <c r="A702" s="255"/>
      <c r="B702" s="256"/>
      <c r="C702" s="257"/>
      <c r="D702" s="256"/>
      <c r="E702" s="257"/>
      <c r="F702" s="256"/>
      <c r="G702" s="257"/>
      <c r="H702" s="256"/>
      <c r="I702" s="257"/>
      <c r="J702" s="256"/>
      <c r="K702" s="257"/>
      <c r="L702" s="256"/>
      <c r="M702" s="257"/>
      <c r="N702" s="256"/>
      <c r="O702" s="257"/>
      <c r="P702" s="256"/>
      <c r="Q702" s="257"/>
      <c r="R702" s="256"/>
      <c r="S702" s="257"/>
      <c r="T702" s="256"/>
      <c r="U702" s="257"/>
      <c r="V702" s="256"/>
      <c r="W702" s="257"/>
      <c r="X702" s="256"/>
    </row>
    <row r="703" spans="1:24" ht="12.75">
      <c r="A703" s="255"/>
      <c r="B703" s="256"/>
      <c r="C703" s="257"/>
      <c r="D703" s="256"/>
      <c r="E703" s="257"/>
      <c r="F703" s="256"/>
      <c r="G703" s="257"/>
      <c r="H703" s="256"/>
      <c r="I703" s="257"/>
      <c r="J703" s="256"/>
      <c r="K703" s="257"/>
      <c r="L703" s="256"/>
      <c r="M703" s="257"/>
      <c r="N703" s="256"/>
      <c r="O703" s="257"/>
      <c r="P703" s="256"/>
      <c r="Q703" s="257"/>
      <c r="R703" s="256"/>
      <c r="S703" s="257"/>
      <c r="T703" s="256"/>
      <c r="U703" s="257"/>
      <c r="V703" s="256"/>
      <c r="W703" s="257"/>
      <c r="X703" s="256"/>
    </row>
    <row r="704" spans="1:24" ht="12.75">
      <c r="A704" s="255"/>
      <c r="B704" s="256"/>
      <c r="C704" s="257"/>
      <c r="D704" s="256"/>
      <c r="E704" s="257"/>
      <c r="F704" s="256"/>
      <c r="G704" s="257"/>
      <c r="H704" s="256"/>
      <c r="I704" s="257"/>
      <c r="J704" s="256"/>
      <c r="K704" s="257"/>
      <c r="L704" s="256"/>
      <c r="M704" s="257"/>
      <c r="N704" s="256"/>
      <c r="O704" s="257"/>
      <c r="P704" s="256"/>
      <c r="Q704" s="257"/>
      <c r="R704" s="256"/>
      <c r="S704" s="257"/>
      <c r="T704" s="256"/>
      <c r="U704" s="257"/>
      <c r="V704" s="256"/>
      <c r="W704" s="257"/>
      <c r="X704" s="256"/>
    </row>
    <row r="705" spans="1:24" ht="12.75">
      <c r="A705" s="255"/>
      <c r="B705" s="256"/>
      <c r="C705" s="257"/>
      <c r="D705" s="256"/>
      <c r="E705" s="257"/>
      <c r="F705" s="256"/>
      <c r="G705" s="257"/>
      <c r="H705" s="256"/>
      <c r="I705" s="257"/>
      <c r="J705" s="256"/>
      <c r="K705" s="257"/>
      <c r="L705" s="256"/>
      <c r="M705" s="257"/>
      <c r="N705" s="256"/>
      <c r="O705" s="257"/>
      <c r="P705" s="256"/>
      <c r="Q705" s="257"/>
      <c r="R705" s="256"/>
      <c r="S705" s="257"/>
      <c r="T705" s="256"/>
      <c r="U705" s="257"/>
      <c r="V705" s="256"/>
      <c r="W705" s="257"/>
      <c r="X705" s="256"/>
    </row>
    <row r="706" spans="1:24" ht="12.75">
      <c r="A706" s="255"/>
      <c r="B706" s="256"/>
      <c r="C706" s="257"/>
      <c r="D706" s="256"/>
      <c r="E706" s="257"/>
      <c r="F706" s="256"/>
      <c r="G706" s="257"/>
      <c r="H706" s="256"/>
      <c r="I706" s="257"/>
      <c r="J706" s="256"/>
      <c r="K706" s="257"/>
      <c r="L706" s="256"/>
      <c r="M706" s="257"/>
      <c r="N706" s="256"/>
      <c r="O706" s="257"/>
      <c r="P706" s="256"/>
      <c r="Q706" s="257"/>
      <c r="R706" s="256"/>
      <c r="S706" s="257"/>
      <c r="T706" s="256"/>
      <c r="U706" s="257"/>
      <c r="V706" s="256"/>
      <c r="W706" s="257"/>
      <c r="X706" s="256"/>
    </row>
    <row r="707" spans="1:24" ht="12.75">
      <c r="A707" s="255"/>
      <c r="B707" s="256"/>
      <c r="C707" s="257"/>
      <c r="D707" s="256"/>
      <c r="E707" s="257"/>
      <c r="F707" s="256"/>
      <c r="G707" s="257"/>
      <c r="H707" s="256"/>
      <c r="I707" s="257"/>
      <c r="J707" s="256"/>
      <c r="K707" s="257"/>
      <c r="L707" s="256"/>
      <c r="M707" s="257"/>
      <c r="N707" s="256"/>
      <c r="O707" s="257"/>
      <c r="P707" s="256"/>
      <c r="Q707" s="257"/>
      <c r="R707" s="256"/>
      <c r="S707" s="257"/>
      <c r="T707" s="256"/>
      <c r="U707" s="257"/>
      <c r="V707" s="256"/>
      <c r="W707" s="257"/>
      <c r="X707" s="256"/>
    </row>
    <row r="708" spans="1:24" ht="12.75">
      <c r="A708" s="255"/>
      <c r="B708" s="256"/>
      <c r="C708" s="257"/>
      <c r="D708" s="256"/>
      <c r="E708" s="257"/>
      <c r="F708" s="256"/>
      <c r="G708" s="257"/>
      <c r="H708" s="256"/>
      <c r="I708" s="257"/>
      <c r="J708" s="256"/>
      <c r="K708" s="257"/>
      <c r="L708" s="256"/>
      <c r="M708" s="257"/>
      <c r="N708" s="256"/>
      <c r="O708" s="257"/>
      <c r="P708" s="256"/>
      <c r="Q708" s="257"/>
      <c r="R708" s="256"/>
      <c r="S708" s="257"/>
      <c r="T708" s="256"/>
      <c r="U708" s="257"/>
      <c r="V708" s="256"/>
      <c r="W708" s="257"/>
      <c r="X708" s="256"/>
    </row>
    <row r="709" spans="1:24" ht="12.75">
      <c r="A709" s="255"/>
      <c r="B709" s="256"/>
      <c r="C709" s="257"/>
      <c r="D709" s="256"/>
      <c r="E709" s="257"/>
      <c r="F709" s="256"/>
      <c r="G709" s="257"/>
      <c r="H709" s="256"/>
      <c r="I709" s="257"/>
      <c r="J709" s="256"/>
      <c r="K709" s="257"/>
      <c r="L709" s="256"/>
      <c r="M709" s="257"/>
      <c r="N709" s="256"/>
      <c r="O709" s="257"/>
      <c r="P709" s="256"/>
      <c r="Q709" s="257"/>
      <c r="R709" s="256"/>
      <c r="S709" s="257"/>
      <c r="T709" s="256"/>
      <c r="U709" s="257"/>
      <c r="V709" s="256"/>
      <c r="W709" s="257"/>
      <c r="X709" s="256"/>
    </row>
    <row r="710" spans="1:24" ht="12.75">
      <c r="A710" s="255"/>
      <c r="B710" s="256"/>
      <c r="C710" s="257"/>
      <c r="D710" s="256"/>
      <c r="E710" s="257"/>
      <c r="F710" s="256"/>
      <c r="G710" s="257"/>
      <c r="H710" s="256"/>
      <c r="I710" s="257"/>
      <c r="J710" s="256"/>
      <c r="K710" s="257"/>
      <c r="L710" s="256"/>
      <c r="M710" s="257"/>
      <c r="N710" s="256"/>
      <c r="O710" s="257"/>
      <c r="P710" s="256"/>
      <c r="Q710" s="257"/>
      <c r="R710" s="256"/>
      <c r="S710" s="257"/>
      <c r="T710" s="256"/>
      <c r="U710" s="257"/>
      <c r="V710" s="256"/>
      <c r="W710" s="257"/>
      <c r="X710" s="256"/>
    </row>
    <row r="711" spans="1:24" ht="12.75">
      <c r="A711" s="255"/>
      <c r="B711" s="256"/>
      <c r="C711" s="257"/>
      <c r="D711" s="256"/>
      <c r="E711" s="257"/>
      <c r="F711" s="256"/>
      <c r="G711" s="257"/>
      <c r="H711" s="256"/>
      <c r="I711" s="257"/>
      <c r="J711" s="256"/>
      <c r="K711" s="257"/>
      <c r="L711" s="256"/>
      <c r="M711" s="257"/>
      <c r="N711" s="256"/>
      <c r="O711" s="257"/>
      <c r="P711" s="256"/>
      <c r="Q711" s="257"/>
      <c r="R711" s="256"/>
      <c r="S711" s="257"/>
      <c r="T711" s="256"/>
      <c r="U711" s="257"/>
      <c r="V711" s="256"/>
      <c r="W711" s="257"/>
      <c r="X711" s="256"/>
    </row>
    <row r="712" spans="1:24" ht="12.75">
      <c r="A712" s="255"/>
      <c r="B712" s="256"/>
      <c r="C712" s="257"/>
      <c r="D712" s="256"/>
      <c r="E712" s="257"/>
      <c r="F712" s="256"/>
      <c r="G712" s="257"/>
      <c r="H712" s="256"/>
      <c r="I712" s="257"/>
      <c r="J712" s="256"/>
      <c r="K712" s="257"/>
      <c r="L712" s="256"/>
      <c r="M712" s="257"/>
      <c r="N712" s="256"/>
      <c r="O712" s="257"/>
      <c r="P712" s="256"/>
      <c r="Q712" s="257"/>
      <c r="R712" s="256"/>
      <c r="S712" s="257"/>
      <c r="T712" s="256"/>
      <c r="U712" s="257"/>
      <c r="V712" s="256"/>
      <c r="W712" s="257"/>
      <c r="X712" s="256"/>
    </row>
    <row r="713" spans="1:24" ht="12.75">
      <c r="A713" s="255"/>
      <c r="B713" s="256"/>
      <c r="C713" s="257"/>
      <c r="D713" s="256"/>
      <c r="E713" s="257"/>
      <c r="F713" s="256"/>
      <c r="G713" s="257"/>
      <c r="H713" s="256"/>
      <c r="I713" s="257"/>
      <c r="J713" s="256"/>
      <c r="K713" s="257"/>
      <c r="L713" s="256"/>
      <c r="M713" s="257"/>
      <c r="N713" s="256"/>
      <c r="O713" s="257"/>
      <c r="P713" s="256"/>
      <c r="Q713" s="257"/>
      <c r="R713" s="256"/>
      <c r="S713" s="257"/>
      <c r="T713" s="256"/>
      <c r="U713" s="257"/>
      <c r="V713" s="256"/>
      <c r="W713" s="257"/>
      <c r="X713" s="256"/>
    </row>
    <row r="714" spans="1:24" ht="12.75">
      <c r="A714" s="255"/>
      <c r="B714" s="256"/>
      <c r="C714" s="257"/>
      <c r="D714" s="256"/>
      <c r="E714" s="257"/>
      <c r="F714" s="256"/>
      <c r="G714" s="257"/>
      <c r="H714" s="256"/>
      <c r="I714" s="257"/>
      <c r="J714" s="256"/>
      <c r="K714" s="257"/>
      <c r="L714" s="256"/>
      <c r="M714" s="257"/>
      <c r="N714" s="256"/>
      <c r="O714" s="257"/>
      <c r="P714" s="256"/>
      <c r="Q714" s="257"/>
      <c r="R714" s="256"/>
      <c r="S714" s="257"/>
      <c r="T714" s="256"/>
      <c r="U714" s="257"/>
      <c r="V714" s="256"/>
      <c r="W714" s="257"/>
      <c r="X714" s="256"/>
    </row>
    <row r="715" spans="1:24" ht="12.75">
      <c r="A715" s="255"/>
      <c r="B715" s="256"/>
      <c r="C715" s="257"/>
      <c r="D715" s="256"/>
      <c r="E715" s="257"/>
      <c r="F715" s="256"/>
      <c r="G715" s="257"/>
      <c r="H715" s="256"/>
      <c r="I715" s="257"/>
      <c r="J715" s="256"/>
      <c r="K715" s="257"/>
      <c r="L715" s="256"/>
      <c r="M715" s="257"/>
      <c r="N715" s="256"/>
      <c r="O715" s="257"/>
      <c r="P715" s="256"/>
      <c r="Q715" s="257"/>
      <c r="R715" s="256"/>
      <c r="S715" s="257"/>
      <c r="T715" s="256"/>
      <c r="U715" s="257"/>
      <c r="V715" s="256"/>
      <c r="W715" s="257"/>
      <c r="X715" s="256"/>
    </row>
    <row r="716" spans="1:24" ht="12.75">
      <c r="A716" s="255"/>
      <c r="B716" s="256"/>
      <c r="C716" s="257"/>
      <c r="D716" s="256"/>
      <c r="E716" s="257"/>
      <c r="F716" s="256"/>
      <c r="G716" s="257"/>
      <c r="H716" s="256"/>
      <c r="I716" s="257"/>
      <c r="J716" s="256"/>
      <c r="K716" s="257"/>
      <c r="L716" s="256"/>
      <c r="M716" s="257"/>
      <c r="N716" s="256"/>
      <c r="O716" s="257"/>
      <c r="P716" s="256"/>
      <c r="Q716" s="257"/>
      <c r="R716" s="256"/>
      <c r="S716" s="257"/>
      <c r="T716" s="256"/>
      <c r="U716" s="257"/>
      <c r="V716" s="256"/>
      <c r="W716" s="257"/>
      <c r="X716" s="256"/>
    </row>
    <row r="717" spans="1:24" ht="12.75">
      <c r="A717" s="255"/>
      <c r="B717" s="256"/>
      <c r="C717" s="257"/>
      <c r="D717" s="256"/>
      <c r="E717" s="257"/>
      <c r="F717" s="256"/>
      <c r="G717" s="257"/>
      <c r="H717" s="256"/>
      <c r="I717" s="257"/>
      <c r="J717" s="256"/>
      <c r="K717" s="257"/>
      <c r="L717" s="256"/>
      <c r="M717" s="257"/>
      <c r="N717" s="256"/>
      <c r="O717" s="257"/>
      <c r="P717" s="256"/>
      <c r="Q717" s="257"/>
      <c r="R717" s="256"/>
      <c r="S717" s="257"/>
      <c r="T717" s="256"/>
      <c r="U717" s="257"/>
      <c r="V717" s="256"/>
      <c r="W717" s="257"/>
      <c r="X717" s="256"/>
    </row>
    <row r="718" spans="1:24" ht="12.75">
      <c r="A718" s="255"/>
      <c r="B718" s="256"/>
      <c r="C718" s="257"/>
      <c r="D718" s="256"/>
      <c r="E718" s="257"/>
      <c r="F718" s="256"/>
      <c r="G718" s="257"/>
      <c r="H718" s="256"/>
      <c r="I718" s="257"/>
      <c r="J718" s="256"/>
      <c r="K718" s="257"/>
      <c r="L718" s="256"/>
      <c r="M718" s="257"/>
      <c r="N718" s="256"/>
      <c r="O718" s="257"/>
      <c r="P718" s="256"/>
      <c r="Q718" s="257"/>
      <c r="R718" s="256"/>
      <c r="S718" s="257"/>
      <c r="T718" s="256"/>
      <c r="U718" s="257"/>
      <c r="V718" s="256"/>
      <c r="W718" s="257"/>
      <c r="X718" s="256"/>
    </row>
    <row r="719" spans="1:24" ht="12.75">
      <c r="A719" s="255"/>
      <c r="B719" s="256"/>
      <c r="C719" s="257"/>
      <c r="D719" s="256"/>
      <c r="E719" s="257"/>
      <c r="F719" s="256"/>
      <c r="G719" s="257"/>
      <c r="H719" s="256"/>
      <c r="I719" s="257"/>
      <c r="J719" s="256"/>
      <c r="K719" s="257"/>
      <c r="L719" s="256"/>
      <c r="M719" s="257"/>
      <c r="N719" s="256"/>
      <c r="O719" s="257"/>
      <c r="P719" s="256"/>
      <c r="Q719" s="257"/>
      <c r="R719" s="256"/>
      <c r="S719" s="257"/>
      <c r="T719" s="256"/>
      <c r="U719" s="257"/>
      <c r="V719" s="256"/>
      <c r="W719" s="257"/>
      <c r="X719" s="256"/>
    </row>
    <row r="720" spans="1:24" ht="12.75">
      <c r="A720" s="255"/>
      <c r="B720" s="256"/>
      <c r="C720" s="257"/>
      <c r="D720" s="256"/>
      <c r="E720" s="257"/>
      <c r="F720" s="256"/>
      <c r="G720" s="257"/>
      <c r="H720" s="256"/>
      <c r="I720" s="257"/>
      <c r="J720" s="256"/>
      <c r="K720" s="257"/>
      <c r="L720" s="256"/>
      <c r="M720" s="257"/>
      <c r="N720" s="256"/>
      <c r="O720" s="257"/>
      <c r="P720" s="256"/>
      <c r="Q720" s="257"/>
      <c r="R720" s="256"/>
      <c r="S720" s="257"/>
      <c r="T720" s="256"/>
      <c r="U720" s="257"/>
      <c r="V720" s="256"/>
      <c r="W720" s="257"/>
      <c r="X720" s="256"/>
    </row>
    <row r="721" spans="1:24" ht="12.75">
      <c r="A721" s="255"/>
      <c r="B721" s="256"/>
      <c r="C721" s="257"/>
      <c r="D721" s="256"/>
      <c r="E721" s="257"/>
      <c r="F721" s="256"/>
      <c r="G721" s="257"/>
      <c r="H721" s="256"/>
      <c r="I721" s="257"/>
      <c r="J721" s="256"/>
      <c r="K721" s="257"/>
      <c r="L721" s="256"/>
      <c r="M721" s="257"/>
      <c r="N721" s="256"/>
      <c r="O721" s="257"/>
      <c r="P721" s="256"/>
      <c r="Q721" s="257"/>
      <c r="R721" s="256"/>
      <c r="S721" s="257"/>
      <c r="T721" s="256"/>
      <c r="U721" s="257"/>
      <c r="V721" s="256"/>
      <c r="W721" s="257"/>
      <c r="X721" s="256"/>
    </row>
    <row r="722" spans="1:24" ht="12.75">
      <c r="A722" s="255"/>
      <c r="B722" s="256"/>
      <c r="C722" s="257"/>
      <c r="D722" s="256"/>
      <c r="E722" s="257"/>
      <c r="F722" s="256"/>
      <c r="G722" s="257"/>
      <c r="H722" s="256"/>
      <c r="I722" s="257"/>
      <c r="J722" s="256"/>
      <c r="K722" s="257"/>
      <c r="L722" s="256"/>
      <c r="M722" s="257"/>
      <c r="N722" s="256"/>
      <c r="O722" s="257"/>
      <c r="P722" s="256"/>
      <c r="Q722" s="257"/>
      <c r="R722" s="256"/>
      <c r="S722" s="257"/>
      <c r="T722" s="256"/>
      <c r="U722" s="257"/>
      <c r="V722" s="256"/>
      <c r="W722" s="257"/>
      <c r="X722" s="256"/>
    </row>
    <row r="723" spans="1:24" ht="12.75">
      <c r="A723" s="255"/>
      <c r="B723" s="256"/>
      <c r="C723" s="257"/>
      <c r="D723" s="256"/>
      <c r="E723" s="257"/>
      <c r="F723" s="256"/>
      <c r="G723" s="257"/>
      <c r="H723" s="256"/>
      <c r="I723" s="257"/>
      <c r="J723" s="256"/>
      <c r="K723" s="257"/>
      <c r="L723" s="256"/>
      <c r="M723" s="257"/>
      <c r="N723" s="256"/>
      <c r="O723" s="257"/>
      <c r="P723" s="256"/>
      <c r="Q723" s="257"/>
      <c r="R723" s="256"/>
      <c r="S723" s="257"/>
      <c r="T723" s="256"/>
      <c r="U723" s="257"/>
      <c r="V723" s="256"/>
      <c r="W723" s="257"/>
      <c r="X723" s="256"/>
    </row>
    <row r="724" spans="1:24" ht="12.75">
      <c r="A724" s="255"/>
      <c r="B724" s="256"/>
      <c r="C724" s="257"/>
      <c r="D724" s="256"/>
      <c r="E724" s="257"/>
      <c r="F724" s="256"/>
      <c r="G724" s="257"/>
      <c r="H724" s="256"/>
      <c r="I724" s="257"/>
      <c r="J724" s="256"/>
      <c r="K724" s="257"/>
      <c r="L724" s="256"/>
      <c r="M724" s="257"/>
      <c r="N724" s="256"/>
      <c r="O724" s="257"/>
      <c r="P724" s="256"/>
      <c r="Q724" s="257"/>
      <c r="R724" s="256"/>
      <c r="S724" s="257"/>
      <c r="T724" s="256"/>
      <c r="U724" s="257"/>
      <c r="V724" s="256"/>
      <c r="W724" s="257"/>
      <c r="X724" s="256"/>
    </row>
    <row r="725" spans="1:24" ht="12.75">
      <c r="A725" s="255"/>
      <c r="B725" s="256"/>
      <c r="C725" s="257"/>
      <c r="D725" s="256"/>
      <c r="E725" s="257"/>
      <c r="F725" s="256"/>
      <c r="G725" s="257"/>
      <c r="H725" s="256"/>
      <c r="I725" s="257"/>
      <c r="J725" s="256"/>
      <c r="K725" s="257"/>
      <c r="L725" s="256"/>
      <c r="M725" s="257"/>
      <c r="N725" s="256"/>
      <c r="O725" s="257"/>
      <c r="P725" s="256"/>
      <c r="Q725" s="257"/>
      <c r="R725" s="256"/>
      <c r="S725" s="257"/>
      <c r="T725" s="256"/>
      <c r="U725" s="257"/>
      <c r="V725" s="256"/>
      <c r="W725" s="257"/>
      <c r="X725" s="256"/>
    </row>
    <row r="726" spans="1:24" ht="12.75">
      <c r="A726" s="255"/>
      <c r="B726" s="256"/>
      <c r="C726" s="257"/>
      <c r="D726" s="256"/>
      <c r="E726" s="257"/>
      <c r="F726" s="256"/>
      <c r="G726" s="257"/>
      <c r="H726" s="256"/>
      <c r="I726" s="257"/>
      <c r="J726" s="256"/>
      <c r="K726" s="257"/>
      <c r="L726" s="256"/>
      <c r="M726" s="257"/>
      <c r="N726" s="256"/>
      <c r="O726" s="257"/>
      <c r="P726" s="256"/>
      <c r="Q726" s="257"/>
      <c r="R726" s="256"/>
      <c r="S726" s="257"/>
      <c r="T726" s="256"/>
      <c r="U726" s="257"/>
      <c r="V726" s="256"/>
      <c r="W726" s="257"/>
      <c r="X726" s="256"/>
    </row>
    <row r="727" spans="1:24" ht="12.75">
      <c r="A727" s="255"/>
      <c r="B727" s="256"/>
      <c r="C727" s="257"/>
      <c r="D727" s="256"/>
      <c r="E727" s="257"/>
      <c r="F727" s="256"/>
      <c r="G727" s="257"/>
      <c r="H727" s="256"/>
      <c r="I727" s="257"/>
      <c r="J727" s="256"/>
      <c r="K727" s="257"/>
      <c r="L727" s="256"/>
      <c r="M727" s="257"/>
      <c r="N727" s="256"/>
      <c r="O727" s="257"/>
      <c r="P727" s="256"/>
      <c r="Q727" s="257"/>
      <c r="R727" s="256"/>
      <c r="S727" s="257"/>
      <c r="T727" s="256"/>
      <c r="U727" s="257"/>
      <c r="V727" s="256"/>
      <c r="W727" s="257"/>
      <c r="X727" s="256"/>
    </row>
    <row r="728" spans="1:24" ht="12.75">
      <c r="A728" s="255"/>
      <c r="B728" s="256"/>
      <c r="C728" s="257"/>
      <c r="D728" s="256"/>
      <c r="E728" s="257"/>
      <c r="F728" s="256"/>
      <c r="G728" s="257"/>
      <c r="H728" s="256"/>
      <c r="I728" s="257"/>
      <c r="J728" s="256"/>
      <c r="K728" s="257"/>
      <c r="L728" s="256"/>
      <c r="M728" s="257"/>
      <c r="N728" s="256"/>
      <c r="O728" s="257"/>
      <c r="P728" s="256"/>
      <c r="Q728" s="257"/>
      <c r="R728" s="256"/>
      <c r="S728" s="257"/>
      <c r="T728" s="256"/>
      <c r="U728" s="257"/>
      <c r="V728" s="256"/>
      <c r="W728" s="257"/>
      <c r="X728" s="256"/>
    </row>
    <row r="729" spans="1:24" ht="12.75">
      <c r="A729" s="255"/>
      <c r="B729" s="256"/>
      <c r="C729" s="257"/>
      <c r="D729" s="256"/>
      <c r="E729" s="257"/>
      <c r="F729" s="256"/>
      <c r="G729" s="257"/>
      <c r="H729" s="256"/>
      <c r="I729" s="257"/>
      <c r="J729" s="256"/>
      <c r="K729" s="257"/>
      <c r="L729" s="256"/>
      <c r="M729" s="257"/>
      <c r="N729" s="256"/>
      <c r="O729" s="257"/>
      <c r="P729" s="256"/>
      <c r="Q729" s="257"/>
      <c r="R729" s="256"/>
      <c r="S729" s="257"/>
      <c r="T729" s="256"/>
      <c r="U729" s="257"/>
      <c r="V729" s="256"/>
      <c r="W729" s="257"/>
      <c r="X729" s="256"/>
    </row>
    <row r="730" spans="1:24" ht="12.75">
      <c r="A730" s="255"/>
      <c r="B730" s="256"/>
      <c r="C730" s="257"/>
      <c r="D730" s="256"/>
      <c r="E730" s="257"/>
      <c r="F730" s="256"/>
      <c r="G730" s="257"/>
      <c r="H730" s="256"/>
      <c r="I730" s="257"/>
      <c r="J730" s="256"/>
      <c r="K730" s="257"/>
      <c r="L730" s="256"/>
      <c r="M730" s="257"/>
      <c r="N730" s="256"/>
      <c r="O730" s="257"/>
      <c r="P730" s="256"/>
      <c r="Q730" s="257"/>
      <c r="R730" s="256"/>
      <c r="S730" s="257"/>
      <c r="T730" s="256"/>
      <c r="U730" s="257"/>
      <c r="V730" s="256"/>
      <c r="W730" s="257"/>
      <c r="X730" s="256"/>
    </row>
    <row r="731" spans="1:24" ht="12.75">
      <c r="A731" s="255"/>
      <c r="B731" s="256"/>
      <c r="C731" s="257"/>
      <c r="D731" s="256"/>
      <c r="E731" s="257"/>
      <c r="F731" s="256"/>
      <c r="G731" s="257"/>
      <c r="H731" s="256"/>
      <c r="I731" s="257"/>
      <c r="J731" s="256"/>
      <c r="K731" s="257"/>
      <c r="L731" s="256"/>
      <c r="M731" s="257"/>
      <c r="N731" s="256"/>
      <c r="O731" s="257"/>
      <c r="P731" s="256"/>
      <c r="Q731" s="257"/>
      <c r="R731" s="256"/>
      <c r="S731" s="257"/>
      <c r="T731" s="256"/>
      <c r="U731" s="257"/>
      <c r="V731" s="256"/>
      <c r="W731" s="257"/>
      <c r="X731" s="256"/>
    </row>
    <row r="732" spans="1:24" ht="12.75">
      <c r="A732" s="255"/>
      <c r="B732" s="256"/>
      <c r="C732" s="257"/>
      <c r="D732" s="256"/>
      <c r="E732" s="257"/>
      <c r="F732" s="256"/>
      <c r="G732" s="257"/>
      <c r="H732" s="256"/>
      <c r="I732" s="257"/>
      <c r="J732" s="256"/>
      <c r="K732" s="257"/>
      <c r="L732" s="256"/>
      <c r="M732" s="257"/>
      <c r="N732" s="256"/>
      <c r="O732" s="257"/>
      <c r="P732" s="256"/>
      <c r="Q732" s="257"/>
      <c r="R732" s="256"/>
      <c r="S732" s="257"/>
      <c r="T732" s="256"/>
      <c r="U732" s="257"/>
      <c r="V732" s="256"/>
      <c r="W732" s="257"/>
      <c r="X732" s="256"/>
    </row>
    <row r="733" spans="1:24" ht="12.75">
      <c r="A733" s="255"/>
      <c r="B733" s="256"/>
      <c r="C733" s="257"/>
      <c r="D733" s="256"/>
      <c r="E733" s="257"/>
      <c r="F733" s="256"/>
      <c r="G733" s="257"/>
      <c r="H733" s="256"/>
      <c r="I733" s="257"/>
      <c r="J733" s="256"/>
      <c r="K733" s="257"/>
      <c r="L733" s="256"/>
      <c r="M733" s="257"/>
      <c r="N733" s="256"/>
      <c r="O733" s="257"/>
      <c r="P733" s="256"/>
      <c r="Q733" s="257"/>
      <c r="R733" s="256"/>
      <c r="S733" s="257"/>
      <c r="T733" s="256"/>
      <c r="U733" s="257"/>
      <c r="V733" s="256"/>
      <c r="W733" s="257"/>
      <c r="X733" s="256"/>
    </row>
    <row r="734" spans="1:24" ht="12.75">
      <c r="A734" s="255"/>
      <c r="B734" s="256"/>
      <c r="C734" s="257"/>
      <c r="D734" s="256"/>
      <c r="E734" s="257"/>
      <c r="F734" s="256"/>
      <c r="G734" s="257"/>
      <c r="H734" s="256"/>
      <c r="I734" s="257"/>
      <c r="J734" s="256"/>
      <c r="K734" s="257"/>
      <c r="L734" s="256"/>
      <c r="M734" s="257"/>
      <c r="N734" s="256"/>
      <c r="O734" s="257"/>
      <c r="P734" s="256"/>
      <c r="Q734" s="257"/>
      <c r="R734" s="256"/>
      <c r="S734" s="257"/>
      <c r="T734" s="256"/>
      <c r="U734" s="257"/>
      <c r="V734" s="256"/>
      <c r="W734" s="257"/>
      <c r="X734" s="256"/>
    </row>
    <row r="735" spans="1:24" ht="12.75">
      <c r="A735" s="255"/>
      <c r="B735" s="256"/>
      <c r="C735" s="257"/>
      <c r="D735" s="256"/>
      <c r="E735" s="257"/>
      <c r="F735" s="256"/>
      <c r="G735" s="257"/>
      <c r="H735" s="256"/>
      <c r="I735" s="257"/>
      <c r="J735" s="256"/>
      <c r="K735" s="257"/>
      <c r="L735" s="256"/>
      <c r="M735" s="257"/>
      <c r="N735" s="256"/>
      <c r="O735" s="257"/>
      <c r="P735" s="256"/>
      <c r="Q735" s="257"/>
      <c r="R735" s="256"/>
      <c r="S735" s="257"/>
      <c r="T735" s="256"/>
      <c r="U735" s="257"/>
      <c r="V735" s="256"/>
      <c r="W735" s="257"/>
      <c r="X735" s="256"/>
    </row>
    <row r="736" spans="1:24" ht="12.75">
      <c r="A736" s="255"/>
      <c r="B736" s="256"/>
      <c r="C736" s="257"/>
      <c r="D736" s="256"/>
      <c r="E736" s="257"/>
      <c r="F736" s="256"/>
      <c r="G736" s="257"/>
      <c r="H736" s="256"/>
      <c r="I736" s="257"/>
      <c r="J736" s="256"/>
      <c r="K736" s="257"/>
      <c r="L736" s="256"/>
      <c r="M736" s="257"/>
      <c r="N736" s="256"/>
      <c r="O736" s="257"/>
      <c r="P736" s="256"/>
      <c r="Q736" s="257"/>
      <c r="R736" s="256"/>
      <c r="S736" s="257"/>
      <c r="T736" s="256"/>
      <c r="U736" s="257"/>
      <c r="V736" s="256"/>
      <c r="W736" s="257"/>
      <c r="X736" s="256"/>
    </row>
    <row r="737" spans="1:24" ht="12.75">
      <c r="A737" s="255"/>
      <c r="B737" s="256"/>
      <c r="C737" s="257"/>
      <c r="D737" s="256"/>
      <c r="E737" s="257"/>
      <c r="F737" s="256"/>
      <c r="G737" s="257"/>
      <c r="H737" s="256"/>
      <c r="I737" s="257"/>
      <c r="J737" s="256"/>
      <c r="K737" s="257"/>
      <c r="L737" s="256"/>
      <c r="M737" s="257"/>
      <c r="N737" s="256"/>
      <c r="O737" s="257"/>
      <c r="P737" s="256"/>
      <c r="Q737" s="257"/>
      <c r="R737" s="256"/>
      <c r="S737" s="257"/>
      <c r="T737" s="256"/>
      <c r="U737" s="257"/>
      <c r="V737" s="256"/>
      <c r="W737" s="257"/>
      <c r="X737" s="256"/>
    </row>
    <row r="738" spans="1:24" ht="12.75">
      <c r="A738" s="255"/>
      <c r="B738" s="256"/>
      <c r="C738" s="257"/>
      <c r="D738" s="256"/>
      <c r="E738" s="257"/>
      <c r="F738" s="256"/>
      <c r="G738" s="257"/>
      <c r="H738" s="256"/>
      <c r="I738" s="257"/>
      <c r="J738" s="256"/>
      <c r="K738" s="257"/>
      <c r="L738" s="256"/>
      <c r="M738" s="257"/>
      <c r="N738" s="256"/>
      <c r="O738" s="257"/>
      <c r="P738" s="256"/>
      <c r="Q738" s="257"/>
      <c r="R738" s="256"/>
      <c r="S738" s="257"/>
      <c r="T738" s="256"/>
      <c r="U738" s="257"/>
      <c r="V738" s="256"/>
      <c r="W738" s="257"/>
      <c r="X738" s="256"/>
    </row>
    <row r="739" spans="1:24" ht="12.75">
      <c r="A739" s="255"/>
      <c r="B739" s="256"/>
      <c r="C739" s="257"/>
      <c r="D739" s="256"/>
      <c r="E739" s="257"/>
      <c r="F739" s="256"/>
      <c r="G739" s="257"/>
      <c r="H739" s="256"/>
      <c r="I739" s="257"/>
      <c r="J739" s="256"/>
      <c r="K739" s="257"/>
      <c r="L739" s="256"/>
      <c r="M739" s="257"/>
      <c r="N739" s="256"/>
      <c r="O739" s="257"/>
      <c r="P739" s="256"/>
      <c r="Q739" s="257"/>
      <c r="R739" s="256"/>
      <c r="S739" s="257"/>
      <c r="T739" s="256"/>
      <c r="U739" s="257"/>
      <c r="V739" s="256"/>
      <c r="W739" s="257"/>
      <c r="X739" s="256"/>
    </row>
    <row r="740" spans="1:24" ht="12.75">
      <c r="A740" s="255"/>
      <c r="B740" s="256"/>
      <c r="C740" s="257"/>
      <c r="D740" s="256"/>
      <c r="E740" s="257"/>
      <c r="F740" s="256"/>
      <c r="G740" s="257"/>
      <c r="H740" s="256"/>
      <c r="I740" s="257"/>
      <c r="J740" s="256"/>
      <c r="K740" s="257"/>
      <c r="L740" s="256"/>
      <c r="M740" s="257"/>
      <c r="N740" s="256"/>
      <c r="O740" s="257"/>
      <c r="P740" s="256"/>
      <c r="Q740" s="257"/>
      <c r="R740" s="256"/>
      <c r="S740" s="257"/>
      <c r="T740" s="256"/>
      <c r="U740" s="257"/>
      <c r="V740" s="256"/>
      <c r="W740" s="257"/>
      <c r="X740" s="256"/>
    </row>
    <row r="741" spans="1:24" ht="12.75">
      <c r="A741" s="255"/>
      <c r="B741" s="256"/>
      <c r="C741" s="257"/>
      <c r="D741" s="256"/>
      <c r="E741" s="257"/>
      <c r="F741" s="256"/>
      <c r="G741" s="257"/>
      <c r="H741" s="256"/>
      <c r="I741" s="257"/>
      <c r="J741" s="256"/>
      <c r="K741" s="257"/>
      <c r="L741" s="256"/>
      <c r="M741" s="257"/>
      <c r="N741" s="256"/>
      <c r="O741" s="257"/>
      <c r="P741" s="256"/>
      <c r="Q741" s="257"/>
      <c r="R741" s="256"/>
      <c r="S741" s="257"/>
      <c r="T741" s="256"/>
      <c r="U741" s="257"/>
      <c r="V741" s="256"/>
      <c r="W741" s="257"/>
      <c r="X741" s="256"/>
    </row>
    <row r="742" spans="1:24" ht="12.75">
      <c r="A742" s="255"/>
      <c r="B742" s="256"/>
      <c r="C742" s="257"/>
      <c r="D742" s="256"/>
      <c r="E742" s="257"/>
      <c r="F742" s="256"/>
      <c r="G742" s="257"/>
      <c r="H742" s="256"/>
      <c r="I742" s="257"/>
      <c r="J742" s="256"/>
      <c r="K742" s="257"/>
      <c r="L742" s="256"/>
      <c r="M742" s="257"/>
      <c r="N742" s="256"/>
      <c r="O742" s="257"/>
      <c r="P742" s="256"/>
      <c r="Q742" s="257"/>
      <c r="R742" s="256"/>
      <c r="S742" s="257"/>
      <c r="T742" s="256"/>
      <c r="U742" s="257"/>
      <c r="V742" s="256"/>
      <c r="W742" s="257"/>
      <c r="X742" s="256"/>
    </row>
    <row r="743" spans="1:24" ht="12.75">
      <c r="A743" s="255"/>
      <c r="B743" s="256"/>
      <c r="C743" s="257"/>
      <c r="D743" s="256"/>
      <c r="E743" s="257"/>
      <c r="F743" s="256"/>
      <c r="G743" s="257"/>
      <c r="H743" s="256"/>
      <c r="I743" s="257"/>
      <c r="J743" s="256"/>
      <c r="K743" s="257"/>
      <c r="L743" s="256"/>
      <c r="M743" s="257"/>
      <c r="N743" s="256"/>
      <c r="O743" s="257"/>
      <c r="P743" s="256"/>
      <c r="Q743" s="257"/>
      <c r="R743" s="256"/>
      <c r="S743" s="257"/>
      <c r="T743" s="256"/>
      <c r="U743" s="257"/>
      <c r="V743" s="256"/>
      <c r="W743" s="257"/>
      <c r="X743" s="256"/>
    </row>
    <row r="744" spans="1:24" ht="12.75">
      <c r="A744" s="255"/>
      <c r="B744" s="256"/>
      <c r="C744" s="257"/>
      <c r="D744" s="256"/>
      <c r="E744" s="257"/>
      <c r="F744" s="256"/>
      <c r="G744" s="257"/>
      <c r="H744" s="256"/>
      <c r="I744" s="257"/>
      <c r="J744" s="256"/>
      <c r="K744" s="257"/>
      <c r="L744" s="256"/>
      <c r="M744" s="257"/>
      <c r="N744" s="256"/>
      <c r="O744" s="257"/>
      <c r="P744" s="256"/>
      <c r="Q744" s="257"/>
      <c r="R744" s="256"/>
      <c r="S744" s="257"/>
      <c r="T744" s="256"/>
      <c r="U744" s="257"/>
      <c r="V744" s="256"/>
      <c r="W744" s="257"/>
      <c r="X744" s="256"/>
    </row>
    <row r="745" spans="1:24" ht="12.75">
      <c r="A745" s="255"/>
      <c r="B745" s="256"/>
      <c r="C745" s="257"/>
      <c r="D745" s="256"/>
      <c r="E745" s="257"/>
      <c r="F745" s="256"/>
      <c r="G745" s="257"/>
      <c r="H745" s="256"/>
      <c r="I745" s="257"/>
      <c r="J745" s="256"/>
      <c r="K745" s="257"/>
      <c r="L745" s="256"/>
      <c r="M745" s="257"/>
      <c r="N745" s="256"/>
      <c r="O745" s="257"/>
      <c r="P745" s="256"/>
      <c r="Q745" s="257"/>
      <c r="R745" s="256"/>
      <c r="S745" s="257"/>
      <c r="T745" s="256"/>
      <c r="U745" s="257"/>
      <c r="V745" s="256"/>
      <c r="W745" s="257"/>
      <c r="X745" s="256"/>
    </row>
    <row r="746" spans="1:24" ht="12.75">
      <c r="A746" s="255"/>
      <c r="B746" s="256"/>
      <c r="C746" s="257"/>
      <c r="D746" s="256"/>
      <c r="E746" s="257"/>
      <c r="F746" s="256"/>
      <c r="G746" s="257"/>
      <c r="H746" s="256"/>
      <c r="I746" s="257"/>
      <c r="J746" s="256"/>
      <c r="K746" s="257"/>
      <c r="L746" s="256"/>
      <c r="M746" s="257"/>
      <c r="N746" s="256"/>
      <c r="O746" s="257"/>
      <c r="P746" s="256"/>
      <c r="Q746" s="257"/>
      <c r="R746" s="256"/>
      <c r="S746" s="257"/>
      <c r="T746" s="256"/>
      <c r="U746" s="257"/>
      <c r="V746" s="256"/>
      <c r="W746" s="257"/>
      <c r="X746" s="256"/>
    </row>
    <row r="747" spans="1:24" ht="12.75">
      <c r="A747" s="255"/>
      <c r="B747" s="256"/>
      <c r="C747" s="257"/>
      <c r="D747" s="256"/>
      <c r="E747" s="257"/>
      <c r="F747" s="256"/>
      <c r="G747" s="257"/>
      <c r="H747" s="256"/>
      <c r="I747" s="257"/>
      <c r="J747" s="256"/>
      <c r="K747" s="257"/>
      <c r="L747" s="256"/>
      <c r="M747" s="257"/>
      <c r="N747" s="256"/>
      <c r="O747" s="257"/>
      <c r="P747" s="256"/>
      <c r="Q747" s="257"/>
      <c r="R747" s="256"/>
      <c r="S747" s="257"/>
      <c r="T747" s="256"/>
      <c r="U747" s="257"/>
      <c r="V747" s="256"/>
      <c r="W747" s="257"/>
      <c r="X747" s="256"/>
    </row>
    <row r="748" spans="1:24" ht="12.75">
      <c r="A748" s="255"/>
      <c r="B748" s="256"/>
      <c r="C748" s="257"/>
      <c r="D748" s="256"/>
      <c r="E748" s="257"/>
      <c r="F748" s="256"/>
      <c r="G748" s="257"/>
      <c r="H748" s="256"/>
      <c r="I748" s="257"/>
      <c r="J748" s="256"/>
      <c r="K748" s="257"/>
      <c r="L748" s="256"/>
      <c r="M748" s="257"/>
      <c r="N748" s="256"/>
      <c r="O748" s="257"/>
      <c r="P748" s="256"/>
      <c r="Q748" s="257"/>
      <c r="R748" s="256"/>
      <c r="S748" s="257"/>
      <c r="T748" s="256"/>
      <c r="U748" s="257"/>
      <c r="V748" s="256"/>
      <c r="W748" s="257"/>
      <c r="X748" s="256"/>
    </row>
    <row r="749" spans="1:24" ht="12.75">
      <c r="A749" s="255"/>
      <c r="B749" s="256"/>
      <c r="C749" s="257"/>
      <c r="D749" s="256"/>
      <c r="E749" s="257"/>
      <c r="F749" s="256"/>
      <c r="G749" s="257"/>
      <c r="H749" s="256"/>
      <c r="I749" s="257"/>
      <c r="J749" s="256"/>
      <c r="K749" s="257"/>
      <c r="L749" s="256"/>
      <c r="M749" s="257"/>
      <c r="N749" s="256"/>
      <c r="O749" s="257"/>
      <c r="P749" s="256"/>
      <c r="Q749" s="257"/>
      <c r="R749" s="256"/>
      <c r="S749" s="257"/>
      <c r="T749" s="256"/>
      <c r="U749" s="257"/>
      <c r="V749" s="256"/>
      <c r="W749" s="257"/>
      <c r="X749" s="256"/>
    </row>
    <row r="750" spans="1:24" ht="12.75">
      <c r="A750" s="255"/>
      <c r="B750" s="256"/>
      <c r="C750" s="257"/>
      <c r="D750" s="256"/>
      <c r="E750" s="257"/>
      <c r="F750" s="256"/>
      <c r="G750" s="257"/>
      <c r="H750" s="256"/>
      <c r="I750" s="257"/>
      <c r="J750" s="256"/>
      <c r="K750" s="257"/>
      <c r="L750" s="256"/>
      <c r="M750" s="257"/>
      <c r="N750" s="256"/>
      <c r="O750" s="257"/>
      <c r="P750" s="256"/>
      <c r="Q750" s="257"/>
      <c r="R750" s="256"/>
      <c r="S750" s="257"/>
      <c r="T750" s="256"/>
      <c r="U750" s="257"/>
      <c r="V750" s="256"/>
      <c r="W750" s="257"/>
      <c r="X750" s="256"/>
    </row>
    <row r="751" spans="1:24" ht="12.75">
      <c r="A751" s="255"/>
      <c r="B751" s="256"/>
      <c r="C751" s="257"/>
      <c r="D751" s="256"/>
      <c r="E751" s="257"/>
      <c r="F751" s="256"/>
      <c r="G751" s="257"/>
      <c r="H751" s="256"/>
      <c r="I751" s="257"/>
      <c r="J751" s="256"/>
      <c r="K751" s="257"/>
      <c r="L751" s="256"/>
      <c r="M751" s="257"/>
      <c r="N751" s="256"/>
      <c r="O751" s="257"/>
      <c r="P751" s="256"/>
      <c r="Q751" s="257"/>
      <c r="R751" s="256"/>
      <c r="S751" s="257"/>
      <c r="T751" s="256"/>
      <c r="U751" s="257"/>
      <c r="V751" s="256"/>
      <c r="W751" s="257"/>
      <c r="X751" s="256"/>
    </row>
    <row r="752" spans="1:24" ht="12.75">
      <c r="A752" s="255"/>
      <c r="B752" s="256"/>
      <c r="C752" s="257"/>
      <c r="D752" s="256"/>
      <c r="E752" s="257"/>
      <c r="F752" s="256"/>
      <c r="G752" s="257"/>
      <c r="H752" s="256"/>
      <c r="I752" s="257"/>
      <c r="J752" s="256"/>
      <c r="K752" s="257"/>
      <c r="L752" s="256"/>
      <c r="M752" s="257"/>
      <c r="N752" s="256"/>
      <c r="O752" s="257"/>
      <c r="P752" s="256"/>
      <c r="Q752" s="257"/>
      <c r="R752" s="256"/>
      <c r="S752" s="257"/>
      <c r="T752" s="256"/>
      <c r="U752" s="257"/>
      <c r="V752" s="256"/>
      <c r="W752" s="257"/>
      <c r="X752" s="256"/>
    </row>
    <row r="753" spans="1:24" ht="12.75">
      <c r="A753" s="255"/>
      <c r="B753" s="256"/>
      <c r="C753" s="257"/>
      <c r="D753" s="256"/>
      <c r="E753" s="257"/>
      <c r="F753" s="256"/>
      <c r="G753" s="257"/>
      <c r="H753" s="256"/>
      <c r="I753" s="257"/>
      <c r="J753" s="256"/>
      <c r="K753" s="257"/>
      <c r="L753" s="256"/>
      <c r="M753" s="257"/>
      <c r="N753" s="256"/>
      <c r="O753" s="257"/>
      <c r="P753" s="256"/>
      <c r="Q753" s="257"/>
      <c r="R753" s="256"/>
      <c r="S753" s="257"/>
      <c r="T753" s="256"/>
      <c r="U753" s="257"/>
      <c r="V753" s="256"/>
      <c r="W753" s="257"/>
      <c r="X753" s="256"/>
    </row>
    <row r="754" spans="1:24" ht="12.75">
      <c r="A754" s="255"/>
      <c r="B754" s="256"/>
      <c r="C754" s="257"/>
      <c r="D754" s="256"/>
      <c r="E754" s="257"/>
      <c r="F754" s="256"/>
      <c r="G754" s="257"/>
      <c r="H754" s="256"/>
      <c r="I754" s="257"/>
      <c r="J754" s="256"/>
      <c r="K754" s="257"/>
      <c r="L754" s="256"/>
      <c r="M754" s="257"/>
      <c r="N754" s="256"/>
      <c r="O754" s="257"/>
      <c r="P754" s="256"/>
      <c r="Q754" s="257"/>
      <c r="R754" s="256"/>
      <c r="S754" s="257"/>
      <c r="T754" s="256"/>
      <c r="U754" s="257"/>
      <c r="V754" s="256"/>
      <c r="W754" s="257"/>
      <c r="X754" s="256"/>
    </row>
    <row r="755" spans="1:24" ht="12.75">
      <c r="A755" s="255"/>
      <c r="B755" s="256"/>
      <c r="C755" s="257"/>
      <c r="D755" s="256"/>
      <c r="E755" s="257"/>
      <c r="F755" s="256"/>
      <c r="G755" s="257"/>
      <c r="H755" s="256"/>
      <c r="I755" s="257"/>
      <c r="J755" s="256"/>
      <c r="K755" s="257"/>
      <c r="L755" s="256"/>
      <c r="M755" s="257"/>
      <c r="N755" s="256"/>
      <c r="O755" s="257"/>
      <c r="P755" s="256"/>
      <c r="Q755" s="257"/>
      <c r="R755" s="256"/>
      <c r="S755" s="257"/>
      <c r="T755" s="256"/>
      <c r="U755" s="257"/>
      <c r="V755" s="256"/>
      <c r="W755" s="257"/>
      <c r="X755" s="256"/>
    </row>
    <row r="756" spans="1:24" ht="12.75">
      <c r="A756" s="255"/>
      <c r="B756" s="256"/>
      <c r="C756" s="257"/>
      <c r="D756" s="256"/>
      <c r="E756" s="257"/>
      <c r="F756" s="256"/>
      <c r="G756" s="257"/>
      <c r="H756" s="256"/>
      <c r="I756" s="257"/>
      <c r="J756" s="256"/>
      <c r="K756" s="257"/>
      <c r="L756" s="256"/>
      <c r="M756" s="257"/>
      <c r="N756" s="256"/>
      <c r="O756" s="257"/>
      <c r="P756" s="256"/>
      <c r="Q756" s="257"/>
      <c r="R756" s="256"/>
      <c r="S756" s="257"/>
      <c r="T756" s="256"/>
      <c r="U756" s="257"/>
      <c r="V756" s="256"/>
      <c r="W756" s="257"/>
      <c r="X756" s="256"/>
    </row>
    <row r="757" spans="1:24" ht="12.75">
      <c r="A757" s="255"/>
      <c r="B757" s="256"/>
      <c r="C757" s="257"/>
      <c r="D757" s="256"/>
      <c r="E757" s="257"/>
      <c r="F757" s="256"/>
      <c r="G757" s="257"/>
      <c r="H757" s="256"/>
      <c r="I757" s="257"/>
      <c r="J757" s="256"/>
      <c r="K757" s="257"/>
      <c r="L757" s="256"/>
      <c r="M757" s="257"/>
      <c r="N757" s="256"/>
      <c r="O757" s="257"/>
      <c r="P757" s="256"/>
      <c r="Q757" s="257"/>
      <c r="R757" s="256"/>
      <c r="S757" s="257"/>
      <c r="T757" s="256"/>
      <c r="U757" s="257"/>
      <c r="V757" s="256"/>
      <c r="W757" s="257"/>
      <c r="X757" s="256"/>
    </row>
    <row r="758" spans="1:24" ht="12.75">
      <c r="A758" s="255"/>
      <c r="B758" s="256"/>
      <c r="C758" s="257"/>
      <c r="D758" s="256"/>
      <c r="E758" s="257"/>
      <c r="F758" s="256"/>
      <c r="G758" s="257"/>
      <c r="H758" s="256"/>
      <c r="I758" s="257"/>
      <c r="J758" s="256"/>
      <c r="K758" s="257"/>
      <c r="L758" s="256"/>
      <c r="M758" s="257"/>
      <c r="N758" s="256"/>
      <c r="O758" s="257"/>
      <c r="P758" s="256"/>
      <c r="Q758" s="257"/>
      <c r="R758" s="256"/>
      <c r="S758" s="257"/>
      <c r="T758" s="256"/>
      <c r="U758" s="257"/>
      <c r="V758" s="256"/>
      <c r="W758" s="257"/>
      <c r="X758" s="256"/>
    </row>
    <row r="759" spans="1:24" ht="12.75">
      <c r="A759" s="255"/>
      <c r="B759" s="256"/>
      <c r="C759" s="257"/>
      <c r="D759" s="256"/>
      <c r="E759" s="257"/>
      <c r="F759" s="256"/>
      <c r="G759" s="257"/>
      <c r="H759" s="256"/>
      <c r="I759" s="257"/>
      <c r="J759" s="256"/>
      <c r="K759" s="257"/>
      <c r="L759" s="256"/>
      <c r="M759" s="257"/>
      <c r="N759" s="256"/>
      <c r="O759" s="257"/>
      <c r="P759" s="256"/>
      <c r="Q759" s="257"/>
      <c r="R759" s="256"/>
      <c r="S759" s="257"/>
      <c r="T759" s="256"/>
      <c r="U759" s="257"/>
      <c r="V759" s="256"/>
      <c r="W759" s="257"/>
      <c r="X759" s="256"/>
    </row>
    <row r="760" spans="1:24" ht="12.75">
      <c r="A760" s="255"/>
      <c r="B760" s="256"/>
      <c r="C760" s="257"/>
      <c r="D760" s="256"/>
      <c r="E760" s="257"/>
      <c r="F760" s="256"/>
      <c r="G760" s="257"/>
      <c r="H760" s="256"/>
      <c r="I760" s="257"/>
      <c r="J760" s="256"/>
      <c r="K760" s="257"/>
      <c r="L760" s="256"/>
      <c r="M760" s="257"/>
      <c r="N760" s="256"/>
      <c r="O760" s="257"/>
      <c r="P760" s="256"/>
      <c r="Q760" s="257"/>
      <c r="R760" s="256"/>
      <c r="S760" s="257"/>
      <c r="T760" s="256"/>
      <c r="U760" s="257"/>
      <c r="V760" s="256"/>
      <c r="W760" s="257"/>
      <c r="X760" s="256"/>
    </row>
    <row r="761" spans="1:24" ht="12.75">
      <c r="A761" s="255"/>
      <c r="B761" s="256"/>
      <c r="C761" s="257"/>
      <c r="D761" s="256"/>
      <c r="E761" s="257"/>
      <c r="F761" s="256"/>
      <c r="G761" s="257"/>
      <c r="H761" s="256"/>
      <c r="I761" s="257"/>
      <c r="J761" s="256"/>
      <c r="K761" s="257"/>
      <c r="L761" s="256"/>
      <c r="M761" s="257"/>
      <c r="N761" s="256"/>
      <c r="O761" s="257"/>
      <c r="P761" s="256"/>
      <c r="Q761" s="257"/>
      <c r="R761" s="256"/>
      <c r="S761" s="257"/>
      <c r="T761" s="256"/>
      <c r="U761" s="257"/>
      <c r="V761" s="256"/>
      <c r="W761" s="257"/>
      <c r="X761" s="256"/>
    </row>
    <row r="762" spans="1:24" ht="12.75">
      <c r="A762" s="255"/>
      <c r="B762" s="256"/>
      <c r="C762" s="257"/>
      <c r="D762" s="256"/>
      <c r="E762" s="257"/>
      <c r="F762" s="256"/>
      <c r="G762" s="257"/>
      <c r="H762" s="256"/>
      <c r="I762" s="257"/>
      <c r="J762" s="256"/>
      <c r="K762" s="257"/>
      <c r="L762" s="256"/>
      <c r="M762" s="257"/>
      <c r="N762" s="256"/>
      <c r="O762" s="257"/>
      <c r="P762" s="256"/>
      <c r="Q762" s="257"/>
      <c r="R762" s="256"/>
      <c r="S762" s="257"/>
      <c r="T762" s="256"/>
      <c r="U762" s="257"/>
      <c r="V762" s="256"/>
      <c r="W762" s="257"/>
      <c r="X762" s="256"/>
    </row>
    <row r="763" spans="1:24" ht="12.75">
      <c r="A763" s="255"/>
      <c r="B763" s="256"/>
      <c r="C763" s="257"/>
      <c r="D763" s="256"/>
      <c r="E763" s="257"/>
      <c r="F763" s="256"/>
      <c r="G763" s="257"/>
      <c r="H763" s="256"/>
      <c r="I763" s="257"/>
      <c r="J763" s="256"/>
      <c r="K763" s="257"/>
      <c r="L763" s="256"/>
      <c r="M763" s="257"/>
      <c r="N763" s="256"/>
      <c r="O763" s="257"/>
      <c r="P763" s="256"/>
      <c r="Q763" s="257"/>
      <c r="R763" s="256"/>
      <c r="S763" s="257"/>
      <c r="T763" s="256"/>
      <c r="U763" s="257"/>
      <c r="V763" s="256"/>
      <c r="W763" s="257"/>
      <c r="X763" s="256"/>
    </row>
    <row r="764" spans="1:24" ht="12.75">
      <c r="A764" s="255"/>
      <c r="B764" s="256"/>
      <c r="C764" s="257"/>
      <c r="D764" s="256"/>
      <c r="E764" s="257"/>
      <c r="F764" s="256"/>
      <c r="G764" s="257"/>
      <c r="H764" s="256"/>
      <c r="I764" s="257"/>
      <c r="J764" s="256"/>
      <c r="K764" s="257"/>
      <c r="L764" s="256"/>
      <c r="M764" s="257"/>
      <c r="N764" s="256"/>
      <c r="O764" s="257"/>
      <c r="P764" s="256"/>
      <c r="Q764" s="257"/>
      <c r="R764" s="256"/>
      <c r="S764" s="257"/>
      <c r="T764" s="256"/>
      <c r="U764" s="257"/>
      <c r="V764" s="256"/>
      <c r="W764" s="257"/>
      <c r="X764" s="256"/>
    </row>
    <row r="765" spans="1:24" ht="12.75">
      <c r="A765" s="255"/>
      <c r="B765" s="256"/>
      <c r="C765" s="257"/>
      <c r="D765" s="256"/>
      <c r="E765" s="257"/>
      <c r="F765" s="256"/>
      <c r="G765" s="257"/>
      <c r="H765" s="256"/>
      <c r="I765" s="257"/>
      <c r="J765" s="256"/>
      <c r="K765" s="257"/>
      <c r="L765" s="256"/>
      <c r="M765" s="257"/>
      <c r="N765" s="256"/>
      <c r="O765" s="257"/>
      <c r="P765" s="256"/>
      <c r="Q765" s="257"/>
      <c r="R765" s="256"/>
      <c r="S765" s="257"/>
      <c r="T765" s="256"/>
      <c r="U765" s="257"/>
      <c r="V765" s="256"/>
      <c r="W765" s="257"/>
      <c r="X765" s="256"/>
    </row>
    <row r="766" spans="1:24" ht="12.75">
      <c r="A766" s="255"/>
      <c r="B766" s="256"/>
      <c r="C766" s="257"/>
      <c r="D766" s="256"/>
      <c r="E766" s="257"/>
      <c r="F766" s="256"/>
      <c r="G766" s="257"/>
      <c r="H766" s="256"/>
      <c r="I766" s="257"/>
      <c r="J766" s="256"/>
      <c r="K766" s="257"/>
      <c r="L766" s="256"/>
      <c r="M766" s="257"/>
      <c r="N766" s="256"/>
      <c r="O766" s="257"/>
      <c r="P766" s="256"/>
      <c r="Q766" s="257"/>
      <c r="R766" s="256"/>
      <c r="S766" s="257"/>
      <c r="T766" s="256"/>
      <c r="U766" s="257"/>
      <c r="V766" s="256"/>
      <c r="W766" s="257"/>
      <c r="X766" s="256"/>
    </row>
    <row r="767" spans="1:24" ht="12.75">
      <c r="A767" s="255"/>
      <c r="B767" s="256"/>
      <c r="C767" s="257"/>
      <c r="D767" s="256"/>
      <c r="E767" s="257"/>
      <c r="F767" s="256"/>
      <c r="G767" s="257"/>
      <c r="H767" s="256"/>
      <c r="I767" s="257"/>
      <c r="J767" s="256"/>
      <c r="K767" s="257"/>
      <c r="L767" s="256"/>
      <c r="M767" s="257"/>
      <c r="N767" s="256"/>
      <c r="O767" s="257"/>
      <c r="P767" s="256"/>
      <c r="Q767" s="257"/>
      <c r="R767" s="256"/>
      <c r="S767" s="257"/>
      <c r="T767" s="256"/>
      <c r="U767" s="257"/>
      <c r="V767" s="256"/>
      <c r="W767" s="257"/>
      <c r="X767" s="256"/>
    </row>
    <row r="768" spans="1:24" ht="12.75">
      <c r="A768" s="255"/>
      <c r="B768" s="256"/>
      <c r="C768" s="257"/>
      <c r="D768" s="256"/>
      <c r="E768" s="257"/>
      <c r="F768" s="256"/>
      <c r="G768" s="257"/>
      <c r="H768" s="256"/>
      <c r="I768" s="257"/>
      <c r="J768" s="256"/>
      <c r="K768" s="257"/>
      <c r="L768" s="256"/>
      <c r="M768" s="257"/>
      <c r="N768" s="256"/>
      <c r="O768" s="257"/>
      <c r="P768" s="256"/>
      <c r="Q768" s="257"/>
      <c r="R768" s="256"/>
      <c r="S768" s="257"/>
      <c r="T768" s="256"/>
      <c r="U768" s="257"/>
      <c r="V768" s="256"/>
      <c r="W768" s="257"/>
      <c r="X768" s="256"/>
    </row>
    <row r="769" spans="1:24" ht="12.75">
      <c r="A769" s="255"/>
      <c r="B769" s="256"/>
      <c r="C769" s="257"/>
      <c r="D769" s="256"/>
      <c r="E769" s="257"/>
      <c r="F769" s="256"/>
      <c r="G769" s="257"/>
      <c r="H769" s="256"/>
      <c r="I769" s="257"/>
      <c r="J769" s="256"/>
      <c r="K769" s="257"/>
      <c r="L769" s="256"/>
      <c r="M769" s="257"/>
      <c r="N769" s="256"/>
      <c r="O769" s="257"/>
      <c r="P769" s="256"/>
      <c r="Q769" s="257"/>
      <c r="R769" s="256"/>
      <c r="S769" s="257"/>
      <c r="T769" s="256"/>
      <c r="U769" s="257"/>
      <c r="V769" s="256"/>
      <c r="W769" s="257"/>
      <c r="X769" s="256"/>
    </row>
    <row r="770" spans="1:24" ht="12.75">
      <c r="A770" s="255"/>
      <c r="B770" s="256"/>
      <c r="C770" s="257"/>
      <c r="D770" s="256"/>
      <c r="E770" s="257"/>
      <c r="F770" s="256"/>
      <c r="G770" s="257"/>
      <c r="H770" s="256"/>
      <c r="I770" s="257"/>
      <c r="J770" s="256"/>
      <c r="K770" s="257"/>
      <c r="L770" s="256"/>
      <c r="M770" s="257"/>
      <c r="N770" s="256"/>
      <c r="O770" s="257"/>
      <c r="P770" s="256"/>
      <c r="Q770" s="257"/>
      <c r="R770" s="256"/>
      <c r="S770" s="257"/>
      <c r="T770" s="256"/>
      <c r="U770" s="257"/>
      <c r="V770" s="256"/>
      <c r="W770" s="257"/>
      <c r="X770" s="256"/>
    </row>
    <row r="771" spans="1:24" ht="12.75">
      <c r="A771" s="255"/>
      <c r="B771" s="256"/>
      <c r="C771" s="257"/>
      <c r="D771" s="256"/>
      <c r="E771" s="257"/>
      <c r="F771" s="256"/>
      <c r="G771" s="257"/>
      <c r="H771" s="256"/>
      <c r="I771" s="257"/>
      <c r="J771" s="256"/>
      <c r="K771" s="257"/>
      <c r="L771" s="256"/>
      <c r="M771" s="257"/>
      <c r="N771" s="256"/>
      <c r="O771" s="257"/>
      <c r="P771" s="256"/>
      <c r="Q771" s="257"/>
      <c r="R771" s="256"/>
      <c r="S771" s="257"/>
      <c r="T771" s="256"/>
      <c r="U771" s="257"/>
      <c r="V771" s="256"/>
      <c r="W771" s="257"/>
      <c r="X771" s="256"/>
    </row>
    <row r="772" spans="1:24" ht="12.75">
      <c r="A772" s="255"/>
      <c r="B772" s="256"/>
      <c r="C772" s="257"/>
      <c r="D772" s="256"/>
      <c r="E772" s="257"/>
      <c r="F772" s="256"/>
      <c r="G772" s="257"/>
      <c r="H772" s="256"/>
      <c r="I772" s="257"/>
      <c r="J772" s="256"/>
      <c r="K772" s="257"/>
      <c r="L772" s="256"/>
      <c r="M772" s="257"/>
      <c r="N772" s="256"/>
      <c r="O772" s="257"/>
      <c r="P772" s="256"/>
      <c r="Q772" s="257"/>
      <c r="R772" s="256"/>
      <c r="S772" s="257"/>
      <c r="T772" s="256"/>
      <c r="U772" s="257"/>
      <c r="V772" s="256"/>
      <c r="W772" s="257"/>
      <c r="X772" s="256"/>
    </row>
    <row r="773" spans="1:24" ht="12.75">
      <c r="A773" s="255"/>
      <c r="B773" s="256"/>
      <c r="C773" s="257"/>
      <c r="D773" s="256"/>
      <c r="E773" s="257"/>
      <c r="F773" s="256"/>
      <c r="G773" s="257"/>
      <c r="H773" s="256"/>
      <c r="I773" s="257"/>
      <c r="J773" s="256"/>
      <c r="K773" s="257"/>
      <c r="L773" s="256"/>
      <c r="M773" s="257"/>
      <c r="N773" s="256"/>
      <c r="O773" s="257"/>
      <c r="P773" s="256"/>
      <c r="Q773" s="257"/>
      <c r="R773" s="256"/>
      <c r="S773" s="257"/>
      <c r="T773" s="256"/>
      <c r="U773" s="257"/>
      <c r="V773" s="256"/>
      <c r="W773" s="257"/>
      <c r="X773" s="256"/>
    </row>
    <row r="774" spans="1:24" ht="12.75">
      <c r="A774" s="255"/>
      <c r="B774" s="256"/>
      <c r="C774" s="257"/>
      <c r="D774" s="256"/>
      <c r="E774" s="257"/>
      <c r="F774" s="256"/>
      <c r="G774" s="257"/>
      <c r="H774" s="256"/>
      <c r="I774" s="257"/>
      <c r="J774" s="256"/>
      <c r="K774" s="257"/>
      <c r="L774" s="256"/>
      <c r="M774" s="257"/>
      <c r="N774" s="256"/>
      <c r="O774" s="257"/>
      <c r="P774" s="256"/>
      <c r="Q774" s="257"/>
      <c r="R774" s="256"/>
      <c r="S774" s="257"/>
      <c r="T774" s="256"/>
      <c r="U774" s="257"/>
      <c r="V774" s="256"/>
      <c r="W774" s="257"/>
      <c r="X774" s="256"/>
    </row>
    <row r="775" spans="1:24" ht="12.75">
      <c r="A775" s="255"/>
      <c r="B775" s="256"/>
      <c r="C775" s="257"/>
      <c r="D775" s="256"/>
      <c r="E775" s="257"/>
      <c r="F775" s="256"/>
      <c r="G775" s="257"/>
      <c r="H775" s="256"/>
      <c r="I775" s="257"/>
      <c r="J775" s="256"/>
      <c r="K775" s="257"/>
      <c r="L775" s="256"/>
      <c r="M775" s="257"/>
      <c r="N775" s="256"/>
      <c r="O775" s="257"/>
      <c r="P775" s="256"/>
      <c r="Q775" s="257"/>
      <c r="R775" s="256"/>
      <c r="S775" s="257"/>
      <c r="T775" s="256"/>
      <c r="U775" s="257"/>
      <c r="V775" s="256"/>
      <c r="W775" s="257"/>
      <c r="X775" s="256"/>
    </row>
    <row r="776" spans="1:24" ht="12.75">
      <c r="A776" s="255"/>
      <c r="B776" s="256"/>
      <c r="C776" s="257"/>
      <c r="D776" s="256"/>
      <c r="E776" s="257"/>
      <c r="F776" s="256"/>
      <c r="G776" s="257"/>
      <c r="H776" s="256"/>
      <c r="I776" s="257"/>
      <c r="J776" s="256"/>
      <c r="K776" s="257"/>
      <c r="L776" s="256"/>
      <c r="M776" s="257"/>
      <c r="N776" s="256"/>
      <c r="O776" s="257"/>
      <c r="P776" s="256"/>
      <c r="Q776" s="257"/>
      <c r="R776" s="256"/>
      <c r="S776" s="257"/>
      <c r="T776" s="256"/>
      <c r="U776" s="257"/>
      <c r="V776" s="256"/>
      <c r="W776" s="257"/>
      <c r="X776" s="256"/>
    </row>
    <row r="777" spans="1:24" ht="12.75">
      <c r="A777" s="255"/>
      <c r="B777" s="256"/>
      <c r="C777" s="257"/>
      <c r="D777" s="256"/>
      <c r="E777" s="257"/>
      <c r="F777" s="256"/>
      <c r="G777" s="257"/>
      <c r="H777" s="256"/>
      <c r="I777" s="257"/>
      <c r="J777" s="256"/>
      <c r="K777" s="257"/>
      <c r="L777" s="256"/>
      <c r="M777" s="257"/>
      <c r="N777" s="256"/>
      <c r="O777" s="257"/>
      <c r="P777" s="256"/>
      <c r="Q777" s="257"/>
      <c r="R777" s="256"/>
      <c r="S777" s="257"/>
      <c r="T777" s="256"/>
      <c r="U777" s="257"/>
      <c r="V777" s="256"/>
      <c r="W777" s="257"/>
      <c r="X777" s="256"/>
    </row>
    <row r="778" spans="1:24" ht="12.75">
      <c r="A778" s="255"/>
      <c r="B778" s="256"/>
      <c r="C778" s="257"/>
      <c r="D778" s="256"/>
      <c r="E778" s="257"/>
      <c r="F778" s="256"/>
      <c r="G778" s="257"/>
      <c r="H778" s="256"/>
      <c r="I778" s="257"/>
      <c r="J778" s="256"/>
      <c r="K778" s="257"/>
      <c r="L778" s="256"/>
      <c r="M778" s="257"/>
      <c r="N778" s="256"/>
      <c r="O778" s="257"/>
      <c r="P778" s="256"/>
      <c r="Q778" s="257"/>
      <c r="R778" s="256"/>
      <c r="S778" s="257"/>
      <c r="T778" s="256"/>
      <c r="U778" s="257"/>
      <c r="V778" s="256"/>
      <c r="W778" s="257"/>
      <c r="X778" s="256"/>
    </row>
    <row r="779" spans="1:24" ht="12.75">
      <c r="A779" s="255"/>
      <c r="B779" s="256"/>
      <c r="C779" s="257"/>
      <c r="D779" s="256"/>
      <c r="E779" s="257"/>
      <c r="F779" s="256"/>
      <c r="G779" s="257"/>
      <c r="H779" s="256"/>
      <c r="I779" s="257"/>
      <c r="J779" s="256"/>
      <c r="K779" s="257"/>
      <c r="L779" s="256"/>
      <c r="M779" s="257"/>
      <c r="N779" s="256"/>
      <c r="O779" s="257"/>
      <c r="P779" s="256"/>
      <c r="Q779" s="257"/>
      <c r="R779" s="256"/>
      <c r="S779" s="257"/>
      <c r="T779" s="256"/>
      <c r="U779" s="257"/>
      <c r="V779" s="256"/>
      <c r="W779" s="257"/>
      <c r="X779" s="256"/>
    </row>
    <row r="780" spans="1:24" ht="12.75">
      <c r="A780" s="255"/>
      <c r="B780" s="256"/>
      <c r="C780" s="257"/>
      <c r="D780" s="256"/>
      <c r="E780" s="257"/>
      <c r="F780" s="256"/>
      <c r="G780" s="257"/>
      <c r="H780" s="256"/>
      <c r="I780" s="257"/>
      <c r="J780" s="256"/>
      <c r="K780" s="257"/>
      <c r="L780" s="256"/>
      <c r="M780" s="257"/>
      <c r="N780" s="256"/>
      <c r="O780" s="257"/>
      <c r="P780" s="256"/>
      <c r="Q780" s="257"/>
      <c r="R780" s="256"/>
      <c r="S780" s="257"/>
      <c r="T780" s="256"/>
      <c r="U780" s="257"/>
      <c r="V780" s="256"/>
      <c r="W780" s="257"/>
      <c r="X780" s="256"/>
    </row>
    <row r="781" spans="1:24" ht="12.75">
      <c r="A781" s="255"/>
      <c r="B781" s="256"/>
      <c r="C781" s="257"/>
      <c r="D781" s="256"/>
      <c r="E781" s="257"/>
      <c r="F781" s="256"/>
      <c r="G781" s="257"/>
      <c r="H781" s="256"/>
      <c r="I781" s="257"/>
      <c r="J781" s="256"/>
      <c r="K781" s="257"/>
      <c r="L781" s="256"/>
      <c r="M781" s="257"/>
      <c r="N781" s="256"/>
      <c r="O781" s="257"/>
      <c r="P781" s="256"/>
      <c r="Q781" s="257"/>
      <c r="R781" s="256"/>
      <c r="S781" s="257"/>
      <c r="T781" s="256"/>
      <c r="U781" s="257"/>
      <c r="V781" s="256"/>
      <c r="W781" s="257"/>
      <c r="X781" s="256"/>
    </row>
    <row r="782" spans="1:24" ht="12.75">
      <c r="A782" s="255"/>
      <c r="B782" s="256"/>
      <c r="C782" s="257"/>
      <c r="D782" s="256"/>
      <c r="E782" s="257"/>
      <c r="F782" s="256"/>
      <c r="G782" s="257"/>
      <c r="H782" s="256"/>
      <c r="I782" s="257"/>
      <c r="J782" s="256"/>
      <c r="K782" s="257"/>
      <c r="L782" s="256"/>
      <c r="M782" s="257"/>
      <c r="N782" s="256"/>
      <c r="O782" s="257"/>
      <c r="P782" s="256"/>
      <c r="Q782" s="257"/>
      <c r="R782" s="256"/>
      <c r="S782" s="257"/>
      <c r="T782" s="256"/>
      <c r="U782" s="257"/>
      <c r="V782" s="256"/>
      <c r="W782" s="257"/>
      <c r="X782" s="256"/>
    </row>
    <row r="783" spans="1:24" ht="12.75">
      <c r="A783" s="255"/>
      <c r="B783" s="256"/>
      <c r="C783" s="257"/>
      <c r="D783" s="256"/>
      <c r="E783" s="257"/>
      <c r="F783" s="256"/>
      <c r="G783" s="257"/>
      <c r="H783" s="256"/>
      <c r="I783" s="257"/>
      <c r="J783" s="256"/>
      <c r="K783" s="257"/>
      <c r="L783" s="256"/>
      <c r="M783" s="257"/>
      <c r="N783" s="256"/>
      <c r="O783" s="257"/>
      <c r="P783" s="256"/>
      <c r="Q783" s="257"/>
      <c r="R783" s="256"/>
      <c r="S783" s="257"/>
      <c r="T783" s="256"/>
      <c r="U783" s="257"/>
      <c r="V783" s="256"/>
      <c r="W783" s="257"/>
      <c r="X783" s="256"/>
    </row>
    <row r="784" spans="1:24" ht="12.75">
      <c r="A784" s="255"/>
      <c r="B784" s="256"/>
      <c r="C784" s="257"/>
      <c r="D784" s="256"/>
      <c r="E784" s="257"/>
      <c r="F784" s="256"/>
      <c r="G784" s="257"/>
      <c r="H784" s="256"/>
      <c r="I784" s="257"/>
      <c r="J784" s="256"/>
      <c r="K784" s="257"/>
      <c r="L784" s="256"/>
      <c r="M784" s="257"/>
      <c r="N784" s="256"/>
      <c r="O784" s="257"/>
      <c r="P784" s="256"/>
      <c r="Q784" s="257"/>
      <c r="R784" s="256"/>
      <c r="S784" s="257"/>
      <c r="T784" s="256"/>
      <c r="U784" s="257"/>
      <c r="V784" s="256"/>
      <c r="W784" s="257"/>
      <c r="X784" s="256"/>
    </row>
    <row r="785" spans="1:24" ht="12.75">
      <c r="A785" s="255"/>
      <c r="B785" s="256"/>
      <c r="C785" s="257"/>
      <c r="D785" s="256"/>
      <c r="E785" s="257"/>
      <c r="F785" s="256"/>
      <c r="G785" s="257"/>
      <c r="H785" s="256"/>
      <c r="I785" s="257"/>
      <c r="J785" s="256"/>
      <c r="K785" s="257"/>
      <c r="L785" s="256"/>
      <c r="M785" s="257"/>
      <c r="N785" s="256"/>
      <c r="O785" s="257"/>
      <c r="P785" s="256"/>
      <c r="Q785" s="257"/>
      <c r="R785" s="256"/>
      <c r="S785" s="257"/>
      <c r="T785" s="256"/>
      <c r="U785" s="257"/>
      <c r="V785" s="256"/>
      <c r="W785" s="257"/>
      <c r="X785" s="256"/>
    </row>
    <row r="786" spans="1:24" ht="12.75">
      <c r="A786" s="255"/>
      <c r="B786" s="256"/>
      <c r="C786" s="257"/>
      <c r="D786" s="256"/>
      <c r="E786" s="257"/>
      <c r="F786" s="256"/>
      <c r="G786" s="257"/>
      <c r="H786" s="256"/>
      <c r="I786" s="257"/>
      <c r="J786" s="256"/>
      <c r="K786" s="257"/>
      <c r="L786" s="256"/>
      <c r="M786" s="257"/>
      <c r="N786" s="256"/>
      <c r="O786" s="257"/>
      <c r="P786" s="256"/>
      <c r="Q786" s="257"/>
      <c r="R786" s="256"/>
      <c r="S786" s="257"/>
      <c r="T786" s="256"/>
      <c r="U786" s="257"/>
      <c r="V786" s="256"/>
      <c r="W786" s="257"/>
      <c r="X786" s="256"/>
    </row>
    <row r="787" spans="1:24" ht="12.75">
      <c r="A787" s="255"/>
      <c r="B787" s="256"/>
      <c r="C787" s="257"/>
      <c r="D787" s="256"/>
      <c r="E787" s="257"/>
      <c r="F787" s="256"/>
      <c r="G787" s="257"/>
      <c r="H787" s="256"/>
      <c r="I787" s="257"/>
      <c r="J787" s="256"/>
      <c r="K787" s="257"/>
      <c r="L787" s="256"/>
      <c r="M787" s="257"/>
      <c r="N787" s="256"/>
      <c r="O787" s="257"/>
      <c r="P787" s="256"/>
      <c r="Q787" s="257"/>
      <c r="R787" s="256"/>
      <c r="S787" s="257"/>
      <c r="T787" s="256"/>
      <c r="U787" s="257"/>
      <c r="V787" s="256"/>
      <c r="W787" s="257"/>
      <c r="X787" s="256"/>
    </row>
    <row r="788" spans="1:24" ht="12.75">
      <c r="A788" s="255"/>
      <c r="B788" s="256"/>
      <c r="C788" s="257"/>
      <c r="D788" s="256"/>
      <c r="E788" s="257"/>
      <c r="F788" s="256"/>
      <c r="G788" s="257"/>
      <c r="H788" s="256"/>
      <c r="I788" s="257"/>
      <c r="J788" s="256"/>
      <c r="K788" s="257"/>
      <c r="L788" s="256"/>
      <c r="M788" s="257"/>
      <c r="N788" s="256"/>
      <c r="O788" s="257"/>
      <c r="P788" s="256"/>
      <c r="Q788" s="257"/>
      <c r="R788" s="256"/>
      <c r="S788" s="257"/>
      <c r="T788" s="256"/>
      <c r="U788" s="257"/>
      <c r="V788" s="256"/>
      <c r="W788" s="257"/>
      <c r="X788" s="256"/>
    </row>
    <row r="789" spans="1:24" ht="12.75">
      <c r="A789" s="255"/>
      <c r="B789" s="256"/>
      <c r="C789" s="257"/>
      <c r="D789" s="256"/>
      <c r="E789" s="257"/>
      <c r="F789" s="256"/>
      <c r="G789" s="257"/>
      <c r="H789" s="256"/>
      <c r="I789" s="257"/>
      <c r="J789" s="256"/>
      <c r="K789" s="257"/>
      <c r="L789" s="256"/>
      <c r="M789" s="257"/>
      <c r="N789" s="256"/>
      <c r="O789" s="257"/>
      <c r="P789" s="256"/>
      <c r="Q789" s="257"/>
      <c r="R789" s="256"/>
      <c r="S789" s="257"/>
      <c r="T789" s="256"/>
      <c r="U789" s="257"/>
      <c r="V789" s="256"/>
      <c r="W789" s="257"/>
      <c r="X789" s="256"/>
    </row>
    <row r="790" spans="1:24" ht="12.75">
      <c r="A790" s="255"/>
      <c r="B790" s="256"/>
      <c r="C790" s="257"/>
      <c r="D790" s="256"/>
      <c r="E790" s="257"/>
      <c r="F790" s="256"/>
      <c r="G790" s="257"/>
      <c r="H790" s="256"/>
      <c r="I790" s="257"/>
      <c r="J790" s="256"/>
      <c r="K790" s="257"/>
      <c r="L790" s="256"/>
      <c r="M790" s="257"/>
      <c r="N790" s="256"/>
      <c r="O790" s="257"/>
      <c r="P790" s="256"/>
      <c r="Q790" s="257"/>
      <c r="R790" s="256"/>
      <c r="S790" s="257"/>
      <c r="T790" s="256"/>
      <c r="U790" s="257"/>
      <c r="V790" s="256"/>
      <c r="W790" s="257"/>
      <c r="X790" s="256"/>
    </row>
    <row r="791" spans="1:24" ht="12.75">
      <c r="A791" s="255"/>
      <c r="B791" s="256"/>
      <c r="C791" s="257"/>
      <c r="D791" s="256"/>
      <c r="E791" s="257"/>
      <c r="F791" s="256"/>
      <c r="G791" s="257"/>
      <c r="H791" s="256"/>
      <c r="I791" s="257"/>
      <c r="J791" s="256"/>
      <c r="K791" s="257"/>
      <c r="L791" s="256"/>
      <c r="M791" s="257"/>
      <c r="N791" s="256"/>
      <c r="O791" s="257"/>
      <c r="P791" s="256"/>
      <c r="Q791" s="257"/>
      <c r="R791" s="256"/>
      <c r="S791" s="257"/>
      <c r="T791" s="256"/>
      <c r="U791" s="257"/>
      <c r="V791" s="256"/>
      <c r="W791" s="257"/>
      <c r="X791" s="256"/>
    </row>
    <row r="792" spans="1:24" ht="12.75">
      <c r="A792" s="255"/>
      <c r="B792" s="256"/>
      <c r="C792" s="257"/>
      <c r="D792" s="256"/>
      <c r="E792" s="257"/>
      <c r="F792" s="256"/>
      <c r="G792" s="257"/>
      <c r="H792" s="256"/>
      <c r="I792" s="257"/>
      <c r="J792" s="256"/>
      <c r="K792" s="257"/>
      <c r="L792" s="256"/>
      <c r="M792" s="257"/>
      <c r="N792" s="256"/>
      <c r="O792" s="257"/>
      <c r="P792" s="256"/>
      <c r="Q792" s="257"/>
      <c r="R792" s="256"/>
      <c r="S792" s="257"/>
      <c r="T792" s="256"/>
      <c r="U792" s="257"/>
      <c r="V792" s="256"/>
      <c r="W792" s="257"/>
      <c r="X792" s="256"/>
    </row>
    <row r="793" spans="1:24" ht="12.75">
      <c r="A793" s="255"/>
      <c r="B793" s="256"/>
      <c r="C793" s="257"/>
      <c r="D793" s="256"/>
      <c r="E793" s="257"/>
      <c r="F793" s="256"/>
      <c r="G793" s="257"/>
      <c r="H793" s="256"/>
      <c r="I793" s="257"/>
      <c r="J793" s="256"/>
      <c r="K793" s="257"/>
      <c r="L793" s="256"/>
      <c r="M793" s="257"/>
      <c r="N793" s="256"/>
      <c r="O793" s="257"/>
      <c r="P793" s="256"/>
      <c r="Q793" s="257"/>
      <c r="R793" s="256"/>
      <c r="S793" s="257"/>
      <c r="T793" s="256"/>
      <c r="U793" s="257"/>
      <c r="V793" s="256"/>
      <c r="W793" s="257"/>
      <c r="X793" s="256"/>
    </row>
    <row r="794" spans="1:24" ht="12.75">
      <c r="A794" s="255"/>
      <c r="B794" s="256"/>
      <c r="C794" s="257"/>
      <c r="D794" s="256"/>
      <c r="E794" s="257"/>
      <c r="F794" s="256"/>
      <c r="G794" s="257"/>
      <c r="H794" s="256"/>
      <c r="I794" s="257"/>
      <c r="J794" s="256"/>
      <c r="K794" s="257"/>
      <c r="L794" s="256"/>
      <c r="M794" s="257"/>
      <c r="N794" s="256"/>
      <c r="O794" s="257"/>
      <c r="P794" s="256"/>
      <c r="Q794" s="257"/>
      <c r="R794" s="256"/>
      <c r="S794" s="257"/>
      <c r="T794" s="256"/>
      <c r="U794" s="257"/>
      <c r="V794" s="256"/>
      <c r="W794" s="257"/>
      <c r="X794" s="256"/>
    </row>
    <row r="795" spans="1:24" ht="12.75">
      <c r="A795" s="255"/>
      <c r="B795" s="256"/>
      <c r="C795" s="257"/>
      <c r="D795" s="256"/>
      <c r="E795" s="257"/>
      <c r="F795" s="256"/>
      <c r="G795" s="257"/>
      <c r="H795" s="256"/>
      <c r="I795" s="257"/>
      <c r="J795" s="256"/>
      <c r="K795" s="257"/>
      <c r="L795" s="256"/>
      <c r="M795" s="257"/>
      <c r="N795" s="256"/>
      <c r="O795" s="257"/>
      <c r="P795" s="256"/>
      <c r="Q795" s="257"/>
      <c r="R795" s="256"/>
      <c r="S795" s="257"/>
      <c r="T795" s="256"/>
      <c r="U795" s="257"/>
      <c r="V795" s="256"/>
      <c r="W795" s="257"/>
      <c r="X795" s="256"/>
    </row>
    <row r="796" spans="1:24" ht="12.75">
      <c r="A796" s="255"/>
      <c r="B796" s="256"/>
      <c r="C796" s="257"/>
      <c r="D796" s="256"/>
      <c r="E796" s="257"/>
      <c r="F796" s="256"/>
      <c r="G796" s="257"/>
      <c r="H796" s="256"/>
      <c r="I796" s="257"/>
      <c r="J796" s="256"/>
      <c r="K796" s="257"/>
      <c r="L796" s="256"/>
      <c r="M796" s="257"/>
      <c r="N796" s="256"/>
      <c r="O796" s="257"/>
      <c r="P796" s="256"/>
      <c r="Q796" s="257"/>
      <c r="R796" s="256"/>
      <c r="S796" s="257"/>
      <c r="T796" s="256"/>
      <c r="U796" s="257"/>
      <c r="V796" s="256"/>
      <c r="W796" s="257"/>
      <c r="X796" s="256"/>
    </row>
    <row r="797" spans="1:24" ht="12.75">
      <c r="A797" s="255"/>
      <c r="B797" s="256"/>
      <c r="C797" s="257"/>
      <c r="D797" s="256"/>
      <c r="E797" s="257"/>
      <c r="F797" s="256"/>
      <c r="G797" s="257"/>
      <c r="H797" s="256"/>
      <c r="I797" s="257"/>
      <c r="J797" s="256"/>
      <c r="K797" s="257"/>
      <c r="L797" s="256"/>
      <c r="M797" s="257"/>
      <c r="N797" s="256"/>
      <c r="O797" s="257"/>
      <c r="P797" s="256"/>
      <c r="Q797" s="257"/>
      <c r="R797" s="256"/>
      <c r="S797" s="257"/>
      <c r="T797" s="256"/>
      <c r="U797" s="257"/>
      <c r="V797" s="256"/>
      <c r="W797" s="257"/>
      <c r="X797" s="256"/>
    </row>
    <row r="798" spans="1:24" ht="12.75">
      <c r="A798" s="255"/>
      <c r="B798" s="256"/>
      <c r="C798" s="257"/>
      <c r="D798" s="256"/>
      <c r="E798" s="257"/>
      <c r="F798" s="256"/>
      <c r="G798" s="257"/>
      <c r="H798" s="256"/>
      <c r="I798" s="257"/>
      <c r="J798" s="256"/>
      <c r="K798" s="257"/>
      <c r="L798" s="256"/>
      <c r="M798" s="257"/>
      <c r="N798" s="256"/>
      <c r="O798" s="257"/>
      <c r="P798" s="256"/>
      <c r="Q798" s="257"/>
      <c r="R798" s="256"/>
      <c r="S798" s="257"/>
      <c r="T798" s="256"/>
      <c r="U798" s="257"/>
      <c r="V798" s="256"/>
      <c r="W798" s="257"/>
      <c r="X798" s="256"/>
    </row>
    <row r="799" spans="1:24" ht="12.75">
      <c r="A799" s="255"/>
      <c r="B799" s="256"/>
      <c r="C799" s="257"/>
      <c r="D799" s="256"/>
      <c r="E799" s="257"/>
      <c r="F799" s="256"/>
      <c r="G799" s="257"/>
      <c r="H799" s="256"/>
      <c r="I799" s="257"/>
      <c r="J799" s="256"/>
      <c r="K799" s="257"/>
      <c r="L799" s="256"/>
      <c r="M799" s="257"/>
      <c r="N799" s="256"/>
      <c r="O799" s="257"/>
      <c r="P799" s="256"/>
      <c r="Q799" s="257"/>
      <c r="R799" s="256"/>
      <c r="S799" s="257"/>
      <c r="T799" s="256"/>
      <c r="U799" s="257"/>
      <c r="V799" s="256"/>
      <c r="W799" s="257"/>
      <c r="X799" s="256"/>
    </row>
    <row r="800" spans="1:24" ht="12.75">
      <c r="A800" s="255"/>
      <c r="B800" s="256"/>
      <c r="C800" s="257"/>
      <c r="D800" s="256"/>
      <c r="E800" s="257"/>
      <c r="F800" s="256"/>
      <c r="G800" s="257"/>
      <c r="H800" s="256"/>
      <c r="I800" s="257"/>
      <c r="J800" s="256"/>
      <c r="K800" s="257"/>
      <c r="L800" s="256"/>
      <c r="M800" s="257"/>
      <c r="N800" s="256"/>
      <c r="O800" s="257"/>
      <c r="P800" s="256"/>
      <c r="Q800" s="257"/>
      <c r="R800" s="256"/>
      <c r="S800" s="257"/>
      <c r="T800" s="256"/>
      <c r="U800" s="257"/>
      <c r="V800" s="256"/>
      <c r="W800" s="257"/>
      <c r="X800" s="256"/>
    </row>
    <row r="801" spans="1:24" ht="12.75">
      <c r="A801" s="255"/>
      <c r="B801" s="256"/>
      <c r="C801" s="257"/>
      <c r="D801" s="256"/>
      <c r="E801" s="257"/>
      <c r="F801" s="256"/>
      <c r="G801" s="257"/>
      <c r="H801" s="256"/>
      <c r="I801" s="257"/>
      <c r="J801" s="256"/>
      <c r="K801" s="257"/>
      <c r="L801" s="256"/>
      <c r="M801" s="257"/>
      <c r="N801" s="256"/>
      <c r="O801" s="257"/>
      <c r="P801" s="256"/>
      <c r="Q801" s="257"/>
      <c r="R801" s="256"/>
      <c r="S801" s="257"/>
      <c r="T801" s="256"/>
      <c r="U801" s="257"/>
      <c r="V801" s="256"/>
      <c r="W801" s="257"/>
      <c r="X801" s="256"/>
    </row>
    <row r="802" spans="1:24" ht="12.75">
      <c r="A802" s="255"/>
      <c r="B802" s="256"/>
      <c r="C802" s="257"/>
      <c r="D802" s="256"/>
      <c r="E802" s="257"/>
      <c r="F802" s="256"/>
      <c r="G802" s="257"/>
      <c r="H802" s="256"/>
      <c r="I802" s="257"/>
      <c r="J802" s="256"/>
      <c r="K802" s="257"/>
      <c r="L802" s="256"/>
      <c r="M802" s="257"/>
      <c r="N802" s="256"/>
      <c r="O802" s="257"/>
      <c r="P802" s="256"/>
      <c r="Q802" s="257"/>
      <c r="R802" s="256"/>
      <c r="S802" s="257"/>
      <c r="T802" s="256"/>
      <c r="U802" s="257"/>
      <c r="V802" s="256"/>
      <c r="W802" s="257"/>
      <c r="X802" s="256"/>
    </row>
    <row r="803" spans="1:24" ht="12.75">
      <c r="A803" s="255"/>
      <c r="B803" s="256"/>
      <c r="C803" s="257"/>
      <c r="D803" s="256"/>
      <c r="E803" s="257"/>
      <c r="F803" s="256"/>
      <c r="G803" s="257"/>
      <c r="H803" s="256"/>
      <c r="I803" s="257"/>
      <c r="J803" s="256"/>
      <c r="K803" s="257"/>
      <c r="L803" s="256"/>
      <c r="M803" s="257"/>
      <c r="N803" s="256"/>
      <c r="O803" s="257"/>
      <c r="P803" s="256"/>
      <c r="Q803" s="257"/>
      <c r="R803" s="256"/>
      <c r="S803" s="257"/>
      <c r="T803" s="256"/>
      <c r="U803" s="257"/>
      <c r="V803" s="256"/>
      <c r="W803" s="257"/>
      <c r="X803" s="256"/>
    </row>
    <row r="804" spans="1:24" ht="12.75">
      <c r="A804" s="255"/>
      <c r="B804" s="256"/>
      <c r="C804" s="257"/>
      <c r="D804" s="256"/>
      <c r="E804" s="257"/>
      <c r="F804" s="256"/>
      <c r="G804" s="257"/>
      <c r="H804" s="256"/>
      <c r="I804" s="257"/>
      <c r="J804" s="256"/>
      <c r="K804" s="257"/>
      <c r="L804" s="256"/>
      <c r="M804" s="257"/>
      <c r="N804" s="256"/>
      <c r="O804" s="257"/>
      <c r="P804" s="256"/>
      <c r="Q804" s="257"/>
      <c r="R804" s="256"/>
      <c r="S804" s="257"/>
      <c r="T804" s="256"/>
      <c r="U804" s="257"/>
      <c r="V804" s="256"/>
      <c r="W804" s="257"/>
      <c r="X804" s="256"/>
    </row>
    <row r="805" spans="1:24" ht="12.75">
      <c r="A805" s="255"/>
      <c r="B805" s="256"/>
      <c r="C805" s="257"/>
      <c r="D805" s="256"/>
      <c r="E805" s="257"/>
      <c r="F805" s="256"/>
      <c r="G805" s="257"/>
      <c r="H805" s="256"/>
      <c r="I805" s="257"/>
      <c r="J805" s="256"/>
      <c r="K805" s="257"/>
      <c r="L805" s="256"/>
      <c r="M805" s="257"/>
      <c r="N805" s="256"/>
      <c r="O805" s="257"/>
      <c r="P805" s="256"/>
      <c r="Q805" s="257"/>
      <c r="R805" s="256"/>
      <c r="S805" s="257"/>
      <c r="T805" s="256"/>
      <c r="U805" s="257"/>
      <c r="V805" s="256"/>
      <c r="W805" s="257"/>
      <c r="X805" s="256"/>
    </row>
    <row r="806" spans="1:24" ht="12.75">
      <c r="A806" s="255"/>
      <c r="B806" s="256"/>
      <c r="C806" s="257"/>
      <c r="D806" s="256"/>
      <c r="E806" s="257"/>
      <c r="F806" s="256"/>
      <c r="G806" s="257"/>
      <c r="H806" s="256"/>
      <c r="I806" s="257"/>
      <c r="J806" s="256"/>
      <c r="K806" s="257"/>
      <c r="L806" s="256"/>
      <c r="M806" s="257"/>
      <c r="N806" s="256"/>
      <c r="O806" s="257"/>
      <c r="P806" s="256"/>
      <c r="Q806" s="257"/>
      <c r="R806" s="256"/>
      <c r="S806" s="257"/>
      <c r="T806" s="256"/>
      <c r="U806" s="257"/>
      <c r="V806" s="256"/>
      <c r="W806" s="257"/>
      <c r="X806" s="256"/>
    </row>
    <row r="807" spans="1:24" ht="12.75">
      <c r="A807" s="255"/>
      <c r="B807" s="256"/>
      <c r="C807" s="257"/>
      <c r="D807" s="256"/>
      <c r="E807" s="257"/>
      <c r="F807" s="256"/>
      <c r="G807" s="257"/>
      <c r="H807" s="256"/>
      <c r="I807" s="257"/>
      <c r="J807" s="256"/>
      <c r="K807" s="257"/>
      <c r="L807" s="256"/>
      <c r="M807" s="257"/>
      <c r="N807" s="256"/>
      <c r="O807" s="257"/>
      <c r="P807" s="256"/>
      <c r="Q807" s="257"/>
      <c r="R807" s="256"/>
      <c r="S807" s="257"/>
      <c r="T807" s="256"/>
      <c r="U807" s="257"/>
      <c r="V807" s="256"/>
      <c r="W807" s="257"/>
      <c r="X807" s="256"/>
    </row>
    <row r="808" spans="1:24" ht="12.75">
      <c r="A808" s="255"/>
      <c r="B808" s="256"/>
      <c r="C808" s="257"/>
      <c r="D808" s="256"/>
      <c r="E808" s="257"/>
      <c r="F808" s="256"/>
      <c r="G808" s="257"/>
      <c r="H808" s="256"/>
      <c r="I808" s="257"/>
      <c r="J808" s="256"/>
      <c r="K808" s="257"/>
      <c r="L808" s="256"/>
      <c r="M808" s="257"/>
      <c r="N808" s="256"/>
      <c r="O808" s="257"/>
      <c r="P808" s="256"/>
      <c r="Q808" s="257"/>
      <c r="R808" s="256"/>
      <c r="S808" s="257"/>
      <c r="T808" s="256"/>
      <c r="U808" s="257"/>
      <c r="V808" s="256"/>
      <c r="W808" s="257"/>
      <c r="X808" s="256"/>
    </row>
    <row r="809" spans="1:24" ht="12.75">
      <c r="A809" s="255"/>
      <c r="B809" s="256"/>
      <c r="C809" s="257"/>
      <c r="D809" s="256"/>
      <c r="E809" s="257"/>
      <c r="F809" s="256"/>
      <c r="G809" s="257"/>
      <c r="H809" s="256"/>
      <c r="I809" s="257"/>
      <c r="J809" s="256"/>
      <c r="K809" s="257"/>
      <c r="L809" s="256"/>
      <c r="M809" s="257"/>
      <c r="N809" s="256"/>
      <c r="O809" s="257"/>
      <c r="P809" s="256"/>
      <c r="Q809" s="257"/>
      <c r="R809" s="256"/>
      <c r="S809" s="257"/>
      <c r="T809" s="256"/>
      <c r="U809" s="257"/>
      <c r="V809" s="256"/>
      <c r="W809" s="257"/>
      <c r="X809" s="256"/>
    </row>
    <row r="810" spans="1:24" ht="12.75">
      <c r="A810" s="255"/>
      <c r="B810" s="256"/>
      <c r="C810" s="257"/>
      <c r="D810" s="256"/>
      <c r="E810" s="257"/>
      <c r="F810" s="256"/>
      <c r="G810" s="257"/>
      <c r="H810" s="256"/>
      <c r="I810" s="257"/>
      <c r="J810" s="256"/>
      <c r="K810" s="257"/>
      <c r="L810" s="256"/>
      <c r="M810" s="257"/>
      <c r="N810" s="256"/>
      <c r="O810" s="257"/>
      <c r="P810" s="256"/>
      <c r="Q810" s="257"/>
      <c r="R810" s="256"/>
      <c r="S810" s="257"/>
      <c r="T810" s="256"/>
      <c r="U810" s="257"/>
      <c r="V810" s="256"/>
      <c r="W810" s="257"/>
      <c r="X810" s="256"/>
    </row>
    <row r="811" spans="1:24" ht="12.75">
      <c r="A811" s="255"/>
      <c r="B811" s="256"/>
      <c r="C811" s="257"/>
      <c r="D811" s="256"/>
      <c r="E811" s="257"/>
      <c r="F811" s="256"/>
      <c r="G811" s="257"/>
      <c r="H811" s="256"/>
      <c r="I811" s="257"/>
      <c r="J811" s="256"/>
      <c r="K811" s="257"/>
      <c r="L811" s="256"/>
      <c r="M811" s="257"/>
      <c r="N811" s="256"/>
      <c r="O811" s="257"/>
      <c r="P811" s="256"/>
      <c r="Q811" s="257"/>
      <c r="R811" s="256"/>
      <c r="S811" s="257"/>
      <c r="T811" s="256"/>
      <c r="U811" s="257"/>
      <c r="V811" s="256"/>
      <c r="W811" s="257"/>
      <c r="X811" s="256"/>
    </row>
    <row r="812" spans="1:24" ht="12.75">
      <c r="A812" s="255"/>
      <c r="B812" s="256"/>
      <c r="C812" s="257"/>
      <c r="D812" s="256"/>
      <c r="E812" s="257"/>
      <c r="F812" s="256"/>
      <c r="G812" s="257"/>
      <c r="H812" s="256"/>
      <c r="I812" s="257"/>
      <c r="J812" s="256"/>
      <c r="K812" s="257"/>
      <c r="L812" s="256"/>
      <c r="M812" s="257"/>
      <c r="N812" s="256"/>
      <c r="O812" s="257"/>
      <c r="P812" s="256"/>
      <c r="Q812" s="257"/>
      <c r="R812" s="256"/>
      <c r="S812" s="257"/>
      <c r="T812" s="256"/>
      <c r="U812" s="257"/>
      <c r="V812" s="256"/>
      <c r="W812" s="257"/>
      <c r="X812" s="256"/>
    </row>
    <row r="813" spans="1:24" ht="12.75">
      <c r="A813" s="255"/>
      <c r="B813" s="256"/>
      <c r="C813" s="257"/>
      <c r="D813" s="256"/>
      <c r="E813" s="257"/>
      <c r="F813" s="256"/>
      <c r="G813" s="257"/>
      <c r="H813" s="256"/>
      <c r="I813" s="257"/>
      <c r="J813" s="256"/>
      <c r="K813" s="257"/>
      <c r="L813" s="256"/>
      <c r="M813" s="257"/>
      <c r="N813" s="256"/>
      <c r="O813" s="257"/>
      <c r="P813" s="256"/>
      <c r="Q813" s="257"/>
      <c r="R813" s="256"/>
      <c r="S813" s="257"/>
      <c r="T813" s="256"/>
      <c r="U813" s="257"/>
      <c r="V813" s="256"/>
      <c r="W813" s="257"/>
      <c r="X813" s="256"/>
    </row>
    <row r="814" spans="1:24" ht="12.75">
      <c r="A814" s="255"/>
      <c r="B814" s="256"/>
      <c r="C814" s="257"/>
      <c r="D814" s="256"/>
      <c r="E814" s="257"/>
      <c r="F814" s="256"/>
      <c r="G814" s="257"/>
      <c r="H814" s="256"/>
      <c r="I814" s="257"/>
      <c r="J814" s="256"/>
      <c r="K814" s="257"/>
      <c r="L814" s="256"/>
      <c r="M814" s="257"/>
      <c r="N814" s="256"/>
      <c r="O814" s="257"/>
      <c r="P814" s="256"/>
      <c r="Q814" s="257"/>
      <c r="R814" s="256"/>
      <c r="S814" s="257"/>
      <c r="T814" s="256"/>
      <c r="U814" s="257"/>
      <c r="V814" s="256"/>
      <c r="W814" s="257"/>
      <c r="X814" s="256"/>
    </row>
    <row r="815" spans="1:24" ht="12.75">
      <c r="A815" s="255"/>
      <c r="B815" s="256"/>
      <c r="C815" s="257"/>
      <c r="D815" s="256"/>
      <c r="E815" s="257"/>
      <c r="F815" s="256"/>
      <c r="G815" s="257"/>
      <c r="H815" s="256"/>
      <c r="I815" s="257"/>
      <c r="J815" s="256"/>
      <c r="K815" s="257"/>
      <c r="L815" s="256"/>
      <c r="M815" s="257"/>
      <c r="N815" s="256"/>
      <c r="O815" s="257"/>
      <c r="P815" s="256"/>
      <c r="Q815" s="257"/>
      <c r="R815" s="256"/>
      <c r="S815" s="257"/>
      <c r="T815" s="256"/>
      <c r="U815" s="257"/>
      <c r="V815" s="256"/>
      <c r="W815" s="257"/>
      <c r="X815" s="256"/>
    </row>
    <row r="816" spans="1:24" ht="12.75">
      <c r="A816" s="255"/>
      <c r="B816" s="256"/>
      <c r="C816" s="257"/>
      <c r="D816" s="256"/>
      <c r="E816" s="257"/>
      <c r="F816" s="256"/>
      <c r="G816" s="257"/>
      <c r="H816" s="256"/>
      <c r="I816" s="257"/>
      <c r="J816" s="256"/>
      <c r="K816" s="257"/>
      <c r="L816" s="256"/>
      <c r="M816" s="257"/>
      <c r="N816" s="256"/>
      <c r="O816" s="257"/>
      <c r="P816" s="256"/>
      <c r="Q816" s="257"/>
      <c r="R816" s="256"/>
      <c r="S816" s="257"/>
      <c r="T816" s="256"/>
      <c r="U816" s="257"/>
      <c r="V816" s="256"/>
      <c r="W816" s="257"/>
      <c r="X816" s="256"/>
    </row>
    <row r="817" spans="1:24" ht="12.75">
      <c r="A817" s="255"/>
      <c r="B817" s="256"/>
      <c r="C817" s="257"/>
      <c r="D817" s="256"/>
      <c r="E817" s="257"/>
      <c r="F817" s="256"/>
      <c r="G817" s="257"/>
      <c r="H817" s="256"/>
      <c r="I817" s="257"/>
      <c r="J817" s="256"/>
      <c r="K817" s="257"/>
      <c r="L817" s="256"/>
      <c r="M817" s="257"/>
      <c r="N817" s="256"/>
      <c r="O817" s="257"/>
      <c r="P817" s="256"/>
      <c r="Q817" s="257"/>
      <c r="R817" s="256"/>
      <c r="S817" s="257"/>
      <c r="T817" s="256"/>
      <c r="U817" s="257"/>
      <c r="V817" s="256"/>
      <c r="W817" s="257"/>
      <c r="X817" s="256"/>
    </row>
    <row r="818" spans="1:24" ht="12.75">
      <c r="A818" s="255"/>
      <c r="B818" s="256"/>
      <c r="C818" s="257"/>
      <c r="D818" s="256"/>
      <c r="E818" s="257"/>
      <c r="F818" s="256"/>
      <c r="G818" s="257"/>
      <c r="H818" s="256"/>
      <c r="I818" s="257"/>
      <c r="J818" s="256"/>
      <c r="K818" s="257"/>
      <c r="L818" s="256"/>
      <c r="M818" s="257"/>
      <c r="N818" s="256"/>
      <c r="O818" s="257"/>
      <c r="P818" s="256"/>
      <c r="Q818" s="257"/>
      <c r="R818" s="256"/>
      <c r="S818" s="257"/>
      <c r="T818" s="256"/>
      <c r="U818" s="257"/>
      <c r="V818" s="256"/>
      <c r="W818" s="257"/>
      <c r="X818" s="256"/>
    </row>
    <row r="819" spans="1:24" ht="12.75">
      <c r="A819" s="255"/>
      <c r="B819" s="256"/>
      <c r="C819" s="257"/>
      <c r="D819" s="256"/>
      <c r="E819" s="257"/>
      <c r="F819" s="256"/>
      <c r="G819" s="257"/>
      <c r="H819" s="256"/>
      <c r="I819" s="257"/>
      <c r="J819" s="256"/>
      <c r="K819" s="257"/>
      <c r="L819" s="256"/>
      <c r="M819" s="257"/>
      <c r="N819" s="256"/>
      <c r="O819" s="257"/>
      <c r="P819" s="256"/>
      <c r="Q819" s="257"/>
      <c r="R819" s="256"/>
      <c r="S819" s="257"/>
      <c r="T819" s="256"/>
      <c r="U819" s="257"/>
      <c r="V819" s="256"/>
      <c r="W819" s="257"/>
      <c r="X819" s="256"/>
    </row>
    <row r="820" spans="1:24" ht="12.75">
      <c r="A820" s="255"/>
      <c r="B820" s="256"/>
      <c r="C820" s="257"/>
      <c r="D820" s="256"/>
      <c r="E820" s="257"/>
      <c r="F820" s="256"/>
      <c r="G820" s="257"/>
      <c r="H820" s="256"/>
      <c r="I820" s="257"/>
      <c r="J820" s="256"/>
      <c r="K820" s="257"/>
      <c r="L820" s="256"/>
      <c r="M820" s="257"/>
      <c r="N820" s="256"/>
      <c r="O820" s="257"/>
      <c r="P820" s="256"/>
      <c r="Q820" s="257"/>
      <c r="R820" s="256"/>
      <c r="S820" s="257"/>
      <c r="T820" s="256"/>
      <c r="U820" s="257"/>
      <c r="V820" s="256"/>
      <c r="W820" s="257"/>
      <c r="X820" s="256"/>
    </row>
    <row r="821" spans="1:24" ht="12.75">
      <c r="A821" s="255"/>
      <c r="B821" s="256"/>
      <c r="C821" s="257"/>
      <c r="D821" s="256"/>
      <c r="E821" s="257"/>
      <c r="F821" s="256"/>
      <c r="G821" s="257"/>
      <c r="H821" s="256"/>
      <c r="I821" s="257"/>
      <c r="J821" s="256"/>
      <c r="K821" s="257"/>
      <c r="L821" s="256"/>
      <c r="M821" s="257"/>
      <c r="N821" s="256"/>
      <c r="O821" s="257"/>
      <c r="P821" s="256"/>
      <c r="Q821" s="257"/>
      <c r="R821" s="256"/>
      <c r="S821" s="257"/>
      <c r="T821" s="256"/>
      <c r="U821" s="257"/>
      <c r="V821" s="256"/>
      <c r="W821" s="257"/>
      <c r="X821" s="256"/>
    </row>
    <row r="822" spans="1:24" ht="12.75">
      <c r="A822" s="255"/>
      <c r="B822" s="256"/>
      <c r="C822" s="257"/>
      <c r="D822" s="256"/>
      <c r="E822" s="257"/>
      <c r="F822" s="256"/>
      <c r="G822" s="257"/>
      <c r="H822" s="256"/>
      <c r="I822" s="257"/>
      <c r="J822" s="256"/>
      <c r="K822" s="257"/>
      <c r="L822" s="256"/>
      <c r="M822" s="257"/>
      <c r="N822" s="256"/>
      <c r="O822" s="257"/>
      <c r="P822" s="256"/>
      <c r="Q822" s="257"/>
      <c r="R822" s="256"/>
      <c r="S822" s="257"/>
      <c r="T822" s="256"/>
      <c r="U822" s="257"/>
      <c r="V822" s="256"/>
      <c r="W822" s="257"/>
      <c r="X822" s="256"/>
    </row>
    <row r="823" spans="1:24" ht="12.75">
      <c r="A823" s="255"/>
      <c r="B823" s="256"/>
      <c r="C823" s="257"/>
      <c r="D823" s="256"/>
      <c r="E823" s="257"/>
      <c r="F823" s="256"/>
      <c r="G823" s="257"/>
      <c r="H823" s="256"/>
      <c r="I823" s="257"/>
      <c r="J823" s="256"/>
      <c r="K823" s="257"/>
      <c r="L823" s="256"/>
      <c r="M823" s="257"/>
      <c r="N823" s="256"/>
      <c r="O823" s="257"/>
      <c r="P823" s="256"/>
      <c r="Q823" s="257"/>
      <c r="R823" s="256"/>
      <c r="S823" s="257"/>
      <c r="T823" s="256"/>
      <c r="U823" s="257"/>
      <c r="V823" s="256"/>
      <c r="W823" s="257"/>
      <c r="X823" s="256"/>
    </row>
    <row r="824" spans="1:24" ht="12.75">
      <c r="A824" s="255"/>
      <c r="B824" s="256"/>
      <c r="C824" s="257"/>
      <c r="D824" s="256"/>
      <c r="E824" s="257"/>
      <c r="F824" s="256"/>
      <c r="G824" s="257"/>
      <c r="H824" s="256"/>
      <c r="I824" s="257"/>
      <c r="J824" s="256"/>
      <c r="K824" s="257"/>
      <c r="L824" s="256"/>
      <c r="M824" s="257"/>
      <c r="N824" s="256"/>
      <c r="O824" s="257"/>
      <c r="P824" s="256"/>
      <c r="Q824" s="257"/>
      <c r="R824" s="256"/>
      <c r="S824" s="257"/>
      <c r="T824" s="256"/>
      <c r="U824" s="257"/>
      <c r="V824" s="256"/>
      <c r="W824" s="257"/>
      <c r="X824" s="256"/>
    </row>
    <row r="825" spans="1:24" ht="12.75">
      <c r="A825" s="255"/>
      <c r="B825" s="256"/>
      <c r="C825" s="257"/>
      <c r="D825" s="256"/>
      <c r="E825" s="257"/>
      <c r="F825" s="256"/>
      <c r="G825" s="257"/>
      <c r="H825" s="256"/>
      <c r="I825" s="257"/>
      <c r="J825" s="256"/>
      <c r="K825" s="257"/>
      <c r="L825" s="256"/>
      <c r="M825" s="257"/>
      <c r="N825" s="256"/>
      <c r="O825" s="257"/>
      <c r="P825" s="256"/>
      <c r="Q825" s="257"/>
      <c r="R825" s="256"/>
      <c r="S825" s="257"/>
      <c r="T825" s="256"/>
      <c r="U825" s="257"/>
      <c r="V825" s="256"/>
      <c r="W825" s="257"/>
      <c r="X825" s="256"/>
    </row>
    <row r="826" spans="1:24" ht="12.75">
      <c r="A826" s="255"/>
      <c r="B826" s="256"/>
      <c r="C826" s="257"/>
      <c r="D826" s="256"/>
      <c r="E826" s="257"/>
      <c r="F826" s="256"/>
      <c r="G826" s="257"/>
      <c r="H826" s="256"/>
      <c r="I826" s="257"/>
      <c r="J826" s="256"/>
      <c r="K826" s="257"/>
      <c r="L826" s="256"/>
      <c r="M826" s="257"/>
      <c r="N826" s="256"/>
      <c r="O826" s="257"/>
      <c r="P826" s="256"/>
      <c r="Q826" s="257"/>
      <c r="R826" s="256"/>
      <c r="S826" s="257"/>
      <c r="T826" s="256"/>
      <c r="U826" s="257"/>
      <c r="V826" s="256"/>
      <c r="W826" s="257"/>
      <c r="X826" s="256"/>
    </row>
    <row r="827" spans="1:24" ht="12.75">
      <c r="A827" s="255"/>
      <c r="B827" s="256"/>
      <c r="C827" s="257"/>
      <c r="D827" s="256"/>
      <c r="E827" s="257"/>
      <c r="F827" s="256"/>
      <c r="G827" s="257"/>
      <c r="H827" s="256"/>
      <c r="I827" s="257"/>
      <c r="J827" s="256"/>
      <c r="K827" s="257"/>
      <c r="L827" s="256"/>
      <c r="M827" s="257"/>
      <c r="N827" s="256"/>
      <c r="O827" s="257"/>
      <c r="P827" s="256"/>
      <c r="Q827" s="257"/>
      <c r="R827" s="256"/>
      <c r="S827" s="257"/>
      <c r="T827" s="256"/>
      <c r="U827" s="257"/>
      <c r="V827" s="256"/>
      <c r="W827" s="257"/>
      <c r="X827" s="256"/>
    </row>
    <row r="828" spans="1:24" ht="12.75">
      <c r="A828" s="255"/>
      <c r="B828" s="256"/>
      <c r="C828" s="257"/>
      <c r="D828" s="256"/>
      <c r="E828" s="257"/>
      <c r="F828" s="256"/>
      <c r="G828" s="257"/>
      <c r="H828" s="256"/>
      <c r="I828" s="257"/>
      <c r="J828" s="256"/>
      <c r="K828" s="257"/>
      <c r="L828" s="256"/>
      <c r="M828" s="257"/>
      <c r="N828" s="256"/>
      <c r="O828" s="257"/>
      <c r="P828" s="256"/>
      <c r="Q828" s="257"/>
      <c r="R828" s="256"/>
      <c r="S828" s="257"/>
      <c r="T828" s="256"/>
      <c r="U828" s="257"/>
      <c r="V828" s="256"/>
      <c r="W828" s="257"/>
      <c r="X828" s="256"/>
    </row>
    <row r="829" spans="1:24" ht="12.75">
      <c r="A829" s="255"/>
      <c r="B829" s="256"/>
      <c r="C829" s="257"/>
      <c r="D829" s="256"/>
      <c r="E829" s="257"/>
      <c r="F829" s="256"/>
      <c r="G829" s="257"/>
      <c r="H829" s="256"/>
      <c r="I829" s="257"/>
      <c r="J829" s="256"/>
      <c r="K829" s="257"/>
      <c r="L829" s="256"/>
      <c r="M829" s="257"/>
      <c r="N829" s="256"/>
      <c r="O829" s="257"/>
      <c r="P829" s="256"/>
      <c r="Q829" s="257"/>
      <c r="R829" s="256"/>
      <c r="S829" s="257"/>
      <c r="T829" s="256"/>
      <c r="U829" s="257"/>
      <c r="V829" s="256"/>
      <c r="W829" s="257"/>
      <c r="X829" s="256"/>
    </row>
    <row r="830" spans="1:24" ht="12.75">
      <c r="A830" s="255"/>
      <c r="B830" s="256"/>
      <c r="C830" s="257"/>
      <c r="D830" s="256"/>
      <c r="E830" s="257"/>
      <c r="F830" s="256"/>
      <c r="G830" s="257"/>
      <c r="H830" s="256"/>
      <c r="I830" s="257"/>
      <c r="J830" s="256"/>
      <c r="K830" s="257"/>
      <c r="L830" s="256"/>
      <c r="M830" s="257"/>
      <c r="N830" s="256"/>
      <c r="O830" s="257"/>
      <c r="P830" s="256"/>
      <c r="Q830" s="257"/>
      <c r="R830" s="256"/>
      <c r="S830" s="257"/>
      <c r="T830" s="256"/>
      <c r="U830" s="257"/>
      <c r="V830" s="256"/>
      <c r="W830" s="257"/>
      <c r="X830" s="256"/>
    </row>
    <row r="831" spans="1:24" ht="12.75">
      <c r="A831" s="255"/>
      <c r="B831" s="256"/>
      <c r="C831" s="257"/>
      <c r="D831" s="256"/>
      <c r="E831" s="257"/>
      <c r="F831" s="256"/>
      <c r="G831" s="257"/>
      <c r="H831" s="256"/>
      <c r="I831" s="257"/>
      <c r="J831" s="256"/>
      <c r="K831" s="257"/>
      <c r="L831" s="256"/>
      <c r="M831" s="257"/>
      <c r="N831" s="256"/>
      <c r="O831" s="257"/>
      <c r="P831" s="256"/>
      <c r="Q831" s="257"/>
      <c r="R831" s="256"/>
      <c r="S831" s="257"/>
      <c r="T831" s="256"/>
      <c r="U831" s="257"/>
      <c r="V831" s="256"/>
      <c r="W831" s="257"/>
      <c r="X831" s="256"/>
    </row>
    <row r="832" spans="1:24" ht="12.75">
      <c r="A832" s="255"/>
      <c r="B832" s="256"/>
      <c r="C832" s="257"/>
      <c r="D832" s="256"/>
      <c r="E832" s="257"/>
      <c r="F832" s="256"/>
      <c r="G832" s="257"/>
      <c r="H832" s="256"/>
      <c r="I832" s="257"/>
      <c r="J832" s="256"/>
      <c r="K832" s="257"/>
      <c r="L832" s="256"/>
      <c r="M832" s="257"/>
      <c r="N832" s="256"/>
      <c r="O832" s="257"/>
      <c r="P832" s="256"/>
      <c r="Q832" s="257"/>
      <c r="R832" s="256"/>
      <c r="S832" s="257"/>
      <c r="T832" s="256"/>
      <c r="U832" s="257"/>
      <c r="V832" s="256"/>
      <c r="W832" s="257"/>
      <c r="X832" s="256"/>
    </row>
    <row r="833" spans="1:24" ht="12.75">
      <c r="A833" s="255"/>
      <c r="B833" s="256"/>
      <c r="C833" s="257"/>
      <c r="D833" s="256"/>
      <c r="E833" s="257"/>
      <c r="F833" s="256"/>
      <c r="G833" s="257"/>
      <c r="H833" s="256"/>
      <c r="I833" s="257"/>
      <c r="J833" s="256"/>
      <c r="K833" s="257"/>
      <c r="L833" s="256"/>
      <c r="M833" s="257"/>
      <c r="N833" s="256"/>
      <c r="O833" s="257"/>
      <c r="P833" s="256"/>
      <c r="Q833" s="257"/>
      <c r="R833" s="256"/>
      <c r="S833" s="257"/>
      <c r="T833" s="256"/>
      <c r="U833" s="257"/>
      <c r="V833" s="256"/>
      <c r="W833" s="257"/>
      <c r="X833" s="256"/>
    </row>
    <row r="834" spans="1:24" ht="12.75">
      <c r="A834" s="255"/>
      <c r="B834" s="256"/>
      <c r="C834" s="257"/>
      <c r="D834" s="256"/>
      <c r="E834" s="257"/>
      <c r="F834" s="256"/>
      <c r="G834" s="257"/>
      <c r="H834" s="256"/>
      <c r="I834" s="257"/>
      <c r="J834" s="256"/>
      <c r="K834" s="257"/>
      <c r="L834" s="256"/>
      <c r="M834" s="257"/>
      <c r="N834" s="256"/>
      <c r="O834" s="257"/>
      <c r="P834" s="256"/>
      <c r="Q834" s="257"/>
      <c r="R834" s="256"/>
      <c r="S834" s="257"/>
      <c r="T834" s="256"/>
      <c r="U834" s="257"/>
      <c r="V834" s="256"/>
      <c r="W834" s="257"/>
      <c r="X834" s="256"/>
    </row>
    <row r="835" spans="1:24" ht="12.75">
      <c r="A835" s="255"/>
      <c r="B835" s="256"/>
      <c r="C835" s="257"/>
      <c r="D835" s="256"/>
      <c r="E835" s="257"/>
      <c r="F835" s="256"/>
      <c r="G835" s="257"/>
      <c r="H835" s="256"/>
      <c r="I835" s="257"/>
      <c r="J835" s="256"/>
      <c r="K835" s="257"/>
      <c r="L835" s="256"/>
      <c r="M835" s="257"/>
      <c r="N835" s="256"/>
      <c r="O835" s="257"/>
      <c r="P835" s="256"/>
      <c r="Q835" s="257"/>
      <c r="R835" s="256"/>
      <c r="S835" s="257"/>
      <c r="T835" s="256"/>
      <c r="U835" s="257"/>
      <c r="V835" s="256"/>
      <c r="W835" s="257"/>
      <c r="X835" s="256"/>
    </row>
    <row r="836" spans="1:24" ht="12.75">
      <c r="A836" s="255"/>
      <c r="B836" s="256"/>
      <c r="C836" s="257"/>
      <c r="D836" s="256"/>
      <c r="E836" s="257"/>
      <c r="F836" s="256"/>
      <c r="G836" s="257"/>
      <c r="H836" s="256"/>
      <c r="I836" s="257"/>
      <c r="J836" s="256"/>
      <c r="K836" s="257"/>
      <c r="L836" s="256"/>
      <c r="M836" s="257"/>
      <c r="N836" s="256"/>
      <c r="O836" s="257"/>
      <c r="P836" s="256"/>
      <c r="Q836" s="257"/>
      <c r="R836" s="256"/>
      <c r="S836" s="257"/>
      <c r="T836" s="256"/>
      <c r="U836" s="257"/>
      <c r="V836" s="256"/>
      <c r="W836" s="257"/>
      <c r="X836" s="256"/>
    </row>
    <row r="837" spans="1:24" ht="12.75">
      <c r="A837" s="255"/>
      <c r="B837" s="256"/>
      <c r="C837" s="257"/>
      <c r="D837" s="256"/>
      <c r="E837" s="257"/>
      <c r="F837" s="256"/>
      <c r="G837" s="257"/>
      <c r="H837" s="256"/>
      <c r="I837" s="257"/>
      <c r="J837" s="256"/>
      <c r="K837" s="257"/>
      <c r="L837" s="256"/>
      <c r="M837" s="257"/>
      <c r="N837" s="256"/>
      <c r="O837" s="257"/>
      <c r="P837" s="256"/>
      <c r="Q837" s="257"/>
      <c r="R837" s="256"/>
      <c r="S837" s="257"/>
      <c r="T837" s="256"/>
      <c r="U837" s="257"/>
      <c r="V837" s="256"/>
      <c r="W837" s="257"/>
      <c r="X837" s="256"/>
    </row>
    <row r="838" spans="1:24" ht="12.75">
      <c r="A838" s="255"/>
      <c r="B838" s="256"/>
      <c r="C838" s="257"/>
      <c r="D838" s="256"/>
      <c r="E838" s="257"/>
      <c r="F838" s="256"/>
      <c r="G838" s="257"/>
      <c r="H838" s="256"/>
      <c r="I838" s="257"/>
      <c r="J838" s="256"/>
      <c r="K838" s="257"/>
      <c r="L838" s="256"/>
      <c r="M838" s="257"/>
      <c r="N838" s="256"/>
      <c r="O838" s="257"/>
      <c r="P838" s="256"/>
      <c r="Q838" s="257"/>
      <c r="R838" s="256"/>
      <c r="S838" s="257"/>
      <c r="T838" s="256"/>
      <c r="U838" s="257"/>
      <c r="V838" s="256"/>
      <c r="W838" s="257"/>
      <c r="X838" s="256"/>
    </row>
    <row r="839" spans="1:24" ht="12.75">
      <c r="A839" s="255"/>
      <c r="B839" s="256"/>
      <c r="C839" s="257"/>
      <c r="D839" s="256"/>
      <c r="E839" s="257"/>
      <c r="F839" s="256"/>
      <c r="G839" s="257"/>
      <c r="H839" s="256"/>
      <c r="I839" s="257"/>
      <c r="J839" s="256"/>
      <c r="K839" s="257"/>
      <c r="L839" s="256"/>
      <c r="M839" s="257"/>
      <c r="N839" s="256"/>
      <c r="O839" s="257"/>
      <c r="P839" s="256"/>
      <c r="Q839" s="257"/>
      <c r="R839" s="256"/>
      <c r="S839" s="257"/>
      <c r="T839" s="256"/>
      <c r="U839" s="257"/>
      <c r="V839" s="256"/>
      <c r="W839" s="257"/>
      <c r="X839" s="256"/>
    </row>
    <row r="840" spans="1:24" ht="12.75">
      <c r="A840" s="255"/>
      <c r="B840" s="256"/>
      <c r="C840" s="257"/>
      <c r="D840" s="256"/>
      <c r="E840" s="257"/>
      <c r="F840" s="256"/>
      <c r="G840" s="257"/>
      <c r="H840" s="256"/>
      <c r="I840" s="257"/>
      <c r="J840" s="256"/>
      <c r="K840" s="257"/>
      <c r="L840" s="256"/>
      <c r="M840" s="257"/>
      <c r="N840" s="256"/>
      <c r="O840" s="257"/>
      <c r="P840" s="256"/>
      <c r="Q840" s="257"/>
      <c r="R840" s="256"/>
      <c r="S840" s="257"/>
      <c r="T840" s="256"/>
      <c r="U840" s="257"/>
      <c r="V840" s="256"/>
      <c r="W840" s="257"/>
      <c r="X840" s="256"/>
    </row>
    <row r="841" spans="1:24" ht="12.75">
      <c r="A841" s="255"/>
      <c r="B841" s="256"/>
      <c r="C841" s="257"/>
      <c r="D841" s="256"/>
      <c r="E841" s="257"/>
      <c r="F841" s="256"/>
      <c r="G841" s="257"/>
      <c r="H841" s="256"/>
      <c r="I841" s="257"/>
      <c r="J841" s="256"/>
      <c r="K841" s="257"/>
      <c r="L841" s="256"/>
      <c r="M841" s="257"/>
      <c r="N841" s="256"/>
      <c r="O841" s="257"/>
      <c r="P841" s="256"/>
      <c r="Q841" s="257"/>
      <c r="R841" s="256"/>
      <c r="S841" s="257"/>
      <c r="T841" s="256"/>
      <c r="U841" s="257"/>
      <c r="V841" s="256"/>
      <c r="W841" s="257"/>
      <c r="X841" s="256"/>
    </row>
    <row r="842" spans="1:24" ht="12.75">
      <c r="A842" s="255"/>
      <c r="B842" s="256"/>
      <c r="C842" s="257"/>
      <c r="D842" s="256"/>
      <c r="E842" s="257"/>
      <c r="F842" s="256"/>
      <c r="G842" s="257"/>
      <c r="H842" s="256"/>
      <c r="I842" s="257"/>
      <c r="J842" s="256"/>
      <c r="K842" s="257"/>
      <c r="L842" s="256"/>
      <c r="M842" s="257"/>
      <c r="N842" s="256"/>
      <c r="O842" s="257"/>
      <c r="P842" s="256"/>
      <c r="Q842" s="257"/>
      <c r="R842" s="256"/>
      <c r="S842" s="257"/>
      <c r="T842" s="256"/>
      <c r="U842" s="257"/>
      <c r="V842" s="256"/>
      <c r="W842" s="257"/>
      <c r="X842" s="256"/>
    </row>
    <row r="843" spans="1:24" ht="12.75">
      <c r="A843" s="255"/>
      <c r="B843" s="256"/>
      <c r="C843" s="257"/>
      <c r="D843" s="256"/>
      <c r="E843" s="257"/>
      <c r="F843" s="256"/>
      <c r="G843" s="257"/>
      <c r="H843" s="256"/>
      <c r="I843" s="257"/>
      <c r="J843" s="256"/>
      <c r="K843" s="257"/>
      <c r="L843" s="256"/>
      <c r="M843" s="257"/>
      <c r="N843" s="256"/>
      <c r="O843" s="257"/>
      <c r="P843" s="256"/>
      <c r="Q843" s="257"/>
      <c r="R843" s="256"/>
      <c r="S843" s="257"/>
      <c r="T843" s="256"/>
      <c r="U843" s="257"/>
      <c r="V843" s="256"/>
      <c r="W843" s="257"/>
      <c r="X843" s="256"/>
    </row>
    <row r="844" spans="1:24" ht="12.75">
      <c r="A844" s="255"/>
      <c r="B844" s="256"/>
      <c r="C844" s="257"/>
      <c r="D844" s="256"/>
      <c r="E844" s="257"/>
      <c r="F844" s="256"/>
      <c r="G844" s="257"/>
      <c r="H844" s="256"/>
      <c r="I844" s="257"/>
      <c r="J844" s="256"/>
      <c r="K844" s="257"/>
      <c r="L844" s="256"/>
      <c r="M844" s="257"/>
      <c r="N844" s="256"/>
      <c r="O844" s="257"/>
      <c r="P844" s="256"/>
      <c r="Q844" s="257"/>
      <c r="R844" s="256"/>
      <c r="S844" s="257"/>
      <c r="T844" s="256"/>
      <c r="U844" s="257"/>
      <c r="V844" s="256"/>
      <c r="W844" s="257"/>
      <c r="X844" s="256"/>
    </row>
    <row r="845" spans="1:24" ht="12.75">
      <c r="A845" s="255"/>
      <c r="B845" s="256"/>
      <c r="C845" s="257"/>
      <c r="D845" s="256"/>
      <c r="E845" s="257"/>
      <c r="F845" s="256"/>
      <c r="G845" s="257"/>
      <c r="H845" s="256"/>
      <c r="I845" s="257"/>
      <c r="J845" s="256"/>
      <c r="K845" s="257"/>
      <c r="L845" s="256"/>
      <c r="M845" s="257"/>
      <c r="N845" s="256"/>
      <c r="O845" s="257"/>
      <c r="P845" s="256"/>
      <c r="Q845" s="257"/>
      <c r="R845" s="256"/>
      <c r="S845" s="257"/>
      <c r="T845" s="256"/>
      <c r="U845" s="257"/>
      <c r="V845" s="256"/>
      <c r="W845" s="257"/>
      <c r="X845" s="256"/>
    </row>
    <row r="846" spans="1:24" ht="12.75">
      <c r="A846" s="255"/>
      <c r="B846" s="256"/>
      <c r="C846" s="257"/>
      <c r="D846" s="256"/>
      <c r="E846" s="257"/>
      <c r="F846" s="256"/>
      <c r="G846" s="257"/>
      <c r="H846" s="256"/>
      <c r="I846" s="257"/>
      <c r="J846" s="256"/>
      <c r="K846" s="257"/>
      <c r="L846" s="256"/>
      <c r="M846" s="257"/>
      <c r="N846" s="256"/>
      <c r="O846" s="257"/>
      <c r="P846" s="256"/>
      <c r="Q846" s="257"/>
      <c r="R846" s="256"/>
      <c r="S846" s="257"/>
      <c r="T846" s="256"/>
      <c r="U846" s="257"/>
      <c r="V846" s="256"/>
      <c r="W846" s="257"/>
      <c r="X846" s="256"/>
    </row>
    <row r="847" spans="1:24" ht="12.75">
      <c r="A847" s="255"/>
      <c r="B847" s="256"/>
      <c r="C847" s="257"/>
      <c r="D847" s="256"/>
      <c r="E847" s="257"/>
      <c r="F847" s="256"/>
      <c r="G847" s="257"/>
      <c r="H847" s="256"/>
      <c r="I847" s="257"/>
      <c r="J847" s="256"/>
      <c r="K847" s="257"/>
      <c r="L847" s="256"/>
      <c r="M847" s="257"/>
      <c r="N847" s="256"/>
      <c r="O847" s="257"/>
      <c r="P847" s="256"/>
      <c r="Q847" s="257"/>
      <c r="R847" s="256"/>
      <c r="S847" s="257"/>
      <c r="T847" s="256"/>
      <c r="U847" s="257"/>
      <c r="V847" s="256"/>
      <c r="W847" s="257"/>
      <c r="X847" s="256"/>
    </row>
    <row r="848" spans="1:24" ht="12.75">
      <c r="A848" s="255"/>
      <c r="B848" s="256"/>
      <c r="C848" s="257"/>
      <c r="D848" s="256"/>
      <c r="E848" s="257"/>
      <c r="F848" s="256"/>
      <c r="G848" s="257"/>
      <c r="H848" s="256"/>
      <c r="I848" s="257"/>
      <c r="J848" s="256"/>
      <c r="K848" s="257"/>
      <c r="L848" s="256"/>
      <c r="M848" s="257"/>
      <c r="N848" s="256"/>
      <c r="O848" s="257"/>
      <c r="P848" s="256"/>
      <c r="Q848" s="257"/>
      <c r="R848" s="256"/>
      <c r="S848" s="257"/>
      <c r="T848" s="256"/>
      <c r="U848" s="257"/>
      <c r="V848" s="256"/>
      <c r="W848" s="257"/>
      <c r="X848" s="256"/>
    </row>
    <row r="849" spans="1:24" ht="12.75">
      <c r="A849" s="255"/>
      <c r="B849" s="256"/>
      <c r="C849" s="257"/>
      <c r="D849" s="256"/>
      <c r="E849" s="257"/>
      <c r="F849" s="256"/>
      <c r="G849" s="257"/>
      <c r="H849" s="256"/>
      <c r="I849" s="257"/>
      <c r="J849" s="256"/>
      <c r="K849" s="257"/>
      <c r="L849" s="256"/>
      <c r="M849" s="257"/>
      <c r="N849" s="256"/>
      <c r="O849" s="257"/>
      <c r="P849" s="256"/>
      <c r="Q849" s="257"/>
      <c r="R849" s="256"/>
      <c r="S849" s="257"/>
      <c r="T849" s="256"/>
      <c r="U849" s="257"/>
      <c r="V849" s="256"/>
      <c r="W849" s="257"/>
      <c r="X849" s="256"/>
    </row>
    <row r="850" spans="1:24" ht="12.75">
      <c r="A850" s="255"/>
      <c r="B850" s="256"/>
      <c r="C850" s="257"/>
      <c r="D850" s="256"/>
      <c r="E850" s="257"/>
      <c r="F850" s="256"/>
      <c r="G850" s="257"/>
      <c r="H850" s="256"/>
      <c r="I850" s="257"/>
      <c r="J850" s="256"/>
      <c r="K850" s="257"/>
      <c r="L850" s="256"/>
      <c r="M850" s="257"/>
      <c r="N850" s="256"/>
      <c r="O850" s="257"/>
      <c r="P850" s="256"/>
      <c r="Q850" s="257"/>
      <c r="R850" s="256"/>
      <c r="S850" s="257"/>
      <c r="T850" s="256"/>
      <c r="U850" s="257"/>
      <c r="V850" s="256"/>
      <c r="W850" s="257"/>
      <c r="X850" s="256"/>
    </row>
    <row r="851" spans="1:24" ht="12.75">
      <c r="A851" s="255"/>
      <c r="B851" s="256"/>
      <c r="C851" s="257"/>
      <c r="D851" s="256"/>
      <c r="E851" s="257"/>
      <c r="F851" s="256"/>
      <c r="G851" s="257"/>
      <c r="H851" s="256"/>
      <c r="I851" s="257"/>
      <c r="J851" s="256"/>
      <c r="K851" s="257"/>
      <c r="L851" s="256"/>
      <c r="M851" s="257"/>
      <c r="N851" s="256"/>
      <c r="O851" s="257"/>
      <c r="P851" s="256"/>
      <c r="Q851" s="257"/>
      <c r="R851" s="256"/>
      <c r="S851" s="257"/>
      <c r="T851" s="256"/>
      <c r="U851" s="257"/>
      <c r="V851" s="256"/>
      <c r="W851" s="257"/>
      <c r="X851" s="256"/>
    </row>
    <row r="852" spans="1:24" ht="12.75">
      <c r="A852" s="255"/>
      <c r="B852" s="256"/>
      <c r="C852" s="257"/>
      <c r="D852" s="256"/>
      <c r="E852" s="257"/>
      <c r="F852" s="256"/>
      <c r="G852" s="257"/>
      <c r="H852" s="256"/>
      <c r="I852" s="257"/>
      <c r="J852" s="256"/>
      <c r="K852" s="257"/>
      <c r="L852" s="256"/>
      <c r="M852" s="257"/>
      <c r="N852" s="256"/>
      <c r="O852" s="257"/>
      <c r="P852" s="256"/>
      <c r="Q852" s="257"/>
      <c r="R852" s="256"/>
      <c r="S852" s="257"/>
      <c r="T852" s="256"/>
      <c r="U852" s="257"/>
      <c r="V852" s="256"/>
      <c r="W852" s="257"/>
      <c r="X852" s="256"/>
    </row>
    <row r="853" spans="1:24" ht="12.75">
      <c r="A853" s="255"/>
      <c r="B853" s="256"/>
      <c r="C853" s="257"/>
      <c r="D853" s="256"/>
      <c r="E853" s="257"/>
      <c r="F853" s="256"/>
      <c r="G853" s="257"/>
      <c r="H853" s="256"/>
      <c r="I853" s="257"/>
      <c r="J853" s="256"/>
      <c r="K853" s="257"/>
      <c r="L853" s="256"/>
      <c r="M853" s="257"/>
      <c r="N853" s="256"/>
      <c r="O853" s="257"/>
      <c r="P853" s="256"/>
      <c r="Q853" s="257"/>
      <c r="R853" s="256"/>
      <c r="S853" s="257"/>
      <c r="T853" s="256"/>
      <c r="U853" s="257"/>
      <c r="V853" s="256"/>
      <c r="W853" s="257"/>
      <c r="X853" s="256"/>
    </row>
    <row r="854" spans="1:24" ht="12.75">
      <c r="A854" s="255"/>
      <c r="B854" s="256"/>
      <c r="C854" s="257"/>
      <c r="D854" s="256"/>
      <c r="E854" s="257"/>
      <c r="F854" s="256"/>
      <c r="G854" s="257"/>
      <c r="H854" s="256"/>
      <c r="I854" s="257"/>
      <c r="J854" s="256"/>
      <c r="K854" s="257"/>
      <c r="L854" s="256"/>
      <c r="M854" s="257"/>
      <c r="N854" s="256"/>
      <c r="O854" s="257"/>
      <c r="P854" s="256"/>
      <c r="Q854" s="257"/>
      <c r="R854" s="256"/>
      <c r="S854" s="257"/>
      <c r="T854" s="256"/>
      <c r="U854" s="257"/>
      <c r="V854" s="256"/>
      <c r="W854" s="257"/>
      <c r="X854" s="256"/>
    </row>
    <row r="855" spans="1:24" ht="12.75">
      <c r="A855" s="255"/>
      <c r="B855" s="256"/>
      <c r="C855" s="257"/>
      <c r="D855" s="256"/>
      <c r="E855" s="257"/>
      <c r="F855" s="256"/>
      <c r="G855" s="257"/>
      <c r="H855" s="256"/>
      <c r="I855" s="257"/>
      <c r="J855" s="256"/>
      <c r="K855" s="257"/>
      <c r="L855" s="256"/>
      <c r="M855" s="257"/>
      <c r="N855" s="256"/>
      <c r="O855" s="257"/>
      <c r="P855" s="256"/>
      <c r="Q855" s="257"/>
      <c r="R855" s="256"/>
      <c r="S855" s="257"/>
      <c r="T855" s="256"/>
      <c r="U855" s="257"/>
      <c r="V855" s="256"/>
      <c r="W855" s="257"/>
      <c r="X855" s="256"/>
    </row>
    <row r="856" spans="1:24" ht="12.75">
      <c r="A856" s="255"/>
      <c r="B856" s="256"/>
      <c r="C856" s="257"/>
      <c r="D856" s="256"/>
      <c r="E856" s="257"/>
      <c r="F856" s="256"/>
      <c r="G856" s="257"/>
      <c r="H856" s="256"/>
      <c r="I856" s="257"/>
      <c r="J856" s="256"/>
      <c r="K856" s="257"/>
      <c r="L856" s="256"/>
      <c r="M856" s="257"/>
      <c r="N856" s="256"/>
      <c r="O856" s="257"/>
      <c r="P856" s="256"/>
      <c r="Q856" s="257"/>
      <c r="R856" s="256"/>
      <c r="S856" s="257"/>
      <c r="T856" s="256"/>
      <c r="U856" s="257"/>
      <c r="V856" s="256"/>
      <c r="W856" s="257"/>
      <c r="X856" s="256"/>
    </row>
    <row r="857" spans="1:24" ht="12.75">
      <c r="A857" s="255"/>
      <c r="B857" s="256"/>
      <c r="C857" s="257"/>
      <c r="D857" s="256"/>
      <c r="E857" s="257"/>
      <c r="F857" s="256"/>
      <c r="G857" s="257"/>
      <c r="H857" s="256"/>
      <c r="I857" s="257"/>
      <c r="J857" s="256"/>
      <c r="K857" s="257"/>
      <c r="L857" s="256"/>
      <c r="M857" s="257"/>
      <c r="N857" s="256"/>
      <c r="O857" s="257"/>
      <c r="P857" s="256"/>
      <c r="Q857" s="257"/>
      <c r="R857" s="256"/>
      <c r="S857" s="257"/>
      <c r="T857" s="256"/>
      <c r="U857" s="257"/>
      <c r="V857" s="256"/>
      <c r="W857" s="257"/>
      <c r="X857" s="256"/>
    </row>
    <row r="858" spans="1:24" ht="12.75">
      <c r="A858" s="255"/>
      <c r="B858" s="256"/>
      <c r="C858" s="257"/>
      <c r="D858" s="256"/>
      <c r="E858" s="257"/>
      <c r="F858" s="256"/>
      <c r="G858" s="257"/>
      <c r="H858" s="256"/>
      <c r="I858" s="257"/>
      <c r="J858" s="256"/>
      <c r="K858" s="257"/>
      <c r="L858" s="256"/>
      <c r="M858" s="257"/>
      <c r="N858" s="256"/>
      <c r="O858" s="257"/>
      <c r="P858" s="256"/>
      <c r="Q858" s="257"/>
      <c r="R858" s="256"/>
      <c r="S858" s="257"/>
      <c r="T858" s="256"/>
      <c r="U858" s="257"/>
      <c r="V858" s="256"/>
      <c r="W858" s="257"/>
      <c r="X858" s="256"/>
    </row>
    <row r="859" spans="1:24" ht="12.75">
      <c r="A859" s="255"/>
      <c r="B859" s="256"/>
      <c r="C859" s="257"/>
      <c r="D859" s="256"/>
      <c r="E859" s="257"/>
      <c r="F859" s="256"/>
      <c r="G859" s="257"/>
      <c r="H859" s="256"/>
      <c r="I859" s="257"/>
      <c r="J859" s="256"/>
      <c r="K859" s="257"/>
      <c r="L859" s="256"/>
      <c r="M859" s="257"/>
      <c r="N859" s="256"/>
      <c r="O859" s="257"/>
      <c r="P859" s="256"/>
      <c r="Q859" s="257"/>
      <c r="R859" s="256"/>
      <c r="S859" s="257"/>
      <c r="T859" s="256"/>
      <c r="U859" s="257"/>
      <c r="V859" s="256"/>
      <c r="W859" s="257"/>
      <c r="X859" s="256"/>
    </row>
    <row r="860" spans="1:24" ht="12.75">
      <c r="A860" s="255"/>
      <c r="B860" s="256"/>
      <c r="C860" s="257"/>
      <c r="D860" s="256"/>
      <c r="E860" s="257"/>
      <c r="F860" s="256"/>
      <c r="G860" s="257"/>
      <c r="H860" s="256"/>
      <c r="I860" s="257"/>
      <c r="J860" s="256"/>
      <c r="K860" s="257"/>
      <c r="L860" s="256"/>
      <c r="M860" s="257"/>
      <c r="N860" s="256"/>
      <c r="O860" s="257"/>
      <c r="P860" s="256"/>
      <c r="Q860" s="257"/>
      <c r="R860" s="256"/>
      <c r="S860" s="257"/>
      <c r="T860" s="256"/>
      <c r="U860" s="257"/>
      <c r="V860" s="256"/>
      <c r="W860" s="257"/>
      <c r="X860" s="256"/>
    </row>
    <row r="861" spans="1:24" ht="12.75">
      <c r="A861" s="255"/>
      <c r="B861" s="256"/>
      <c r="C861" s="257"/>
      <c r="D861" s="256"/>
      <c r="E861" s="257"/>
      <c r="F861" s="256"/>
      <c r="G861" s="257"/>
      <c r="H861" s="256"/>
      <c r="I861" s="257"/>
      <c r="J861" s="256"/>
      <c r="K861" s="257"/>
      <c r="L861" s="256"/>
      <c r="M861" s="257"/>
      <c r="N861" s="256"/>
      <c r="O861" s="257"/>
      <c r="P861" s="256"/>
      <c r="Q861" s="257"/>
      <c r="R861" s="256"/>
      <c r="S861" s="257"/>
      <c r="T861" s="256"/>
      <c r="U861" s="257"/>
      <c r="V861" s="256"/>
      <c r="W861" s="257"/>
      <c r="X861" s="256"/>
    </row>
    <row r="862" spans="1:24" ht="12.75">
      <c r="A862" s="255"/>
      <c r="B862" s="256"/>
      <c r="C862" s="257"/>
      <c r="D862" s="256"/>
      <c r="E862" s="257"/>
      <c r="F862" s="256"/>
      <c r="G862" s="257"/>
      <c r="H862" s="256"/>
      <c r="I862" s="257"/>
      <c r="J862" s="256"/>
      <c r="K862" s="257"/>
      <c r="L862" s="256"/>
      <c r="M862" s="257"/>
      <c r="N862" s="256"/>
      <c r="O862" s="257"/>
      <c r="P862" s="256"/>
      <c r="Q862" s="257"/>
      <c r="R862" s="256"/>
      <c r="S862" s="257"/>
      <c r="T862" s="256"/>
      <c r="U862" s="257"/>
      <c r="V862" s="256"/>
      <c r="W862" s="257"/>
      <c r="X862" s="256"/>
    </row>
    <row r="863" spans="1:24" ht="12.75">
      <c r="A863" s="255"/>
      <c r="B863" s="256"/>
      <c r="C863" s="257"/>
      <c r="D863" s="256"/>
      <c r="E863" s="257"/>
      <c r="F863" s="256"/>
      <c r="G863" s="257"/>
      <c r="H863" s="256"/>
      <c r="I863" s="257"/>
      <c r="J863" s="256"/>
      <c r="K863" s="257"/>
      <c r="L863" s="256"/>
      <c r="M863" s="257"/>
      <c r="N863" s="256"/>
      <c r="O863" s="257"/>
      <c r="P863" s="256"/>
      <c r="Q863" s="257"/>
      <c r="R863" s="256"/>
      <c r="S863" s="257"/>
      <c r="T863" s="256"/>
      <c r="U863" s="257"/>
      <c r="V863" s="256"/>
      <c r="W863" s="257"/>
      <c r="X863" s="256"/>
    </row>
    <row r="864" spans="1:24" ht="12.75">
      <c r="A864" s="255"/>
      <c r="B864" s="256"/>
      <c r="C864" s="257"/>
      <c r="D864" s="256"/>
      <c r="E864" s="257"/>
      <c r="F864" s="256"/>
      <c r="G864" s="257"/>
      <c r="H864" s="256"/>
      <c r="I864" s="257"/>
      <c r="J864" s="256"/>
      <c r="K864" s="257"/>
      <c r="L864" s="256"/>
      <c r="M864" s="257"/>
      <c r="N864" s="256"/>
      <c r="O864" s="257"/>
      <c r="P864" s="256"/>
      <c r="Q864" s="257"/>
      <c r="R864" s="256"/>
      <c r="S864" s="257"/>
      <c r="T864" s="256"/>
      <c r="U864" s="257"/>
      <c r="V864" s="256"/>
      <c r="W864" s="257"/>
      <c r="X864" s="256"/>
    </row>
    <row r="865" spans="1:24" ht="12.75">
      <c r="A865" s="255"/>
      <c r="B865" s="256"/>
      <c r="C865" s="257"/>
      <c r="D865" s="256"/>
      <c r="E865" s="257"/>
      <c r="F865" s="256"/>
      <c r="G865" s="257"/>
      <c r="H865" s="256"/>
      <c r="I865" s="257"/>
      <c r="J865" s="256"/>
      <c r="K865" s="257"/>
      <c r="L865" s="256"/>
      <c r="M865" s="257"/>
      <c r="N865" s="256"/>
      <c r="O865" s="257"/>
      <c r="P865" s="256"/>
      <c r="Q865" s="257"/>
      <c r="R865" s="256"/>
      <c r="S865" s="257"/>
      <c r="T865" s="256"/>
      <c r="U865" s="257"/>
      <c r="V865" s="256"/>
      <c r="W865" s="257"/>
      <c r="X865" s="256"/>
    </row>
    <row r="866" spans="1:24" ht="12.75">
      <c r="A866" s="255"/>
      <c r="B866" s="256"/>
      <c r="C866" s="257"/>
      <c r="D866" s="256"/>
      <c r="E866" s="257"/>
      <c r="F866" s="256"/>
      <c r="G866" s="257"/>
      <c r="H866" s="256"/>
      <c r="I866" s="257"/>
      <c r="J866" s="256"/>
      <c r="K866" s="257"/>
      <c r="L866" s="256"/>
      <c r="M866" s="257"/>
      <c r="N866" s="256"/>
      <c r="O866" s="257"/>
      <c r="P866" s="256"/>
      <c r="Q866" s="257"/>
      <c r="R866" s="256"/>
      <c r="S866" s="257"/>
      <c r="T866" s="256"/>
      <c r="U866" s="257"/>
      <c r="V866" s="256"/>
      <c r="W866" s="257"/>
      <c r="X866" s="256"/>
    </row>
    <row r="867" spans="1:24" ht="12.75">
      <c r="A867" s="255"/>
      <c r="B867" s="256"/>
      <c r="C867" s="257"/>
      <c r="D867" s="256"/>
      <c r="E867" s="257"/>
      <c r="F867" s="256"/>
      <c r="G867" s="257"/>
      <c r="H867" s="256"/>
      <c r="I867" s="257"/>
      <c r="J867" s="256"/>
      <c r="K867" s="257"/>
      <c r="L867" s="256"/>
      <c r="M867" s="257"/>
      <c r="N867" s="256"/>
      <c r="O867" s="257"/>
      <c r="P867" s="256"/>
      <c r="Q867" s="257"/>
      <c r="R867" s="256"/>
      <c r="S867" s="257"/>
      <c r="T867" s="256"/>
      <c r="U867" s="257"/>
      <c r="V867" s="256"/>
      <c r="W867" s="257"/>
      <c r="X867" s="256"/>
    </row>
    <row r="868" spans="1:24" ht="12.75">
      <c r="A868" s="255"/>
      <c r="B868" s="256"/>
      <c r="C868" s="257"/>
      <c r="D868" s="256"/>
      <c r="E868" s="257"/>
      <c r="F868" s="256"/>
      <c r="G868" s="257"/>
      <c r="H868" s="256"/>
      <c r="I868" s="257"/>
      <c r="J868" s="256"/>
      <c r="K868" s="257"/>
      <c r="L868" s="256"/>
      <c r="M868" s="257"/>
      <c r="N868" s="256"/>
      <c r="O868" s="257"/>
      <c r="P868" s="256"/>
      <c r="Q868" s="257"/>
      <c r="R868" s="256"/>
      <c r="S868" s="257"/>
      <c r="T868" s="256"/>
      <c r="U868" s="257"/>
      <c r="V868" s="256"/>
      <c r="W868" s="257"/>
      <c r="X868" s="256"/>
    </row>
    <row r="869" spans="1:24" ht="12.75">
      <c r="A869" s="255"/>
      <c r="B869" s="256"/>
      <c r="C869" s="257"/>
      <c r="D869" s="256"/>
      <c r="E869" s="257"/>
      <c r="F869" s="256"/>
      <c r="G869" s="257"/>
      <c r="H869" s="256"/>
      <c r="I869" s="257"/>
      <c r="J869" s="256"/>
      <c r="K869" s="257"/>
      <c r="L869" s="256"/>
      <c r="M869" s="257"/>
      <c r="N869" s="256"/>
      <c r="O869" s="257"/>
      <c r="P869" s="256"/>
      <c r="Q869" s="257"/>
      <c r="R869" s="256"/>
      <c r="S869" s="257"/>
      <c r="T869" s="256"/>
      <c r="U869" s="257"/>
      <c r="V869" s="256"/>
      <c r="W869" s="257"/>
      <c r="X869" s="256"/>
    </row>
    <row r="870" spans="1:24" ht="12.75">
      <c r="A870" s="255"/>
      <c r="B870" s="256"/>
      <c r="C870" s="257"/>
      <c r="D870" s="256"/>
      <c r="E870" s="257"/>
      <c r="F870" s="256"/>
      <c r="G870" s="257"/>
      <c r="H870" s="256"/>
      <c r="I870" s="257"/>
      <c r="J870" s="256"/>
      <c r="K870" s="257"/>
      <c r="L870" s="256"/>
      <c r="M870" s="257"/>
      <c r="N870" s="256"/>
      <c r="O870" s="257"/>
      <c r="P870" s="256"/>
      <c r="Q870" s="257"/>
      <c r="R870" s="256"/>
      <c r="S870" s="257"/>
      <c r="T870" s="256"/>
      <c r="U870" s="257"/>
      <c r="V870" s="256"/>
      <c r="W870" s="257"/>
      <c r="X870" s="256"/>
    </row>
    <row r="871" spans="1:24" ht="12.75">
      <c r="A871" s="255"/>
      <c r="B871" s="256"/>
      <c r="C871" s="257"/>
      <c r="D871" s="256"/>
      <c r="E871" s="257"/>
      <c r="F871" s="256"/>
      <c r="G871" s="257"/>
      <c r="H871" s="256"/>
      <c r="I871" s="257"/>
      <c r="J871" s="256"/>
      <c r="K871" s="257"/>
      <c r="L871" s="256"/>
      <c r="M871" s="257"/>
      <c r="N871" s="256"/>
      <c r="O871" s="257"/>
      <c r="P871" s="256"/>
      <c r="Q871" s="257"/>
      <c r="R871" s="256"/>
      <c r="S871" s="257"/>
      <c r="T871" s="256"/>
      <c r="U871" s="257"/>
      <c r="V871" s="256"/>
      <c r="W871" s="257"/>
      <c r="X871" s="256"/>
    </row>
    <row r="872" spans="1:24" ht="12.75">
      <c r="A872" s="255"/>
      <c r="B872" s="256"/>
      <c r="C872" s="257"/>
      <c r="D872" s="256"/>
      <c r="E872" s="257"/>
      <c r="F872" s="256"/>
      <c r="G872" s="257"/>
      <c r="H872" s="256"/>
      <c r="I872" s="257"/>
      <c r="J872" s="256"/>
      <c r="K872" s="257"/>
      <c r="L872" s="256"/>
      <c r="M872" s="257"/>
      <c r="N872" s="256"/>
      <c r="O872" s="257"/>
      <c r="P872" s="256"/>
      <c r="Q872" s="257"/>
      <c r="R872" s="256"/>
      <c r="S872" s="257"/>
      <c r="T872" s="256"/>
      <c r="U872" s="257"/>
      <c r="V872" s="256"/>
      <c r="W872" s="257"/>
      <c r="X872" s="256"/>
    </row>
    <row r="873" spans="1:24" ht="12.75">
      <c r="A873" s="255"/>
      <c r="B873" s="256"/>
      <c r="C873" s="257"/>
      <c r="D873" s="256"/>
      <c r="E873" s="257"/>
      <c r="F873" s="256"/>
      <c r="G873" s="257"/>
      <c r="H873" s="256"/>
      <c r="I873" s="257"/>
      <c r="J873" s="256"/>
      <c r="K873" s="257"/>
      <c r="L873" s="256"/>
      <c r="M873" s="257"/>
      <c r="N873" s="256"/>
      <c r="O873" s="257"/>
      <c r="P873" s="256"/>
      <c r="Q873" s="257"/>
      <c r="R873" s="256"/>
      <c r="S873" s="257"/>
      <c r="T873" s="256"/>
      <c r="U873" s="257"/>
      <c r="V873" s="256"/>
      <c r="W873" s="257"/>
      <c r="X873" s="256"/>
    </row>
    <row r="874" spans="1:24" ht="12.75">
      <c r="A874" s="255"/>
      <c r="B874" s="256"/>
      <c r="C874" s="257"/>
      <c r="D874" s="256"/>
      <c r="E874" s="257"/>
      <c r="F874" s="256"/>
      <c r="G874" s="257"/>
      <c r="H874" s="256"/>
      <c r="I874" s="257"/>
      <c r="J874" s="256"/>
      <c r="K874" s="257"/>
      <c r="L874" s="256"/>
      <c r="M874" s="257"/>
      <c r="N874" s="256"/>
      <c r="O874" s="257"/>
      <c r="P874" s="256"/>
      <c r="Q874" s="257"/>
      <c r="R874" s="256"/>
      <c r="S874" s="257"/>
      <c r="T874" s="256"/>
      <c r="U874" s="257"/>
      <c r="V874" s="256"/>
      <c r="W874" s="257"/>
      <c r="X874" s="256"/>
    </row>
    <row r="875" spans="1:24" ht="12.75">
      <c r="A875" s="255"/>
      <c r="B875" s="256"/>
      <c r="C875" s="257"/>
      <c r="D875" s="256"/>
      <c r="E875" s="257"/>
      <c r="F875" s="256"/>
      <c r="G875" s="257"/>
      <c r="H875" s="256"/>
      <c r="I875" s="257"/>
      <c r="J875" s="256"/>
      <c r="K875" s="257"/>
      <c r="L875" s="256"/>
      <c r="M875" s="257"/>
      <c r="N875" s="256"/>
      <c r="O875" s="257"/>
      <c r="P875" s="256"/>
      <c r="Q875" s="257"/>
      <c r="R875" s="256"/>
      <c r="S875" s="257"/>
      <c r="T875" s="256"/>
      <c r="U875" s="257"/>
      <c r="V875" s="256"/>
      <c r="W875" s="257"/>
      <c r="X875" s="256"/>
    </row>
    <row r="876" spans="1:24" ht="12.75">
      <c r="A876" s="255"/>
      <c r="B876" s="256"/>
      <c r="C876" s="257"/>
      <c r="D876" s="256"/>
      <c r="E876" s="257"/>
      <c r="F876" s="256"/>
      <c r="G876" s="257"/>
      <c r="H876" s="256"/>
      <c r="I876" s="257"/>
      <c r="J876" s="256"/>
      <c r="K876" s="257"/>
      <c r="L876" s="256"/>
      <c r="M876" s="257"/>
      <c r="N876" s="256"/>
      <c r="O876" s="257"/>
      <c r="P876" s="256"/>
      <c r="Q876" s="257"/>
      <c r="R876" s="256"/>
      <c r="S876" s="257"/>
      <c r="T876" s="256"/>
      <c r="U876" s="257"/>
      <c r="V876" s="256"/>
      <c r="W876" s="257"/>
      <c r="X876" s="256"/>
    </row>
    <row r="877" spans="1:24" ht="12.75">
      <c r="A877" s="255"/>
      <c r="B877" s="256"/>
      <c r="C877" s="257"/>
      <c r="D877" s="256"/>
      <c r="E877" s="257"/>
      <c r="F877" s="256"/>
      <c r="G877" s="257"/>
      <c r="H877" s="256"/>
      <c r="I877" s="257"/>
      <c r="J877" s="256"/>
      <c r="K877" s="257"/>
      <c r="L877" s="256"/>
      <c r="M877" s="257"/>
      <c r="N877" s="256"/>
      <c r="O877" s="257"/>
      <c r="P877" s="256"/>
      <c r="Q877" s="257"/>
      <c r="R877" s="256"/>
      <c r="S877" s="257"/>
      <c r="T877" s="256"/>
      <c r="U877" s="257"/>
      <c r="V877" s="256"/>
      <c r="W877" s="257"/>
      <c r="X877" s="256"/>
    </row>
    <row r="878" spans="1:24" ht="12.75">
      <c r="A878" s="255"/>
      <c r="B878" s="256"/>
      <c r="C878" s="257"/>
      <c r="D878" s="256"/>
      <c r="E878" s="257"/>
      <c r="F878" s="256"/>
      <c r="G878" s="257"/>
      <c r="H878" s="256"/>
      <c r="I878" s="257"/>
      <c r="J878" s="256"/>
      <c r="K878" s="257"/>
      <c r="L878" s="256"/>
      <c r="M878" s="257"/>
      <c r="N878" s="256"/>
      <c r="O878" s="257"/>
      <c r="P878" s="256"/>
      <c r="Q878" s="257"/>
      <c r="R878" s="256"/>
      <c r="S878" s="257"/>
      <c r="T878" s="256"/>
      <c r="U878" s="257"/>
      <c r="V878" s="256"/>
      <c r="W878" s="257"/>
      <c r="X878" s="256"/>
    </row>
    <row r="879" spans="1:24" ht="12.75">
      <c r="A879" s="255"/>
      <c r="B879" s="256"/>
      <c r="C879" s="257"/>
      <c r="D879" s="256"/>
      <c r="E879" s="257"/>
      <c r="F879" s="256"/>
      <c r="G879" s="257"/>
      <c r="H879" s="256"/>
      <c r="I879" s="257"/>
      <c r="J879" s="256"/>
      <c r="K879" s="257"/>
      <c r="L879" s="256"/>
      <c r="M879" s="257"/>
      <c r="N879" s="256"/>
      <c r="O879" s="257"/>
      <c r="P879" s="256"/>
      <c r="Q879" s="257"/>
      <c r="R879" s="256"/>
      <c r="S879" s="257"/>
      <c r="T879" s="256"/>
      <c r="U879" s="257"/>
      <c r="V879" s="256"/>
      <c r="W879" s="257"/>
      <c r="X879" s="256"/>
    </row>
    <row r="880" spans="1:24" ht="12.75">
      <c r="A880" s="255"/>
      <c r="B880" s="256"/>
      <c r="C880" s="257"/>
      <c r="D880" s="256"/>
      <c r="E880" s="257"/>
      <c r="F880" s="256"/>
      <c r="G880" s="257"/>
      <c r="H880" s="256"/>
      <c r="I880" s="257"/>
      <c r="J880" s="256"/>
      <c r="K880" s="257"/>
      <c r="L880" s="256"/>
      <c r="M880" s="257"/>
      <c r="N880" s="256"/>
      <c r="O880" s="257"/>
      <c r="P880" s="256"/>
      <c r="Q880" s="257"/>
      <c r="R880" s="256"/>
      <c r="S880" s="257"/>
      <c r="T880" s="256"/>
      <c r="U880" s="257"/>
      <c r="V880" s="256"/>
      <c r="W880" s="257"/>
      <c r="X880" s="256"/>
    </row>
    <row r="881" spans="1:24" ht="12.75">
      <c r="A881" s="255"/>
      <c r="B881" s="256"/>
      <c r="C881" s="257"/>
      <c r="D881" s="256"/>
      <c r="E881" s="257"/>
      <c r="F881" s="256"/>
      <c r="G881" s="257"/>
      <c r="H881" s="256"/>
      <c r="I881" s="257"/>
      <c r="J881" s="256"/>
      <c r="K881" s="257"/>
      <c r="L881" s="256"/>
      <c r="M881" s="257"/>
      <c r="N881" s="256"/>
      <c r="O881" s="257"/>
      <c r="P881" s="256"/>
      <c r="Q881" s="257"/>
      <c r="R881" s="256"/>
      <c r="S881" s="257"/>
      <c r="T881" s="256"/>
      <c r="U881" s="257"/>
      <c r="V881" s="256"/>
      <c r="W881" s="257"/>
      <c r="X881" s="256"/>
    </row>
    <row r="882" spans="1:24" ht="12.75">
      <c r="A882" s="255"/>
      <c r="B882" s="256"/>
      <c r="C882" s="257"/>
      <c r="D882" s="256"/>
      <c r="E882" s="257"/>
      <c r="F882" s="256"/>
      <c r="G882" s="257"/>
      <c r="H882" s="256"/>
      <c r="I882" s="257"/>
      <c r="J882" s="256"/>
      <c r="K882" s="257"/>
      <c r="L882" s="256"/>
      <c r="M882" s="257"/>
      <c r="N882" s="256"/>
      <c r="O882" s="257"/>
      <c r="P882" s="256"/>
      <c r="Q882" s="257"/>
      <c r="R882" s="256"/>
      <c r="S882" s="257"/>
      <c r="T882" s="256"/>
      <c r="U882" s="257"/>
      <c r="V882" s="256"/>
      <c r="W882" s="257"/>
      <c r="X882" s="256"/>
    </row>
    <row r="883" spans="1:24" ht="12.75">
      <c r="A883" s="255"/>
      <c r="B883" s="256"/>
      <c r="C883" s="257"/>
      <c r="D883" s="256"/>
      <c r="E883" s="257"/>
      <c r="F883" s="256"/>
      <c r="G883" s="257"/>
      <c r="H883" s="256"/>
      <c r="I883" s="257"/>
      <c r="J883" s="256"/>
      <c r="K883" s="257"/>
      <c r="L883" s="256"/>
      <c r="M883" s="257"/>
      <c r="N883" s="256"/>
      <c r="O883" s="257"/>
      <c r="P883" s="256"/>
      <c r="Q883" s="257"/>
      <c r="R883" s="256"/>
      <c r="S883" s="257"/>
      <c r="T883" s="256"/>
      <c r="U883" s="257"/>
      <c r="V883" s="256"/>
      <c r="W883" s="257"/>
      <c r="X883" s="256"/>
    </row>
    <row r="884" spans="1:24" ht="12.75">
      <c r="A884" s="255"/>
      <c r="B884" s="256"/>
      <c r="C884" s="257"/>
      <c r="D884" s="256"/>
      <c r="E884" s="257"/>
      <c r="F884" s="256"/>
      <c r="G884" s="257"/>
      <c r="H884" s="256"/>
      <c r="I884" s="257"/>
      <c r="J884" s="256"/>
      <c r="K884" s="257"/>
      <c r="L884" s="256"/>
      <c r="M884" s="257"/>
      <c r="N884" s="256"/>
      <c r="O884" s="257"/>
      <c r="P884" s="256"/>
      <c r="Q884" s="257"/>
      <c r="R884" s="256"/>
      <c r="S884" s="257"/>
      <c r="T884" s="256"/>
      <c r="U884" s="257"/>
      <c r="V884" s="256"/>
      <c r="W884" s="257"/>
      <c r="X884" s="256"/>
    </row>
    <row r="885" spans="1:24" ht="12.75">
      <c r="A885" s="255"/>
      <c r="B885" s="256"/>
      <c r="C885" s="257"/>
      <c r="D885" s="256"/>
      <c r="E885" s="257"/>
      <c r="F885" s="256"/>
      <c r="G885" s="257"/>
      <c r="H885" s="256"/>
      <c r="I885" s="257"/>
      <c r="J885" s="256"/>
      <c r="K885" s="257"/>
      <c r="L885" s="256"/>
      <c r="M885" s="257"/>
      <c r="N885" s="256"/>
      <c r="O885" s="257"/>
      <c r="P885" s="256"/>
      <c r="Q885" s="257"/>
      <c r="R885" s="256"/>
      <c r="S885" s="257"/>
      <c r="T885" s="256"/>
      <c r="U885" s="257"/>
      <c r="V885" s="256"/>
      <c r="W885" s="257"/>
      <c r="X885" s="256"/>
    </row>
    <row r="886" spans="1:24" ht="12.75">
      <c r="A886" s="255"/>
      <c r="B886" s="256"/>
      <c r="C886" s="257"/>
      <c r="D886" s="256"/>
      <c r="E886" s="257"/>
      <c r="F886" s="256"/>
      <c r="G886" s="257"/>
      <c r="H886" s="256"/>
      <c r="I886" s="257"/>
      <c r="J886" s="256"/>
      <c r="K886" s="257"/>
      <c r="L886" s="256"/>
      <c r="M886" s="257"/>
      <c r="N886" s="256"/>
      <c r="O886" s="257"/>
      <c r="P886" s="256"/>
      <c r="Q886" s="257"/>
      <c r="R886" s="256"/>
      <c r="S886" s="257"/>
      <c r="T886" s="256"/>
      <c r="U886" s="257"/>
      <c r="V886" s="256"/>
      <c r="W886" s="257"/>
      <c r="X886" s="256"/>
    </row>
    <row r="887" spans="1:24" ht="12.75">
      <c r="A887" s="255"/>
      <c r="B887" s="256"/>
      <c r="C887" s="257"/>
      <c r="D887" s="256"/>
      <c r="E887" s="257"/>
      <c r="F887" s="256"/>
      <c r="G887" s="257"/>
      <c r="H887" s="256"/>
      <c r="I887" s="257"/>
      <c r="J887" s="256"/>
      <c r="K887" s="257"/>
      <c r="L887" s="256"/>
      <c r="M887" s="257"/>
      <c r="N887" s="256"/>
      <c r="O887" s="257"/>
      <c r="P887" s="256"/>
      <c r="Q887" s="257"/>
      <c r="R887" s="256"/>
      <c r="S887" s="257"/>
      <c r="T887" s="256"/>
      <c r="U887" s="257"/>
      <c r="V887" s="256"/>
      <c r="W887" s="257"/>
      <c r="X887" s="256"/>
    </row>
    <row r="888" spans="1:24" ht="12.75">
      <c r="A888" s="255"/>
      <c r="B888" s="256"/>
      <c r="C888" s="257"/>
      <c r="D888" s="256"/>
      <c r="E888" s="257"/>
      <c r="F888" s="256"/>
      <c r="G888" s="257"/>
      <c r="H888" s="256"/>
      <c r="I888" s="257"/>
      <c r="J888" s="256"/>
      <c r="K888" s="257"/>
      <c r="L888" s="256"/>
      <c r="M888" s="257"/>
      <c r="N888" s="256"/>
      <c r="O888" s="257"/>
      <c r="P888" s="256"/>
      <c r="Q888" s="257"/>
      <c r="R888" s="256"/>
      <c r="S888" s="257"/>
      <c r="T888" s="256"/>
      <c r="U888" s="257"/>
      <c r="V888" s="256"/>
      <c r="W888" s="257"/>
      <c r="X888" s="256"/>
    </row>
    <row r="889" spans="1:24" ht="12.75">
      <c r="A889" s="255"/>
      <c r="B889" s="256"/>
      <c r="C889" s="257"/>
      <c r="D889" s="256"/>
      <c r="E889" s="257"/>
      <c r="F889" s="256"/>
      <c r="G889" s="257"/>
      <c r="H889" s="256"/>
      <c r="I889" s="257"/>
      <c r="J889" s="256"/>
      <c r="K889" s="257"/>
      <c r="L889" s="256"/>
      <c r="M889" s="257"/>
      <c r="N889" s="256"/>
      <c r="O889" s="257"/>
      <c r="P889" s="256"/>
      <c r="Q889" s="257"/>
      <c r="R889" s="256"/>
      <c r="S889" s="257"/>
      <c r="T889" s="256"/>
      <c r="U889" s="257"/>
      <c r="V889" s="256"/>
      <c r="W889" s="257"/>
      <c r="X889" s="256"/>
    </row>
    <row r="890" spans="1:24" ht="12.75">
      <c r="A890" s="255"/>
      <c r="B890" s="256"/>
      <c r="C890" s="257"/>
      <c r="D890" s="256"/>
      <c r="E890" s="257"/>
      <c r="F890" s="256"/>
      <c r="G890" s="257"/>
      <c r="H890" s="256"/>
      <c r="I890" s="257"/>
      <c r="J890" s="256"/>
      <c r="K890" s="257"/>
      <c r="L890" s="256"/>
      <c r="M890" s="257"/>
      <c r="N890" s="256"/>
      <c r="O890" s="257"/>
      <c r="P890" s="256"/>
      <c r="Q890" s="257"/>
      <c r="R890" s="256"/>
      <c r="S890" s="257"/>
      <c r="T890" s="256"/>
      <c r="U890" s="257"/>
      <c r="V890" s="256"/>
      <c r="W890" s="257"/>
      <c r="X890" s="256"/>
    </row>
    <row r="891" spans="1:24" ht="12.75">
      <c r="A891" s="255"/>
      <c r="B891" s="256"/>
      <c r="C891" s="257"/>
      <c r="D891" s="256"/>
      <c r="E891" s="257"/>
      <c r="F891" s="256"/>
      <c r="G891" s="257"/>
      <c r="H891" s="256"/>
      <c r="I891" s="257"/>
      <c r="J891" s="256"/>
      <c r="K891" s="257"/>
      <c r="L891" s="256"/>
      <c r="M891" s="257"/>
      <c r="N891" s="256"/>
      <c r="O891" s="257"/>
      <c r="P891" s="256"/>
      <c r="Q891" s="257"/>
      <c r="R891" s="256"/>
      <c r="S891" s="257"/>
      <c r="T891" s="256"/>
      <c r="U891" s="257"/>
      <c r="V891" s="256"/>
      <c r="W891" s="257"/>
      <c r="X891" s="256"/>
    </row>
    <row r="892" spans="1:24" ht="12.75">
      <c r="A892" s="255"/>
      <c r="B892" s="256"/>
      <c r="C892" s="257"/>
      <c r="D892" s="256"/>
      <c r="E892" s="257"/>
      <c r="F892" s="256"/>
      <c r="G892" s="257"/>
      <c r="H892" s="256"/>
      <c r="I892" s="257"/>
      <c r="J892" s="256"/>
      <c r="K892" s="257"/>
      <c r="L892" s="256"/>
      <c r="M892" s="257"/>
      <c r="N892" s="256"/>
      <c r="O892" s="257"/>
      <c r="P892" s="256"/>
      <c r="Q892" s="257"/>
      <c r="R892" s="256"/>
      <c r="S892" s="257"/>
      <c r="T892" s="256"/>
      <c r="U892" s="257"/>
      <c r="V892" s="256"/>
      <c r="W892" s="257"/>
      <c r="X892" s="256"/>
    </row>
    <row r="893" spans="1:24" ht="12.75">
      <c r="A893" s="255"/>
      <c r="B893" s="256"/>
      <c r="C893" s="257"/>
      <c r="D893" s="256"/>
      <c r="E893" s="257"/>
      <c r="F893" s="256"/>
      <c r="G893" s="257"/>
      <c r="H893" s="256"/>
      <c r="I893" s="257"/>
      <c r="J893" s="256"/>
      <c r="K893" s="257"/>
      <c r="L893" s="256"/>
      <c r="M893" s="257"/>
      <c r="N893" s="256"/>
      <c r="O893" s="257"/>
      <c r="P893" s="256"/>
      <c r="Q893" s="257"/>
      <c r="R893" s="256"/>
      <c r="S893" s="257"/>
      <c r="T893" s="256"/>
      <c r="U893" s="257"/>
      <c r="V893" s="256"/>
      <c r="W893" s="257"/>
      <c r="X893" s="256"/>
    </row>
    <row r="894" spans="1:24" ht="12.75">
      <c r="A894" s="255"/>
      <c r="B894" s="256"/>
      <c r="C894" s="257"/>
      <c r="D894" s="256"/>
      <c r="E894" s="257"/>
      <c r="F894" s="256"/>
      <c r="G894" s="257"/>
      <c r="H894" s="256"/>
      <c r="I894" s="257"/>
      <c r="J894" s="256"/>
      <c r="K894" s="257"/>
      <c r="L894" s="256"/>
      <c r="M894" s="257"/>
      <c r="N894" s="256"/>
      <c r="O894" s="257"/>
      <c r="P894" s="256"/>
      <c r="Q894" s="257"/>
      <c r="R894" s="256"/>
      <c r="S894" s="257"/>
      <c r="T894" s="256"/>
      <c r="U894" s="257"/>
      <c r="V894" s="256"/>
      <c r="W894" s="257"/>
      <c r="X894" s="256"/>
    </row>
    <row r="895" spans="1:24" ht="12.75">
      <c r="A895" s="255"/>
      <c r="B895" s="256"/>
      <c r="C895" s="257"/>
      <c r="D895" s="256"/>
      <c r="E895" s="257"/>
      <c r="F895" s="256"/>
      <c r="G895" s="257"/>
      <c r="H895" s="256"/>
      <c r="I895" s="257"/>
      <c r="J895" s="256"/>
      <c r="K895" s="257"/>
      <c r="L895" s="256"/>
      <c r="M895" s="257"/>
      <c r="N895" s="256"/>
      <c r="O895" s="257"/>
      <c r="P895" s="256"/>
      <c r="Q895" s="257"/>
      <c r="R895" s="256"/>
      <c r="S895" s="257"/>
      <c r="T895" s="256"/>
      <c r="U895" s="257"/>
      <c r="V895" s="256"/>
      <c r="W895" s="257"/>
      <c r="X895" s="256"/>
    </row>
    <row r="896" spans="1:24" ht="12.75">
      <c r="A896" s="255"/>
      <c r="B896" s="256"/>
      <c r="C896" s="257"/>
      <c r="D896" s="256"/>
      <c r="E896" s="257"/>
      <c r="F896" s="256"/>
      <c r="G896" s="257"/>
      <c r="H896" s="256"/>
      <c r="I896" s="257"/>
      <c r="J896" s="256"/>
      <c r="K896" s="257"/>
      <c r="L896" s="256"/>
      <c r="M896" s="257"/>
      <c r="N896" s="256"/>
      <c r="O896" s="257"/>
      <c r="P896" s="256"/>
      <c r="Q896" s="257"/>
      <c r="R896" s="256"/>
      <c r="S896" s="257"/>
      <c r="T896" s="256"/>
      <c r="U896" s="257"/>
      <c r="V896" s="256"/>
      <c r="W896" s="257"/>
      <c r="X896" s="256"/>
    </row>
    <row r="897" spans="1:24" ht="12.75">
      <c r="A897" s="255"/>
      <c r="B897" s="256"/>
      <c r="C897" s="257"/>
      <c r="D897" s="256"/>
      <c r="E897" s="257"/>
      <c r="F897" s="256"/>
      <c r="G897" s="257"/>
      <c r="H897" s="256"/>
      <c r="I897" s="257"/>
      <c r="J897" s="256"/>
      <c r="K897" s="257"/>
      <c r="L897" s="256"/>
      <c r="M897" s="257"/>
      <c r="N897" s="256"/>
      <c r="O897" s="257"/>
      <c r="P897" s="256"/>
      <c r="Q897" s="257"/>
      <c r="R897" s="256"/>
      <c r="S897" s="257"/>
      <c r="T897" s="256"/>
      <c r="U897" s="257"/>
      <c r="V897" s="256"/>
      <c r="W897" s="257"/>
      <c r="X897" s="256"/>
    </row>
    <row r="898" spans="1:24" ht="12.75">
      <c r="A898" s="255"/>
      <c r="B898" s="256"/>
      <c r="C898" s="257"/>
      <c r="D898" s="256"/>
      <c r="E898" s="257"/>
      <c r="F898" s="256"/>
      <c r="G898" s="257"/>
      <c r="H898" s="256"/>
      <c r="I898" s="257"/>
      <c r="J898" s="256"/>
      <c r="K898" s="257"/>
      <c r="L898" s="256"/>
      <c r="M898" s="257"/>
      <c r="N898" s="256"/>
      <c r="O898" s="257"/>
      <c r="P898" s="256"/>
      <c r="Q898" s="257"/>
      <c r="R898" s="256"/>
      <c r="S898" s="257"/>
      <c r="T898" s="256"/>
      <c r="U898" s="257"/>
      <c r="V898" s="256"/>
      <c r="W898" s="257"/>
      <c r="X898" s="256"/>
    </row>
    <row r="899" spans="1:24" ht="12.75">
      <c r="A899" s="255"/>
      <c r="B899" s="256"/>
      <c r="C899" s="257"/>
      <c r="D899" s="256"/>
      <c r="E899" s="257"/>
      <c r="F899" s="256"/>
      <c r="G899" s="257"/>
      <c r="H899" s="256"/>
      <c r="I899" s="257"/>
      <c r="J899" s="256"/>
      <c r="K899" s="257"/>
      <c r="L899" s="256"/>
      <c r="M899" s="257"/>
      <c r="N899" s="256"/>
      <c r="O899" s="257"/>
      <c r="P899" s="256"/>
      <c r="Q899" s="257"/>
      <c r="R899" s="256"/>
      <c r="S899" s="257"/>
      <c r="T899" s="256"/>
      <c r="U899" s="257"/>
      <c r="V899" s="256"/>
      <c r="W899" s="257"/>
      <c r="X899" s="256"/>
    </row>
    <row r="900" spans="1:24" ht="12.75">
      <c r="A900" s="255"/>
      <c r="B900" s="256"/>
      <c r="C900" s="257"/>
      <c r="D900" s="256"/>
      <c r="E900" s="257"/>
      <c r="F900" s="256"/>
      <c r="G900" s="257"/>
      <c r="H900" s="256"/>
      <c r="I900" s="257"/>
      <c r="J900" s="256"/>
      <c r="K900" s="257"/>
      <c r="L900" s="256"/>
      <c r="M900" s="257"/>
      <c r="N900" s="256"/>
      <c r="O900" s="257"/>
      <c r="P900" s="256"/>
      <c r="Q900" s="257"/>
      <c r="R900" s="256"/>
      <c r="S900" s="257"/>
      <c r="T900" s="256"/>
      <c r="U900" s="257"/>
      <c r="V900" s="256"/>
      <c r="W900" s="257"/>
      <c r="X900" s="256"/>
    </row>
    <row r="901" spans="1:24" ht="12.75">
      <c r="A901" s="255"/>
      <c r="B901" s="256"/>
      <c r="C901" s="257"/>
      <c r="D901" s="256"/>
      <c r="E901" s="257"/>
      <c r="F901" s="256"/>
      <c r="G901" s="257"/>
      <c r="H901" s="256"/>
      <c r="I901" s="257"/>
      <c r="J901" s="256"/>
      <c r="K901" s="257"/>
      <c r="L901" s="256"/>
      <c r="M901" s="257"/>
      <c r="N901" s="256"/>
      <c r="O901" s="257"/>
      <c r="P901" s="256"/>
      <c r="Q901" s="257"/>
      <c r="R901" s="256"/>
      <c r="S901" s="257"/>
      <c r="T901" s="256"/>
      <c r="U901" s="257"/>
      <c r="V901" s="256"/>
      <c r="W901" s="257"/>
      <c r="X901" s="256"/>
    </row>
    <row r="902" spans="1:24" ht="12.75">
      <c r="A902" s="255"/>
      <c r="B902" s="256"/>
      <c r="C902" s="257"/>
      <c r="D902" s="256"/>
      <c r="E902" s="257"/>
      <c r="F902" s="256"/>
      <c r="G902" s="257"/>
      <c r="H902" s="256"/>
      <c r="I902" s="257"/>
      <c r="J902" s="256"/>
      <c r="K902" s="257"/>
      <c r="L902" s="256"/>
      <c r="M902" s="257"/>
      <c r="N902" s="256"/>
      <c r="O902" s="257"/>
      <c r="P902" s="256"/>
      <c r="Q902" s="257"/>
      <c r="R902" s="256"/>
      <c r="S902" s="257"/>
      <c r="T902" s="256"/>
      <c r="U902" s="257"/>
      <c r="V902" s="256"/>
      <c r="W902" s="257"/>
      <c r="X902" s="256"/>
    </row>
    <row r="903" spans="1:24" ht="12.75">
      <c r="A903" s="255"/>
      <c r="B903" s="256"/>
      <c r="C903" s="257"/>
      <c r="D903" s="256"/>
      <c r="E903" s="257"/>
      <c r="F903" s="256"/>
      <c r="G903" s="257"/>
      <c r="H903" s="256"/>
      <c r="I903" s="257"/>
      <c r="J903" s="256"/>
      <c r="K903" s="257"/>
      <c r="L903" s="256"/>
      <c r="M903" s="257"/>
      <c r="N903" s="256"/>
      <c r="O903" s="257"/>
      <c r="P903" s="256"/>
      <c r="Q903" s="257"/>
      <c r="R903" s="256"/>
      <c r="S903" s="257"/>
      <c r="T903" s="256"/>
      <c r="U903" s="257"/>
      <c r="V903" s="256"/>
      <c r="W903" s="257"/>
      <c r="X903" s="256"/>
    </row>
    <row r="904" spans="1:24" ht="12.75">
      <c r="A904" s="255"/>
      <c r="B904" s="256"/>
      <c r="C904" s="257"/>
      <c r="D904" s="256"/>
      <c r="E904" s="257"/>
      <c r="F904" s="256"/>
      <c r="G904" s="257"/>
      <c r="H904" s="256"/>
      <c r="I904" s="257"/>
      <c r="J904" s="256"/>
      <c r="K904" s="257"/>
      <c r="L904" s="256"/>
      <c r="M904" s="257"/>
      <c r="N904" s="256"/>
      <c r="O904" s="257"/>
      <c r="P904" s="256"/>
      <c r="Q904" s="257"/>
      <c r="R904" s="256"/>
      <c r="S904" s="257"/>
      <c r="T904" s="256"/>
      <c r="U904" s="257"/>
      <c r="V904" s="256"/>
      <c r="W904" s="257"/>
      <c r="X904" s="256"/>
    </row>
    <row r="905" spans="1:24" ht="12.75">
      <c r="A905" s="255"/>
      <c r="B905" s="256"/>
      <c r="C905" s="257"/>
      <c r="D905" s="256"/>
      <c r="E905" s="257"/>
      <c r="F905" s="256"/>
      <c r="G905" s="257"/>
      <c r="H905" s="256"/>
      <c r="I905" s="257"/>
      <c r="J905" s="256"/>
      <c r="K905" s="257"/>
      <c r="L905" s="256"/>
      <c r="M905" s="257"/>
      <c r="N905" s="256"/>
      <c r="O905" s="257"/>
      <c r="P905" s="256"/>
      <c r="Q905" s="257"/>
      <c r="R905" s="256"/>
      <c r="S905" s="257"/>
      <c r="T905" s="256"/>
      <c r="U905" s="257"/>
      <c r="V905" s="256"/>
      <c r="W905" s="257"/>
      <c r="X905" s="256"/>
    </row>
    <row r="906" spans="1:24" ht="12.75">
      <c r="A906" s="255"/>
      <c r="B906" s="256"/>
      <c r="C906" s="257"/>
      <c r="D906" s="256"/>
      <c r="E906" s="257"/>
      <c r="F906" s="256"/>
      <c r="G906" s="257"/>
      <c r="H906" s="256"/>
      <c r="I906" s="257"/>
      <c r="J906" s="256"/>
      <c r="K906" s="257"/>
      <c r="L906" s="256"/>
      <c r="M906" s="257"/>
      <c r="N906" s="256"/>
      <c r="O906" s="257"/>
      <c r="P906" s="256"/>
      <c r="Q906" s="257"/>
      <c r="R906" s="256"/>
      <c r="S906" s="257"/>
      <c r="T906" s="256"/>
      <c r="U906" s="257"/>
      <c r="V906" s="256"/>
      <c r="W906" s="257"/>
      <c r="X906" s="256"/>
    </row>
    <row r="907" spans="1:24" ht="12.75">
      <c r="A907" s="255"/>
      <c r="B907" s="256"/>
      <c r="C907" s="257"/>
      <c r="D907" s="256"/>
      <c r="E907" s="257"/>
      <c r="F907" s="256"/>
      <c r="G907" s="257"/>
      <c r="H907" s="256"/>
      <c r="I907" s="257"/>
      <c r="J907" s="256"/>
      <c r="K907" s="257"/>
      <c r="L907" s="256"/>
      <c r="M907" s="257"/>
      <c r="N907" s="256"/>
      <c r="O907" s="257"/>
      <c r="P907" s="256"/>
      <c r="Q907" s="257"/>
      <c r="R907" s="256"/>
      <c r="S907" s="257"/>
      <c r="T907" s="256"/>
      <c r="U907" s="257"/>
      <c r="V907" s="256"/>
      <c r="W907" s="257"/>
      <c r="X907" s="256"/>
    </row>
    <row r="908" spans="1:24" ht="12.75">
      <c r="A908" s="255"/>
      <c r="B908" s="256"/>
      <c r="C908" s="257"/>
      <c r="D908" s="256"/>
      <c r="E908" s="257"/>
      <c r="F908" s="256"/>
      <c r="G908" s="257"/>
      <c r="H908" s="256"/>
      <c r="I908" s="257"/>
      <c r="J908" s="256"/>
      <c r="K908" s="257"/>
      <c r="L908" s="256"/>
      <c r="M908" s="257"/>
      <c r="N908" s="256"/>
      <c r="O908" s="257"/>
      <c r="P908" s="256"/>
      <c r="Q908" s="257"/>
      <c r="R908" s="256"/>
      <c r="S908" s="257"/>
      <c r="T908" s="256"/>
      <c r="U908" s="257"/>
      <c r="V908" s="256"/>
      <c r="W908" s="257"/>
      <c r="X908" s="256"/>
    </row>
    <row r="909" spans="1:24" ht="12.75">
      <c r="A909" s="255"/>
      <c r="B909" s="256"/>
      <c r="C909" s="257"/>
      <c r="D909" s="256"/>
      <c r="E909" s="257"/>
      <c r="F909" s="256"/>
      <c r="G909" s="257"/>
      <c r="H909" s="256"/>
      <c r="I909" s="257"/>
      <c r="J909" s="256"/>
      <c r="K909" s="257"/>
      <c r="L909" s="256"/>
      <c r="M909" s="257"/>
      <c r="N909" s="256"/>
      <c r="O909" s="257"/>
      <c r="P909" s="256"/>
      <c r="Q909" s="257"/>
      <c r="R909" s="256"/>
      <c r="S909" s="257"/>
      <c r="T909" s="256"/>
      <c r="U909" s="257"/>
      <c r="V909" s="256"/>
      <c r="W909" s="257"/>
      <c r="X909" s="256"/>
    </row>
    <row r="910" spans="1:24" ht="12.75">
      <c r="A910" s="255"/>
      <c r="B910" s="256"/>
      <c r="C910" s="257"/>
      <c r="D910" s="256"/>
      <c r="E910" s="257"/>
      <c r="F910" s="256"/>
      <c r="G910" s="257"/>
      <c r="H910" s="256"/>
      <c r="I910" s="257"/>
      <c r="J910" s="256"/>
      <c r="K910" s="257"/>
      <c r="L910" s="256"/>
      <c r="M910" s="257"/>
      <c r="N910" s="256"/>
      <c r="O910" s="257"/>
      <c r="P910" s="256"/>
      <c r="Q910" s="257"/>
      <c r="R910" s="256"/>
      <c r="S910" s="257"/>
      <c r="T910" s="256"/>
      <c r="U910" s="257"/>
      <c r="V910" s="256"/>
      <c r="W910" s="257"/>
      <c r="X910" s="256"/>
    </row>
    <row r="911" spans="1:24" ht="12.75">
      <c r="A911" s="255"/>
      <c r="B911" s="256"/>
      <c r="C911" s="257"/>
      <c r="D911" s="256"/>
      <c r="E911" s="257"/>
      <c r="F911" s="256"/>
      <c r="G911" s="257"/>
      <c r="H911" s="256"/>
      <c r="I911" s="257"/>
      <c r="J911" s="256"/>
      <c r="K911" s="257"/>
      <c r="L911" s="256"/>
      <c r="M911" s="257"/>
      <c r="N911" s="256"/>
      <c r="O911" s="257"/>
      <c r="P911" s="256"/>
      <c r="Q911" s="257"/>
      <c r="R911" s="256"/>
      <c r="S911" s="257"/>
      <c r="T911" s="256"/>
      <c r="U911" s="257"/>
      <c r="V911" s="256"/>
      <c r="W911" s="257"/>
      <c r="X911" s="256"/>
    </row>
    <row r="912" spans="1:24" ht="12.75">
      <c r="A912" s="255"/>
      <c r="B912" s="256"/>
      <c r="C912" s="257"/>
      <c r="D912" s="256"/>
      <c r="E912" s="257"/>
      <c r="F912" s="256"/>
      <c r="G912" s="257"/>
      <c r="H912" s="256"/>
      <c r="I912" s="257"/>
      <c r="J912" s="256"/>
      <c r="K912" s="257"/>
      <c r="L912" s="256"/>
      <c r="M912" s="257"/>
      <c r="N912" s="256"/>
      <c r="O912" s="257"/>
      <c r="P912" s="256"/>
      <c r="Q912" s="257"/>
      <c r="R912" s="256"/>
      <c r="S912" s="257"/>
      <c r="T912" s="256"/>
      <c r="U912" s="257"/>
      <c r="V912" s="256"/>
      <c r="W912" s="257"/>
      <c r="X912" s="256"/>
    </row>
    <row r="913" spans="1:24" ht="12.75">
      <c r="A913" s="255"/>
      <c r="B913" s="256"/>
      <c r="C913" s="257"/>
      <c r="D913" s="256"/>
      <c r="E913" s="257"/>
      <c r="F913" s="256"/>
      <c r="G913" s="257"/>
      <c r="H913" s="256"/>
      <c r="I913" s="257"/>
      <c r="J913" s="256"/>
      <c r="K913" s="257"/>
      <c r="L913" s="256"/>
      <c r="M913" s="257"/>
      <c r="N913" s="256"/>
      <c r="O913" s="257"/>
      <c r="P913" s="256"/>
      <c r="Q913" s="257"/>
      <c r="R913" s="256"/>
      <c r="S913" s="257"/>
      <c r="T913" s="256"/>
      <c r="U913" s="257"/>
      <c r="V913" s="256"/>
      <c r="W913" s="257"/>
      <c r="X913" s="256"/>
    </row>
    <row r="914" spans="1:24" ht="12.75">
      <c r="A914" s="255"/>
      <c r="B914" s="256"/>
      <c r="C914" s="257"/>
      <c r="D914" s="256"/>
      <c r="E914" s="257"/>
      <c r="F914" s="256"/>
      <c r="G914" s="257"/>
      <c r="H914" s="256"/>
      <c r="I914" s="257"/>
      <c r="J914" s="256"/>
      <c r="K914" s="257"/>
      <c r="L914" s="256"/>
      <c r="M914" s="257"/>
      <c r="N914" s="256"/>
      <c r="O914" s="257"/>
      <c r="P914" s="256"/>
      <c r="Q914" s="257"/>
      <c r="R914" s="256"/>
      <c r="S914" s="257"/>
      <c r="T914" s="256"/>
      <c r="U914" s="257"/>
      <c r="V914" s="256"/>
      <c r="W914" s="257"/>
      <c r="X914" s="256"/>
    </row>
    <row r="915" spans="1:24" ht="12.75">
      <c r="A915" s="255"/>
      <c r="B915" s="256"/>
      <c r="C915" s="257"/>
      <c r="D915" s="256"/>
      <c r="E915" s="257"/>
      <c r="F915" s="256"/>
      <c r="G915" s="257"/>
      <c r="H915" s="256"/>
      <c r="I915" s="257"/>
      <c r="J915" s="256"/>
      <c r="K915" s="257"/>
      <c r="L915" s="256"/>
      <c r="M915" s="257"/>
      <c r="N915" s="256"/>
      <c r="O915" s="257"/>
      <c r="P915" s="256"/>
      <c r="Q915" s="257"/>
      <c r="R915" s="256"/>
      <c r="S915" s="257"/>
      <c r="T915" s="256"/>
      <c r="U915" s="257"/>
      <c r="V915" s="256"/>
      <c r="W915" s="257"/>
      <c r="X915" s="256"/>
    </row>
    <row r="916" spans="1:24" ht="12.75">
      <c r="A916" s="255"/>
      <c r="B916" s="256"/>
      <c r="C916" s="257"/>
      <c r="D916" s="256"/>
      <c r="E916" s="257"/>
      <c r="F916" s="256"/>
      <c r="G916" s="257"/>
      <c r="H916" s="256"/>
      <c r="I916" s="257"/>
      <c r="J916" s="256"/>
      <c r="K916" s="257"/>
      <c r="L916" s="256"/>
      <c r="M916" s="257"/>
      <c r="N916" s="256"/>
      <c r="O916" s="257"/>
      <c r="P916" s="256"/>
      <c r="Q916" s="257"/>
      <c r="R916" s="256"/>
      <c r="S916" s="257"/>
      <c r="T916" s="256"/>
      <c r="U916" s="257"/>
      <c r="V916" s="256"/>
      <c r="W916" s="257"/>
      <c r="X916" s="256"/>
    </row>
    <row r="917" spans="1:24" ht="12.75">
      <c r="A917" s="255"/>
      <c r="B917" s="256"/>
      <c r="C917" s="257"/>
      <c r="D917" s="256"/>
      <c r="E917" s="257"/>
      <c r="F917" s="256"/>
      <c r="G917" s="257"/>
      <c r="H917" s="256"/>
      <c r="I917" s="257"/>
      <c r="J917" s="256"/>
      <c r="K917" s="257"/>
      <c r="L917" s="256"/>
      <c r="M917" s="257"/>
      <c r="N917" s="256"/>
      <c r="O917" s="257"/>
      <c r="P917" s="256"/>
      <c r="Q917" s="257"/>
      <c r="R917" s="256"/>
      <c r="S917" s="257"/>
      <c r="T917" s="256"/>
      <c r="U917" s="257"/>
      <c r="V917" s="256"/>
      <c r="W917" s="257"/>
      <c r="X917" s="256"/>
    </row>
    <row r="918" spans="1:24" ht="12.75">
      <c r="A918" s="255"/>
      <c r="B918" s="256"/>
      <c r="C918" s="257"/>
      <c r="D918" s="256"/>
      <c r="E918" s="257"/>
      <c r="F918" s="256"/>
      <c r="G918" s="257"/>
      <c r="H918" s="256"/>
      <c r="I918" s="257"/>
      <c r="J918" s="256"/>
      <c r="K918" s="257"/>
      <c r="L918" s="256"/>
      <c r="M918" s="257"/>
      <c r="N918" s="256"/>
      <c r="O918" s="257"/>
      <c r="P918" s="256"/>
      <c r="Q918" s="257"/>
      <c r="R918" s="256"/>
      <c r="S918" s="257"/>
      <c r="T918" s="256"/>
      <c r="U918" s="257"/>
      <c r="V918" s="256"/>
      <c r="W918" s="257"/>
      <c r="X918" s="256"/>
    </row>
    <row r="919" spans="1:24" ht="12.75">
      <c r="A919" s="255"/>
      <c r="B919" s="256"/>
      <c r="C919" s="257"/>
      <c r="D919" s="256"/>
      <c r="E919" s="257"/>
      <c r="F919" s="256"/>
      <c r="G919" s="257"/>
      <c r="H919" s="256"/>
      <c r="I919" s="257"/>
      <c r="J919" s="256"/>
      <c r="K919" s="257"/>
      <c r="L919" s="256"/>
      <c r="M919" s="257"/>
      <c r="N919" s="256"/>
      <c r="O919" s="257"/>
      <c r="P919" s="256"/>
      <c r="Q919" s="257"/>
      <c r="R919" s="256"/>
      <c r="S919" s="257"/>
      <c r="T919" s="256"/>
      <c r="U919" s="257"/>
      <c r="V919" s="256"/>
      <c r="W919" s="257"/>
      <c r="X919" s="256"/>
    </row>
    <row r="920" spans="1:24" ht="12.75">
      <c r="A920" s="255"/>
      <c r="B920" s="256"/>
      <c r="C920" s="257"/>
      <c r="D920" s="256"/>
      <c r="E920" s="257"/>
      <c r="F920" s="256"/>
      <c r="G920" s="257"/>
      <c r="H920" s="256"/>
      <c r="I920" s="257"/>
      <c r="J920" s="256"/>
      <c r="K920" s="257"/>
      <c r="L920" s="256"/>
      <c r="M920" s="257"/>
      <c r="N920" s="256"/>
      <c r="O920" s="257"/>
      <c r="P920" s="256"/>
      <c r="Q920" s="257"/>
      <c r="R920" s="256"/>
      <c r="S920" s="257"/>
      <c r="T920" s="256"/>
      <c r="U920" s="257"/>
      <c r="V920" s="256"/>
      <c r="W920" s="257"/>
      <c r="X920" s="256"/>
    </row>
    <row r="921" spans="1:24" ht="12.75">
      <c r="A921" s="255"/>
      <c r="B921" s="256"/>
      <c r="C921" s="257"/>
      <c r="D921" s="256"/>
      <c r="E921" s="257"/>
      <c r="F921" s="256"/>
      <c r="G921" s="257"/>
      <c r="H921" s="256"/>
      <c r="I921" s="257"/>
      <c r="J921" s="256"/>
      <c r="K921" s="257"/>
      <c r="L921" s="256"/>
      <c r="M921" s="257"/>
      <c r="N921" s="256"/>
      <c r="O921" s="257"/>
      <c r="P921" s="256"/>
      <c r="Q921" s="257"/>
      <c r="R921" s="256"/>
      <c r="S921" s="257"/>
      <c r="T921" s="256"/>
      <c r="U921" s="257"/>
      <c r="V921" s="256"/>
      <c r="W921" s="257"/>
      <c r="X921" s="256"/>
    </row>
    <row r="922" spans="1:24" ht="12.75">
      <c r="A922" s="255"/>
      <c r="B922" s="256"/>
      <c r="C922" s="257"/>
      <c r="D922" s="256"/>
      <c r="E922" s="257"/>
      <c r="F922" s="256"/>
      <c r="G922" s="257"/>
      <c r="H922" s="256"/>
      <c r="I922" s="257"/>
      <c r="J922" s="256"/>
      <c r="K922" s="257"/>
      <c r="L922" s="256"/>
      <c r="M922" s="257"/>
      <c r="N922" s="256"/>
      <c r="O922" s="257"/>
      <c r="P922" s="256"/>
      <c r="Q922" s="257"/>
      <c r="R922" s="256"/>
      <c r="S922" s="257"/>
      <c r="T922" s="256"/>
      <c r="U922" s="257"/>
      <c r="V922" s="256"/>
      <c r="W922" s="257"/>
      <c r="X922" s="256"/>
    </row>
    <row r="923" spans="1:24" ht="12.75">
      <c r="A923" s="255"/>
      <c r="B923" s="256"/>
      <c r="C923" s="257"/>
      <c r="D923" s="256"/>
      <c r="E923" s="257"/>
      <c r="F923" s="256"/>
      <c r="G923" s="257"/>
      <c r="H923" s="256"/>
      <c r="I923" s="257"/>
      <c r="J923" s="256"/>
      <c r="K923" s="257"/>
      <c r="L923" s="256"/>
      <c r="M923" s="257"/>
      <c r="N923" s="256"/>
      <c r="O923" s="257"/>
      <c r="P923" s="256"/>
      <c r="Q923" s="257"/>
      <c r="R923" s="256"/>
      <c r="S923" s="257"/>
      <c r="T923" s="256"/>
      <c r="U923" s="257"/>
      <c r="V923" s="256"/>
      <c r="W923" s="257"/>
      <c r="X923" s="256"/>
    </row>
    <row r="924" spans="1:24" ht="12.75">
      <c r="A924" s="255"/>
      <c r="B924" s="256"/>
      <c r="C924" s="257"/>
      <c r="D924" s="256"/>
      <c r="E924" s="257"/>
      <c r="F924" s="256"/>
      <c r="G924" s="257"/>
      <c r="H924" s="256"/>
      <c r="I924" s="257"/>
      <c r="J924" s="256"/>
      <c r="K924" s="257"/>
      <c r="L924" s="256"/>
      <c r="M924" s="257"/>
      <c r="N924" s="256"/>
      <c r="O924" s="257"/>
      <c r="P924" s="256"/>
      <c r="Q924" s="257"/>
      <c r="R924" s="256"/>
      <c r="S924" s="257"/>
      <c r="T924" s="256"/>
      <c r="U924" s="257"/>
      <c r="V924" s="256"/>
      <c r="W924" s="257"/>
      <c r="X924" s="256"/>
    </row>
    <row r="925" spans="1:24" ht="12.75">
      <c r="A925" s="255"/>
      <c r="B925" s="256"/>
      <c r="C925" s="257"/>
      <c r="D925" s="256"/>
      <c r="E925" s="257"/>
      <c r="F925" s="256"/>
      <c r="G925" s="257"/>
      <c r="H925" s="256"/>
      <c r="I925" s="257"/>
      <c r="J925" s="256"/>
      <c r="K925" s="257"/>
      <c r="L925" s="256"/>
      <c r="M925" s="257"/>
      <c r="N925" s="256"/>
      <c r="O925" s="257"/>
      <c r="P925" s="256"/>
      <c r="Q925" s="257"/>
      <c r="R925" s="256"/>
      <c r="S925" s="257"/>
      <c r="T925" s="256"/>
      <c r="U925" s="257"/>
      <c r="V925" s="256"/>
      <c r="W925" s="257"/>
      <c r="X925" s="256"/>
    </row>
    <row r="926" spans="1:24" ht="12.75">
      <c r="A926" s="255"/>
      <c r="B926" s="256"/>
      <c r="C926" s="257"/>
      <c r="D926" s="256"/>
      <c r="E926" s="257"/>
      <c r="F926" s="256"/>
      <c r="G926" s="257"/>
      <c r="H926" s="256"/>
      <c r="I926" s="257"/>
      <c r="J926" s="256"/>
      <c r="K926" s="257"/>
      <c r="L926" s="256"/>
      <c r="M926" s="257"/>
      <c r="N926" s="256"/>
      <c r="O926" s="257"/>
      <c r="P926" s="256"/>
      <c r="Q926" s="257"/>
      <c r="R926" s="256"/>
      <c r="S926" s="257"/>
      <c r="T926" s="256"/>
      <c r="U926" s="257"/>
      <c r="V926" s="256"/>
      <c r="W926" s="257"/>
      <c r="X926" s="256"/>
    </row>
    <row r="927" spans="1:24" ht="12.75">
      <c r="A927" s="255"/>
      <c r="B927" s="256"/>
      <c r="C927" s="257"/>
      <c r="D927" s="256"/>
      <c r="E927" s="257"/>
      <c r="F927" s="256"/>
      <c r="G927" s="257"/>
      <c r="H927" s="256"/>
      <c r="I927" s="257"/>
      <c r="J927" s="256"/>
      <c r="K927" s="257"/>
      <c r="L927" s="256"/>
      <c r="M927" s="257"/>
      <c r="N927" s="256"/>
      <c r="O927" s="257"/>
      <c r="P927" s="256"/>
      <c r="Q927" s="257"/>
      <c r="R927" s="256"/>
      <c r="S927" s="257"/>
      <c r="T927" s="256"/>
      <c r="U927" s="257"/>
      <c r="V927" s="256"/>
      <c r="W927" s="257"/>
      <c r="X927" s="256"/>
    </row>
    <row r="928" spans="1:24" ht="12.75">
      <c r="A928" s="255"/>
      <c r="B928" s="256"/>
      <c r="C928" s="257"/>
      <c r="D928" s="256"/>
      <c r="E928" s="257"/>
      <c r="F928" s="256"/>
      <c r="G928" s="257"/>
      <c r="H928" s="256"/>
      <c r="I928" s="257"/>
      <c r="J928" s="256"/>
      <c r="K928" s="257"/>
      <c r="L928" s="256"/>
      <c r="M928" s="257"/>
      <c r="N928" s="256"/>
      <c r="O928" s="257"/>
      <c r="P928" s="256"/>
      <c r="Q928" s="257"/>
      <c r="R928" s="256"/>
      <c r="S928" s="257"/>
      <c r="T928" s="256"/>
      <c r="U928" s="257"/>
      <c r="V928" s="256"/>
      <c r="W928" s="257"/>
      <c r="X928" s="256"/>
    </row>
    <row r="929" spans="1:24" ht="12.75">
      <c r="A929" s="255"/>
      <c r="B929" s="256"/>
      <c r="C929" s="257"/>
      <c r="D929" s="256"/>
      <c r="E929" s="257"/>
      <c r="F929" s="256"/>
      <c r="G929" s="257"/>
      <c r="H929" s="256"/>
      <c r="I929" s="257"/>
      <c r="J929" s="256"/>
      <c r="K929" s="257"/>
      <c r="L929" s="256"/>
      <c r="M929" s="257"/>
      <c r="N929" s="256"/>
      <c r="O929" s="257"/>
      <c r="P929" s="256"/>
      <c r="Q929" s="257"/>
      <c r="R929" s="256"/>
      <c r="S929" s="257"/>
      <c r="T929" s="256"/>
      <c r="U929" s="257"/>
      <c r="V929" s="256"/>
      <c r="W929" s="257"/>
      <c r="X929" s="256"/>
    </row>
    <row r="930" spans="1:24" ht="12.75">
      <c r="A930" s="255"/>
      <c r="B930" s="256"/>
      <c r="C930" s="257"/>
      <c r="D930" s="256"/>
      <c r="E930" s="257"/>
      <c r="F930" s="256"/>
      <c r="G930" s="257"/>
      <c r="H930" s="256"/>
      <c r="I930" s="257"/>
      <c r="J930" s="256"/>
      <c r="K930" s="257"/>
      <c r="L930" s="256"/>
      <c r="M930" s="257"/>
      <c r="N930" s="256"/>
      <c r="O930" s="257"/>
      <c r="P930" s="256"/>
      <c r="Q930" s="257"/>
      <c r="R930" s="256"/>
      <c r="S930" s="257"/>
      <c r="T930" s="256"/>
      <c r="U930" s="257"/>
      <c r="V930" s="256"/>
      <c r="W930" s="257"/>
      <c r="X930" s="256"/>
    </row>
    <row r="931" spans="1:24" ht="12.75">
      <c r="A931" s="255"/>
      <c r="B931" s="256"/>
      <c r="C931" s="257"/>
      <c r="D931" s="256"/>
      <c r="E931" s="257"/>
      <c r="F931" s="256"/>
      <c r="G931" s="257"/>
      <c r="H931" s="256"/>
      <c r="I931" s="257"/>
      <c r="J931" s="256"/>
      <c r="K931" s="257"/>
      <c r="L931" s="256"/>
      <c r="M931" s="257"/>
      <c r="N931" s="256"/>
      <c r="O931" s="257"/>
      <c r="P931" s="256"/>
      <c r="Q931" s="257"/>
      <c r="R931" s="256"/>
      <c r="S931" s="257"/>
      <c r="T931" s="256"/>
      <c r="U931" s="257"/>
      <c r="V931" s="256"/>
      <c r="W931" s="257"/>
      <c r="X931" s="256"/>
    </row>
    <row r="932" spans="1:24" ht="12.75">
      <c r="A932" s="255"/>
      <c r="B932" s="256"/>
      <c r="C932" s="257"/>
      <c r="D932" s="256"/>
      <c r="E932" s="257"/>
      <c r="F932" s="256"/>
      <c r="G932" s="257"/>
      <c r="H932" s="256"/>
      <c r="I932" s="257"/>
      <c r="J932" s="256"/>
      <c r="K932" s="257"/>
      <c r="L932" s="256"/>
      <c r="M932" s="257"/>
      <c r="N932" s="256"/>
      <c r="O932" s="257"/>
      <c r="P932" s="256"/>
      <c r="Q932" s="257"/>
      <c r="R932" s="256"/>
      <c r="S932" s="257"/>
      <c r="T932" s="256"/>
      <c r="U932" s="257"/>
      <c r="V932" s="256"/>
      <c r="W932" s="257"/>
      <c r="X932" s="256"/>
    </row>
    <row r="933" spans="1:24" ht="12.75">
      <c r="A933" s="255"/>
      <c r="B933" s="256"/>
      <c r="C933" s="257"/>
      <c r="D933" s="256"/>
      <c r="E933" s="257"/>
      <c r="F933" s="256"/>
      <c r="G933" s="257"/>
      <c r="H933" s="256"/>
      <c r="I933" s="257"/>
      <c r="J933" s="256"/>
      <c r="K933" s="257"/>
      <c r="L933" s="256"/>
      <c r="M933" s="257"/>
      <c r="N933" s="256"/>
      <c r="O933" s="257"/>
      <c r="P933" s="256"/>
      <c r="Q933" s="257"/>
      <c r="R933" s="256"/>
      <c r="S933" s="257"/>
      <c r="T933" s="256"/>
      <c r="U933" s="257"/>
      <c r="V933" s="256"/>
      <c r="W933" s="257"/>
      <c r="X933" s="256"/>
    </row>
    <row r="934" spans="1:24" ht="12.75">
      <c r="A934" s="255"/>
      <c r="B934" s="256"/>
      <c r="C934" s="257"/>
      <c r="D934" s="256"/>
      <c r="E934" s="257"/>
      <c r="F934" s="256"/>
      <c r="G934" s="257"/>
      <c r="H934" s="256"/>
      <c r="I934" s="257"/>
      <c r="J934" s="256"/>
      <c r="K934" s="257"/>
      <c r="L934" s="256"/>
      <c r="M934" s="257"/>
      <c r="N934" s="256"/>
      <c r="O934" s="257"/>
      <c r="P934" s="256"/>
      <c r="Q934" s="257"/>
      <c r="R934" s="256"/>
      <c r="S934" s="257"/>
      <c r="T934" s="256"/>
      <c r="U934" s="257"/>
      <c r="V934" s="256"/>
      <c r="W934" s="257"/>
      <c r="X934" s="256"/>
    </row>
    <row r="935" spans="1:24" ht="12.75">
      <c r="A935" s="255"/>
      <c r="B935" s="256"/>
      <c r="C935" s="257"/>
      <c r="D935" s="256"/>
      <c r="E935" s="257"/>
      <c r="F935" s="256"/>
      <c r="G935" s="257"/>
      <c r="H935" s="256"/>
      <c r="I935" s="257"/>
      <c r="J935" s="256"/>
      <c r="K935" s="257"/>
      <c r="L935" s="256"/>
      <c r="M935" s="257"/>
      <c r="N935" s="256"/>
      <c r="O935" s="257"/>
      <c r="P935" s="256"/>
      <c r="Q935" s="257"/>
      <c r="R935" s="256"/>
      <c r="S935" s="257"/>
      <c r="T935" s="256"/>
      <c r="U935" s="257"/>
      <c r="V935" s="256"/>
      <c r="W935" s="257"/>
      <c r="X935" s="256"/>
    </row>
    <row r="936" spans="1:24" ht="12.75">
      <c r="A936" s="255"/>
      <c r="B936" s="256"/>
      <c r="C936" s="257"/>
      <c r="D936" s="256"/>
      <c r="E936" s="257"/>
      <c r="F936" s="256"/>
      <c r="G936" s="257"/>
      <c r="H936" s="256"/>
      <c r="I936" s="257"/>
      <c r="J936" s="256"/>
      <c r="K936" s="257"/>
      <c r="L936" s="256"/>
      <c r="M936" s="257"/>
      <c r="N936" s="256"/>
      <c r="O936" s="257"/>
      <c r="P936" s="256"/>
      <c r="Q936" s="257"/>
      <c r="R936" s="256"/>
      <c r="S936" s="257"/>
      <c r="T936" s="256"/>
      <c r="U936" s="257"/>
      <c r="V936" s="256"/>
      <c r="W936" s="257"/>
      <c r="X936" s="256"/>
    </row>
    <row r="937" spans="1:24" ht="12.75">
      <c r="A937" s="255"/>
      <c r="B937" s="256"/>
      <c r="C937" s="257"/>
      <c r="D937" s="256"/>
      <c r="E937" s="257"/>
      <c r="F937" s="256"/>
      <c r="G937" s="257"/>
      <c r="H937" s="256"/>
      <c r="I937" s="257"/>
      <c r="J937" s="256"/>
      <c r="K937" s="257"/>
      <c r="L937" s="256"/>
      <c r="M937" s="257"/>
      <c r="N937" s="256"/>
      <c r="O937" s="257"/>
      <c r="P937" s="256"/>
      <c r="Q937" s="257"/>
      <c r="R937" s="256"/>
      <c r="S937" s="257"/>
      <c r="T937" s="256"/>
      <c r="U937" s="257"/>
      <c r="V937" s="256"/>
      <c r="W937" s="257"/>
      <c r="X937" s="256"/>
    </row>
    <row r="938" spans="1:24" ht="12.75">
      <c r="A938" s="255"/>
      <c r="B938" s="256"/>
      <c r="C938" s="257"/>
      <c r="D938" s="256"/>
      <c r="E938" s="257"/>
      <c r="F938" s="256"/>
      <c r="G938" s="257"/>
      <c r="H938" s="256"/>
      <c r="I938" s="257"/>
      <c r="J938" s="256"/>
      <c r="K938" s="257"/>
      <c r="L938" s="256"/>
      <c r="M938" s="257"/>
      <c r="N938" s="256"/>
      <c r="O938" s="257"/>
      <c r="P938" s="256"/>
      <c r="Q938" s="257"/>
      <c r="R938" s="256"/>
      <c r="S938" s="257"/>
      <c r="T938" s="256"/>
      <c r="U938" s="257"/>
      <c r="V938" s="256"/>
      <c r="W938" s="257"/>
      <c r="X938" s="256"/>
    </row>
    <row r="939" spans="1:24" ht="12.75">
      <c r="A939" s="255"/>
      <c r="B939" s="256"/>
      <c r="C939" s="257"/>
      <c r="D939" s="256"/>
      <c r="E939" s="257"/>
      <c r="F939" s="256"/>
      <c r="G939" s="257"/>
      <c r="H939" s="256"/>
      <c r="I939" s="257"/>
      <c r="J939" s="256"/>
      <c r="K939" s="257"/>
      <c r="L939" s="256"/>
      <c r="M939" s="257"/>
      <c r="N939" s="256"/>
      <c r="O939" s="257"/>
      <c r="P939" s="256"/>
      <c r="Q939" s="257"/>
      <c r="R939" s="256"/>
      <c r="S939" s="257"/>
      <c r="T939" s="256"/>
      <c r="U939" s="257"/>
      <c r="V939" s="256"/>
      <c r="W939" s="257"/>
      <c r="X939" s="256"/>
    </row>
    <row r="940" spans="1:24" ht="12.75">
      <c r="A940" s="255"/>
      <c r="B940" s="256"/>
      <c r="C940" s="257"/>
      <c r="D940" s="256"/>
      <c r="E940" s="257"/>
      <c r="F940" s="256"/>
      <c r="G940" s="257"/>
      <c r="H940" s="256"/>
      <c r="I940" s="257"/>
      <c r="J940" s="256"/>
      <c r="K940" s="257"/>
      <c r="L940" s="256"/>
      <c r="M940" s="257"/>
      <c r="N940" s="256"/>
      <c r="O940" s="257"/>
      <c r="P940" s="256"/>
      <c r="Q940" s="257"/>
      <c r="R940" s="256"/>
      <c r="S940" s="257"/>
      <c r="T940" s="256"/>
      <c r="U940" s="257"/>
      <c r="V940" s="256"/>
      <c r="W940" s="257"/>
      <c r="X940" s="256"/>
    </row>
    <row r="941" spans="1:24" ht="12.75">
      <c r="A941" s="255"/>
      <c r="B941" s="256"/>
      <c r="C941" s="257"/>
      <c r="D941" s="256"/>
      <c r="E941" s="257"/>
      <c r="F941" s="256"/>
      <c r="G941" s="257"/>
      <c r="H941" s="256"/>
      <c r="I941" s="257"/>
      <c r="J941" s="256"/>
      <c r="K941" s="257"/>
      <c r="L941" s="256"/>
      <c r="M941" s="257"/>
      <c r="N941" s="256"/>
      <c r="O941" s="257"/>
      <c r="P941" s="256"/>
      <c r="Q941" s="257"/>
      <c r="R941" s="256"/>
      <c r="S941" s="257"/>
      <c r="T941" s="256"/>
      <c r="U941" s="257"/>
      <c r="V941" s="256"/>
      <c r="W941" s="257"/>
      <c r="X941" s="256"/>
    </row>
    <row r="942" spans="1:24" ht="12.75">
      <c r="A942" s="255"/>
      <c r="B942" s="256"/>
      <c r="C942" s="257"/>
      <c r="D942" s="256"/>
      <c r="E942" s="257"/>
      <c r="F942" s="256"/>
      <c r="G942" s="257"/>
      <c r="H942" s="256"/>
      <c r="I942" s="257"/>
      <c r="J942" s="256"/>
      <c r="K942" s="257"/>
      <c r="L942" s="256"/>
      <c r="M942" s="257"/>
      <c r="N942" s="256"/>
      <c r="O942" s="257"/>
      <c r="P942" s="256"/>
      <c r="Q942" s="257"/>
      <c r="R942" s="256"/>
      <c r="S942" s="257"/>
      <c r="T942" s="256"/>
      <c r="U942" s="257"/>
      <c r="V942" s="256"/>
      <c r="W942" s="257"/>
      <c r="X942" s="256"/>
    </row>
    <row r="943" spans="1:24" ht="12.75">
      <c r="A943" s="255"/>
      <c r="B943" s="256"/>
      <c r="C943" s="257"/>
      <c r="D943" s="256"/>
      <c r="E943" s="257"/>
      <c r="F943" s="256"/>
      <c r="G943" s="257"/>
      <c r="H943" s="256"/>
      <c r="I943" s="257"/>
      <c r="J943" s="256"/>
      <c r="K943" s="257"/>
      <c r="L943" s="256"/>
      <c r="M943" s="257"/>
      <c r="N943" s="256"/>
      <c r="O943" s="257"/>
      <c r="P943" s="256"/>
      <c r="Q943" s="257"/>
      <c r="R943" s="256"/>
      <c r="S943" s="257"/>
      <c r="T943" s="256"/>
      <c r="U943" s="257"/>
      <c r="V943" s="256"/>
      <c r="W943" s="257"/>
      <c r="X943" s="256"/>
    </row>
    <row r="944" spans="1:24" ht="12.75">
      <c r="A944" s="255"/>
      <c r="B944" s="256"/>
      <c r="C944" s="257"/>
      <c r="D944" s="256"/>
      <c r="E944" s="257"/>
      <c r="F944" s="256"/>
      <c r="G944" s="257"/>
      <c r="H944" s="256"/>
      <c r="I944" s="257"/>
      <c r="J944" s="256"/>
      <c r="K944" s="257"/>
      <c r="L944" s="256"/>
      <c r="M944" s="257"/>
      <c r="N944" s="256"/>
      <c r="O944" s="257"/>
      <c r="P944" s="256"/>
      <c r="Q944" s="257"/>
      <c r="R944" s="256"/>
      <c r="S944" s="257"/>
      <c r="T944" s="256"/>
      <c r="U944" s="257"/>
      <c r="V944" s="256"/>
      <c r="W944" s="257"/>
      <c r="X944" s="256"/>
    </row>
    <row r="945" spans="1:24" ht="12.75">
      <c r="A945" s="255"/>
      <c r="B945" s="256"/>
      <c r="C945" s="257"/>
      <c r="D945" s="256"/>
      <c r="E945" s="257"/>
      <c r="F945" s="256"/>
      <c r="G945" s="257"/>
      <c r="H945" s="256"/>
      <c r="I945" s="257"/>
      <c r="J945" s="256"/>
      <c r="K945" s="257"/>
      <c r="L945" s="256"/>
      <c r="M945" s="257"/>
      <c r="N945" s="256"/>
      <c r="O945" s="257"/>
      <c r="P945" s="256"/>
      <c r="Q945" s="257"/>
      <c r="R945" s="256"/>
      <c r="S945" s="257"/>
      <c r="T945" s="256"/>
      <c r="U945" s="257"/>
      <c r="V945" s="256"/>
      <c r="W945" s="257"/>
      <c r="X945" s="256"/>
    </row>
    <row r="946" spans="1:24" ht="12.75">
      <c r="A946" s="255"/>
      <c r="B946" s="256"/>
      <c r="C946" s="257"/>
      <c r="D946" s="256"/>
      <c r="E946" s="257"/>
      <c r="F946" s="256"/>
      <c r="G946" s="257"/>
      <c r="H946" s="256"/>
      <c r="I946" s="257"/>
      <c r="J946" s="256"/>
      <c r="K946" s="257"/>
      <c r="L946" s="256"/>
      <c r="M946" s="257"/>
      <c r="N946" s="256"/>
      <c r="O946" s="257"/>
      <c r="P946" s="256"/>
      <c r="Q946" s="257"/>
      <c r="R946" s="256"/>
      <c r="S946" s="257"/>
      <c r="T946" s="256"/>
      <c r="U946" s="257"/>
      <c r="V946" s="256"/>
      <c r="W946" s="257"/>
      <c r="X946" s="256"/>
    </row>
    <row r="947" spans="1:24" ht="12.75">
      <c r="A947" s="255"/>
      <c r="B947" s="256"/>
      <c r="C947" s="257"/>
      <c r="D947" s="256"/>
      <c r="E947" s="257"/>
      <c r="F947" s="256"/>
      <c r="G947" s="257"/>
      <c r="H947" s="256"/>
      <c r="I947" s="257"/>
      <c r="J947" s="256"/>
      <c r="K947" s="257"/>
      <c r="L947" s="256"/>
      <c r="M947" s="257"/>
      <c r="N947" s="256"/>
      <c r="O947" s="257"/>
      <c r="P947" s="256"/>
      <c r="Q947" s="257"/>
      <c r="R947" s="256"/>
      <c r="S947" s="257"/>
      <c r="T947" s="256"/>
      <c r="U947" s="257"/>
      <c r="V947" s="256"/>
      <c r="W947" s="257"/>
      <c r="X947" s="256"/>
    </row>
    <row r="948" spans="1:24" ht="12.75">
      <c r="A948" s="255"/>
      <c r="B948" s="256"/>
      <c r="C948" s="257"/>
      <c r="D948" s="256"/>
      <c r="E948" s="257"/>
      <c r="F948" s="256"/>
      <c r="G948" s="257"/>
      <c r="H948" s="256"/>
      <c r="I948" s="257"/>
      <c r="J948" s="256"/>
      <c r="K948" s="257"/>
      <c r="L948" s="256"/>
      <c r="M948" s="257"/>
      <c r="N948" s="256"/>
      <c r="O948" s="257"/>
      <c r="P948" s="256"/>
      <c r="Q948" s="257"/>
      <c r="R948" s="256"/>
      <c r="S948" s="257"/>
      <c r="T948" s="256"/>
      <c r="U948" s="257"/>
      <c r="V948" s="256"/>
      <c r="W948" s="257"/>
      <c r="X948" s="256"/>
    </row>
    <row r="949" spans="1:24" ht="12.75">
      <c r="A949" s="255"/>
      <c r="B949" s="256"/>
      <c r="C949" s="257"/>
      <c r="D949" s="256"/>
      <c r="E949" s="257"/>
      <c r="F949" s="256"/>
      <c r="G949" s="257"/>
      <c r="H949" s="256"/>
      <c r="I949" s="257"/>
      <c r="J949" s="256"/>
      <c r="K949" s="257"/>
      <c r="L949" s="256"/>
      <c r="M949" s="257"/>
      <c r="N949" s="256"/>
      <c r="O949" s="257"/>
      <c r="P949" s="256"/>
      <c r="Q949" s="257"/>
      <c r="R949" s="256"/>
      <c r="S949" s="257"/>
      <c r="T949" s="256"/>
      <c r="U949" s="257"/>
      <c r="V949" s="256"/>
      <c r="W949" s="257"/>
      <c r="X949" s="256"/>
    </row>
    <row r="950" spans="1:24" ht="12.75">
      <c r="A950" s="255"/>
      <c r="B950" s="256"/>
      <c r="C950" s="257"/>
      <c r="D950" s="256"/>
      <c r="E950" s="257"/>
      <c r="F950" s="256"/>
      <c r="G950" s="257"/>
      <c r="H950" s="256"/>
      <c r="I950" s="257"/>
      <c r="J950" s="256"/>
      <c r="K950" s="257"/>
      <c r="L950" s="256"/>
      <c r="M950" s="257"/>
      <c r="N950" s="256"/>
      <c r="O950" s="257"/>
      <c r="P950" s="256"/>
      <c r="Q950" s="257"/>
      <c r="R950" s="256"/>
      <c r="S950" s="257"/>
      <c r="T950" s="256"/>
      <c r="U950" s="257"/>
      <c r="V950" s="256"/>
      <c r="W950" s="257"/>
      <c r="X950" s="256"/>
    </row>
    <row r="951" spans="1:24" ht="12.75">
      <c r="A951" s="255"/>
      <c r="B951" s="256"/>
      <c r="C951" s="257"/>
      <c r="D951" s="256"/>
      <c r="E951" s="257"/>
      <c r="F951" s="256"/>
      <c r="G951" s="257"/>
      <c r="H951" s="256"/>
      <c r="I951" s="257"/>
      <c r="J951" s="256"/>
      <c r="K951" s="257"/>
      <c r="L951" s="256"/>
      <c r="M951" s="257"/>
      <c r="N951" s="256"/>
      <c r="O951" s="257"/>
      <c r="P951" s="256"/>
      <c r="Q951" s="257"/>
      <c r="R951" s="256"/>
      <c r="S951" s="257"/>
      <c r="T951" s="256"/>
      <c r="U951" s="257"/>
      <c r="V951" s="256"/>
      <c r="W951" s="257"/>
      <c r="X951" s="256"/>
    </row>
    <row r="952" spans="1:24" ht="12.75">
      <c r="A952" s="255"/>
      <c r="B952" s="256"/>
      <c r="C952" s="257"/>
      <c r="D952" s="256"/>
      <c r="E952" s="257"/>
      <c r="F952" s="256"/>
      <c r="G952" s="257"/>
      <c r="H952" s="256"/>
      <c r="I952" s="257"/>
      <c r="J952" s="256"/>
      <c r="K952" s="257"/>
      <c r="L952" s="256"/>
      <c r="M952" s="257"/>
      <c r="N952" s="256"/>
      <c r="O952" s="257"/>
      <c r="P952" s="256"/>
      <c r="Q952" s="257"/>
      <c r="R952" s="256"/>
      <c r="S952" s="257"/>
      <c r="T952" s="256"/>
      <c r="U952" s="257"/>
      <c r="V952" s="256"/>
      <c r="W952" s="257"/>
      <c r="X952" s="256"/>
    </row>
    <row r="953" spans="1:24" ht="12.75">
      <c r="A953" s="255"/>
      <c r="B953" s="256"/>
      <c r="C953" s="257"/>
      <c r="D953" s="256"/>
      <c r="E953" s="257"/>
      <c r="F953" s="256"/>
      <c r="G953" s="257"/>
      <c r="H953" s="256"/>
      <c r="I953" s="257"/>
      <c r="J953" s="256"/>
      <c r="K953" s="257"/>
      <c r="L953" s="256"/>
      <c r="M953" s="257"/>
      <c r="N953" s="256"/>
      <c r="O953" s="257"/>
      <c r="P953" s="256"/>
      <c r="Q953" s="257"/>
      <c r="R953" s="256"/>
      <c r="S953" s="257"/>
      <c r="T953" s="256"/>
      <c r="U953" s="257"/>
      <c r="V953" s="256"/>
      <c r="W953" s="257"/>
      <c r="X953" s="256"/>
    </row>
    <row r="954" spans="1:24" ht="12.75">
      <c r="A954" s="255"/>
      <c r="B954" s="256"/>
      <c r="C954" s="257"/>
      <c r="D954" s="256"/>
      <c r="E954" s="257"/>
      <c r="F954" s="256"/>
      <c r="G954" s="257"/>
      <c r="H954" s="256"/>
      <c r="I954" s="257"/>
      <c r="J954" s="256"/>
      <c r="K954" s="257"/>
      <c r="L954" s="256"/>
      <c r="M954" s="257"/>
      <c r="N954" s="256"/>
      <c r="O954" s="257"/>
      <c r="P954" s="256"/>
      <c r="Q954" s="257"/>
      <c r="R954" s="256"/>
      <c r="S954" s="257"/>
      <c r="T954" s="256"/>
      <c r="U954" s="257"/>
      <c r="V954" s="256"/>
      <c r="W954" s="257"/>
      <c r="X954" s="256"/>
    </row>
    <row r="955" spans="1:24" ht="12.75">
      <c r="A955" s="255"/>
      <c r="B955" s="256"/>
      <c r="C955" s="257"/>
      <c r="D955" s="256"/>
      <c r="E955" s="257"/>
      <c r="F955" s="256"/>
      <c r="G955" s="257"/>
      <c r="H955" s="256"/>
      <c r="I955" s="257"/>
      <c r="J955" s="256"/>
      <c r="K955" s="257"/>
      <c r="L955" s="256"/>
      <c r="M955" s="257"/>
      <c r="N955" s="256"/>
      <c r="O955" s="257"/>
      <c r="P955" s="256"/>
      <c r="Q955" s="257"/>
      <c r="R955" s="256"/>
      <c r="S955" s="257"/>
      <c r="T955" s="256"/>
      <c r="U955" s="257"/>
      <c r="V955" s="256"/>
      <c r="W955" s="257"/>
      <c r="X955" s="256"/>
    </row>
    <row r="956" spans="1:24" ht="12.75">
      <c r="A956" s="255"/>
      <c r="B956" s="256"/>
      <c r="C956" s="257"/>
      <c r="D956" s="256"/>
      <c r="E956" s="257"/>
      <c r="F956" s="256"/>
      <c r="G956" s="257"/>
      <c r="H956" s="256"/>
      <c r="I956" s="257"/>
      <c r="J956" s="256"/>
      <c r="K956" s="257"/>
      <c r="L956" s="256"/>
      <c r="M956" s="257"/>
      <c r="N956" s="256"/>
      <c r="O956" s="257"/>
      <c r="P956" s="256"/>
      <c r="Q956" s="257"/>
      <c r="R956" s="256"/>
      <c r="S956" s="257"/>
      <c r="T956" s="256"/>
      <c r="U956" s="257"/>
      <c r="V956" s="256"/>
      <c r="W956" s="257"/>
      <c r="X956" s="256"/>
    </row>
    <row r="957" spans="1:24" ht="12.75">
      <c r="A957" s="255"/>
      <c r="B957" s="256"/>
      <c r="C957" s="257"/>
      <c r="D957" s="256"/>
      <c r="E957" s="257"/>
      <c r="F957" s="256"/>
      <c r="G957" s="257"/>
      <c r="H957" s="256"/>
      <c r="I957" s="257"/>
      <c r="J957" s="256"/>
      <c r="K957" s="257"/>
      <c r="L957" s="256"/>
      <c r="M957" s="257"/>
      <c r="N957" s="256"/>
      <c r="O957" s="257"/>
      <c r="P957" s="256"/>
      <c r="Q957" s="257"/>
      <c r="R957" s="256"/>
      <c r="S957" s="257"/>
      <c r="T957" s="256"/>
      <c r="U957" s="257"/>
      <c r="V957" s="256"/>
      <c r="W957" s="257"/>
      <c r="X957" s="256"/>
    </row>
    <row r="958" spans="1:24" ht="12.75">
      <c r="A958" s="255"/>
      <c r="B958" s="256"/>
      <c r="C958" s="257"/>
      <c r="D958" s="256"/>
      <c r="E958" s="257"/>
      <c r="F958" s="256"/>
      <c r="G958" s="257"/>
      <c r="H958" s="256"/>
      <c r="I958" s="257"/>
      <c r="J958" s="256"/>
      <c r="K958" s="257"/>
      <c r="L958" s="256"/>
      <c r="M958" s="257"/>
      <c r="N958" s="256"/>
      <c r="O958" s="257"/>
      <c r="P958" s="256"/>
      <c r="Q958" s="257"/>
      <c r="R958" s="256"/>
      <c r="S958" s="257"/>
      <c r="T958" s="256"/>
      <c r="U958" s="257"/>
      <c r="V958" s="256"/>
      <c r="W958" s="257"/>
      <c r="X958" s="256"/>
    </row>
    <row r="959" spans="1:24" ht="12.75">
      <c r="A959" s="255"/>
      <c r="B959" s="256"/>
      <c r="C959" s="257"/>
      <c r="D959" s="256"/>
      <c r="E959" s="257"/>
      <c r="F959" s="256"/>
      <c r="G959" s="257"/>
      <c r="H959" s="256"/>
      <c r="I959" s="257"/>
      <c r="J959" s="256"/>
      <c r="K959" s="257"/>
      <c r="L959" s="256"/>
      <c r="M959" s="257"/>
      <c r="N959" s="256"/>
      <c r="O959" s="257"/>
      <c r="P959" s="256"/>
      <c r="Q959" s="257"/>
      <c r="R959" s="256"/>
      <c r="S959" s="257"/>
      <c r="T959" s="256"/>
      <c r="U959" s="257"/>
      <c r="V959" s="256"/>
      <c r="W959" s="257"/>
      <c r="X959" s="256"/>
    </row>
    <row r="960" spans="1:24" ht="12.75">
      <c r="A960" s="255"/>
      <c r="B960" s="256"/>
      <c r="C960" s="257"/>
      <c r="D960" s="256"/>
      <c r="E960" s="257"/>
      <c r="F960" s="256"/>
      <c r="G960" s="257"/>
      <c r="H960" s="256"/>
      <c r="I960" s="257"/>
      <c r="J960" s="256"/>
      <c r="K960" s="257"/>
      <c r="L960" s="256"/>
      <c r="M960" s="257"/>
      <c r="N960" s="256"/>
      <c r="O960" s="257"/>
      <c r="P960" s="256"/>
      <c r="Q960" s="257"/>
      <c r="R960" s="256"/>
      <c r="S960" s="257"/>
      <c r="T960" s="256"/>
      <c r="U960" s="257"/>
      <c r="V960" s="256"/>
      <c r="W960" s="257"/>
      <c r="X960" s="256"/>
    </row>
    <row r="961" spans="1:24" ht="12.75">
      <c r="A961" s="255"/>
      <c r="B961" s="256"/>
      <c r="C961" s="257"/>
      <c r="D961" s="256"/>
      <c r="E961" s="257"/>
      <c r="F961" s="256"/>
      <c r="G961" s="257"/>
      <c r="H961" s="256"/>
      <c r="I961" s="257"/>
      <c r="J961" s="256"/>
      <c r="K961" s="257"/>
      <c r="L961" s="256"/>
      <c r="M961" s="257"/>
      <c r="N961" s="256"/>
      <c r="O961" s="257"/>
      <c r="P961" s="256"/>
      <c r="Q961" s="257"/>
      <c r="R961" s="256"/>
      <c r="S961" s="257"/>
      <c r="T961" s="256"/>
      <c r="U961" s="257"/>
      <c r="V961" s="256"/>
      <c r="W961" s="257"/>
      <c r="X961" s="256"/>
    </row>
    <row r="962" spans="1:24" ht="12.75">
      <c r="A962" s="255"/>
      <c r="B962" s="256"/>
      <c r="C962" s="257"/>
      <c r="D962" s="256"/>
      <c r="E962" s="257"/>
      <c r="F962" s="256"/>
      <c r="G962" s="257"/>
      <c r="H962" s="256"/>
      <c r="I962" s="257"/>
      <c r="J962" s="256"/>
      <c r="K962" s="257"/>
      <c r="L962" s="256"/>
      <c r="M962" s="257"/>
      <c r="N962" s="256"/>
      <c r="O962" s="257"/>
      <c r="P962" s="256"/>
      <c r="Q962" s="257"/>
      <c r="R962" s="256"/>
      <c r="S962" s="257"/>
      <c r="T962" s="256"/>
      <c r="U962" s="257"/>
      <c r="V962" s="256"/>
      <c r="W962" s="257"/>
      <c r="X962" s="256"/>
    </row>
    <row r="963" spans="1:24" ht="12.75">
      <c r="A963" s="255"/>
      <c r="B963" s="256"/>
      <c r="C963" s="257"/>
      <c r="D963" s="256"/>
      <c r="E963" s="257"/>
      <c r="F963" s="256"/>
      <c r="G963" s="257"/>
      <c r="H963" s="256"/>
      <c r="I963" s="257"/>
      <c r="J963" s="256"/>
      <c r="K963" s="257"/>
      <c r="L963" s="256"/>
      <c r="M963" s="257"/>
      <c r="N963" s="256"/>
      <c r="O963" s="257"/>
      <c r="P963" s="256"/>
      <c r="Q963" s="257"/>
      <c r="R963" s="256"/>
      <c r="S963" s="257"/>
      <c r="T963" s="256"/>
      <c r="U963" s="257"/>
      <c r="V963" s="256"/>
      <c r="W963" s="257"/>
      <c r="X963" s="256"/>
    </row>
    <row r="964" spans="1:24" ht="12.75">
      <c r="A964" s="255"/>
      <c r="B964" s="256"/>
      <c r="C964" s="257"/>
      <c r="D964" s="256"/>
      <c r="E964" s="257"/>
      <c r="F964" s="256"/>
      <c r="G964" s="257"/>
      <c r="H964" s="256"/>
      <c r="I964" s="257"/>
      <c r="J964" s="256"/>
      <c r="K964" s="257"/>
      <c r="L964" s="256"/>
      <c r="M964" s="257"/>
      <c r="N964" s="256"/>
      <c r="O964" s="257"/>
      <c r="P964" s="256"/>
      <c r="Q964" s="257"/>
      <c r="R964" s="256"/>
      <c r="S964" s="257"/>
      <c r="T964" s="256"/>
      <c r="U964" s="257"/>
      <c r="V964" s="256"/>
      <c r="W964" s="257"/>
      <c r="X964" s="256"/>
    </row>
    <row r="965" spans="1:24" ht="12.75">
      <c r="A965" s="255"/>
      <c r="B965" s="256"/>
      <c r="C965" s="257"/>
      <c r="D965" s="256"/>
      <c r="E965" s="257"/>
      <c r="F965" s="256"/>
      <c r="G965" s="257"/>
      <c r="H965" s="256"/>
      <c r="I965" s="257"/>
      <c r="J965" s="256"/>
      <c r="K965" s="257"/>
      <c r="L965" s="256"/>
      <c r="M965" s="257"/>
      <c r="N965" s="256"/>
      <c r="O965" s="257"/>
      <c r="P965" s="256"/>
      <c r="Q965" s="257"/>
      <c r="R965" s="256"/>
      <c r="S965" s="257"/>
      <c r="T965" s="256"/>
      <c r="U965" s="257"/>
      <c r="V965" s="256"/>
      <c r="W965" s="257"/>
      <c r="X965" s="256"/>
    </row>
    <row r="966" spans="1:24" ht="12.75">
      <c r="A966" s="255"/>
      <c r="B966" s="256"/>
      <c r="C966" s="257"/>
      <c r="D966" s="256"/>
      <c r="E966" s="257"/>
      <c r="F966" s="256"/>
      <c r="G966" s="257"/>
      <c r="H966" s="256"/>
      <c r="I966" s="257"/>
      <c r="J966" s="256"/>
      <c r="K966" s="257"/>
      <c r="L966" s="256"/>
      <c r="M966" s="257"/>
      <c r="N966" s="256"/>
      <c r="O966" s="257"/>
      <c r="P966" s="256"/>
      <c r="Q966" s="257"/>
      <c r="R966" s="256"/>
      <c r="S966" s="257"/>
      <c r="T966" s="256"/>
      <c r="U966" s="257"/>
      <c r="V966" s="256"/>
      <c r="W966" s="257"/>
      <c r="X966" s="256"/>
    </row>
    <row r="967" spans="1:24" ht="12.75">
      <c r="A967" s="255"/>
      <c r="B967" s="256"/>
      <c r="C967" s="257"/>
      <c r="D967" s="256"/>
      <c r="E967" s="257"/>
      <c r="F967" s="256"/>
      <c r="G967" s="257"/>
      <c r="H967" s="256"/>
      <c r="I967" s="257"/>
      <c r="J967" s="256"/>
      <c r="K967" s="257"/>
      <c r="L967" s="256"/>
      <c r="M967" s="257"/>
      <c r="N967" s="256"/>
      <c r="O967" s="257"/>
      <c r="P967" s="256"/>
      <c r="Q967" s="257"/>
      <c r="R967" s="256"/>
      <c r="S967" s="257"/>
      <c r="T967" s="256"/>
      <c r="U967" s="257"/>
      <c r="V967" s="256"/>
      <c r="W967" s="257"/>
      <c r="X967" s="256"/>
    </row>
    <row r="968" spans="1:24" ht="12.75">
      <c r="A968" s="255"/>
      <c r="B968" s="256"/>
      <c r="C968" s="257"/>
      <c r="D968" s="256"/>
      <c r="E968" s="257"/>
      <c r="F968" s="256"/>
      <c r="G968" s="257"/>
      <c r="H968" s="256"/>
      <c r="I968" s="257"/>
      <c r="J968" s="256"/>
      <c r="K968" s="257"/>
      <c r="L968" s="256"/>
      <c r="M968" s="257"/>
      <c r="N968" s="256"/>
      <c r="O968" s="257"/>
      <c r="P968" s="256"/>
      <c r="Q968" s="257"/>
      <c r="R968" s="256"/>
      <c r="S968" s="257"/>
      <c r="T968" s="256"/>
      <c r="U968" s="257"/>
      <c r="V968" s="256"/>
      <c r="W968" s="257"/>
      <c r="X968" s="256"/>
    </row>
    <row r="969" spans="1:24" ht="12.75">
      <c r="A969" s="255"/>
      <c r="B969" s="256"/>
      <c r="C969" s="257"/>
      <c r="D969" s="256"/>
      <c r="E969" s="257"/>
      <c r="F969" s="256"/>
      <c r="G969" s="257"/>
      <c r="H969" s="256"/>
      <c r="I969" s="257"/>
      <c r="J969" s="256"/>
      <c r="K969" s="257"/>
      <c r="L969" s="256"/>
      <c r="M969" s="257"/>
      <c r="N969" s="256"/>
      <c r="O969" s="257"/>
      <c r="P969" s="256"/>
      <c r="Q969" s="257"/>
      <c r="R969" s="256"/>
      <c r="S969" s="257"/>
      <c r="T969" s="256"/>
      <c r="U969" s="257"/>
      <c r="V969" s="256"/>
      <c r="W969" s="257"/>
      <c r="X969" s="256"/>
    </row>
    <row r="970" spans="1:24" ht="12.75">
      <c r="A970" s="255"/>
      <c r="B970" s="256"/>
      <c r="C970" s="257"/>
      <c r="D970" s="256"/>
      <c r="E970" s="257"/>
      <c r="F970" s="256"/>
      <c r="G970" s="257"/>
      <c r="H970" s="256"/>
      <c r="I970" s="257"/>
      <c r="J970" s="256"/>
      <c r="K970" s="257"/>
      <c r="L970" s="256"/>
      <c r="M970" s="257"/>
      <c r="N970" s="256"/>
      <c r="O970" s="257"/>
      <c r="P970" s="256"/>
      <c r="Q970" s="257"/>
      <c r="R970" s="256"/>
      <c r="S970" s="257"/>
      <c r="T970" s="256"/>
      <c r="U970" s="257"/>
      <c r="V970" s="256"/>
      <c r="W970" s="257"/>
      <c r="X970" s="256"/>
    </row>
    <row r="971" spans="1:24" ht="12.75">
      <c r="A971" s="255"/>
      <c r="B971" s="256"/>
      <c r="C971" s="257"/>
      <c r="D971" s="256"/>
      <c r="E971" s="257"/>
      <c r="F971" s="256"/>
      <c r="G971" s="257"/>
      <c r="H971" s="256"/>
      <c r="I971" s="257"/>
      <c r="J971" s="256"/>
      <c r="K971" s="257"/>
      <c r="L971" s="256"/>
      <c r="M971" s="257"/>
      <c r="N971" s="256"/>
      <c r="O971" s="257"/>
      <c r="P971" s="256"/>
      <c r="Q971" s="257"/>
      <c r="R971" s="256"/>
      <c r="S971" s="257"/>
      <c r="T971" s="256"/>
      <c r="U971" s="257"/>
      <c r="V971" s="256"/>
      <c r="W971" s="257"/>
      <c r="X971" s="256"/>
    </row>
    <row r="972" spans="1:24" ht="12.75">
      <c r="A972" s="255"/>
      <c r="B972" s="256"/>
      <c r="C972" s="257"/>
      <c r="D972" s="256"/>
      <c r="E972" s="257"/>
      <c r="F972" s="256"/>
      <c r="G972" s="257"/>
      <c r="H972" s="256"/>
      <c r="I972" s="257"/>
      <c r="J972" s="256"/>
      <c r="K972" s="257"/>
      <c r="L972" s="256"/>
      <c r="M972" s="257"/>
      <c r="N972" s="256"/>
      <c r="O972" s="257"/>
      <c r="P972" s="256"/>
      <c r="Q972" s="257"/>
      <c r="R972" s="256"/>
      <c r="S972" s="257"/>
      <c r="T972" s="256"/>
      <c r="U972" s="257"/>
      <c r="V972" s="256"/>
      <c r="W972" s="257"/>
      <c r="X972" s="256"/>
    </row>
    <row r="973" spans="1:24" ht="12.75">
      <c r="A973" s="255"/>
      <c r="B973" s="256"/>
      <c r="C973" s="257"/>
      <c r="D973" s="256"/>
      <c r="E973" s="257"/>
      <c r="F973" s="256"/>
      <c r="G973" s="257"/>
      <c r="H973" s="256"/>
      <c r="I973" s="257"/>
      <c r="J973" s="256"/>
      <c r="K973" s="257"/>
      <c r="L973" s="256"/>
      <c r="M973" s="257"/>
      <c r="N973" s="256"/>
      <c r="O973" s="257"/>
      <c r="P973" s="256"/>
      <c r="Q973" s="257"/>
      <c r="R973" s="256"/>
      <c r="S973" s="257"/>
      <c r="T973" s="256"/>
      <c r="U973" s="257"/>
      <c r="V973" s="256"/>
      <c r="W973" s="257"/>
      <c r="X973" s="256"/>
    </row>
    <row r="974" spans="1:24" ht="12.75">
      <c r="A974" s="255"/>
      <c r="B974" s="256"/>
      <c r="C974" s="257"/>
      <c r="D974" s="256"/>
      <c r="E974" s="257"/>
      <c r="F974" s="256"/>
      <c r="G974" s="257"/>
      <c r="H974" s="256"/>
      <c r="I974" s="257"/>
      <c r="J974" s="256"/>
      <c r="K974" s="257"/>
      <c r="L974" s="256"/>
      <c r="M974" s="257"/>
      <c r="N974" s="256"/>
      <c r="O974" s="257"/>
      <c r="P974" s="256"/>
      <c r="Q974" s="257"/>
      <c r="R974" s="256"/>
      <c r="S974" s="257"/>
      <c r="T974" s="256"/>
      <c r="U974" s="257"/>
      <c r="V974" s="256"/>
      <c r="W974" s="257"/>
      <c r="X974" s="256"/>
    </row>
    <row r="975" spans="1:24" ht="12.75">
      <c r="A975" s="255"/>
      <c r="B975" s="256"/>
      <c r="C975" s="257"/>
      <c r="D975" s="256"/>
      <c r="E975" s="257"/>
      <c r="F975" s="256"/>
      <c r="G975" s="257"/>
      <c r="H975" s="256"/>
      <c r="I975" s="257"/>
      <c r="J975" s="256"/>
      <c r="K975" s="257"/>
      <c r="L975" s="256"/>
      <c r="M975" s="257"/>
      <c r="N975" s="256"/>
      <c r="O975" s="257"/>
      <c r="P975" s="256"/>
      <c r="Q975" s="257"/>
      <c r="R975" s="256"/>
      <c r="S975" s="257"/>
      <c r="T975" s="256"/>
      <c r="U975" s="257"/>
      <c r="V975" s="256"/>
      <c r="W975" s="257"/>
      <c r="X975" s="256"/>
    </row>
    <row r="976" spans="1:24" ht="12.75">
      <c r="A976" s="255"/>
      <c r="B976" s="256"/>
      <c r="C976" s="257"/>
      <c r="D976" s="256"/>
      <c r="E976" s="257"/>
      <c r="F976" s="256"/>
      <c r="G976" s="257"/>
      <c r="H976" s="256"/>
      <c r="I976" s="257"/>
      <c r="J976" s="256"/>
      <c r="K976" s="257"/>
      <c r="L976" s="256"/>
      <c r="M976" s="257"/>
      <c r="N976" s="256"/>
      <c r="O976" s="257"/>
      <c r="P976" s="256"/>
      <c r="Q976" s="257"/>
      <c r="R976" s="256"/>
      <c r="S976" s="257"/>
      <c r="T976" s="256"/>
      <c r="U976" s="257"/>
      <c r="V976" s="256"/>
      <c r="W976" s="257"/>
      <c r="X976" s="256"/>
    </row>
    <row r="977" spans="1:24" ht="12.75">
      <c r="A977" s="255"/>
      <c r="B977" s="256"/>
      <c r="C977" s="257"/>
      <c r="D977" s="256"/>
      <c r="E977" s="257"/>
      <c r="F977" s="256"/>
      <c r="G977" s="257"/>
      <c r="H977" s="256"/>
      <c r="I977" s="257"/>
      <c r="J977" s="256"/>
      <c r="K977" s="257"/>
      <c r="L977" s="256"/>
      <c r="M977" s="257"/>
      <c r="N977" s="256"/>
      <c r="O977" s="257"/>
      <c r="P977" s="256"/>
      <c r="Q977" s="257"/>
      <c r="R977" s="256"/>
      <c r="S977" s="257"/>
      <c r="T977" s="256"/>
      <c r="U977" s="257"/>
      <c r="V977" s="256"/>
      <c r="W977" s="257"/>
      <c r="X977" s="256"/>
    </row>
    <row r="978" spans="1:24" ht="12.75">
      <c r="A978" s="255"/>
      <c r="B978" s="256"/>
      <c r="C978" s="257"/>
      <c r="D978" s="256"/>
      <c r="E978" s="257"/>
      <c r="F978" s="256"/>
      <c r="G978" s="257"/>
      <c r="H978" s="256"/>
      <c r="I978" s="257"/>
      <c r="J978" s="256"/>
      <c r="K978" s="257"/>
      <c r="L978" s="256"/>
      <c r="M978" s="257"/>
      <c r="N978" s="256"/>
      <c r="O978" s="257"/>
      <c r="P978" s="256"/>
      <c r="Q978" s="257"/>
      <c r="R978" s="256"/>
      <c r="S978" s="257"/>
      <c r="T978" s="256"/>
      <c r="U978" s="257"/>
      <c r="V978" s="256"/>
      <c r="W978" s="257"/>
      <c r="X978" s="256"/>
    </row>
    <row r="979" spans="1:24" ht="12.75">
      <c r="A979" s="255"/>
      <c r="B979" s="256"/>
      <c r="C979" s="257"/>
      <c r="D979" s="256"/>
      <c r="E979" s="257"/>
      <c r="F979" s="256"/>
      <c r="G979" s="257"/>
      <c r="H979" s="256"/>
      <c r="I979" s="257"/>
      <c r="J979" s="256"/>
      <c r="K979" s="257"/>
      <c r="L979" s="256"/>
      <c r="M979" s="257"/>
      <c r="N979" s="256"/>
      <c r="O979" s="257"/>
      <c r="P979" s="256"/>
      <c r="Q979" s="257"/>
      <c r="R979" s="256"/>
      <c r="S979" s="257"/>
      <c r="T979" s="256"/>
      <c r="U979" s="257"/>
      <c r="V979" s="256"/>
      <c r="W979" s="257"/>
      <c r="X979" s="256"/>
    </row>
    <row r="980" spans="1:24" ht="12.75">
      <c r="A980" s="255"/>
      <c r="B980" s="256"/>
      <c r="C980" s="257"/>
      <c r="D980" s="256"/>
      <c r="E980" s="257"/>
      <c r="F980" s="256"/>
      <c r="G980" s="257"/>
      <c r="H980" s="256"/>
      <c r="I980" s="257"/>
      <c r="J980" s="256"/>
      <c r="K980" s="257"/>
      <c r="L980" s="256"/>
      <c r="M980" s="257"/>
      <c r="N980" s="256"/>
      <c r="O980" s="257"/>
      <c r="P980" s="256"/>
      <c r="Q980" s="257"/>
      <c r="R980" s="256"/>
      <c r="S980" s="257"/>
      <c r="T980" s="256"/>
      <c r="U980" s="257"/>
      <c r="V980" s="256"/>
      <c r="W980" s="257"/>
      <c r="X980" s="256"/>
    </row>
    <row r="981" spans="1:24" ht="12.75">
      <c r="A981" s="255"/>
      <c r="B981" s="256"/>
      <c r="C981" s="257"/>
      <c r="D981" s="256"/>
      <c r="E981" s="257"/>
      <c r="F981" s="256"/>
      <c r="G981" s="257"/>
      <c r="H981" s="256"/>
      <c r="I981" s="257"/>
      <c r="J981" s="256"/>
      <c r="K981" s="257"/>
      <c r="L981" s="256"/>
      <c r="M981" s="257"/>
      <c r="N981" s="256"/>
      <c r="O981" s="257"/>
      <c r="P981" s="256"/>
      <c r="Q981" s="257"/>
      <c r="R981" s="256"/>
      <c r="S981" s="257"/>
      <c r="T981" s="256"/>
      <c r="U981" s="257"/>
      <c r="V981" s="256"/>
      <c r="W981" s="257"/>
      <c r="X981" s="256"/>
    </row>
    <row r="982" spans="1:24" ht="12.75">
      <c r="A982" s="255"/>
      <c r="B982" s="256"/>
      <c r="C982" s="257"/>
      <c r="D982" s="256"/>
      <c r="E982" s="257"/>
      <c r="F982" s="256"/>
      <c r="G982" s="257"/>
      <c r="H982" s="256"/>
      <c r="I982" s="257"/>
      <c r="J982" s="256"/>
      <c r="K982" s="257"/>
      <c r="L982" s="256"/>
      <c r="M982" s="257"/>
      <c r="N982" s="256"/>
      <c r="O982" s="257"/>
      <c r="P982" s="256"/>
      <c r="Q982" s="257"/>
      <c r="R982" s="256"/>
      <c r="S982" s="257"/>
      <c r="T982" s="256"/>
      <c r="U982" s="257"/>
      <c r="V982" s="256"/>
      <c r="W982" s="257"/>
      <c r="X982" s="256"/>
    </row>
    <row r="983" spans="1:24" ht="12.75">
      <c r="A983" s="255"/>
      <c r="B983" s="256"/>
      <c r="C983" s="257"/>
      <c r="D983" s="256"/>
      <c r="E983" s="257"/>
      <c r="F983" s="256"/>
      <c r="G983" s="257"/>
      <c r="H983" s="256"/>
      <c r="I983" s="257"/>
      <c r="J983" s="256"/>
      <c r="K983" s="257"/>
      <c r="L983" s="256"/>
      <c r="M983" s="257"/>
      <c r="N983" s="256"/>
      <c r="O983" s="257"/>
      <c r="P983" s="256"/>
      <c r="Q983" s="257"/>
      <c r="R983" s="256"/>
      <c r="S983" s="257"/>
      <c r="T983" s="256"/>
      <c r="U983" s="257"/>
      <c r="V983" s="256"/>
      <c r="W983" s="257"/>
      <c r="X983" s="256"/>
    </row>
    <row r="984" spans="1:24" ht="12.75">
      <c r="A984" s="255"/>
      <c r="B984" s="256"/>
      <c r="C984" s="257"/>
      <c r="D984" s="256"/>
      <c r="E984" s="257"/>
      <c r="F984" s="256"/>
      <c r="G984" s="257"/>
      <c r="H984" s="256"/>
      <c r="I984" s="257"/>
      <c r="J984" s="256"/>
      <c r="K984" s="257"/>
      <c r="L984" s="256"/>
      <c r="M984" s="257"/>
      <c r="N984" s="256"/>
      <c r="O984" s="257"/>
      <c r="P984" s="256"/>
      <c r="Q984" s="257"/>
      <c r="R984" s="256"/>
      <c r="S984" s="257"/>
      <c r="T984" s="256"/>
      <c r="U984" s="257"/>
      <c r="V984" s="256"/>
      <c r="W984" s="257"/>
      <c r="X984" s="256"/>
    </row>
    <row r="985" spans="1:24" ht="12.75">
      <c r="A985" s="255"/>
      <c r="B985" s="256"/>
      <c r="C985" s="257"/>
      <c r="D985" s="256"/>
      <c r="E985" s="257"/>
      <c r="F985" s="256"/>
      <c r="G985" s="257"/>
      <c r="H985" s="256"/>
      <c r="I985" s="257"/>
      <c r="J985" s="256"/>
      <c r="K985" s="257"/>
      <c r="L985" s="256"/>
      <c r="M985" s="257"/>
      <c r="N985" s="256"/>
      <c r="O985" s="257"/>
      <c r="P985" s="256"/>
      <c r="Q985" s="257"/>
      <c r="R985" s="256"/>
      <c r="S985" s="257"/>
      <c r="T985" s="256"/>
      <c r="U985" s="257"/>
      <c r="V985" s="256"/>
      <c r="W985" s="257"/>
      <c r="X985" s="256"/>
    </row>
    <row r="986" spans="1:24" ht="12.75">
      <c r="A986" s="255"/>
      <c r="B986" s="256"/>
      <c r="C986" s="257"/>
      <c r="D986" s="256"/>
      <c r="E986" s="257"/>
      <c r="F986" s="256"/>
      <c r="G986" s="257"/>
      <c r="H986" s="256"/>
      <c r="I986" s="257"/>
      <c r="J986" s="256"/>
      <c r="K986" s="257"/>
      <c r="L986" s="256"/>
      <c r="M986" s="257"/>
      <c r="N986" s="256"/>
      <c r="O986" s="257"/>
      <c r="P986" s="256"/>
      <c r="Q986" s="257"/>
      <c r="R986" s="256"/>
      <c r="S986" s="257"/>
      <c r="T986" s="256"/>
      <c r="U986" s="257"/>
      <c r="V986" s="256"/>
      <c r="W986" s="257"/>
      <c r="X986" s="256"/>
    </row>
    <row r="987" spans="1:24" ht="12.75">
      <c r="A987" s="255"/>
      <c r="B987" s="256"/>
      <c r="C987" s="257"/>
      <c r="D987" s="256"/>
      <c r="E987" s="257"/>
      <c r="F987" s="256"/>
      <c r="G987" s="257"/>
      <c r="H987" s="256"/>
      <c r="I987" s="257"/>
      <c r="J987" s="256"/>
      <c r="K987" s="257"/>
      <c r="L987" s="256"/>
      <c r="M987" s="257"/>
      <c r="N987" s="256"/>
      <c r="O987" s="257"/>
      <c r="P987" s="256"/>
      <c r="Q987" s="257"/>
      <c r="R987" s="256"/>
      <c r="S987" s="257"/>
      <c r="T987" s="256"/>
      <c r="U987" s="257"/>
      <c r="V987" s="256"/>
      <c r="W987" s="257"/>
      <c r="X987" s="256"/>
    </row>
    <row r="988" spans="1:24" ht="12.75">
      <c r="A988" s="255"/>
      <c r="B988" s="256"/>
      <c r="C988" s="257"/>
      <c r="D988" s="256"/>
      <c r="E988" s="257"/>
      <c r="F988" s="256"/>
      <c r="G988" s="257"/>
      <c r="H988" s="256"/>
      <c r="I988" s="257"/>
      <c r="J988" s="256"/>
      <c r="K988" s="257"/>
      <c r="L988" s="256"/>
      <c r="M988" s="257"/>
      <c r="N988" s="256"/>
      <c r="O988" s="257"/>
      <c r="P988" s="256"/>
      <c r="Q988" s="257"/>
      <c r="R988" s="256"/>
      <c r="S988" s="257"/>
      <c r="T988" s="256"/>
      <c r="U988" s="257"/>
      <c r="V988" s="256"/>
      <c r="W988" s="257"/>
      <c r="X988" s="256"/>
    </row>
    <row r="989" spans="1:24" ht="12.75">
      <c r="A989" s="255"/>
      <c r="B989" s="256"/>
      <c r="C989" s="257"/>
      <c r="D989" s="256"/>
      <c r="E989" s="257"/>
      <c r="F989" s="256"/>
      <c r="G989" s="257"/>
      <c r="H989" s="256"/>
      <c r="I989" s="257"/>
      <c r="J989" s="256"/>
      <c r="K989" s="257"/>
      <c r="L989" s="256"/>
      <c r="M989" s="257"/>
      <c r="N989" s="256"/>
      <c r="O989" s="257"/>
      <c r="P989" s="256"/>
      <c r="Q989" s="257"/>
      <c r="R989" s="256"/>
      <c r="S989" s="257"/>
      <c r="T989" s="256"/>
      <c r="U989" s="257"/>
      <c r="V989" s="256"/>
      <c r="W989" s="257"/>
      <c r="X989" s="256"/>
    </row>
    <row r="990" spans="1:24" ht="12.75">
      <c r="A990" s="255"/>
      <c r="B990" s="256"/>
      <c r="C990" s="257"/>
      <c r="D990" s="256"/>
      <c r="E990" s="257"/>
      <c r="F990" s="256"/>
      <c r="G990" s="257"/>
      <c r="H990" s="256"/>
      <c r="I990" s="257"/>
      <c r="J990" s="256"/>
      <c r="K990" s="257"/>
      <c r="L990" s="256"/>
      <c r="M990" s="257"/>
      <c r="N990" s="256"/>
      <c r="O990" s="257"/>
      <c r="P990" s="256"/>
      <c r="Q990" s="257"/>
      <c r="R990" s="256"/>
      <c r="S990" s="257"/>
      <c r="T990" s="256"/>
      <c r="U990" s="257"/>
      <c r="V990" s="256"/>
      <c r="W990" s="257"/>
      <c r="X990" s="256"/>
    </row>
    <row r="991" spans="1:24" ht="12.75">
      <c r="A991" s="255"/>
      <c r="B991" s="256"/>
      <c r="C991" s="257"/>
      <c r="D991" s="256"/>
      <c r="E991" s="257"/>
      <c r="F991" s="256"/>
      <c r="G991" s="257"/>
      <c r="H991" s="256"/>
      <c r="I991" s="257"/>
      <c r="J991" s="256"/>
      <c r="K991" s="257"/>
      <c r="L991" s="256"/>
      <c r="M991" s="257"/>
      <c r="N991" s="256"/>
      <c r="O991" s="257"/>
      <c r="P991" s="256"/>
      <c r="Q991" s="257"/>
      <c r="R991" s="256"/>
      <c r="S991" s="257"/>
      <c r="T991" s="256"/>
      <c r="U991" s="257"/>
      <c r="V991" s="256"/>
      <c r="W991" s="257"/>
      <c r="X991" s="256"/>
    </row>
    <row r="992" spans="1:24" ht="12.75">
      <c r="A992" s="255"/>
      <c r="B992" s="256"/>
      <c r="C992" s="257"/>
      <c r="D992" s="256"/>
      <c r="E992" s="257"/>
      <c r="F992" s="256"/>
      <c r="G992" s="257"/>
      <c r="H992" s="256"/>
      <c r="I992" s="257"/>
      <c r="J992" s="256"/>
      <c r="K992" s="257"/>
      <c r="L992" s="256"/>
      <c r="M992" s="257"/>
      <c r="N992" s="256"/>
      <c r="O992" s="257"/>
      <c r="P992" s="256"/>
      <c r="Q992" s="257"/>
      <c r="R992" s="256"/>
      <c r="S992" s="257"/>
      <c r="T992" s="256"/>
      <c r="U992" s="257"/>
      <c r="V992" s="256"/>
      <c r="W992" s="257"/>
      <c r="X992" s="256"/>
    </row>
    <row r="993" spans="1:24" ht="12.75">
      <c r="A993" s="255"/>
      <c r="B993" s="256"/>
      <c r="C993" s="257"/>
      <c r="D993" s="256"/>
      <c r="E993" s="257"/>
      <c r="F993" s="256"/>
      <c r="G993" s="257"/>
      <c r="H993" s="256"/>
      <c r="I993" s="257"/>
      <c r="J993" s="256"/>
      <c r="K993" s="257"/>
      <c r="L993" s="256"/>
      <c r="M993" s="257"/>
      <c r="N993" s="256"/>
      <c r="O993" s="257"/>
      <c r="P993" s="256"/>
      <c r="Q993" s="257"/>
      <c r="R993" s="256"/>
      <c r="S993" s="257"/>
      <c r="T993" s="256"/>
      <c r="U993" s="257"/>
      <c r="V993" s="256"/>
      <c r="W993" s="257"/>
      <c r="X993" s="256"/>
    </row>
    <row r="994" spans="1:24" ht="12.75">
      <c r="A994" s="255"/>
      <c r="B994" s="256"/>
      <c r="C994" s="257"/>
      <c r="D994" s="256"/>
      <c r="E994" s="257"/>
      <c r="F994" s="256"/>
      <c r="G994" s="257"/>
      <c r="H994" s="256"/>
      <c r="I994" s="257"/>
      <c r="J994" s="256"/>
      <c r="K994" s="257"/>
      <c r="L994" s="256"/>
      <c r="M994" s="257"/>
      <c r="N994" s="256"/>
      <c r="O994" s="257"/>
      <c r="P994" s="256"/>
      <c r="Q994" s="257"/>
      <c r="R994" s="256"/>
      <c r="S994" s="257"/>
      <c r="T994" s="256"/>
      <c r="U994" s="257"/>
      <c r="V994" s="256"/>
      <c r="W994" s="257"/>
      <c r="X994" s="256"/>
    </row>
    <row r="995" spans="1:24" ht="12.75">
      <c r="A995" s="255"/>
      <c r="B995" s="256"/>
      <c r="C995" s="257"/>
      <c r="D995" s="256"/>
      <c r="E995" s="257"/>
      <c r="F995" s="256"/>
      <c r="G995" s="257"/>
      <c r="H995" s="256"/>
      <c r="I995" s="257"/>
      <c r="J995" s="256"/>
      <c r="K995" s="257"/>
      <c r="L995" s="256"/>
      <c r="M995" s="257"/>
      <c r="N995" s="256"/>
      <c r="O995" s="257"/>
      <c r="P995" s="256"/>
      <c r="Q995" s="257"/>
      <c r="R995" s="256"/>
      <c r="S995" s="257"/>
      <c r="T995" s="256"/>
      <c r="U995" s="257"/>
      <c r="V995" s="256"/>
      <c r="W995" s="257"/>
      <c r="X995" s="256"/>
    </row>
    <row r="996" spans="1:24" ht="12.75">
      <c r="A996" s="255"/>
      <c r="B996" s="256"/>
      <c r="C996" s="257"/>
      <c r="D996" s="256"/>
      <c r="E996" s="257"/>
      <c r="F996" s="256"/>
      <c r="G996" s="257"/>
      <c r="H996" s="256"/>
      <c r="I996" s="257"/>
      <c r="J996" s="256"/>
      <c r="K996" s="257"/>
      <c r="L996" s="256"/>
      <c r="M996" s="257"/>
      <c r="N996" s="256"/>
      <c r="O996" s="257"/>
      <c r="P996" s="256"/>
      <c r="Q996" s="257"/>
      <c r="R996" s="256"/>
      <c r="S996" s="257"/>
      <c r="T996" s="256"/>
      <c r="U996" s="257"/>
      <c r="V996" s="256"/>
      <c r="W996" s="257"/>
      <c r="X996" s="256"/>
    </row>
    <row r="997" spans="1:24" ht="12.75">
      <c r="A997" s="255"/>
      <c r="B997" s="256"/>
      <c r="C997" s="257"/>
      <c r="D997" s="256"/>
      <c r="E997" s="257"/>
      <c r="F997" s="256"/>
      <c r="G997" s="257"/>
      <c r="H997" s="256"/>
      <c r="I997" s="257"/>
      <c r="J997" s="256"/>
      <c r="K997" s="257"/>
      <c r="L997" s="256"/>
      <c r="M997" s="257"/>
      <c r="N997" s="256"/>
      <c r="O997" s="257"/>
      <c r="P997" s="256"/>
      <c r="Q997" s="257"/>
      <c r="R997" s="256"/>
      <c r="S997" s="257"/>
      <c r="T997" s="256"/>
      <c r="U997" s="257"/>
      <c r="V997" s="256"/>
      <c r="W997" s="257"/>
      <c r="X997" s="256"/>
    </row>
    <row r="998" spans="1:24" ht="12.75">
      <c r="A998" s="255"/>
      <c r="B998" s="256"/>
      <c r="C998" s="257"/>
      <c r="D998" s="256"/>
      <c r="E998" s="257"/>
      <c r="F998" s="256"/>
      <c r="G998" s="257"/>
      <c r="H998" s="256"/>
      <c r="I998" s="257"/>
      <c r="J998" s="256"/>
      <c r="K998" s="257"/>
      <c r="L998" s="256"/>
      <c r="M998" s="257"/>
      <c r="N998" s="256"/>
      <c r="O998" s="257"/>
      <c r="P998" s="256"/>
      <c r="Q998" s="257"/>
      <c r="R998" s="256"/>
      <c r="S998" s="257"/>
      <c r="T998" s="256"/>
      <c r="U998" s="257"/>
      <c r="V998" s="256"/>
      <c r="W998" s="257"/>
      <c r="X998" s="256"/>
    </row>
    <row r="999" spans="1:24" ht="12.75">
      <c r="A999" s="255"/>
      <c r="B999" s="256"/>
      <c r="C999" s="257"/>
      <c r="D999" s="256"/>
      <c r="E999" s="257"/>
      <c r="F999" s="256"/>
      <c r="G999" s="257"/>
      <c r="H999" s="256"/>
      <c r="I999" s="257"/>
      <c r="J999" s="256"/>
      <c r="K999" s="257"/>
      <c r="L999" s="256"/>
      <c r="M999" s="257"/>
      <c r="N999" s="256"/>
      <c r="O999" s="257"/>
      <c r="P999" s="256"/>
      <c r="Q999" s="257"/>
      <c r="R999" s="256"/>
      <c r="S999" s="257"/>
      <c r="T999" s="256"/>
      <c r="U999" s="257"/>
      <c r="V999" s="256"/>
      <c r="W999" s="257"/>
      <c r="X999" s="256"/>
    </row>
    <row r="1000" spans="1:24" ht="12.75">
      <c r="A1000" s="255"/>
      <c r="B1000" s="256"/>
      <c r="C1000" s="257"/>
      <c r="D1000" s="256"/>
      <c r="E1000" s="257"/>
      <c r="F1000" s="256"/>
      <c r="G1000" s="257"/>
      <c r="H1000" s="256"/>
      <c r="I1000" s="257"/>
      <c r="J1000" s="256"/>
      <c r="K1000" s="257"/>
      <c r="L1000" s="256"/>
      <c r="M1000" s="257"/>
      <c r="N1000" s="256"/>
      <c r="O1000" s="257"/>
      <c r="P1000" s="256"/>
      <c r="Q1000" s="257"/>
      <c r="R1000" s="256"/>
      <c r="S1000" s="257"/>
      <c r="T1000" s="256"/>
      <c r="U1000" s="257"/>
      <c r="V1000" s="256"/>
      <c r="W1000" s="257"/>
      <c r="X1000" s="256"/>
    </row>
    <row r="1001" spans="1:24" ht="12.75">
      <c r="A1001" s="255"/>
      <c r="B1001" s="256"/>
      <c r="C1001" s="257"/>
      <c r="D1001" s="256"/>
      <c r="E1001" s="257"/>
      <c r="F1001" s="256"/>
      <c r="G1001" s="257"/>
      <c r="H1001" s="256"/>
      <c r="I1001" s="257"/>
      <c r="J1001" s="256"/>
      <c r="K1001" s="257"/>
      <c r="L1001" s="256"/>
      <c r="M1001" s="257"/>
      <c r="N1001" s="256"/>
      <c r="O1001" s="257"/>
      <c r="P1001" s="256"/>
      <c r="Q1001" s="257"/>
      <c r="R1001" s="256"/>
      <c r="S1001" s="257"/>
      <c r="T1001" s="256"/>
      <c r="U1001" s="257"/>
      <c r="V1001" s="256"/>
      <c r="W1001" s="257"/>
      <c r="X1001" s="256"/>
    </row>
    <row r="1002" spans="1:24" ht="12.75">
      <c r="A1002" s="255"/>
      <c r="B1002" s="256"/>
      <c r="C1002" s="257"/>
      <c r="D1002" s="256"/>
      <c r="E1002" s="257"/>
      <c r="F1002" s="256"/>
      <c r="G1002" s="257"/>
      <c r="H1002" s="256"/>
      <c r="I1002" s="257"/>
      <c r="J1002" s="256"/>
      <c r="K1002" s="257"/>
      <c r="L1002" s="256"/>
      <c r="M1002" s="257"/>
      <c r="N1002" s="256"/>
      <c r="O1002" s="257"/>
      <c r="P1002" s="256"/>
      <c r="Q1002" s="257"/>
      <c r="R1002" s="256"/>
      <c r="S1002" s="257"/>
      <c r="T1002" s="256"/>
      <c r="U1002" s="257"/>
      <c r="V1002" s="256"/>
      <c r="W1002" s="257"/>
      <c r="X1002" s="256"/>
    </row>
    <row r="1003" spans="1:24" ht="12.75">
      <c r="A1003" s="255"/>
      <c r="B1003" s="256"/>
      <c r="C1003" s="257"/>
      <c r="D1003" s="256"/>
      <c r="E1003" s="257"/>
      <c r="F1003" s="256"/>
      <c r="G1003" s="257"/>
      <c r="H1003" s="256"/>
      <c r="I1003" s="257"/>
      <c r="J1003" s="256"/>
      <c r="K1003" s="257"/>
      <c r="L1003" s="256"/>
      <c r="M1003" s="257"/>
      <c r="N1003" s="256"/>
      <c r="O1003" s="257"/>
      <c r="P1003" s="256"/>
      <c r="Q1003" s="257"/>
      <c r="R1003" s="256"/>
      <c r="S1003" s="257"/>
      <c r="T1003" s="256"/>
      <c r="U1003" s="257"/>
      <c r="V1003" s="256"/>
      <c r="W1003" s="257"/>
      <c r="X1003" s="256"/>
    </row>
    <row r="1004" spans="1:24" ht="12.75">
      <c r="A1004" s="255"/>
      <c r="B1004" s="256"/>
      <c r="C1004" s="257"/>
      <c r="D1004" s="256"/>
      <c r="E1004" s="257"/>
      <c r="F1004" s="256"/>
      <c r="G1004" s="257"/>
      <c r="H1004" s="256"/>
      <c r="I1004" s="257"/>
      <c r="J1004" s="256"/>
      <c r="K1004" s="257"/>
      <c r="L1004" s="256"/>
      <c r="M1004" s="257"/>
      <c r="N1004" s="256"/>
      <c r="O1004" s="257"/>
      <c r="P1004" s="256"/>
      <c r="Q1004" s="257"/>
      <c r="R1004" s="256"/>
      <c r="S1004" s="257"/>
      <c r="T1004" s="256"/>
      <c r="U1004" s="257"/>
      <c r="V1004" s="256"/>
      <c r="W1004" s="257"/>
      <c r="X1004" s="25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J96"/>
  <sheetViews>
    <sheetView workbookViewId="0"/>
  </sheetViews>
  <sheetFormatPr defaultColWidth="12.5703125" defaultRowHeight="15.75" customHeight="1"/>
  <cols>
    <col min="1" max="1" width="13.7109375" customWidth="1"/>
    <col min="2" max="2" width="17.7109375" customWidth="1"/>
    <col min="3" max="3" width="39" customWidth="1"/>
    <col min="4" max="4" width="37.85546875" customWidth="1"/>
    <col min="5" max="5" width="40" customWidth="1"/>
    <col min="6" max="6" width="42.42578125" customWidth="1"/>
    <col min="7" max="7" width="35.5703125" customWidth="1"/>
    <col min="8" max="8" width="26.28515625" customWidth="1"/>
    <col min="9" max="10" width="26.5703125" customWidth="1"/>
    <col min="11" max="11" width="18.7109375" customWidth="1"/>
    <col min="12" max="12" width="17.85546875" customWidth="1"/>
    <col min="13" max="13" width="16.28515625" customWidth="1"/>
    <col min="14" max="14" width="17" customWidth="1"/>
    <col min="15" max="15" width="15.42578125" customWidth="1"/>
    <col min="16" max="16" width="16.5703125" customWidth="1"/>
    <col min="17" max="17" width="19.7109375" customWidth="1"/>
    <col min="18" max="18" width="16" customWidth="1"/>
    <col min="19" max="19" width="16.7109375" customWidth="1"/>
    <col min="20" max="20" width="17.42578125" customWidth="1"/>
    <col min="21" max="21" width="18.85546875" customWidth="1"/>
    <col min="22" max="22" width="16" customWidth="1"/>
    <col min="23" max="23" width="16.42578125" customWidth="1"/>
    <col min="24" max="24" width="17" customWidth="1"/>
    <col min="25" max="26" width="15.42578125" customWidth="1"/>
    <col min="27" max="27" width="15.7109375" customWidth="1"/>
    <col min="28" max="28" width="16" customWidth="1"/>
    <col min="29" max="30" width="15.42578125" customWidth="1"/>
    <col min="31" max="31" width="16.7109375" customWidth="1"/>
    <col min="32" max="32" width="15.42578125" customWidth="1"/>
    <col min="33" max="33" width="17.28515625" customWidth="1"/>
    <col min="34" max="34" width="14.28515625" customWidth="1"/>
    <col min="35" max="35" width="15" customWidth="1"/>
    <col min="36" max="36" width="14.85546875" customWidth="1"/>
  </cols>
  <sheetData>
    <row r="1" spans="1:36">
      <c r="A1" s="152" t="s">
        <v>3906</v>
      </c>
      <c r="B1" s="250" t="str">
        <f>"Tier 1 ("&amp;COUNTIF(B2:B71,"&lt;&gt;")&amp;IF(COUNTIF(B2:B71,"&lt;&gt;")=1," curse)"," curses)")</f>
        <v>Tier 1 (33 curses)</v>
      </c>
      <c r="C1" s="251" t="str">
        <f>"Tier 2 ("&amp;COUNTIF(C2:C71,"&lt;&gt;")&amp;IF(COUNTIF(C2:C71,"&lt;&gt;")=1," curse)"," curses)")</f>
        <v>Tier 2 (28 curses)</v>
      </c>
      <c r="D1" s="250" t="str">
        <f>"Tier 3 ("&amp;COUNTIF(D2:D71,"&lt;&gt;")&amp;IF(COUNTIF(D2:D71,"&lt;&gt;")=1," curse)"," curses)")</f>
        <v>Tier 3 (34 curses)</v>
      </c>
      <c r="E1" s="251" t="str">
        <f>"Tier 4 ("&amp;COUNTIF(E2:E71,"&lt;&gt;")&amp;IF(COUNTIF(E2:E71,"&lt;&gt;")=1," curse)"," curses)")</f>
        <v>Tier 4 (32 curses)</v>
      </c>
      <c r="F1" s="250" t="str">
        <f>"Tier 5 ("&amp;COUNTIF(F2:F71,"&lt;&gt;")&amp;IF(COUNTIF(F2:F71,"&lt;&gt;")=1," curse)"," curses)")</f>
        <v>Tier 5 (16 curses)</v>
      </c>
      <c r="G1" s="251" t="str">
        <f>"Tier 6 ("&amp;COUNTIF(G2:G71,"&lt;&gt;")&amp;IF(COUNTIF(G2:G71,"&lt;&gt;")=1," curse)"," curses)")</f>
        <v>Tier 6 (8 curses)</v>
      </c>
      <c r="H1" s="250" t="str">
        <f>"Tier 7 ("&amp;COUNTIF(H2:H71,"&lt;&gt;")&amp;IF(COUNTIF(H2:H71,"&lt;&gt;")=1," curse)"," curses)")</f>
        <v>Tier 7 (13 curses)</v>
      </c>
      <c r="I1" s="251" t="str">
        <f>"Tier 8 ("&amp;COUNTIF(I2:I71,"&lt;&gt;")&amp;IF(COUNTIF(I2:I71,"&lt;&gt;")=1," curse)"," curses)")</f>
        <v>Tier 8 (7 curses)</v>
      </c>
      <c r="J1" s="250" t="str">
        <f>"Tier 9 ("&amp;COUNTIF(J2:J71,"&lt;&gt;")&amp;IF(COUNTIF(J2:J71,"&lt;&gt;")=1," curse)"," curses)")</f>
        <v>Tier 9 (7 curses)</v>
      </c>
      <c r="K1" s="251" t="str">
        <f>"Tier 10 ("&amp;COUNTIF(K2:K71,"&lt;&gt;")&amp;IF(COUNTIF(K2:K71,"&lt;&gt;")=1," curse)"," curses)")</f>
        <v>Tier 10 (7 curses)</v>
      </c>
      <c r="L1" s="250" t="str">
        <f>"Tier 12 ("&amp;COUNTIF(L2:L71,"&lt;&gt;")&amp;IF(COUNTIF(L2:L71,"&lt;&gt;")=1," curse)"," curses)")</f>
        <v>Tier 12 (3 curses)</v>
      </c>
      <c r="M1" s="251" t="str">
        <f>"Tier 13 ("&amp;COUNTIF(M2:M71,"&lt;&gt;")&amp;IF(COUNTIF(M2:M71,"&lt;&gt;")=1," curse)"," curses)")</f>
        <v>Tier 13 (3 curses)</v>
      </c>
      <c r="N1" s="250" t="str">
        <f>"Tier 15 ("&amp;COUNTIF(N2:N71,"&lt;&gt;")&amp;IF(COUNTIF(N2:N71,"&lt;&gt;")=1," curse)"," curses)")</f>
        <v>Tier 15 (5 curses)</v>
      </c>
      <c r="O1" s="251" t="str">
        <f>"Tier 17 ("&amp;COUNTIF(O2:O71,"&lt;&gt;")&amp;IF(COUNTIF(O2:O71,"&lt;&gt;")=1," curse)"," curses)")</f>
        <v>Tier 17 (1 curse)</v>
      </c>
      <c r="P1" s="250" t="str">
        <f>"Tier 18 ("&amp;COUNTIF(P2:P71,"&lt;&gt;")&amp;IF(COUNTIF(P2:P71,"&lt;&gt;")=1," curse)"," curses)")</f>
        <v>Tier 18 (1 curse)</v>
      </c>
      <c r="Q1" s="251" t="str">
        <f>"Tier 20 ("&amp;COUNTIF(Q2:Q71,"&lt;&gt;")&amp;IF(COUNTIF(Q2:Q71,"&lt;&gt;")=1," curse)"," curses)")</f>
        <v>Tier 20 (2 curses)</v>
      </c>
      <c r="R1" s="250" t="str">
        <f>"Tier 25 ("&amp;COUNTIF(R2:R71,"&lt;&gt;")&amp;IF(COUNTIF(R2:R71,"&lt;&gt;")=1," curse)"," curses)")</f>
        <v>Tier 25 (2 curses)</v>
      </c>
      <c r="S1" s="251" t="str">
        <f>"Tier 40 ("&amp;COUNTIF(S2:S71,"&lt;&gt;")&amp;IF(COUNTIF(S2:S71,"&lt;&gt;")=1," curse)"," curses)")</f>
        <v>Tier 40 (1 curse)</v>
      </c>
      <c r="T1" s="250" t="str">
        <f>"Tier 100 ("&amp;COUNTIF(T2:T71,"&lt;&gt;")&amp;IF(COUNTIF(T2:T71,"&lt;&gt;")=1," curse)"," curses)")</f>
        <v>Tier 100 (1 curse)</v>
      </c>
      <c r="U1" s="173"/>
      <c r="V1" s="258"/>
      <c r="W1" s="173"/>
      <c r="X1" s="258"/>
      <c r="Y1" s="173"/>
      <c r="Z1" s="258"/>
      <c r="AA1" s="173"/>
      <c r="AB1" s="258"/>
      <c r="AC1" s="173"/>
      <c r="AD1" s="258"/>
      <c r="AE1" s="173"/>
      <c r="AF1" s="258"/>
      <c r="AG1" s="173"/>
      <c r="AH1" s="258"/>
      <c r="AI1" s="173"/>
      <c r="AJ1" s="258"/>
    </row>
    <row r="2" spans="1:36">
      <c r="A2" s="263" t="str">
        <f>COUNTIF(B2:T71,"&lt;&gt;")&amp;"/204 curses"</f>
        <v>204/204 curses</v>
      </c>
      <c r="B2" s="264" t="s">
        <v>1955</v>
      </c>
      <c r="C2" s="265" t="s">
        <v>3915</v>
      </c>
      <c r="D2" s="264" t="s">
        <v>3916</v>
      </c>
      <c r="E2" s="265" t="s">
        <v>3917</v>
      </c>
      <c r="F2" s="264" t="s">
        <v>3918</v>
      </c>
      <c r="G2" s="265"/>
      <c r="H2" s="264" t="s">
        <v>2551</v>
      </c>
      <c r="I2" s="265"/>
      <c r="J2" s="264"/>
      <c r="K2" s="265" t="s">
        <v>2679</v>
      </c>
      <c r="L2" s="264"/>
      <c r="M2" s="265"/>
      <c r="N2" s="264" t="s">
        <v>2759</v>
      </c>
      <c r="O2" s="265"/>
      <c r="P2" s="264"/>
      <c r="Q2" s="265"/>
      <c r="R2" s="264" t="s">
        <v>2828</v>
      </c>
      <c r="S2" s="265" t="s">
        <v>2859</v>
      </c>
      <c r="T2" s="264" t="s">
        <v>2872</v>
      </c>
      <c r="U2" s="266"/>
      <c r="V2" s="267"/>
      <c r="W2" s="266"/>
      <c r="X2" s="267"/>
      <c r="Y2" s="266"/>
      <c r="Z2" s="267"/>
      <c r="AA2" s="266"/>
      <c r="AB2" s="267"/>
      <c r="AC2" s="266"/>
      <c r="AD2" s="267"/>
      <c r="AE2" s="266"/>
      <c r="AF2" s="267"/>
      <c r="AG2" s="266"/>
      <c r="AH2" s="267"/>
      <c r="AI2" s="266"/>
      <c r="AJ2" s="267"/>
    </row>
    <row r="3" spans="1:36">
      <c r="A3" s="268"/>
      <c r="B3" s="264" t="s">
        <v>1959</v>
      </c>
      <c r="C3" s="265" t="s">
        <v>3919</v>
      </c>
      <c r="D3" s="264" t="s">
        <v>3920</v>
      </c>
      <c r="E3" s="265" t="s">
        <v>3921</v>
      </c>
      <c r="F3" s="264" t="s">
        <v>3922</v>
      </c>
      <c r="G3" s="265" t="s">
        <v>3923</v>
      </c>
      <c r="H3" s="264" t="s">
        <v>3924</v>
      </c>
      <c r="I3" s="265" t="s">
        <v>3925</v>
      </c>
      <c r="J3" s="264" t="s">
        <v>3926</v>
      </c>
      <c r="K3" s="265"/>
      <c r="L3" s="264"/>
      <c r="M3" s="265"/>
      <c r="N3" s="264"/>
      <c r="O3" s="265"/>
      <c r="P3" s="264"/>
      <c r="Q3" s="265" t="s">
        <v>2804</v>
      </c>
      <c r="R3" s="264"/>
      <c r="S3" s="265"/>
      <c r="T3" s="264"/>
      <c r="U3" s="266"/>
      <c r="V3" s="267"/>
      <c r="W3" s="266"/>
      <c r="X3" s="267"/>
      <c r="Y3" s="266"/>
      <c r="Z3" s="267"/>
      <c r="AA3" s="266"/>
      <c r="AB3" s="267"/>
      <c r="AC3" s="266"/>
      <c r="AD3" s="267"/>
      <c r="AE3" s="266"/>
      <c r="AF3" s="267"/>
      <c r="AG3" s="266"/>
      <c r="AH3" s="267"/>
      <c r="AI3" s="266"/>
      <c r="AJ3" s="267"/>
    </row>
    <row r="4" spans="1:36">
      <c r="A4" s="268"/>
      <c r="B4" s="264" t="s">
        <v>1962</v>
      </c>
      <c r="C4" s="265" t="s">
        <v>3927</v>
      </c>
      <c r="D4" s="264" t="s">
        <v>3928</v>
      </c>
      <c r="E4" s="265" t="s">
        <v>3929</v>
      </c>
      <c r="F4" s="264" t="s">
        <v>3930</v>
      </c>
      <c r="G4" s="265" t="s">
        <v>3931</v>
      </c>
      <c r="H4" s="264" t="s">
        <v>3932</v>
      </c>
      <c r="I4" s="265" t="s">
        <v>3933</v>
      </c>
      <c r="J4" s="264" t="s">
        <v>3934</v>
      </c>
      <c r="K4" s="265"/>
      <c r="L4" s="264"/>
      <c r="M4" s="265"/>
      <c r="N4" s="264"/>
      <c r="O4" s="265"/>
      <c r="P4" s="264"/>
      <c r="Q4" s="265"/>
      <c r="R4" s="264"/>
      <c r="S4" s="265"/>
      <c r="T4" s="264"/>
      <c r="U4" s="266"/>
      <c r="V4" s="267"/>
      <c r="W4" s="266"/>
      <c r="X4" s="267"/>
      <c r="Y4" s="266"/>
      <c r="Z4" s="267"/>
      <c r="AA4" s="266"/>
      <c r="AB4" s="267"/>
      <c r="AC4" s="266"/>
      <c r="AD4" s="267"/>
      <c r="AE4" s="266"/>
      <c r="AF4" s="267"/>
      <c r="AG4" s="266"/>
      <c r="AH4" s="267"/>
      <c r="AI4" s="266"/>
      <c r="AJ4" s="267"/>
    </row>
    <row r="5" spans="1:36">
      <c r="A5" s="268"/>
      <c r="B5" s="264" t="s">
        <v>1965</v>
      </c>
      <c r="C5" s="265" t="s">
        <v>3935</v>
      </c>
      <c r="D5" s="264" t="s">
        <v>3936</v>
      </c>
      <c r="E5" s="265" t="s">
        <v>3937</v>
      </c>
      <c r="F5" s="264" t="s">
        <v>3938</v>
      </c>
      <c r="G5" s="265" t="s">
        <v>2494</v>
      </c>
      <c r="H5" s="264"/>
      <c r="I5" s="265"/>
      <c r="J5" s="264"/>
      <c r="K5" s="265"/>
      <c r="L5" s="264"/>
      <c r="M5" s="265"/>
      <c r="N5" s="264"/>
      <c r="O5" s="265"/>
      <c r="P5" s="264"/>
      <c r="Q5" s="265"/>
      <c r="R5" s="264"/>
      <c r="S5" s="265"/>
      <c r="T5" s="264"/>
      <c r="U5" s="266"/>
      <c r="V5" s="267"/>
      <c r="W5" s="266"/>
      <c r="X5" s="267"/>
      <c r="Y5" s="266"/>
      <c r="Z5" s="267"/>
      <c r="AA5" s="266"/>
      <c r="AB5" s="267"/>
      <c r="AC5" s="266"/>
      <c r="AD5" s="267"/>
      <c r="AE5" s="266"/>
      <c r="AF5" s="267"/>
      <c r="AG5" s="266"/>
      <c r="AH5" s="267"/>
      <c r="AI5" s="266"/>
      <c r="AJ5" s="267"/>
    </row>
    <row r="6" spans="1:36">
      <c r="A6" s="268"/>
      <c r="B6" s="264" t="s">
        <v>1969</v>
      </c>
      <c r="C6" s="265" t="s">
        <v>3939</v>
      </c>
      <c r="D6" s="264" t="s">
        <v>3940</v>
      </c>
      <c r="E6" s="265" t="s">
        <v>3941</v>
      </c>
      <c r="F6" s="264" t="s">
        <v>3942</v>
      </c>
      <c r="G6" s="265"/>
      <c r="H6" s="264"/>
      <c r="I6" s="265"/>
      <c r="J6" s="264"/>
      <c r="K6" s="265"/>
      <c r="L6" s="264"/>
      <c r="M6" s="265"/>
      <c r="N6" s="264"/>
      <c r="O6" s="265"/>
      <c r="P6" s="264"/>
      <c r="Q6" s="265"/>
      <c r="R6" s="264"/>
      <c r="S6" s="265"/>
      <c r="T6" s="264"/>
      <c r="U6" s="266"/>
      <c r="V6" s="267"/>
      <c r="W6" s="266"/>
      <c r="X6" s="267"/>
      <c r="Y6" s="266"/>
      <c r="Z6" s="267"/>
      <c r="AA6" s="266"/>
      <c r="AB6" s="267"/>
      <c r="AC6" s="266"/>
      <c r="AD6" s="267"/>
      <c r="AE6" s="266"/>
      <c r="AF6" s="267"/>
      <c r="AG6" s="266"/>
      <c r="AH6" s="267"/>
      <c r="AI6" s="266"/>
      <c r="AJ6" s="267"/>
    </row>
    <row r="7" spans="1:36">
      <c r="A7" s="268"/>
      <c r="B7" s="264" t="s">
        <v>1972</v>
      </c>
      <c r="C7" s="265" t="s">
        <v>3943</v>
      </c>
      <c r="D7" s="264" t="s">
        <v>3944</v>
      </c>
      <c r="E7" s="265" t="s">
        <v>3945</v>
      </c>
      <c r="F7" s="264" t="s">
        <v>3946</v>
      </c>
      <c r="G7" s="265"/>
      <c r="H7" s="264"/>
      <c r="I7" s="265"/>
      <c r="J7" s="264"/>
      <c r="K7" s="265"/>
      <c r="L7" s="264"/>
      <c r="M7" s="265"/>
      <c r="N7" s="264"/>
      <c r="O7" s="265"/>
      <c r="P7" s="264"/>
      <c r="Q7" s="265"/>
      <c r="R7" s="264"/>
      <c r="S7" s="265"/>
      <c r="T7" s="264"/>
      <c r="U7" s="266"/>
      <c r="V7" s="267"/>
      <c r="W7" s="266"/>
      <c r="X7" s="267"/>
      <c r="Y7" s="266"/>
      <c r="Z7" s="267"/>
      <c r="AA7" s="266"/>
      <c r="AB7" s="267"/>
      <c r="AC7" s="266"/>
      <c r="AD7" s="267"/>
      <c r="AE7" s="266"/>
      <c r="AF7" s="267"/>
      <c r="AG7" s="266"/>
      <c r="AH7" s="267"/>
      <c r="AI7" s="266"/>
      <c r="AJ7" s="267"/>
    </row>
    <row r="8" spans="1:36">
      <c r="A8" s="268"/>
      <c r="B8" s="264" t="s">
        <v>1976</v>
      </c>
      <c r="C8" s="265" t="s">
        <v>3947</v>
      </c>
      <c r="D8" s="264" t="s">
        <v>3948</v>
      </c>
      <c r="E8" s="265" t="s">
        <v>3949</v>
      </c>
      <c r="F8" s="264" t="s">
        <v>3950</v>
      </c>
      <c r="G8" s="265"/>
      <c r="H8" s="264"/>
      <c r="I8" s="265"/>
      <c r="J8" s="264"/>
      <c r="K8" s="265"/>
      <c r="L8" s="264"/>
      <c r="M8" s="265"/>
      <c r="N8" s="264"/>
      <c r="O8" s="265"/>
      <c r="P8" s="264"/>
      <c r="Q8" s="265"/>
      <c r="R8" s="264"/>
      <c r="S8" s="265"/>
      <c r="T8" s="264"/>
      <c r="U8" s="266"/>
      <c r="V8" s="267"/>
      <c r="W8" s="266"/>
      <c r="X8" s="267"/>
      <c r="Y8" s="266"/>
      <c r="Z8" s="267"/>
      <c r="AA8" s="266"/>
      <c r="AB8" s="267"/>
      <c r="AC8" s="266"/>
      <c r="AD8" s="267"/>
      <c r="AE8" s="266"/>
      <c r="AF8" s="267"/>
      <c r="AG8" s="266"/>
      <c r="AH8" s="267"/>
      <c r="AI8" s="266"/>
      <c r="AJ8" s="267"/>
    </row>
    <row r="9" spans="1:36">
      <c r="A9" s="268"/>
      <c r="B9" s="264" t="s">
        <v>1979</v>
      </c>
      <c r="C9" s="265" t="s">
        <v>3951</v>
      </c>
      <c r="D9" s="264" t="s">
        <v>3952</v>
      </c>
      <c r="E9" s="265" t="s">
        <v>3953</v>
      </c>
      <c r="F9" s="264"/>
      <c r="G9" s="265"/>
      <c r="H9" s="264"/>
      <c r="I9" s="265"/>
      <c r="J9" s="264"/>
      <c r="K9" s="265"/>
      <c r="L9" s="264"/>
      <c r="M9" s="265"/>
      <c r="N9" s="264"/>
      <c r="O9" s="265"/>
      <c r="P9" s="264"/>
      <c r="Q9" s="265"/>
      <c r="R9" s="264"/>
      <c r="S9" s="265"/>
      <c r="T9" s="264"/>
      <c r="U9" s="266"/>
      <c r="V9" s="267"/>
      <c r="W9" s="266"/>
      <c r="X9" s="267"/>
      <c r="Y9" s="266"/>
      <c r="Z9" s="267"/>
      <c r="AA9" s="266"/>
      <c r="AB9" s="267"/>
      <c r="AC9" s="266"/>
      <c r="AD9" s="267"/>
      <c r="AE9" s="266"/>
      <c r="AF9" s="267"/>
      <c r="AG9" s="266"/>
      <c r="AH9" s="267"/>
      <c r="AI9" s="266"/>
      <c r="AJ9" s="267"/>
    </row>
    <row r="10" spans="1:36">
      <c r="A10" s="268"/>
      <c r="B10" s="264" t="s">
        <v>1982</v>
      </c>
      <c r="C10" s="265" t="s">
        <v>3954</v>
      </c>
      <c r="D10" s="264" t="s">
        <v>3955</v>
      </c>
      <c r="E10" s="269" t="s">
        <v>3956</v>
      </c>
      <c r="F10" s="270"/>
      <c r="G10" s="269"/>
      <c r="H10" s="270"/>
      <c r="I10" s="269"/>
      <c r="J10" s="264"/>
      <c r="K10" s="265"/>
      <c r="L10" s="264"/>
      <c r="M10" s="265"/>
      <c r="N10" s="264"/>
      <c r="O10" s="265"/>
      <c r="P10" s="264"/>
      <c r="Q10" s="265"/>
      <c r="R10" s="264"/>
      <c r="S10" s="265"/>
      <c r="T10" s="264"/>
      <c r="U10" s="266"/>
      <c r="V10" s="267"/>
      <c r="W10" s="266"/>
      <c r="X10" s="267"/>
      <c r="Y10" s="266"/>
      <c r="Z10" s="267"/>
      <c r="AA10" s="266"/>
      <c r="AB10" s="267"/>
      <c r="AC10" s="266"/>
      <c r="AD10" s="267"/>
      <c r="AE10" s="266"/>
      <c r="AF10" s="267"/>
      <c r="AG10" s="266"/>
      <c r="AH10" s="267"/>
      <c r="AI10" s="266"/>
      <c r="AJ10" s="267"/>
    </row>
    <row r="11" spans="1:36">
      <c r="A11" s="268"/>
      <c r="B11" s="264" t="s">
        <v>1985</v>
      </c>
      <c r="C11" s="265" t="s">
        <v>3957</v>
      </c>
      <c r="D11" s="264" t="s">
        <v>3958</v>
      </c>
      <c r="E11" s="269" t="s">
        <v>3959</v>
      </c>
      <c r="F11" s="270"/>
      <c r="G11" s="269"/>
      <c r="H11" s="270"/>
      <c r="I11" s="269"/>
      <c r="J11" s="264"/>
      <c r="K11" s="265"/>
      <c r="L11" s="264"/>
      <c r="M11" s="265"/>
      <c r="N11" s="264"/>
      <c r="O11" s="265"/>
      <c r="P11" s="264"/>
      <c r="Q11" s="265"/>
      <c r="R11" s="264"/>
      <c r="S11" s="265"/>
      <c r="T11" s="264"/>
      <c r="U11" s="266"/>
      <c r="V11" s="267"/>
      <c r="W11" s="266"/>
      <c r="X11" s="267"/>
      <c r="Y11" s="266"/>
      <c r="Z11" s="267"/>
      <c r="AA11" s="266"/>
      <c r="AB11" s="267"/>
      <c r="AC11" s="266"/>
      <c r="AD11" s="267"/>
      <c r="AE11" s="266"/>
      <c r="AF11" s="267"/>
      <c r="AG11" s="266"/>
      <c r="AH11" s="267"/>
      <c r="AI11" s="266"/>
      <c r="AJ11" s="267"/>
    </row>
    <row r="12" spans="1:36">
      <c r="A12" s="268"/>
      <c r="B12" s="264" t="s">
        <v>1988</v>
      </c>
      <c r="C12" s="265" t="s">
        <v>3960</v>
      </c>
      <c r="D12" s="264" t="s">
        <v>3961</v>
      </c>
      <c r="E12" s="265" t="s">
        <v>3962</v>
      </c>
      <c r="F12" s="264"/>
      <c r="G12" s="265"/>
      <c r="H12" s="264"/>
      <c r="I12" s="265"/>
      <c r="J12" s="264"/>
      <c r="K12" s="265"/>
      <c r="L12" s="264"/>
      <c r="M12" s="265"/>
      <c r="N12" s="264"/>
      <c r="O12" s="265"/>
      <c r="P12" s="264"/>
      <c r="Q12" s="265"/>
      <c r="R12" s="264"/>
      <c r="S12" s="265"/>
      <c r="T12" s="264"/>
      <c r="U12" s="266"/>
      <c r="V12" s="267"/>
      <c r="W12" s="266"/>
      <c r="X12" s="267"/>
      <c r="Y12" s="266"/>
      <c r="Z12" s="267"/>
      <c r="AA12" s="266"/>
      <c r="AB12" s="267"/>
      <c r="AC12" s="266"/>
      <c r="AD12" s="267"/>
      <c r="AE12" s="266"/>
      <c r="AF12" s="267"/>
      <c r="AG12" s="266"/>
      <c r="AH12" s="267"/>
      <c r="AI12" s="266"/>
      <c r="AJ12" s="267"/>
    </row>
    <row r="13" spans="1:36">
      <c r="A13" s="268"/>
      <c r="B13" s="264" t="s">
        <v>1991</v>
      </c>
      <c r="C13" s="265" t="s">
        <v>3963</v>
      </c>
      <c r="D13" s="264" t="s">
        <v>3964</v>
      </c>
      <c r="E13" s="265" t="s">
        <v>3965</v>
      </c>
      <c r="F13" s="264"/>
      <c r="G13" s="265"/>
      <c r="H13" s="264"/>
      <c r="I13" s="265"/>
      <c r="J13" s="264"/>
      <c r="K13" s="265"/>
      <c r="L13" s="264"/>
      <c r="M13" s="265"/>
      <c r="N13" s="264"/>
      <c r="O13" s="265"/>
      <c r="P13" s="264"/>
      <c r="Q13" s="265"/>
      <c r="R13" s="264"/>
      <c r="S13" s="265"/>
      <c r="T13" s="264"/>
      <c r="U13" s="266"/>
      <c r="V13" s="267"/>
      <c r="W13" s="266"/>
      <c r="X13" s="267"/>
      <c r="Y13" s="266"/>
      <c r="Z13" s="267"/>
      <c r="AA13" s="266"/>
      <c r="AB13" s="267"/>
      <c r="AC13" s="266"/>
      <c r="AD13" s="267"/>
      <c r="AE13" s="266"/>
      <c r="AF13" s="267"/>
      <c r="AG13" s="266"/>
      <c r="AH13" s="267"/>
      <c r="AI13" s="266"/>
      <c r="AJ13" s="267"/>
    </row>
    <row r="14" spans="1:36">
      <c r="A14" s="268"/>
      <c r="B14" s="264" t="s">
        <v>1995</v>
      </c>
      <c r="C14" s="265" t="s">
        <v>3966</v>
      </c>
      <c r="D14" s="264" t="s">
        <v>3967</v>
      </c>
      <c r="E14" s="269" t="s">
        <v>3968</v>
      </c>
      <c r="F14" s="270"/>
      <c r="G14" s="269"/>
      <c r="H14" s="270"/>
      <c r="I14" s="269"/>
      <c r="J14" s="264"/>
      <c r="K14" s="265"/>
      <c r="L14" s="264"/>
      <c r="M14" s="265"/>
      <c r="N14" s="264"/>
      <c r="O14" s="265"/>
      <c r="P14" s="264"/>
      <c r="Q14" s="265"/>
      <c r="R14" s="264"/>
      <c r="S14" s="265"/>
      <c r="T14" s="264"/>
      <c r="U14" s="266"/>
      <c r="V14" s="267"/>
      <c r="W14" s="266"/>
      <c r="X14" s="267"/>
      <c r="Y14" s="266"/>
      <c r="Z14" s="267"/>
      <c r="AA14" s="266"/>
      <c r="AB14" s="267"/>
      <c r="AC14" s="266"/>
      <c r="AD14" s="267"/>
      <c r="AE14" s="266"/>
      <c r="AF14" s="267"/>
      <c r="AG14" s="266"/>
      <c r="AH14" s="267"/>
      <c r="AI14" s="266"/>
      <c r="AJ14" s="267"/>
    </row>
    <row r="15" spans="1:36">
      <c r="A15" s="268"/>
      <c r="B15" s="264" t="s">
        <v>1999</v>
      </c>
      <c r="C15" s="265" t="s">
        <v>3969</v>
      </c>
      <c r="D15" s="264" t="s">
        <v>3970</v>
      </c>
      <c r="E15" s="153" t="s">
        <v>2341</v>
      </c>
      <c r="F15" s="271"/>
      <c r="G15" s="269"/>
      <c r="H15" s="272" t="s">
        <v>2571</v>
      </c>
      <c r="I15" s="269"/>
      <c r="J15" s="264"/>
      <c r="K15" s="265"/>
      <c r="L15" s="264"/>
      <c r="M15" s="265"/>
      <c r="N15" s="264"/>
      <c r="O15" s="265"/>
      <c r="P15" s="264"/>
      <c r="Q15" s="265"/>
      <c r="R15" s="264"/>
      <c r="S15" s="265"/>
      <c r="T15" s="264"/>
      <c r="U15" s="266"/>
      <c r="V15" s="267"/>
      <c r="W15" s="266"/>
      <c r="X15" s="267"/>
      <c r="Y15" s="266"/>
      <c r="Z15" s="267"/>
      <c r="AA15" s="266"/>
      <c r="AB15" s="267"/>
      <c r="AC15" s="266"/>
      <c r="AD15" s="267"/>
      <c r="AE15" s="266"/>
      <c r="AF15" s="267"/>
      <c r="AG15" s="266"/>
      <c r="AH15" s="267"/>
      <c r="AI15" s="266"/>
      <c r="AJ15" s="267"/>
    </row>
    <row r="16" spans="1:36">
      <c r="A16" s="268"/>
      <c r="B16" s="264" t="s">
        <v>2003</v>
      </c>
      <c r="C16" s="265" t="s">
        <v>3971</v>
      </c>
      <c r="D16" s="264" t="s">
        <v>3972</v>
      </c>
      <c r="E16" s="269"/>
      <c r="F16" s="270"/>
      <c r="G16" s="269"/>
      <c r="H16" s="270"/>
      <c r="I16" s="269"/>
      <c r="J16" s="264"/>
      <c r="K16" s="265"/>
      <c r="L16" s="264"/>
      <c r="M16" s="265"/>
      <c r="N16" s="264"/>
      <c r="O16" s="265"/>
      <c r="P16" s="264"/>
      <c r="Q16" s="265"/>
      <c r="R16" s="264"/>
      <c r="S16" s="265"/>
      <c r="T16" s="264"/>
      <c r="U16" s="266"/>
      <c r="V16" s="267"/>
      <c r="W16" s="266"/>
      <c r="X16" s="267"/>
      <c r="Y16" s="266"/>
      <c r="Z16" s="267"/>
      <c r="AA16" s="266"/>
      <c r="AB16" s="267"/>
      <c r="AC16" s="266"/>
      <c r="AD16" s="267"/>
      <c r="AE16" s="266"/>
      <c r="AF16" s="267"/>
      <c r="AG16" s="266"/>
      <c r="AH16" s="267"/>
      <c r="AI16" s="266"/>
      <c r="AJ16" s="267"/>
    </row>
    <row r="17" spans="1:36">
      <c r="A17" s="268"/>
      <c r="B17" s="264" t="s">
        <v>2010</v>
      </c>
      <c r="C17" s="265" t="s">
        <v>3973</v>
      </c>
      <c r="D17" s="264" t="s">
        <v>3974</v>
      </c>
      <c r="E17" s="269"/>
      <c r="F17" s="273"/>
      <c r="G17" s="114"/>
      <c r="H17" s="273"/>
      <c r="I17" s="269"/>
      <c r="J17" s="264"/>
      <c r="K17" s="265"/>
      <c r="L17" s="264"/>
      <c r="M17" s="265"/>
      <c r="N17" s="264"/>
      <c r="O17" s="265"/>
      <c r="P17" s="264"/>
      <c r="Q17" s="265"/>
      <c r="R17" s="264"/>
      <c r="S17" s="265"/>
      <c r="T17" s="264"/>
      <c r="U17" s="266"/>
      <c r="V17" s="267"/>
      <c r="W17" s="266"/>
      <c r="X17" s="267"/>
      <c r="Y17" s="266"/>
      <c r="Z17" s="267"/>
      <c r="AA17" s="266"/>
      <c r="AB17" s="267"/>
      <c r="AC17" s="266"/>
      <c r="AD17" s="267"/>
      <c r="AE17" s="266"/>
      <c r="AF17" s="267"/>
      <c r="AG17" s="266"/>
      <c r="AH17" s="267"/>
      <c r="AI17" s="266"/>
      <c r="AJ17" s="267"/>
    </row>
    <row r="18" spans="1:36">
      <c r="A18" s="268"/>
      <c r="B18" s="264" t="s">
        <v>2014</v>
      </c>
      <c r="C18" s="265" t="s">
        <v>3975</v>
      </c>
      <c r="D18" s="264" t="s">
        <v>3976</v>
      </c>
      <c r="E18" s="269"/>
      <c r="F18" s="270"/>
      <c r="G18" s="269"/>
      <c r="H18" s="270"/>
      <c r="I18" s="269"/>
      <c r="J18" s="264"/>
      <c r="K18" s="265"/>
      <c r="L18" s="264"/>
      <c r="M18" s="265"/>
      <c r="N18" s="264"/>
      <c r="O18" s="265"/>
      <c r="P18" s="264"/>
      <c r="Q18" s="265"/>
      <c r="R18" s="264"/>
      <c r="S18" s="265"/>
      <c r="T18" s="264"/>
      <c r="U18" s="266"/>
      <c r="V18" s="267"/>
      <c r="W18" s="266"/>
      <c r="X18" s="267"/>
      <c r="Y18" s="266"/>
      <c r="Z18" s="267"/>
      <c r="AA18" s="266"/>
      <c r="AB18" s="267"/>
      <c r="AC18" s="266"/>
      <c r="AD18" s="267"/>
      <c r="AE18" s="266"/>
      <c r="AF18" s="267"/>
      <c r="AG18" s="266"/>
      <c r="AH18" s="267"/>
      <c r="AI18" s="266"/>
      <c r="AJ18" s="267"/>
    </row>
    <row r="19" spans="1:36">
      <c r="A19" s="268"/>
      <c r="B19" s="264" t="s">
        <v>2007</v>
      </c>
      <c r="C19" s="265" t="s">
        <v>3977</v>
      </c>
      <c r="D19" s="264"/>
      <c r="E19" s="269"/>
      <c r="F19" s="270"/>
      <c r="G19" s="269"/>
      <c r="H19" s="270"/>
      <c r="I19" s="269"/>
      <c r="J19" s="264"/>
      <c r="K19" s="265"/>
      <c r="L19" s="264"/>
      <c r="M19" s="265"/>
      <c r="N19" s="264"/>
      <c r="O19" s="265"/>
      <c r="P19" s="264"/>
      <c r="Q19" s="265"/>
      <c r="R19" s="264"/>
      <c r="S19" s="265"/>
      <c r="T19" s="264"/>
      <c r="U19" s="266"/>
      <c r="V19" s="267"/>
      <c r="W19" s="266"/>
      <c r="X19" s="267"/>
      <c r="Y19" s="266"/>
      <c r="Z19" s="267"/>
      <c r="AA19" s="266"/>
      <c r="AB19" s="267"/>
      <c r="AC19" s="266"/>
      <c r="AD19" s="267"/>
      <c r="AE19" s="266"/>
      <c r="AF19" s="267"/>
      <c r="AG19" s="266"/>
      <c r="AH19" s="267"/>
      <c r="AI19" s="266"/>
      <c r="AJ19" s="267"/>
    </row>
    <row r="20" spans="1:36">
      <c r="A20" s="268"/>
      <c r="B20" s="264" t="s">
        <v>2017</v>
      </c>
      <c r="C20" s="265" t="s">
        <v>3978</v>
      </c>
      <c r="D20" s="264"/>
      <c r="E20" s="265"/>
      <c r="F20" s="264"/>
      <c r="G20" s="265"/>
      <c r="H20" s="264"/>
      <c r="I20" s="265"/>
      <c r="J20" s="264"/>
      <c r="K20" s="265"/>
      <c r="L20" s="264"/>
      <c r="M20" s="265"/>
      <c r="N20" s="264"/>
      <c r="O20" s="265"/>
      <c r="P20" s="264"/>
      <c r="Q20" s="265"/>
      <c r="R20" s="264"/>
      <c r="S20" s="265"/>
      <c r="T20" s="264"/>
      <c r="U20" s="266"/>
      <c r="V20" s="267"/>
      <c r="W20" s="266"/>
      <c r="X20" s="267"/>
      <c r="Y20" s="266"/>
      <c r="Z20" s="267"/>
      <c r="AA20" s="266"/>
      <c r="AB20" s="267"/>
      <c r="AC20" s="266"/>
      <c r="AD20" s="267"/>
      <c r="AE20" s="266"/>
      <c r="AF20" s="267"/>
      <c r="AG20" s="266"/>
      <c r="AH20" s="267"/>
      <c r="AI20" s="266"/>
      <c r="AJ20" s="267"/>
    </row>
    <row r="21" spans="1:36">
      <c r="A21" s="268"/>
      <c r="B21" s="264" t="s">
        <v>2021</v>
      </c>
      <c r="C21" s="265" t="s">
        <v>3979</v>
      </c>
      <c r="D21" s="264"/>
      <c r="E21" s="265"/>
      <c r="F21" s="264"/>
      <c r="G21" s="265"/>
      <c r="H21" s="264"/>
      <c r="I21" s="265"/>
      <c r="J21" s="264"/>
      <c r="K21" s="265"/>
      <c r="L21" s="264"/>
      <c r="M21" s="265"/>
      <c r="N21" s="264"/>
      <c r="O21" s="265"/>
      <c r="P21" s="264"/>
      <c r="Q21" s="265"/>
      <c r="R21" s="264"/>
      <c r="S21" s="265"/>
      <c r="T21" s="264"/>
      <c r="U21" s="266"/>
      <c r="V21" s="267"/>
      <c r="W21" s="266"/>
      <c r="X21" s="267"/>
      <c r="Y21" s="266"/>
      <c r="Z21" s="267"/>
      <c r="AA21" s="266"/>
      <c r="AB21" s="267"/>
      <c r="AC21" s="266"/>
      <c r="AD21" s="267"/>
      <c r="AE21" s="266"/>
      <c r="AF21" s="267"/>
      <c r="AG21" s="266"/>
      <c r="AH21" s="267"/>
      <c r="AI21" s="266"/>
      <c r="AJ21" s="267"/>
    </row>
    <row r="22" spans="1:36">
      <c r="A22" s="268"/>
      <c r="B22" s="264" t="s">
        <v>2025</v>
      </c>
      <c r="C22" s="265" t="s">
        <v>3980</v>
      </c>
      <c r="D22" s="264"/>
      <c r="E22" s="265"/>
      <c r="F22" s="264"/>
      <c r="G22" s="265"/>
      <c r="H22" s="264"/>
      <c r="I22" s="265"/>
      <c r="J22" s="264"/>
      <c r="K22" s="265"/>
      <c r="L22" s="264"/>
      <c r="M22" s="265"/>
      <c r="N22" s="264"/>
      <c r="O22" s="265"/>
      <c r="P22" s="264"/>
      <c r="Q22" s="265"/>
      <c r="R22" s="264"/>
      <c r="S22" s="265"/>
      <c r="T22" s="264"/>
      <c r="U22" s="266"/>
      <c r="V22" s="267"/>
      <c r="W22" s="266"/>
      <c r="X22" s="267"/>
      <c r="Y22" s="266"/>
      <c r="Z22" s="267"/>
      <c r="AA22" s="266"/>
      <c r="AB22" s="267"/>
      <c r="AC22" s="266"/>
      <c r="AD22" s="267"/>
      <c r="AE22" s="266"/>
      <c r="AF22" s="267"/>
      <c r="AG22" s="266"/>
      <c r="AH22" s="267"/>
      <c r="AI22" s="266"/>
      <c r="AJ22" s="267"/>
    </row>
    <row r="23" spans="1:36">
      <c r="A23" s="268"/>
      <c r="B23" s="264" t="s">
        <v>2028</v>
      </c>
      <c r="C23" s="265" t="s">
        <v>2141</v>
      </c>
      <c r="D23" s="264"/>
      <c r="E23" s="265"/>
      <c r="F23" s="264"/>
      <c r="G23" s="265"/>
      <c r="H23" s="264"/>
      <c r="I23" s="265"/>
      <c r="J23" s="264"/>
      <c r="K23" s="265"/>
      <c r="L23" s="264"/>
      <c r="M23" s="265"/>
      <c r="N23" s="264"/>
      <c r="O23" s="265"/>
      <c r="P23" s="264"/>
      <c r="Q23" s="265"/>
      <c r="R23" s="264"/>
      <c r="S23" s="265"/>
      <c r="T23" s="264"/>
      <c r="U23" s="266"/>
      <c r="V23" s="267"/>
      <c r="W23" s="266"/>
      <c r="X23" s="267"/>
      <c r="Y23" s="266"/>
      <c r="Z23" s="267"/>
      <c r="AA23" s="266"/>
      <c r="AB23" s="267"/>
      <c r="AC23" s="266"/>
      <c r="AD23" s="267"/>
      <c r="AE23" s="266"/>
      <c r="AF23" s="267"/>
      <c r="AG23" s="266"/>
      <c r="AH23" s="267"/>
      <c r="AI23" s="266"/>
      <c r="AJ23" s="267"/>
    </row>
    <row r="24" spans="1:36">
      <c r="A24" s="268"/>
      <c r="B24" s="264" t="s">
        <v>2031</v>
      </c>
      <c r="C24" s="265"/>
      <c r="D24" s="264" t="s">
        <v>2235</v>
      </c>
      <c r="E24" s="265"/>
      <c r="F24" s="264"/>
      <c r="G24" s="265"/>
      <c r="H24" s="264" t="s">
        <v>2557</v>
      </c>
      <c r="I24" s="265"/>
      <c r="J24" s="264"/>
      <c r="K24" s="265"/>
      <c r="L24" s="264"/>
      <c r="M24" s="265"/>
      <c r="N24" s="264"/>
      <c r="O24" s="265"/>
      <c r="P24" s="264"/>
      <c r="Q24" s="265"/>
      <c r="R24" s="264"/>
      <c r="S24" s="265"/>
      <c r="T24" s="264"/>
      <c r="U24" s="266"/>
      <c r="V24" s="267"/>
      <c r="W24" s="266"/>
      <c r="X24" s="267"/>
      <c r="Y24" s="266"/>
      <c r="Z24" s="267"/>
      <c r="AA24" s="266"/>
      <c r="AB24" s="267"/>
      <c r="AC24" s="266"/>
      <c r="AD24" s="267"/>
      <c r="AE24" s="266"/>
      <c r="AF24" s="267"/>
      <c r="AG24" s="266"/>
      <c r="AH24" s="267"/>
      <c r="AI24" s="266"/>
      <c r="AJ24" s="267"/>
    </row>
    <row r="25" spans="1:36">
      <c r="A25" s="268"/>
      <c r="B25" s="264" t="s">
        <v>2033</v>
      </c>
      <c r="C25" s="265"/>
      <c r="D25" s="264" t="s">
        <v>2237</v>
      </c>
      <c r="E25" s="265" t="s">
        <v>2343</v>
      </c>
      <c r="F25" s="264"/>
      <c r="G25" s="265"/>
      <c r="H25" s="264" t="s">
        <v>2559</v>
      </c>
      <c r="I25" s="265"/>
      <c r="J25" s="264"/>
      <c r="K25" s="265"/>
      <c r="L25" s="264"/>
      <c r="M25" s="265"/>
      <c r="N25" s="264"/>
      <c r="O25" s="265"/>
      <c r="P25" s="264"/>
      <c r="Q25" s="265"/>
      <c r="R25" s="264"/>
      <c r="S25" s="265"/>
      <c r="T25" s="264"/>
      <c r="U25" s="266"/>
      <c r="V25" s="267"/>
      <c r="W25" s="266"/>
      <c r="X25" s="267"/>
      <c r="Y25" s="266"/>
      <c r="Z25" s="267"/>
      <c r="AA25" s="266"/>
      <c r="AB25" s="267"/>
      <c r="AC25" s="266"/>
      <c r="AD25" s="267"/>
      <c r="AE25" s="266"/>
      <c r="AF25" s="267"/>
      <c r="AG25" s="266"/>
      <c r="AH25" s="267"/>
      <c r="AI25" s="266"/>
      <c r="AJ25" s="267"/>
    </row>
    <row r="26" spans="1:36">
      <c r="A26" s="268"/>
      <c r="B26" s="264" t="s">
        <v>2036</v>
      </c>
      <c r="C26" s="265"/>
      <c r="D26" s="264" t="s">
        <v>2239</v>
      </c>
      <c r="E26" s="265"/>
      <c r="F26" s="264" t="s">
        <v>2434</v>
      </c>
      <c r="G26" s="265"/>
      <c r="H26" s="264"/>
      <c r="I26" s="265"/>
      <c r="J26" s="264"/>
      <c r="K26" s="265"/>
      <c r="L26" s="264"/>
      <c r="M26" s="265"/>
      <c r="N26" s="264"/>
      <c r="O26" s="265"/>
      <c r="P26" s="264"/>
      <c r="Q26" s="265"/>
      <c r="R26" s="264"/>
      <c r="S26" s="265"/>
      <c r="T26" s="264"/>
      <c r="U26" s="266"/>
      <c r="V26" s="267"/>
      <c r="W26" s="266"/>
      <c r="X26" s="267"/>
      <c r="Y26" s="266"/>
      <c r="Z26" s="267"/>
      <c r="AA26" s="266"/>
      <c r="AB26" s="267"/>
      <c r="AC26" s="266"/>
      <c r="AD26" s="267"/>
      <c r="AE26" s="266"/>
      <c r="AF26" s="267"/>
      <c r="AG26" s="266"/>
      <c r="AH26" s="267"/>
      <c r="AI26" s="266"/>
      <c r="AJ26" s="267"/>
    </row>
    <row r="27" spans="1:36">
      <c r="A27" s="268"/>
      <c r="B27" s="264" t="s">
        <v>2038</v>
      </c>
      <c r="C27" s="265"/>
      <c r="D27" s="264" t="s">
        <v>2241</v>
      </c>
      <c r="E27" s="265"/>
      <c r="F27" s="264"/>
      <c r="G27" s="265"/>
      <c r="H27" s="264"/>
      <c r="I27" s="265"/>
      <c r="J27" s="264" t="s">
        <v>2649</v>
      </c>
      <c r="K27" s="265"/>
      <c r="L27" s="264"/>
      <c r="M27" s="265"/>
      <c r="N27" s="264"/>
      <c r="O27" s="265"/>
      <c r="P27" s="264"/>
      <c r="Q27" s="265"/>
      <c r="R27" s="264"/>
      <c r="S27" s="265"/>
      <c r="T27" s="264"/>
      <c r="U27" s="266"/>
      <c r="V27" s="267"/>
      <c r="W27" s="266"/>
      <c r="X27" s="267"/>
      <c r="Y27" s="266"/>
      <c r="Z27" s="267"/>
      <c r="AA27" s="266"/>
      <c r="AB27" s="267"/>
      <c r="AC27" s="266"/>
      <c r="AD27" s="267"/>
      <c r="AE27" s="266"/>
      <c r="AF27" s="267"/>
      <c r="AG27" s="266"/>
      <c r="AH27" s="267"/>
      <c r="AI27" s="266"/>
      <c r="AJ27" s="267"/>
    </row>
    <row r="28" spans="1:36">
      <c r="A28" s="268"/>
      <c r="B28" s="264" t="s">
        <v>2041</v>
      </c>
      <c r="C28" s="265"/>
      <c r="D28" s="264"/>
      <c r="E28" s="265"/>
      <c r="F28" s="264"/>
      <c r="G28" s="265"/>
      <c r="H28" s="264"/>
      <c r="I28" s="265"/>
      <c r="J28" s="264"/>
      <c r="K28" s="265"/>
      <c r="L28" s="264"/>
      <c r="M28" s="265"/>
      <c r="N28" s="264"/>
      <c r="O28" s="265"/>
      <c r="P28" s="264"/>
      <c r="Q28" s="265"/>
      <c r="R28" s="264"/>
      <c r="S28" s="265"/>
      <c r="T28" s="264"/>
      <c r="U28" s="266"/>
      <c r="V28" s="267"/>
      <c r="W28" s="266"/>
      <c r="X28" s="267"/>
      <c r="Y28" s="266"/>
      <c r="Z28" s="267"/>
      <c r="AA28" s="266"/>
      <c r="AB28" s="267"/>
      <c r="AC28" s="266"/>
      <c r="AD28" s="267"/>
      <c r="AE28" s="266"/>
      <c r="AF28" s="267"/>
      <c r="AG28" s="266"/>
      <c r="AH28" s="267"/>
      <c r="AI28" s="266"/>
      <c r="AJ28" s="267"/>
    </row>
    <row r="29" spans="1:36">
      <c r="A29" s="268"/>
      <c r="B29" s="264" t="s">
        <v>2043</v>
      </c>
      <c r="C29" s="265"/>
      <c r="D29" s="264"/>
      <c r="E29" s="265"/>
      <c r="F29" s="264"/>
      <c r="G29" s="265"/>
      <c r="H29" s="264"/>
      <c r="I29" s="265"/>
      <c r="J29" s="264"/>
      <c r="K29" s="265"/>
      <c r="L29" s="264"/>
      <c r="M29" s="265"/>
      <c r="N29" s="264"/>
      <c r="O29" s="265"/>
      <c r="P29" s="264"/>
      <c r="Q29" s="265"/>
      <c r="R29" s="264"/>
      <c r="S29" s="265"/>
      <c r="T29" s="264"/>
      <c r="U29" s="266"/>
      <c r="V29" s="267"/>
      <c r="W29" s="266"/>
      <c r="X29" s="267"/>
      <c r="Y29" s="266"/>
      <c r="Z29" s="267"/>
      <c r="AA29" s="266"/>
      <c r="AB29" s="267"/>
      <c r="AC29" s="266"/>
      <c r="AD29" s="267"/>
      <c r="AE29" s="266"/>
      <c r="AF29" s="267"/>
      <c r="AG29" s="266"/>
      <c r="AH29" s="267"/>
      <c r="AI29" s="266"/>
      <c r="AJ29" s="267"/>
    </row>
    <row r="30" spans="1:36">
      <c r="A30" s="268"/>
      <c r="B30" s="264" t="s">
        <v>2045</v>
      </c>
      <c r="C30" s="265"/>
      <c r="D30" s="264"/>
      <c r="E30" s="265"/>
      <c r="F30" s="264"/>
      <c r="G30" s="265"/>
      <c r="H30" s="264"/>
      <c r="I30" s="265"/>
      <c r="J30" s="264"/>
      <c r="K30" s="265"/>
      <c r="L30" s="264"/>
      <c r="M30" s="265"/>
      <c r="N30" s="264"/>
      <c r="O30" s="265"/>
      <c r="P30" s="264"/>
      <c r="Q30" s="265"/>
      <c r="R30" s="264"/>
      <c r="S30" s="265"/>
      <c r="T30" s="264"/>
      <c r="U30" s="266"/>
      <c r="V30" s="267"/>
      <c r="W30" s="266"/>
      <c r="X30" s="267"/>
      <c r="Y30" s="266"/>
      <c r="Z30" s="267"/>
      <c r="AA30" s="266"/>
      <c r="AB30" s="267"/>
      <c r="AC30" s="266"/>
      <c r="AD30" s="267"/>
      <c r="AE30" s="266"/>
      <c r="AF30" s="267"/>
      <c r="AG30" s="266"/>
      <c r="AH30" s="267"/>
      <c r="AI30" s="266"/>
      <c r="AJ30" s="267"/>
    </row>
    <row r="31" spans="1:36">
      <c r="A31" s="268"/>
      <c r="B31" s="264" t="s">
        <v>2047</v>
      </c>
      <c r="C31" s="265"/>
      <c r="D31" s="264"/>
      <c r="E31" s="265"/>
      <c r="F31" s="264"/>
      <c r="G31" s="265"/>
      <c r="H31" s="264"/>
      <c r="I31" s="265"/>
      <c r="J31" s="264"/>
      <c r="K31" s="265"/>
      <c r="L31" s="264"/>
      <c r="M31" s="265"/>
      <c r="N31" s="264"/>
      <c r="O31" s="265"/>
      <c r="P31" s="264"/>
      <c r="Q31" s="265"/>
      <c r="R31" s="264"/>
      <c r="S31" s="265"/>
      <c r="T31" s="264"/>
      <c r="U31" s="266"/>
      <c r="V31" s="267"/>
      <c r="W31" s="266"/>
      <c r="X31" s="267"/>
      <c r="Y31" s="266"/>
      <c r="Z31" s="267"/>
      <c r="AA31" s="266"/>
      <c r="AB31" s="267"/>
      <c r="AC31" s="266"/>
      <c r="AD31" s="267"/>
      <c r="AE31" s="266"/>
      <c r="AF31" s="267"/>
      <c r="AG31" s="266"/>
      <c r="AH31" s="267"/>
      <c r="AI31" s="266"/>
      <c r="AJ31" s="267"/>
    </row>
    <row r="32" spans="1:36">
      <c r="A32" s="268"/>
      <c r="B32" s="264" t="s">
        <v>2049</v>
      </c>
      <c r="C32" s="265"/>
      <c r="D32" s="264"/>
      <c r="E32" s="265"/>
      <c r="F32" s="264"/>
      <c r="G32" s="265"/>
      <c r="H32" s="264"/>
      <c r="I32" s="265"/>
      <c r="J32" s="264"/>
      <c r="K32" s="265"/>
      <c r="L32" s="264"/>
      <c r="M32" s="265"/>
      <c r="N32" s="264"/>
      <c r="O32" s="265"/>
      <c r="P32" s="264"/>
      <c r="Q32" s="265"/>
      <c r="R32" s="264"/>
      <c r="S32" s="265"/>
      <c r="T32" s="264"/>
      <c r="U32" s="266"/>
      <c r="V32" s="267"/>
      <c r="W32" s="266"/>
      <c r="X32" s="267"/>
      <c r="Y32" s="266"/>
      <c r="Z32" s="267"/>
      <c r="AA32" s="266"/>
      <c r="AB32" s="267"/>
      <c r="AC32" s="266"/>
      <c r="AD32" s="267"/>
      <c r="AE32" s="266"/>
      <c r="AF32" s="267"/>
      <c r="AG32" s="266"/>
      <c r="AH32" s="267"/>
      <c r="AI32" s="266"/>
      <c r="AJ32" s="267"/>
    </row>
    <row r="33" spans="1:36">
      <c r="A33" s="268"/>
      <c r="B33" s="264" t="s">
        <v>2051</v>
      </c>
      <c r="C33" s="265"/>
      <c r="D33" s="264"/>
      <c r="E33" s="265"/>
      <c r="F33" s="264"/>
      <c r="G33" s="265"/>
      <c r="H33" s="264"/>
      <c r="I33" s="265"/>
      <c r="J33" s="264"/>
      <c r="K33" s="265"/>
      <c r="L33" s="264"/>
      <c r="M33" s="265"/>
      <c r="N33" s="264"/>
      <c r="O33" s="265"/>
      <c r="P33" s="264"/>
      <c r="Q33" s="265"/>
      <c r="R33" s="264"/>
      <c r="S33" s="265"/>
      <c r="T33" s="264"/>
      <c r="U33" s="266"/>
      <c r="V33" s="267"/>
      <c r="W33" s="266"/>
      <c r="X33" s="267"/>
      <c r="Y33" s="266"/>
      <c r="Z33" s="267"/>
      <c r="AA33" s="266"/>
      <c r="AB33" s="267"/>
      <c r="AC33" s="266"/>
      <c r="AD33" s="267"/>
      <c r="AE33" s="266"/>
      <c r="AF33" s="267"/>
      <c r="AG33" s="266"/>
      <c r="AH33" s="267"/>
      <c r="AI33" s="266"/>
      <c r="AJ33" s="267"/>
    </row>
    <row r="34" spans="1:36">
      <c r="A34" s="268"/>
      <c r="B34" s="264" t="s">
        <v>2053</v>
      </c>
      <c r="C34" s="265"/>
      <c r="D34" s="264"/>
      <c r="E34" s="265"/>
      <c r="F34" s="264"/>
      <c r="G34" s="265"/>
      <c r="H34" s="264"/>
      <c r="I34" s="265"/>
      <c r="J34" s="264"/>
      <c r="K34" s="265"/>
      <c r="L34" s="264"/>
      <c r="M34" s="265"/>
      <c r="N34" s="264"/>
      <c r="O34" s="265"/>
      <c r="P34" s="264"/>
      <c r="Q34" s="265"/>
      <c r="R34" s="264"/>
      <c r="S34" s="265"/>
      <c r="T34" s="264"/>
      <c r="U34" s="266"/>
      <c r="V34" s="267"/>
      <c r="W34" s="266"/>
      <c r="X34" s="267"/>
      <c r="Y34" s="266"/>
      <c r="Z34" s="267"/>
      <c r="AA34" s="266"/>
      <c r="AB34" s="267"/>
      <c r="AC34" s="266"/>
      <c r="AD34" s="267"/>
      <c r="AE34" s="266"/>
      <c r="AF34" s="267"/>
      <c r="AG34" s="266"/>
      <c r="AH34" s="267"/>
      <c r="AI34" s="266"/>
      <c r="AJ34" s="267"/>
    </row>
    <row r="35" spans="1:36">
      <c r="A35" s="268"/>
      <c r="B35" s="264"/>
      <c r="C35" s="265" t="s">
        <v>2144</v>
      </c>
      <c r="D35" s="264"/>
      <c r="E35" s="265" t="s">
        <v>2345</v>
      </c>
      <c r="F35" s="264"/>
      <c r="G35" s="265"/>
      <c r="H35" s="264"/>
      <c r="I35" s="265"/>
      <c r="J35" s="264"/>
      <c r="K35" s="265"/>
      <c r="L35" s="264"/>
      <c r="M35" s="265"/>
      <c r="N35" s="264"/>
      <c r="O35" s="265"/>
      <c r="P35" s="264"/>
      <c r="Q35" s="265"/>
      <c r="R35" s="264"/>
      <c r="S35" s="265"/>
      <c r="T35" s="264"/>
      <c r="U35" s="266"/>
      <c r="V35" s="267"/>
      <c r="W35" s="266"/>
      <c r="X35" s="267"/>
      <c r="Y35" s="266"/>
      <c r="Z35" s="267"/>
      <c r="AA35" s="266"/>
      <c r="AB35" s="267"/>
      <c r="AC35" s="266"/>
      <c r="AD35" s="267"/>
      <c r="AE35" s="266"/>
      <c r="AF35" s="267"/>
      <c r="AG35" s="266"/>
      <c r="AH35" s="267"/>
      <c r="AI35" s="266"/>
      <c r="AJ35" s="267"/>
    </row>
    <row r="36" spans="1:36">
      <c r="A36" s="268"/>
      <c r="B36" s="264"/>
      <c r="C36" s="265" t="s">
        <v>2146</v>
      </c>
      <c r="D36" s="264"/>
      <c r="E36" s="265" t="s">
        <v>2347</v>
      </c>
      <c r="F36" s="264"/>
      <c r="G36" s="265" t="s">
        <v>2496</v>
      </c>
      <c r="H36" s="264"/>
      <c r="I36" s="265" t="s">
        <v>2608</v>
      </c>
      <c r="J36" s="264"/>
      <c r="K36" s="265"/>
      <c r="L36" s="264"/>
      <c r="M36" s="265"/>
      <c r="N36" s="264"/>
      <c r="O36" s="265"/>
      <c r="P36" s="264"/>
      <c r="Q36" s="265"/>
      <c r="R36" s="264"/>
      <c r="S36" s="265"/>
      <c r="T36" s="264"/>
      <c r="U36" s="266"/>
      <c r="V36" s="267"/>
      <c r="W36" s="266"/>
      <c r="X36" s="267"/>
      <c r="Y36" s="266"/>
      <c r="Z36" s="267"/>
      <c r="AA36" s="266"/>
      <c r="AB36" s="267"/>
      <c r="AC36" s="266"/>
      <c r="AD36" s="267"/>
      <c r="AE36" s="266"/>
      <c r="AF36" s="267"/>
      <c r="AG36" s="266"/>
      <c r="AH36" s="267"/>
      <c r="AI36" s="266"/>
      <c r="AJ36" s="267"/>
    </row>
    <row r="37" spans="1:36">
      <c r="A37" s="268"/>
      <c r="B37" s="264"/>
      <c r="C37" s="265" t="s">
        <v>2149</v>
      </c>
      <c r="D37" s="264" t="s">
        <v>2243</v>
      </c>
      <c r="E37" s="265" t="s">
        <v>2349</v>
      </c>
      <c r="F37" s="264"/>
      <c r="G37" s="265"/>
      <c r="H37" s="264"/>
      <c r="I37" s="265" t="s">
        <v>2610</v>
      </c>
      <c r="J37" s="264" t="s">
        <v>2651</v>
      </c>
      <c r="K37" s="265" t="s">
        <v>2681</v>
      </c>
      <c r="L37" s="264"/>
      <c r="M37" s="265"/>
      <c r="N37" s="264"/>
      <c r="O37" s="265"/>
      <c r="P37" s="264"/>
      <c r="Q37" s="265"/>
      <c r="R37" s="264"/>
      <c r="S37" s="265"/>
      <c r="T37" s="264"/>
      <c r="U37" s="266"/>
      <c r="V37" s="267"/>
      <c r="W37" s="266"/>
      <c r="X37" s="267"/>
      <c r="Y37" s="266"/>
      <c r="Z37" s="267"/>
      <c r="AA37" s="266"/>
      <c r="AB37" s="267"/>
      <c r="AC37" s="266"/>
      <c r="AD37" s="267"/>
      <c r="AE37" s="266"/>
      <c r="AF37" s="267"/>
      <c r="AG37" s="266"/>
      <c r="AH37" s="267"/>
      <c r="AI37" s="266"/>
      <c r="AJ37" s="267"/>
    </row>
    <row r="38" spans="1:36">
      <c r="A38" s="268"/>
      <c r="B38" s="264"/>
      <c r="C38" s="265" t="s">
        <v>2151</v>
      </c>
      <c r="D38" s="264"/>
      <c r="E38" s="265"/>
      <c r="F38" s="264"/>
      <c r="G38" s="265"/>
      <c r="H38" s="264"/>
      <c r="I38" s="265"/>
      <c r="J38" s="264"/>
      <c r="K38" s="265"/>
      <c r="L38" s="264"/>
      <c r="M38" s="265"/>
      <c r="N38" s="264"/>
      <c r="O38" s="265"/>
      <c r="P38" s="264"/>
      <c r="Q38" s="265"/>
      <c r="R38" s="264"/>
      <c r="S38" s="265"/>
      <c r="T38" s="264"/>
      <c r="U38" s="266"/>
      <c r="V38" s="267"/>
      <c r="W38" s="266"/>
      <c r="X38" s="267"/>
      <c r="Y38" s="266"/>
      <c r="Z38" s="267"/>
      <c r="AA38" s="266"/>
      <c r="AB38" s="267"/>
      <c r="AC38" s="266"/>
      <c r="AD38" s="267"/>
      <c r="AE38" s="266"/>
      <c r="AF38" s="267"/>
      <c r="AG38" s="266"/>
      <c r="AH38" s="267"/>
      <c r="AI38" s="266"/>
      <c r="AJ38" s="267"/>
    </row>
    <row r="39" spans="1:36">
      <c r="A39" s="268"/>
      <c r="B39" s="264"/>
      <c r="C39" s="265" t="s">
        <v>2153</v>
      </c>
      <c r="D39" s="264"/>
      <c r="E39" s="265"/>
      <c r="F39" s="264"/>
      <c r="G39" s="265"/>
      <c r="H39" s="264" t="s">
        <v>2561</v>
      </c>
      <c r="I39" s="265"/>
      <c r="J39" s="264"/>
      <c r="K39" s="265"/>
      <c r="L39" s="264"/>
      <c r="M39" s="265"/>
      <c r="N39" s="264"/>
      <c r="O39" s="265"/>
      <c r="P39" s="264"/>
      <c r="Q39" s="265"/>
      <c r="R39" s="264"/>
      <c r="S39" s="265"/>
      <c r="T39" s="264"/>
      <c r="U39" s="266"/>
      <c r="V39" s="267"/>
      <c r="W39" s="266"/>
      <c r="X39" s="267"/>
      <c r="Y39" s="266"/>
      <c r="Z39" s="267"/>
      <c r="AA39" s="266"/>
      <c r="AB39" s="267"/>
      <c r="AC39" s="266"/>
      <c r="AD39" s="267"/>
      <c r="AE39" s="266"/>
      <c r="AF39" s="267"/>
      <c r="AG39" s="266"/>
      <c r="AH39" s="267"/>
      <c r="AI39" s="266"/>
      <c r="AJ39" s="267"/>
    </row>
    <row r="40" spans="1:36">
      <c r="A40" s="268"/>
      <c r="B40" s="264"/>
      <c r="C40" s="265" t="s">
        <v>2155</v>
      </c>
      <c r="D40" s="264"/>
      <c r="E40" s="265"/>
      <c r="F40" s="264"/>
      <c r="G40" s="265"/>
      <c r="H40" s="264"/>
      <c r="I40" s="265"/>
      <c r="J40" s="264"/>
      <c r="K40" s="265"/>
      <c r="L40" s="264"/>
      <c r="M40" s="265"/>
      <c r="N40" s="264"/>
      <c r="O40" s="265"/>
      <c r="P40" s="264"/>
      <c r="Q40" s="265"/>
      <c r="R40" s="264"/>
      <c r="S40" s="265"/>
      <c r="T40" s="264"/>
      <c r="U40" s="266"/>
      <c r="V40" s="267"/>
      <c r="W40" s="266"/>
      <c r="X40" s="267"/>
      <c r="Y40" s="266"/>
      <c r="Z40" s="267"/>
      <c r="AA40" s="266"/>
      <c r="AB40" s="267"/>
      <c r="AC40" s="266"/>
      <c r="AD40" s="267"/>
      <c r="AE40" s="266"/>
      <c r="AF40" s="267"/>
      <c r="AG40" s="266"/>
      <c r="AH40" s="267"/>
      <c r="AI40" s="266"/>
      <c r="AJ40" s="267"/>
    </row>
    <row r="41" spans="1:36">
      <c r="A41" s="268"/>
      <c r="B41" s="264"/>
      <c r="C41" s="265"/>
      <c r="D41" s="264" t="s">
        <v>2245</v>
      </c>
      <c r="E41" s="265" t="s">
        <v>2351</v>
      </c>
      <c r="F41" s="264"/>
      <c r="G41" s="265"/>
      <c r="H41" s="264" t="s">
        <v>2563</v>
      </c>
      <c r="I41" s="265" t="s">
        <v>2612</v>
      </c>
      <c r="J41" s="264"/>
      <c r="K41" s="265"/>
      <c r="L41" s="264" t="s">
        <v>2716</v>
      </c>
      <c r="M41" s="265"/>
      <c r="N41" s="264" t="s">
        <v>2761</v>
      </c>
      <c r="O41" s="265"/>
      <c r="P41" s="264"/>
      <c r="Q41" s="265"/>
      <c r="R41" s="264"/>
      <c r="S41" s="265"/>
      <c r="T41" s="264"/>
      <c r="U41" s="266"/>
      <c r="V41" s="267"/>
      <c r="W41" s="266"/>
      <c r="X41" s="267"/>
      <c r="Y41" s="266"/>
      <c r="Z41" s="267"/>
      <c r="AA41" s="266"/>
      <c r="AB41" s="267"/>
      <c r="AC41" s="266"/>
      <c r="AD41" s="267"/>
      <c r="AE41" s="266"/>
      <c r="AF41" s="267"/>
      <c r="AG41" s="266"/>
      <c r="AH41" s="267"/>
      <c r="AI41" s="266"/>
      <c r="AJ41" s="267"/>
    </row>
    <row r="42" spans="1:36">
      <c r="A42" s="268"/>
      <c r="B42" s="264"/>
      <c r="C42" s="265"/>
      <c r="D42" s="264" t="s">
        <v>2247</v>
      </c>
      <c r="E42" s="265" t="s">
        <v>2353</v>
      </c>
      <c r="F42" s="264"/>
      <c r="G42" s="265"/>
      <c r="H42" s="264" t="s">
        <v>2565</v>
      </c>
      <c r="I42" s="265"/>
      <c r="J42" s="264"/>
      <c r="K42" s="265"/>
      <c r="L42" s="264" t="s">
        <v>2718</v>
      </c>
      <c r="M42" s="265"/>
      <c r="N42" s="264"/>
      <c r="O42" s="265"/>
      <c r="P42" s="264"/>
      <c r="Q42" s="265"/>
      <c r="R42" s="264"/>
      <c r="S42" s="265"/>
      <c r="T42" s="264"/>
      <c r="U42" s="266"/>
      <c r="V42" s="267"/>
      <c r="W42" s="266"/>
      <c r="X42" s="267"/>
      <c r="Y42" s="266"/>
      <c r="Z42" s="267"/>
      <c r="AA42" s="266"/>
      <c r="AB42" s="267"/>
      <c r="AC42" s="266"/>
      <c r="AD42" s="267"/>
      <c r="AE42" s="266"/>
      <c r="AF42" s="267"/>
      <c r="AG42" s="266"/>
      <c r="AH42" s="267"/>
      <c r="AI42" s="266"/>
      <c r="AJ42" s="267"/>
    </row>
    <row r="43" spans="1:36">
      <c r="A43" s="268"/>
      <c r="B43" s="264"/>
      <c r="C43" s="265"/>
      <c r="D43" s="264" t="s">
        <v>2249</v>
      </c>
      <c r="E43" s="265" t="s">
        <v>2355</v>
      </c>
      <c r="F43" s="264"/>
      <c r="G43" s="265"/>
      <c r="H43" s="264" t="s">
        <v>2567</v>
      </c>
      <c r="I43" s="265"/>
      <c r="J43" s="264"/>
      <c r="K43" s="265"/>
      <c r="L43" s="264"/>
      <c r="M43" s="265"/>
      <c r="N43" s="264"/>
      <c r="O43" s="265"/>
      <c r="P43" s="264"/>
      <c r="Q43" s="265"/>
      <c r="R43" s="264"/>
      <c r="S43" s="265"/>
      <c r="T43" s="264"/>
      <c r="U43" s="266"/>
      <c r="V43" s="267"/>
      <c r="W43" s="266"/>
      <c r="X43" s="267"/>
      <c r="Y43" s="266"/>
      <c r="Z43" s="267"/>
      <c r="AA43" s="266"/>
      <c r="AB43" s="267"/>
      <c r="AC43" s="266"/>
      <c r="AD43" s="267"/>
      <c r="AE43" s="266"/>
      <c r="AF43" s="267"/>
      <c r="AG43" s="266"/>
      <c r="AH43" s="267"/>
      <c r="AI43" s="266"/>
      <c r="AJ43" s="267"/>
    </row>
    <row r="44" spans="1:36">
      <c r="A44" s="268"/>
      <c r="B44" s="264"/>
      <c r="C44" s="265"/>
      <c r="D44" s="264" t="s">
        <v>2251</v>
      </c>
      <c r="E44" s="265"/>
      <c r="F44" s="264"/>
      <c r="G44" s="265"/>
      <c r="H44" s="264"/>
      <c r="I44" s="265"/>
      <c r="J44" s="264"/>
      <c r="K44" s="265"/>
      <c r="L44" s="264"/>
      <c r="M44" s="265"/>
      <c r="N44" s="264"/>
      <c r="O44" s="265"/>
      <c r="P44" s="264"/>
      <c r="Q44" s="265"/>
      <c r="R44" s="264"/>
      <c r="S44" s="265"/>
      <c r="T44" s="264"/>
      <c r="U44" s="266"/>
      <c r="V44" s="267"/>
      <c r="W44" s="266"/>
      <c r="X44" s="267"/>
      <c r="Y44" s="266"/>
      <c r="Z44" s="267"/>
      <c r="AA44" s="266"/>
      <c r="AB44" s="267"/>
      <c r="AC44" s="266"/>
      <c r="AD44" s="267"/>
      <c r="AE44" s="266"/>
      <c r="AF44" s="267"/>
      <c r="AG44" s="266"/>
      <c r="AH44" s="267"/>
      <c r="AI44" s="266"/>
      <c r="AJ44" s="267"/>
    </row>
    <row r="45" spans="1:36">
      <c r="A45" s="268"/>
      <c r="B45" s="264"/>
      <c r="C45" s="265"/>
      <c r="D45" s="264" t="s">
        <v>2253</v>
      </c>
      <c r="E45" s="265"/>
      <c r="F45" s="264"/>
      <c r="G45" s="265"/>
      <c r="H45" s="264"/>
      <c r="I45" s="265"/>
      <c r="J45" s="264"/>
      <c r="K45" s="265"/>
      <c r="L45" s="264"/>
      <c r="M45" s="265"/>
      <c r="N45" s="264" t="s">
        <v>2763</v>
      </c>
      <c r="O45" s="265"/>
      <c r="P45" s="264"/>
      <c r="Q45" s="265"/>
      <c r="R45" s="264"/>
      <c r="S45" s="265"/>
      <c r="T45" s="264"/>
      <c r="U45" s="266"/>
      <c r="V45" s="267"/>
      <c r="W45" s="266"/>
      <c r="X45" s="267"/>
      <c r="Y45" s="266"/>
      <c r="Z45" s="267"/>
      <c r="AA45" s="266"/>
      <c r="AB45" s="267"/>
      <c r="AC45" s="266"/>
      <c r="AD45" s="267"/>
      <c r="AE45" s="266"/>
      <c r="AF45" s="267"/>
      <c r="AG45" s="266"/>
      <c r="AH45" s="267"/>
      <c r="AI45" s="266"/>
      <c r="AJ45" s="267"/>
    </row>
    <row r="46" spans="1:36">
      <c r="A46" s="268"/>
      <c r="B46" s="264"/>
      <c r="C46" s="265"/>
      <c r="D46" s="264" t="s">
        <v>2255</v>
      </c>
      <c r="E46" s="265"/>
      <c r="F46" s="264"/>
      <c r="G46" s="265"/>
      <c r="H46" s="264"/>
      <c r="I46" s="265"/>
      <c r="J46" s="264"/>
      <c r="K46" s="265"/>
      <c r="L46" s="264"/>
      <c r="M46" s="265"/>
      <c r="N46" s="264"/>
      <c r="O46" s="265"/>
      <c r="P46" s="264"/>
      <c r="Q46" s="265"/>
      <c r="R46" s="264"/>
      <c r="S46" s="265"/>
      <c r="T46" s="264"/>
      <c r="U46" s="266"/>
      <c r="V46" s="267"/>
      <c r="W46" s="266"/>
      <c r="X46" s="267"/>
      <c r="Y46" s="266"/>
      <c r="Z46" s="267"/>
      <c r="AA46" s="266"/>
      <c r="AB46" s="267"/>
      <c r="AC46" s="266"/>
      <c r="AD46" s="267"/>
      <c r="AE46" s="266"/>
      <c r="AF46" s="267"/>
      <c r="AG46" s="266"/>
      <c r="AH46" s="267"/>
      <c r="AI46" s="266"/>
      <c r="AJ46" s="267"/>
    </row>
    <row r="47" spans="1:36">
      <c r="A47" s="268"/>
      <c r="B47" s="264"/>
      <c r="C47" s="265"/>
      <c r="D47" s="264" t="s">
        <v>2257</v>
      </c>
      <c r="E47" s="265"/>
      <c r="F47" s="264" t="s">
        <v>2436</v>
      </c>
      <c r="G47" s="265" t="s">
        <v>2498</v>
      </c>
      <c r="H47" s="264"/>
      <c r="I47" s="265"/>
      <c r="J47" s="264"/>
      <c r="K47" s="265"/>
      <c r="L47" s="264"/>
      <c r="M47" s="265"/>
      <c r="N47" s="264"/>
      <c r="O47" s="265"/>
      <c r="P47" s="264"/>
      <c r="Q47" s="265"/>
      <c r="R47" s="264"/>
      <c r="S47" s="265"/>
      <c r="T47" s="264"/>
      <c r="U47" s="266"/>
      <c r="V47" s="267"/>
      <c r="W47" s="266"/>
      <c r="X47" s="267"/>
      <c r="Y47" s="266"/>
      <c r="Z47" s="267"/>
      <c r="AA47" s="266"/>
      <c r="AB47" s="267"/>
      <c r="AC47" s="266"/>
      <c r="AD47" s="267"/>
      <c r="AE47" s="266"/>
      <c r="AF47" s="267"/>
      <c r="AG47" s="266"/>
      <c r="AH47" s="267"/>
      <c r="AI47" s="266"/>
      <c r="AJ47" s="267"/>
    </row>
    <row r="48" spans="1:36">
      <c r="A48" s="268"/>
      <c r="B48" s="264"/>
      <c r="C48" s="265"/>
      <c r="D48" s="264" t="s">
        <v>2259</v>
      </c>
      <c r="E48" s="265"/>
      <c r="F48" s="264"/>
      <c r="G48" s="265"/>
      <c r="H48" s="264"/>
      <c r="I48" s="265"/>
      <c r="J48" s="264"/>
      <c r="K48" s="265"/>
      <c r="L48" s="264"/>
      <c r="M48" s="265"/>
      <c r="N48" s="264"/>
      <c r="O48" s="265"/>
      <c r="P48" s="264"/>
      <c r="Q48" s="265"/>
      <c r="R48" s="264"/>
      <c r="S48" s="265"/>
      <c r="T48" s="264"/>
      <c r="U48" s="266"/>
      <c r="V48" s="267"/>
      <c r="W48" s="266"/>
      <c r="X48" s="267"/>
      <c r="Y48" s="266"/>
      <c r="Z48" s="267"/>
      <c r="AA48" s="266"/>
      <c r="AB48" s="267"/>
      <c r="AC48" s="266"/>
      <c r="AD48" s="267"/>
      <c r="AE48" s="266"/>
      <c r="AF48" s="267"/>
      <c r="AG48" s="266"/>
      <c r="AH48" s="267"/>
      <c r="AI48" s="266"/>
      <c r="AJ48" s="267"/>
    </row>
    <row r="49" spans="1:36">
      <c r="A49" s="268"/>
      <c r="B49" s="264"/>
      <c r="C49" s="265"/>
      <c r="D49" s="264" t="s">
        <v>2261</v>
      </c>
      <c r="E49" s="265"/>
      <c r="F49" s="264"/>
      <c r="G49" s="265" t="s">
        <v>2500</v>
      </c>
      <c r="H49" s="264"/>
      <c r="I49" s="265"/>
      <c r="J49" s="264"/>
      <c r="K49" s="265"/>
      <c r="L49" s="264"/>
      <c r="M49" s="265" t="s">
        <v>2731</v>
      </c>
      <c r="N49" s="264"/>
      <c r="O49" s="265"/>
      <c r="P49" s="264"/>
      <c r="Q49" s="265"/>
      <c r="R49" s="264"/>
      <c r="S49" s="265"/>
      <c r="T49" s="264"/>
      <c r="U49" s="266"/>
      <c r="V49" s="267"/>
      <c r="W49" s="266"/>
      <c r="X49" s="267"/>
      <c r="Y49" s="266"/>
      <c r="Z49" s="267"/>
      <c r="AA49" s="266"/>
      <c r="AB49" s="267"/>
      <c r="AC49" s="266"/>
      <c r="AD49" s="267"/>
      <c r="AE49" s="266"/>
      <c r="AF49" s="267"/>
      <c r="AG49" s="266"/>
      <c r="AH49" s="267"/>
      <c r="AI49" s="266"/>
      <c r="AJ49" s="267"/>
    </row>
    <row r="50" spans="1:36">
      <c r="A50" s="268"/>
      <c r="B50" s="264"/>
      <c r="C50" s="265"/>
      <c r="D50" s="264" t="s">
        <v>2263</v>
      </c>
      <c r="E50" s="265"/>
      <c r="F50" s="264"/>
      <c r="G50" s="265"/>
      <c r="H50" s="264"/>
      <c r="I50" s="265"/>
      <c r="J50" s="264"/>
      <c r="K50" s="265"/>
      <c r="L50" s="264"/>
      <c r="M50" s="265"/>
      <c r="N50" s="264"/>
      <c r="O50" s="265"/>
      <c r="P50" s="264"/>
      <c r="Q50" s="265"/>
      <c r="R50" s="264"/>
      <c r="S50" s="265"/>
      <c r="T50" s="264"/>
      <c r="U50" s="266"/>
      <c r="V50" s="267"/>
      <c r="W50" s="266"/>
      <c r="X50" s="267"/>
      <c r="Y50" s="266"/>
      <c r="Z50" s="267"/>
      <c r="AA50" s="266"/>
      <c r="AB50" s="267"/>
      <c r="AC50" s="266"/>
      <c r="AD50" s="267"/>
      <c r="AE50" s="266"/>
      <c r="AF50" s="267"/>
      <c r="AG50" s="266"/>
      <c r="AH50" s="267"/>
      <c r="AI50" s="266"/>
      <c r="AJ50" s="267"/>
    </row>
    <row r="51" spans="1:36">
      <c r="A51" s="268"/>
      <c r="B51" s="264"/>
      <c r="C51" s="265"/>
      <c r="D51" s="264" t="s">
        <v>2265</v>
      </c>
      <c r="E51" s="265" t="s">
        <v>2357</v>
      </c>
      <c r="F51" s="264" t="s">
        <v>2442</v>
      </c>
      <c r="G51" s="265"/>
      <c r="H51" s="264"/>
      <c r="I51" s="265"/>
      <c r="J51" s="264"/>
      <c r="K51" s="265"/>
      <c r="L51" s="264"/>
      <c r="M51" s="265"/>
      <c r="N51" s="264"/>
      <c r="O51" s="265"/>
      <c r="P51" s="264"/>
      <c r="Q51" s="265"/>
      <c r="R51" s="264"/>
      <c r="S51" s="265"/>
      <c r="T51" s="264"/>
      <c r="U51" s="266"/>
      <c r="V51" s="267"/>
      <c r="W51" s="266"/>
      <c r="X51" s="267"/>
      <c r="Y51" s="266"/>
      <c r="Z51" s="267"/>
      <c r="AA51" s="266"/>
      <c r="AB51" s="267"/>
      <c r="AC51" s="266"/>
      <c r="AD51" s="267"/>
      <c r="AE51" s="266"/>
      <c r="AF51" s="267"/>
      <c r="AG51" s="266"/>
      <c r="AH51" s="267"/>
      <c r="AI51" s="266"/>
      <c r="AJ51" s="267"/>
    </row>
    <row r="52" spans="1:36">
      <c r="A52" s="268"/>
      <c r="B52" s="264"/>
      <c r="C52" s="269"/>
      <c r="D52" s="270" t="s">
        <v>2267</v>
      </c>
      <c r="E52" s="269" t="s">
        <v>2359</v>
      </c>
      <c r="F52" s="270"/>
      <c r="G52" s="269"/>
      <c r="H52" s="270"/>
      <c r="I52" s="269" t="s">
        <v>2614</v>
      </c>
      <c r="J52" s="270" t="s">
        <v>2653</v>
      </c>
      <c r="K52" s="195" t="s">
        <v>2685</v>
      </c>
      <c r="L52" s="270"/>
      <c r="M52" s="269"/>
      <c r="N52" s="264"/>
      <c r="O52" s="265"/>
      <c r="P52" s="264"/>
      <c r="Q52" s="265"/>
      <c r="R52" s="264"/>
      <c r="S52" s="265"/>
      <c r="T52" s="264"/>
      <c r="U52" s="266"/>
      <c r="V52" s="267"/>
      <c r="W52" s="266"/>
      <c r="X52" s="267"/>
      <c r="Y52" s="266"/>
      <c r="Z52" s="267"/>
      <c r="AA52" s="266"/>
      <c r="AB52" s="267"/>
      <c r="AC52" s="266"/>
      <c r="AD52" s="267"/>
      <c r="AE52" s="266"/>
      <c r="AF52" s="267"/>
      <c r="AG52" s="266"/>
      <c r="AH52" s="267"/>
      <c r="AI52" s="266"/>
      <c r="AJ52" s="267"/>
    </row>
    <row r="53" spans="1:36">
      <c r="A53" s="268"/>
      <c r="B53" s="264"/>
      <c r="C53" s="269"/>
      <c r="D53" s="270"/>
      <c r="E53" s="265" t="s">
        <v>2361</v>
      </c>
      <c r="F53" s="270"/>
      <c r="G53" s="269"/>
      <c r="H53" s="270"/>
      <c r="I53" s="269"/>
      <c r="J53" s="270"/>
      <c r="K53" s="195" t="s">
        <v>2687</v>
      </c>
      <c r="L53" s="270"/>
      <c r="M53" s="269"/>
      <c r="N53" s="264"/>
      <c r="O53" s="265"/>
      <c r="P53" s="264"/>
      <c r="Q53" s="265"/>
      <c r="R53" s="264"/>
      <c r="S53" s="265"/>
      <c r="T53" s="264"/>
      <c r="U53" s="266"/>
      <c r="V53" s="267"/>
      <c r="W53" s="266"/>
      <c r="X53" s="267"/>
      <c r="Y53" s="266"/>
      <c r="Z53" s="267"/>
      <c r="AA53" s="266"/>
      <c r="AB53" s="267"/>
      <c r="AC53" s="266"/>
      <c r="AD53" s="267"/>
      <c r="AE53" s="266"/>
      <c r="AF53" s="267"/>
      <c r="AG53" s="266"/>
      <c r="AH53" s="267"/>
      <c r="AI53" s="266"/>
      <c r="AJ53" s="267"/>
    </row>
    <row r="54" spans="1:36">
      <c r="A54" s="268"/>
      <c r="B54" s="264"/>
      <c r="C54" s="269"/>
      <c r="D54" s="270"/>
      <c r="E54" s="269" t="s">
        <v>2363</v>
      </c>
      <c r="F54" s="270"/>
      <c r="G54" s="269"/>
      <c r="H54" s="270"/>
      <c r="I54" s="269"/>
      <c r="J54" s="270"/>
      <c r="K54" s="269"/>
      <c r="L54" s="270"/>
      <c r="M54" s="269"/>
      <c r="N54" s="264"/>
      <c r="O54" s="265"/>
      <c r="P54" s="264"/>
      <c r="Q54" s="265"/>
      <c r="R54" s="264"/>
      <c r="S54" s="265"/>
      <c r="T54" s="264"/>
      <c r="U54" s="266"/>
      <c r="V54" s="267"/>
      <c r="W54" s="266"/>
      <c r="X54" s="267"/>
      <c r="Y54" s="266"/>
      <c r="Z54" s="267"/>
      <c r="AA54" s="266"/>
      <c r="AB54" s="267"/>
      <c r="AC54" s="266"/>
      <c r="AD54" s="267"/>
      <c r="AE54" s="266"/>
      <c r="AF54" s="267"/>
      <c r="AG54" s="266"/>
      <c r="AH54" s="267"/>
      <c r="AI54" s="266"/>
      <c r="AJ54" s="267"/>
    </row>
    <row r="55" spans="1:36">
      <c r="A55" s="268"/>
      <c r="B55" s="264"/>
      <c r="C55" s="269"/>
      <c r="D55" s="270"/>
      <c r="E55" s="269" t="s">
        <v>2365</v>
      </c>
      <c r="F55" s="273"/>
      <c r="G55" s="269"/>
      <c r="H55" s="270"/>
      <c r="I55" s="114"/>
      <c r="J55" s="273"/>
      <c r="K55" s="114"/>
      <c r="L55" s="270"/>
      <c r="M55" s="269"/>
      <c r="N55" s="264"/>
      <c r="O55" s="265"/>
      <c r="P55" s="264"/>
      <c r="Q55" s="265"/>
      <c r="R55" s="264" t="s">
        <v>2830</v>
      </c>
      <c r="S55" s="265"/>
      <c r="T55" s="264"/>
      <c r="U55" s="266"/>
      <c r="V55" s="267"/>
      <c r="W55" s="266"/>
      <c r="X55" s="267"/>
      <c r="Y55" s="266"/>
      <c r="Z55" s="267"/>
      <c r="AA55" s="266"/>
      <c r="AB55" s="267"/>
      <c r="AC55" s="266"/>
      <c r="AD55" s="267"/>
      <c r="AE55" s="266"/>
      <c r="AF55" s="267"/>
      <c r="AG55" s="266"/>
      <c r="AH55" s="267"/>
      <c r="AI55" s="266"/>
      <c r="AJ55" s="267"/>
    </row>
    <row r="56" spans="1:36">
      <c r="A56" s="268"/>
      <c r="B56" s="264"/>
      <c r="C56" s="269"/>
      <c r="D56" s="270"/>
      <c r="E56" s="269" t="s">
        <v>2367</v>
      </c>
      <c r="F56" s="264" t="s">
        <v>2440</v>
      </c>
      <c r="G56" s="269"/>
      <c r="H56" s="270"/>
      <c r="I56" s="269"/>
      <c r="J56" s="270"/>
      <c r="K56" s="269"/>
      <c r="L56" s="270"/>
      <c r="M56" s="269"/>
      <c r="N56" s="264"/>
      <c r="O56" s="265"/>
      <c r="P56" s="264"/>
      <c r="Q56" s="265"/>
      <c r="R56" s="264"/>
      <c r="S56" s="265"/>
      <c r="T56" s="264"/>
      <c r="U56" s="266"/>
      <c r="V56" s="267"/>
      <c r="W56" s="266"/>
      <c r="X56" s="267"/>
      <c r="Y56" s="266"/>
      <c r="Z56" s="267"/>
      <c r="AA56" s="266"/>
      <c r="AB56" s="267"/>
      <c r="AC56" s="266"/>
      <c r="AD56" s="267"/>
      <c r="AE56" s="266"/>
      <c r="AF56" s="267"/>
      <c r="AG56" s="266"/>
      <c r="AH56" s="267"/>
      <c r="AI56" s="266"/>
      <c r="AJ56" s="267"/>
    </row>
    <row r="57" spans="1:36">
      <c r="A57" s="268"/>
      <c r="B57" s="264"/>
      <c r="C57" s="269"/>
      <c r="D57" s="270"/>
      <c r="E57" s="269" t="s">
        <v>2369</v>
      </c>
      <c r="F57" s="270"/>
      <c r="G57" s="269"/>
      <c r="H57" s="270"/>
      <c r="I57" s="269"/>
      <c r="J57" s="270"/>
      <c r="K57" s="269"/>
      <c r="L57" s="270"/>
      <c r="M57" s="269"/>
      <c r="N57" s="264"/>
      <c r="O57" s="265"/>
      <c r="P57" s="264"/>
      <c r="Q57" s="265"/>
      <c r="R57" s="264"/>
      <c r="S57" s="265"/>
      <c r="T57" s="264"/>
      <c r="U57" s="266"/>
      <c r="V57" s="267"/>
      <c r="W57" s="266"/>
      <c r="X57" s="267"/>
      <c r="Y57" s="266"/>
      <c r="Z57" s="267"/>
      <c r="AA57" s="266"/>
      <c r="AB57" s="267"/>
      <c r="AC57" s="266"/>
      <c r="AD57" s="267"/>
      <c r="AE57" s="266"/>
      <c r="AF57" s="267"/>
      <c r="AG57" s="266"/>
      <c r="AH57" s="267"/>
      <c r="AI57" s="266"/>
      <c r="AJ57" s="267"/>
    </row>
    <row r="58" spans="1:36">
      <c r="A58" s="268"/>
      <c r="B58" s="264"/>
      <c r="C58" s="269"/>
      <c r="D58" s="270"/>
      <c r="E58" s="269" t="s">
        <v>2371</v>
      </c>
      <c r="F58" s="270"/>
      <c r="G58" s="269"/>
      <c r="H58" s="270" t="s">
        <v>2569</v>
      </c>
      <c r="I58" s="269"/>
      <c r="J58" s="270"/>
      <c r="K58" s="41"/>
      <c r="L58" s="270"/>
      <c r="M58" s="269"/>
      <c r="N58" s="264"/>
      <c r="O58" s="265"/>
      <c r="P58" s="264"/>
      <c r="Q58" s="265"/>
      <c r="R58" s="264"/>
      <c r="S58" s="265"/>
      <c r="T58" s="264"/>
      <c r="U58" s="266"/>
      <c r="V58" s="267"/>
      <c r="W58" s="266"/>
      <c r="X58" s="267"/>
      <c r="Y58" s="266"/>
      <c r="Z58" s="267"/>
      <c r="AA58" s="266"/>
      <c r="AB58" s="267"/>
      <c r="AC58" s="266"/>
      <c r="AD58" s="267"/>
      <c r="AE58" s="266"/>
      <c r="AF58" s="267"/>
      <c r="AG58" s="266"/>
      <c r="AH58" s="267"/>
      <c r="AI58" s="266"/>
      <c r="AJ58" s="267"/>
    </row>
    <row r="59" spans="1:36">
      <c r="A59" s="268"/>
      <c r="B59" s="264"/>
      <c r="C59" s="269"/>
      <c r="D59" s="273"/>
      <c r="E59" s="269" t="s">
        <v>2373</v>
      </c>
      <c r="F59" s="273"/>
      <c r="G59" s="269"/>
      <c r="H59" s="270"/>
      <c r="I59" s="269"/>
      <c r="J59" s="270"/>
      <c r="K59" s="269" t="s">
        <v>2683</v>
      </c>
      <c r="L59" s="270"/>
      <c r="M59" s="269"/>
      <c r="N59" s="264"/>
      <c r="O59" s="265"/>
      <c r="P59" s="264"/>
      <c r="Q59" s="265"/>
      <c r="R59" s="264"/>
      <c r="S59" s="265"/>
      <c r="T59" s="264"/>
      <c r="U59" s="266"/>
      <c r="V59" s="267"/>
      <c r="W59" s="266"/>
      <c r="X59" s="267"/>
      <c r="Y59" s="266"/>
      <c r="Z59" s="267"/>
      <c r="AA59" s="266"/>
      <c r="AB59" s="267"/>
      <c r="AC59" s="266"/>
      <c r="AD59" s="267"/>
      <c r="AE59" s="266"/>
      <c r="AF59" s="267"/>
      <c r="AG59" s="266"/>
      <c r="AH59" s="267"/>
      <c r="AI59" s="266"/>
      <c r="AJ59" s="267"/>
    </row>
    <row r="60" spans="1:36">
      <c r="A60" s="268"/>
      <c r="B60" s="264"/>
      <c r="C60" s="265"/>
      <c r="D60" s="264"/>
      <c r="E60" s="265" t="s">
        <v>2375</v>
      </c>
      <c r="F60" s="264"/>
      <c r="G60" s="265"/>
      <c r="H60" s="264"/>
      <c r="I60" s="265"/>
      <c r="J60" s="264"/>
      <c r="K60" s="265" t="s">
        <v>2689</v>
      </c>
      <c r="L60" s="264"/>
      <c r="M60" s="265"/>
      <c r="N60" s="264"/>
      <c r="O60" s="265"/>
      <c r="P60" s="264"/>
      <c r="Q60" s="265"/>
      <c r="R60" s="264"/>
      <c r="S60" s="265"/>
      <c r="T60" s="264"/>
      <c r="U60" s="266"/>
      <c r="V60" s="267"/>
      <c r="W60" s="266"/>
      <c r="X60" s="267"/>
      <c r="Y60" s="266"/>
      <c r="Z60" s="267"/>
      <c r="AA60" s="266"/>
      <c r="AB60" s="267"/>
      <c r="AC60" s="266"/>
      <c r="AD60" s="267"/>
      <c r="AE60" s="266"/>
      <c r="AF60" s="267"/>
      <c r="AG60" s="266"/>
      <c r="AH60" s="267"/>
      <c r="AI60" s="266"/>
      <c r="AJ60" s="267"/>
    </row>
    <row r="61" spans="1:36">
      <c r="A61" s="268"/>
      <c r="B61" s="264"/>
      <c r="C61" s="265"/>
      <c r="D61" s="264"/>
      <c r="E61" s="265" t="s">
        <v>2377</v>
      </c>
      <c r="F61" s="264"/>
      <c r="G61" s="265"/>
      <c r="H61" s="264"/>
      <c r="I61" s="265"/>
      <c r="J61" s="264"/>
      <c r="K61" s="265"/>
      <c r="L61" s="264"/>
      <c r="M61" s="265"/>
      <c r="N61" s="264"/>
      <c r="O61" s="265"/>
      <c r="P61" s="264"/>
      <c r="Q61" s="265"/>
      <c r="R61" s="264"/>
      <c r="S61" s="265"/>
      <c r="T61" s="264"/>
      <c r="U61" s="266"/>
      <c r="V61" s="267"/>
      <c r="W61" s="266"/>
      <c r="X61" s="267"/>
      <c r="Y61" s="266"/>
      <c r="Z61" s="267"/>
      <c r="AA61" s="266"/>
      <c r="AB61" s="267"/>
      <c r="AC61" s="266"/>
      <c r="AD61" s="267"/>
      <c r="AE61" s="266"/>
      <c r="AF61" s="267"/>
      <c r="AG61" s="266"/>
      <c r="AH61" s="267"/>
      <c r="AI61" s="266"/>
      <c r="AJ61" s="267"/>
    </row>
    <row r="62" spans="1:36">
      <c r="A62" s="268"/>
      <c r="B62" s="264"/>
      <c r="C62" s="265"/>
      <c r="D62" s="264"/>
      <c r="E62" s="265"/>
      <c r="F62" s="264" t="s">
        <v>2438</v>
      </c>
      <c r="G62" s="265"/>
      <c r="H62" s="264"/>
      <c r="I62" s="265"/>
      <c r="J62" s="264"/>
      <c r="K62" s="265"/>
      <c r="L62" s="264"/>
      <c r="M62" s="265"/>
      <c r="N62" s="264"/>
      <c r="O62" s="265"/>
      <c r="P62" s="264"/>
      <c r="Q62" s="265"/>
      <c r="R62" s="264"/>
      <c r="S62" s="265"/>
      <c r="T62" s="264"/>
      <c r="U62" s="266"/>
      <c r="V62" s="267"/>
      <c r="W62" s="266"/>
      <c r="X62" s="267"/>
      <c r="Y62" s="266"/>
      <c r="Z62" s="267"/>
      <c r="AA62" s="266"/>
      <c r="AB62" s="267"/>
      <c r="AC62" s="266"/>
      <c r="AD62" s="267"/>
      <c r="AE62" s="266"/>
      <c r="AF62" s="267"/>
      <c r="AG62" s="266"/>
      <c r="AH62" s="267"/>
      <c r="AI62" s="266"/>
      <c r="AJ62" s="267"/>
    </row>
    <row r="63" spans="1:36">
      <c r="A63" s="268"/>
      <c r="B63" s="264"/>
      <c r="C63" s="265"/>
      <c r="D63" s="264"/>
      <c r="E63" s="265"/>
      <c r="F63" s="264" t="s">
        <v>2444</v>
      </c>
      <c r="G63" s="265"/>
      <c r="H63" s="264"/>
      <c r="I63" s="265"/>
      <c r="J63" s="264"/>
      <c r="K63" s="265"/>
      <c r="L63" s="264"/>
      <c r="M63" s="265"/>
      <c r="N63" s="264"/>
      <c r="O63" s="265"/>
      <c r="P63" s="264"/>
      <c r="Q63" s="265"/>
      <c r="R63" s="264"/>
      <c r="S63" s="265"/>
      <c r="T63" s="264"/>
      <c r="U63" s="266"/>
      <c r="V63" s="267"/>
      <c r="W63" s="266"/>
      <c r="X63" s="267"/>
      <c r="Y63" s="266"/>
      <c r="Z63" s="267"/>
      <c r="AA63" s="266"/>
      <c r="AB63" s="267"/>
      <c r="AC63" s="266"/>
      <c r="AD63" s="267"/>
      <c r="AE63" s="266"/>
      <c r="AF63" s="267"/>
      <c r="AG63" s="266"/>
      <c r="AH63" s="267"/>
      <c r="AI63" s="266"/>
      <c r="AJ63" s="267"/>
    </row>
    <row r="64" spans="1:36">
      <c r="A64" s="268"/>
      <c r="B64" s="264"/>
      <c r="C64" s="265"/>
      <c r="D64" s="264"/>
      <c r="E64" s="265"/>
      <c r="F64" s="264" t="s">
        <v>2446</v>
      </c>
      <c r="G64" s="265"/>
      <c r="H64" s="264" t="s">
        <v>2573</v>
      </c>
      <c r="I64" s="265"/>
      <c r="J64" s="264" t="s">
        <v>2655</v>
      </c>
      <c r="K64" s="265"/>
      <c r="L64" s="264"/>
      <c r="M64" s="265" t="s">
        <v>2733</v>
      </c>
      <c r="N64" s="264"/>
      <c r="O64" s="265" t="s">
        <v>2788</v>
      </c>
      <c r="P64" s="264"/>
      <c r="Q64" s="265"/>
      <c r="R64" s="264"/>
      <c r="S64" s="265"/>
      <c r="T64" s="264"/>
      <c r="U64" s="266"/>
      <c r="V64" s="267"/>
      <c r="W64" s="266"/>
      <c r="X64" s="267"/>
      <c r="Y64" s="266"/>
      <c r="Z64" s="267"/>
      <c r="AA64" s="266"/>
      <c r="AB64" s="267"/>
      <c r="AC64" s="266"/>
      <c r="AD64" s="267"/>
      <c r="AE64" s="266"/>
      <c r="AF64" s="267"/>
      <c r="AG64" s="266"/>
      <c r="AH64" s="267"/>
      <c r="AI64" s="266"/>
      <c r="AJ64" s="267"/>
    </row>
    <row r="65" spans="1:36">
      <c r="A65" s="268"/>
      <c r="B65" s="264"/>
      <c r="C65" s="265"/>
      <c r="D65" s="264"/>
      <c r="E65" s="265"/>
      <c r="F65" s="264"/>
      <c r="G65" s="265"/>
      <c r="H65" s="264"/>
      <c r="I65" s="265"/>
      <c r="J65" s="264" t="s">
        <v>2657</v>
      </c>
      <c r="K65" s="265"/>
      <c r="L65" s="264"/>
      <c r="M65" s="265"/>
      <c r="N65" s="264"/>
      <c r="O65" s="265"/>
      <c r="P65" s="264"/>
      <c r="Q65" s="265"/>
      <c r="R65" s="264"/>
      <c r="S65" s="265"/>
      <c r="T65" s="264"/>
      <c r="U65" s="266"/>
      <c r="V65" s="267"/>
      <c r="W65" s="266"/>
      <c r="X65" s="267"/>
      <c r="Y65" s="266"/>
      <c r="Z65" s="267"/>
      <c r="AA65" s="266"/>
      <c r="AB65" s="267"/>
      <c r="AC65" s="266"/>
      <c r="AD65" s="267"/>
      <c r="AE65" s="266"/>
      <c r="AF65" s="267"/>
      <c r="AG65" s="266"/>
      <c r="AH65" s="267"/>
      <c r="AI65" s="266"/>
      <c r="AJ65" s="267"/>
    </row>
    <row r="66" spans="1:36">
      <c r="A66" s="268"/>
      <c r="B66" s="264"/>
      <c r="C66" s="265"/>
      <c r="D66" s="264"/>
      <c r="E66" s="265"/>
      <c r="F66" s="264" t="s">
        <v>2448</v>
      </c>
      <c r="G66" s="265"/>
      <c r="H66" s="264"/>
      <c r="I66" s="265"/>
      <c r="J66" s="264"/>
      <c r="K66" s="265"/>
      <c r="L66" s="264"/>
      <c r="M66" s="265"/>
      <c r="N66" s="264"/>
      <c r="O66" s="265"/>
      <c r="P66" s="264"/>
      <c r="Q66" s="265"/>
      <c r="R66" s="264"/>
      <c r="S66" s="265"/>
      <c r="T66" s="264"/>
      <c r="U66" s="266"/>
      <c r="V66" s="267"/>
      <c r="W66" s="266"/>
      <c r="X66" s="267"/>
      <c r="Y66" s="266"/>
      <c r="Z66" s="267"/>
      <c r="AA66" s="266"/>
      <c r="AB66" s="267"/>
      <c r="AC66" s="266"/>
      <c r="AD66" s="267"/>
      <c r="AE66" s="266"/>
      <c r="AF66" s="267"/>
      <c r="AG66" s="266"/>
      <c r="AH66" s="267"/>
      <c r="AI66" s="266"/>
      <c r="AJ66" s="267"/>
    </row>
    <row r="67" spans="1:36">
      <c r="A67" s="268"/>
      <c r="B67" s="264"/>
      <c r="C67" s="265"/>
      <c r="D67" s="264"/>
      <c r="E67" s="265"/>
      <c r="F67" s="264" t="s">
        <v>2450</v>
      </c>
      <c r="G67" s="265"/>
      <c r="H67" s="264"/>
      <c r="I67" s="265"/>
      <c r="J67" s="264"/>
      <c r="K67" s="265" t="s">
        <v>2691</v>
      </c>
      <c r="L67" s="264"/>
      <c r="M67" s="265" t="s">
        <v>2735</v>
      </c>
      <c r="N67" s="264" t="s">
        <v>2765</v>
      </c>
      <c r="O67" s="265"/>
      <c r="P67" s="264"/>
      <c r="Q67" s="265"/>
      <c r="R67" s="264"/>
      <c r="S67" s="265"/>
      <c r="T67" s="264"/>
      <c r="U67" s="266"/>
      <c r="V67" s="267"/>
      <c r="W67" s="266"/>
      <c r="X67" s="267"/>
      <c r="Y67" s="266"/>
      <c r="Z67" s="267"/>
      <c r="AA67" s="266"/>
      <c r="AB67" s="267"/>
      <c r="AC67" s="266"/>
      <c r="AD67" s="267"/>
      <c r="AE67" s="266"/>
      <c r="AF67" s="267"/>
      <c r="AG67" s="266"/>
      <c r="AH67" s="267"/>
      <c r="AI67" s="266"/>
      <c r="AJ67" s="267"/>
    </row>
    <row r="68" spans="1:36">
      <c r="A68" s="268"/>
      <c r="B68" s="264"/>
      <c r="C68" s="265"/>
      <c r="D68" s="264"/>
      <c r="E68" s="265"/>
      <c r="F68" s="264"/>
      <c r="G68" s="265" t="s">
        <v>2502</v>
      </c>
      <c r="H68" s="264"/>
      <c r="I68" s="265"/>
      <c r="J68" s="264"/>
      <c r="K68" s="265"/>
      <c r="L68" s="264" t="s">
        <v>2720</v>
      </c>
      <c r="M68" s="265"/>
      <c r="N68" s="264"/>
      <c r="O68" s="265"/>
      <c r="P68" s="264" t="s">
        <v>2792</v>
      </c>
      <c r="Q68" s="265"/>
      <c r="R68" s="264"/>
      <c r="S68" s="265"/>
      <c r="T68" s="264"/>
      <c r="U68" s="266"/>
      <c r="V68" s="267"/>
      <c r="W68" s="266"/>
      <c r="X68" s="267"/>
      <c r="Y68" s="266"/>
      <c r="Z68" s="267"/>
      <c r="AA68" s="266"/>
      <c r="AB68" s="267"/>
      <c r="AC68" s="266"/>
      <c r="AD68" s="267"/>
      <c r="AE68" s="266"/>
      <c r="AF68" s="267"/>
      <c r="AG68" s="266"/>
      <c r="AH68" s="267"/>
      <c r="AI68" s="266"/>
      <c r="AJ68" s="267"/>
    </row>
    <row r="69" spans="1:36">
      <c r="A69" s="268"/>
      <c r="B69" s="264"/>
      <c r="C69" s="265"/>
      <c r="D69" s="264"/>
      <c r="E69" s="265"/>
      <c r="F69" s="264"/>
      <c r="G69" s="265" t="s">
        <v>2504</v>
      </c>
      <c r="H69" s="264"/>
      <c r="I69" s="265" t="s">
        <v>2616</v>
      </c>
      <c r="J69" s="264"/>
      <c r="K69" s="265"/>
      <c r="L69" s="264"/>
      <c r="M69" s="265"/>
      <c r="N69" s="264"/>
      <c r="O69" s="265"/>
      <c r="P69" s="264"/>
      <c r="Q69" s="265"/>
      <c r="R69" s="264"/>
      <c r="S69" s="265"/>
      <c r="T69" s="264"/>
      <c r="U69" s="266"/>
      <c r="V69" s="267"/>
      <c r="W69" s="266"/>
      <c r="X69" s="267"/>
      <c r="Y69" s="266"/>
      <c r="Z69" s="267"/>
      <c r="AA69" s="266"/>
      <c r="AB69" s="267"/>
      <c r="AC69" s="266"/>
      <c r="AD69" s="267"/>
      <c r="AE69" s="266"/>
      <c r="AF69" s="267"/>
      <c r="AG69" s="266"/>
      <c r="AH69" s="267"/>
      <c r="AI69" s="266"/>
      <c r="AJ69" s="267"/>
    </row>
    <row r="70" spans="1:36">
      <c r="A70" s="268"/>
      <c r="B70" s="264"/>
      <c r="C70" s="265"/>
      <c r="D70" s="264"/>
      <c r="E70" s="265"/>
      <c r="F70" s="264"/>
      <c r="G70" s="265"/>
      <c r="H70" s="264" t="s">
        <v>2575</v>
      </c>
      <c r="I70" s="265"/>
      <c r="J70" s="264"/>
      <c r="K70" s="265"/>
      <c r="L70" s="264"/>
      <c r="M70" s="265"/>
      <c r="N70" s="264" t="s">
        <v>2767</v>
      </c>
      <c r="O70" s="265"/>
      <c r="P70" s="264"/>
      <c r="Q70" s="265"/>
      <c r="R70" s="264"/>
      <c r="S70" s="265"/>
      <c r="T70" s="264"/>
      <c r="U70" s="266"/>
      <c r="V70" s="267"/>
      <c r="W70" s="266"/>
      <c r="X70" s="267"/>
      <c r="Y70" s="266"/>
      <c r="Z70" s="267"/>
      <c r="AA70" s="266"/>
      <c r="AB70" s="267"/>
      <c r="AC70" s="266"/>
      <c r="AD70" s="267"/>
      <c r="AE70" s="266"/>
      <c r="AF70" s="267"/>
      <c r="AG70" s="266"/>
      <c r="AH70" s="267"/>
      <c r="AI70" s="266"/>
      <c r="AJ70" s="267"/>
    </row>
    <row r="71" spans="1:36">
      <c r="A71" s="268"/>
      <c r="B71" s="264"/>
      <c r="C71" s="265"/>
      <c r="D71" s="264"/>
      <c r="E71" s="265"/>
      <c r="F71" s="264"/>
      <c r="G71" s="265"/>
      <c r="H71" s="264"/>
      <c r="I71" s="265"/>
      <c r="J71" s="264"/>
      <c r="K71" s="265"/>
      <c r="L71" s="264"/>
      <c r="M71" s="265"/>
      <c r="N71" s="264"/>
      <c r="O71" s="265"/>
      <c r="P71" s="264"/>
      <c r="Q71" s="265" t="s">
        <v>2806</v>
      </c>
      <c r="R71" s="264"/>
      <c r="S71" s="265"/>
      <c r="T71" s="264"/>
      <c r="U71" s="266"/>
      <c r="V71" s="267"/>
      <c r="W71" s="266"/>
      <c r="X71" s="267"/>
      <c r="Y71" s="266"/>
      <c r="Z71" s="267"/>
      <c r="AA71" s="266"/>
      <c r="AB71" s="267"/>
      <c r="AC71" s="266"/>
      <c r="AD71" s="267"/>
      <c r="AE71" s="266"/>
      <c r="AF71" s="267"/>
      <c r="AG71" s="266"/>
      <c r="AH71" s="267"/>
      <c r="AI71" s="266"/>
      <c r="AJ71" s="267"/>
    </row>
    <row r="72" spans="1:36" ht="23.25" customHeight="1">
      <c r="A72" s="266"/>
      <c r="B72" s="267"/>
      <c r="C72" s="266"/>
      <c r="D72" s="267"/>
      <c r="E72" s="266"/>
      <c r="F72" s="267"/>
      <c r="G72" s="266"/>
      <c r="H72" s="267"/>
      <c r="I72" s="266"/>
      <c r="J72" s="267"/>
      <c r="K72" s="266"/>
      <c r="L72" s="267"/>
      <c r="M72" s="266"/>
      <c r="N72" s="267"/>
      <c r="O72" s="266"/>
      <c r="P72" s="267"/>
      <c r="Q72" s="266"/>
      <c r="R72" s="267"/>
      <c r="S72" s="266"/>
      <c r="T72" s="267"/>
      <c r="U72" s="266"/>
      <c r="V72" s="267"/>
      <c r="W72" s="266"/>
      <c r="X72" s="267"/>
      <c r="Y72" s="266"/>
      <c r="Z72" s="267"/>
      <c r="AA72" s="266"/>
      <c r="AB72" s="267"/>
      <c r="AC72" s="266"/>
      <c r="AD72" s="267"/>
      <c r="AE72" s="266"/>
      <c r="AF72" s="267"/>
      <c r="AG72" s="266"/>
      <c r="AH72" s="267"/>
      <c r="AI72" s="266"/>
      <c r="AJ72" s="267"/>
    </row>
    <row r="73" spans="1:36">
      <c r="A73" s="152" t="s">
        <v>3914</v>
      </c>
      <c r="B73" s="250" t="str">
        <f>"Tier 1 ("&amp;COUNTIF(B74:B93,"&lt;&gt;")&amp;IF(COUNTIF(B74:B96,"&lt;&gt;")=1," curse)"," curses)")</f>
        <v>Tier 1 (16 curses)</v>
      </c>
      <c r="C73" s="251" t="str">
        <f>"Tier 2 ("&amp;COUNTIF(C74:C93,"&lt;&gt;")&amp;IF(COUNTIF(C74:C96,"&lt;&gt;")=1," curse)"," curses)")</f>
        <v>Tier 2 (20 curses)</v>
      </c>
      <c r="D73" s="250" t="str">
        <f>"Tier 3 ("&amp;COUNTIF(D74:D93,"&lt;&gt;")&amp;IF(COUNTIF(D74:D96,"&lt;&gt;")=1," curse)"," curses)")</f>
        <v>Tier 3 (19 curses)</v>
      </c>
      <c r="E73" s="251" t="str">
        <f>"Tier 4 ("&amp;COUNTIF(E74:E93,"&lt;&gt;")&amp;IF(COUNTIF(E74:E96,"&lt;&gt;")=1," curse)"," curses)")</f>
        <v>Tier 4 (19 curses)</v>
      </c>
      <c r="F73" s="250" t="str">
        <f>"Tier 5 ("&amp;COUNTIF(F74:F93,"&lt;&gt;")&amp;IF(COUNTIF(F74:F96,"&lt;&gt;")=1," curse)"," curses)")</f>
        <v>Tier 5 (15 curses)</v>
      </c>
      <c r="G73" s="251" t="str">
        <f>"Tier 6 ("&amp;COUNTIF(G74:G93,"&lt;&gt;")&amp;IF(COUNTIF(G74:G96,"&lt;&gt;")=1," curse)"," curses)")</f>
        <v>Tier 6 (18 curses)</v>
      </c>
      <c r="H73" s="250" t="str">
        <f>"Tier 7 ("&amp;COUNTIF(H74:H93,"&lt;&gt;")&amp;IF(COUNTIF(H74:H96,"&lt;&gt;")=1," curse)"," curses)")</f>
        <v>Tier 7 (12 curses)</v>
      </c>
      <c r="I73" s="251" t="str">
        <f>"Tier 8 ("&amp;COUNTIF(I74:I93,"&lt;&gt;")&amp;IF(COUNTIF(I74:I96,"&lt;&gt;")=1," curse)"," curses)")</f>
        <v>Tier 8 (12 curses)</v>
      </c>
      <c r="J73" s="250" t="str">
        <f>"Tier 9 ("&amp;COUNTIF(J74:J93,"&lt;&gt;")&amp;IF(COUNTIF(J74:J96,"&lt;&gt;")=1," curse)"," curses)")</f>
        <v>Tier 9 (7 curses)</v>
      </c>
      <c r="K73" s="251" t="str">
        <f>"Tier 10 ("&amp;COUNTIF(K74:K93,"&lt;&gt;")&amp;IF(COUNTIF(K74:K96,"&lt;&gt;")=1," curse)"," curses)")</f>
        <v>Tier 10 (7 curses)</v>
      </c>
      <c r="L73" s="250" t="str">
        <f>"Tier 11 ("&amp;COUNTIF(L74:L93,"&lt;&gt;")&amp;IF(COUNTIF(L74:L96,"&lt;&gt;")=1," curse)"," curses)")</f>
        <v>Tier 11 (3 curses)</v>
      </c>
      <c r="M73" s="251" t="str">
        <f>"Tier 12 ("&amp;COUNTIF(M74:M93,"&lt;&gt;")&amp;IF(COUNTIF(M74:M96,"&lt;&gt;")=1," curse)"," curses)")</f>
        <v>Tier 12 (3 curses)</v>
      </c>
      <c r="N73" s="250" t="str">
        <f>"Tier 13 ("&amp;COUNTIF(N74:N93,"&lt;&gt;")&amp;IF(COUNTIF(N74:N96,"&lt;&gt;")=1," curse)"," curses)")</f>
        <v>Tier 13 (6 curses)</v>
      </c>
      <c r="O73" s="251" t="str">
        <f>"Tier 14 ("&amp;COUNTIF(O74:O93,"&lt;&gt;")&amp;IF(COUNTIF(O74:O96,"&lt;&gt;")=1," curse)"," curses)")</f>
        <v>Tier 14 (3 curses)</v>
      </c>
      <c r="P73" s="250" t="str">
        <f>"Tier 15 ("&amp;COUNTIF(P74:P93,"&lt;&gt;")&amp;IF(COUNTIF(P74:P96,"&lt;&gt;")=1," curse)"," curses)")</f>
        <v>Tier 15 (5 curses)</v>
      </c>
      <c r="Q73" s="251" t="str">
        <f>"Tier 16 ("&amp;COUNTIF(Q74:Q93,"&lt;&gt;")&amp;IF(COUNTIF(Q74:Q96,"&lt;&gt;")=1," curse)"," curses)")</f>
        <v>Tier 16 (3 curses)</v>
      </c>
      <c r="R73" s="250" t="str">
        <f>"Tier 17 ("&amp;COUNTIF(R74:R93,"&lt;&gt;")&amp;IF(COUNTIF(R74:R96,"&lt;&gt;")=1," curse)"," curses)")</f>
        <v>Tier 17 (1 curse)</v>
      </c>
      <c r="S73" s="251" t="str">
        <f>"Tier 18 ("&amp;COUNTIF(S74:S93,"&lt;&gt;")&amp;IF(COUNTIF(S74:S96,"&lt;&gt;")=1," curse)"," curses)")</f>
        <v>Tier 18 (2 curses)</v>
      </c>
      <c r="T73" s="250" t="str">
        <f>"Tier 19 ("&amp;COUNTIF(T74:T93,"&lt;&gt;")&amp;IF(COUNTIF(T74:T96,"&lt;&gt;")=1," curse)"," curses)")</f>
        <v>Tier 19 (3 curses)</v>
      </c>
      <c r="U73" s="251" t="str">
        <f>"Tier 21 ("&amp;COUNTIF(U74:U93,"&lt;&gt;")&amp;IF(COUNTIF(U74:U96,"&lt;&gt;")=1," curse)"," curses)")</f>
        <v>Tier 21 (2 curses)</v>
      </c>
      <c r="V73" s="250" t="str">
        <f>"Tier 23 ("&amp;COUNTIF(V74:V93,"&lt;&gt;")&amp;IF(COUNTIF(V74:V96,"&lt;&gt;")=1," curse)"," curses)")</f>
        <v>Tier 23 (3 curses)</v>
      </c>
      <c r="W73" s="251" t="str">
        <f>"Tier 24 ("&amp;COUNTIF(W74:W93,"&lt;&gt;")&amp;IF(COUNTIF(W74:W96,"&lt;&gt;")=1," curse)"," curses)")</f>
        <v>Tier 24 (4 curses)</v>
      </c>
      <c r="X73" s="250" t="str">
        <f>"Tier 25 ("&amp;COUNTIF(X74:X93,"&lt;&gt;")&amp;IF(COUNTIF(X74:X96,"&lt;&gt;")=1," curse)"," curses)")</f>
        <v>Tier 25 (4 curses)</v>
      </c>
      <c r="Y73" s="251" t="str">
        <f>"Tier 27 ("&amp;COUNTIF(Y74:Y93,"&lt;&gt;")&amp;IF(COUNTIF(Y74:Y96,"&lt;&gt;")=1," curse)"," curses)")</f>
        <v>Tier 27 (2 curses)</v>
      </c>
      <c r="Z73" s="250" t="str">
        <f>"Tier 30 ("&amp;COUNTIF(Z74:Z93,"&lt;&gt;")&amp;IF(COUNTIF(Z74:Z96,"&lt;&gt;")=1," curse)"," curses)")</f>
        <v>Tier 30 (1 curse)</v>
      </c>
      <c r="AA73" s="251" t="str">
        <f>"Tier 31 ("&amp;COUNTIF(AA74:AA93,"&lt;&gt;")&amp;IF(COUNTIF(AA74:AA96,"&lt;&gt;")=1," curse)"," curses)")</f>
        <v>Tier 31 (1 curse)</v>
      </c>
      <c r="AB73" s="250" t="str">
        <f>"Tier 32 ("&amp;COUNTIF(AB74:AB93,"&lt;&gt;")&amp;IF(COUNTIF(AB74:AB96,"&lt;&gt;")=1," curse)"," curses)")</f>
        <v>Tier 32 (1 curse)</v>
      </c>
      <c r="AC73" s="251" t="str">
        <f>"Tier 33 ("&amp;COUNTIF(AC74:AC93,"&lt;&gt;")&amp;IF(COUNTIF(AC74:AC96,"&lt;&gt;")=1," curse)"," curses)")</f>
        <v>Tier 33 (1 curse)</v>
      </c>
      <c r="AD73" s="250" t="str">
        <f>"Tier 34 ("&amp;COUNTIF(AD74:AD93,"&lt;&gt;")&amp;IF(COUNTIF(AD74:AD96,"&lt;&gt;")=1," curse)"," curses)")</f>
        <v>Tier 34 (1 curse)</v>
      </c>
      <c r="AE73" s="251" t="str">
        <f>"Tier 35 ("&amp;COUNTIF(AE74:AE93,"&lt;&gt;")&amp;IF(COUNTIF(AE74:AE96,"&lt;&gt;")=1," curse)"," curses)")</f>
        <v>Tier 35 (1 curse)</v>
      </c>
      <c r="AF73" s="250" t="str">
        <f>"Tier 38 ("&amp;COUNTIF(AF74:AF93,"&lt;&gt;")&amp;IF(COUNTIF(AF74:AF96,"&lt;&gt;")=1," curse)"," curses)")</f>
        <v>Tier 38 (1 curse)</v>
      </c>
      <c r="AG73" s="251" t="str">
        <f>"Tier 40 ("&amp;COUNTIF(AG74:AG93,"&lt;&gt;")&amp;IF(COUNTIF(AG74:AG96,"&lt;&gt;")=1," curse)"," curses)")</f>
        <v>Tier 40 (2 curses)</v>
      </c>
      <c r="AH73" s="250" t="str">
        <f>"Tier 43 ("&amp;COUNTIF(AH74:AH93,"&lt;&gt;")&amp;IF(COUNTIF(AH74:AH96,"&lt;&gt;")=1," curse)"," curses)")</f>
        <v>Tier 43 (1 curse)</v>
      </c>
      <c r="AI73" s="251" t="str">
        <f>"Tier 51 ("&amp;COUNTIF(AI74:AI93,"&lt;&gt;")&amp;IF(COUNTIF(AI74:AI96,"&lt;&gt;")=1," curse)"," curses)")</f>
        <v>Tier 51 (1 curse)</v>
      </c>
      <c r="AJ73" s="250" t="str">
        <f>"Tier 56 ("&amp;COUNTIF(AJ74:AJ93,"&lt;&gt;")&amp;IF(COUNTIF(AJ74:AJ96,"&lt;&gt;")=1," curse)"," curses)")</f>
        <v>Tier 56 (1 curse)</v>
      </c>
    </row>
    <row r="74" spans="1:36">
      <c r="A74" s="263" t="str">
        <f>COUNTIF(B74:AJ93,"&lt;&gt;")-COUNTIF(B74:AJ93,"???")&amp;"/201 curses"</f>
        <v>201/201 curses</v>
      </c>
      <c r="B74" s="264" t="s">
        <v>2055</v>
      </c>
      <c r="C74" s="265" t="s">
        <v>3981</v>
      </c>
      <c r="D74" s="264" t="s">
        <v>3982</v>
      </c>
      <c r="E74" s="265" t="s">
        <v>3983</v>
      </c>
      <c r="F74" s="264"/>
      <c r="G74" s="265" t="s">
        <v>2506</v>
      </c>
      <c r="H74" s="264"/>
      <c r="I74" s="265" t="s">
        <v>2618</v>
      </c>
      <c r="J74" s="264"/>
      <c r="K74" s="265"/>
      <c r="L74" s="264"/>
      <c r="M74" s="265"/>
      <c r="N74" s="264" t="s">
        <v>2737</v>
      </c>
      <c r="O74" s="265"/>
      <c r="P74" s="264"/>
      <c r="Q74" s="265"/>
      <c r="R74" s="264"/>
      <c r="S74" s="265"/>
      <c r="T74" s="264"/>
      <c r="U74" s="265"/>
      <c r="V74" s="264"/>
      <c r="W74" s="265"/>
      <c r="X74" s="264" t="s">
        <v>2832</v>
      </c>
      <c r="Y74" s="265"/>
      <c r="Z74" s="264"/>
      <c r="AA74" s="265"/>
      <c r="AB74" s="264"/>
      <c r="AC74" s="265"/>
      <c r="AD74" s="264"/>
      <c r="AE74" s="265"/>
      <c r="AF74" s="264"/>
      <c r="AG74" s="265"/>
      <c r="AH74" s="264"/>
      <c r="AI74" s="265"/>
      <c r="AJ74" s="264"/>
    </row>
    <row r="75" spans="1:36">
      <c r="A75" s="268"/>
      <c r="B75" s="264" t="s">
        <v>2058</v>
      </c>
      <c r="C75" s="265" t="s">
        <v>3984</v>
      </c>
      <c r="D75" s="264" t="s">
        <v>3985</v>
      </c>
      <c r="E75" s="265" t="s">
        <v>3986</v>
      </c>
      <c r="F75" s="270" t="s">
        <v>3987</v>
      </c>
      <c r="G75" s="269"/>
      <c r="H75" s="270"/>
      <c r="I75" s="269"/>
      <c r="J75" s="270"/>
      <c r="K75" s="269"/>
      <c r="L75" s="264"/>
      <c r="M75" s="265"/>
      <c r="N75" s="264"/>
      <c r="O75" s="265"/>
      <c r="P75" s="264"/>
      <c r="Q75" s="265"/>
      <c r="R75" s="264"/>
      <c r="S75" s="265"/>
      <c r="T75" s="264"/>
      <c r="U75" s="265"/>
      <c r="V75" s="264"/>
      <c r="W75" s="265"/>
      <c r="X75" s="264"/>
      <c r="Y75" s="265"/>
      <c r="Z75" s="264"/>
      <c r="AA75" s="265"/>
      <c r="AB75" s="264"/>
      <c r="AC75" s="265"/>
      <c r="AD75" s="264"/>
      <c r="AE75" s="265"/>
      <c r="AF75" s="264"/>
      <c r="AG75" s="265"/>
      <c r="AH75" s="264"/>
      <c r="AI75" s="265"/>
      <c r="AJ75" s="264"/>
    </row>
    <row r="76" spans="1:36">
      <c r="A76" s="268"/>
      <c r="B76" s="264"/>
      <c r="C76" s="269" t="s">
        <v>2161</v>
      </c>
      <c r="D76" s="270" t="s">
        <v>2273</v>
      </c>
      <c r="E76" s="265" t="s">
        <v>2382</v>
      </c>
      <c r="F76" s="270"/>
      <c r="G76" s="269" t="s">
        <v>2508</v>
      </c>
      <c r="H76" s="270"/>
      <c r="I76" s="269"/>
      <c r="J76" s="270" t="s">
        <v>2659</v>
      </c>
      <c r="K76" s="269"/>
      <c r="L76" s="274"/>
      <c r="M76" s="114"/>
      <c r="N76" s="264"/>
      <c r="O76" s="265"/>
      <c r="P76" s="273"/>
      <c r="Q76" s="269"/>
      <c r="R76" s="264"/>
      <c r="S76" s="265"/>
      <c r="T76" s="264"/>
      <c r="U76" s="265"/>
      <c r="V76" s="264"/>
      <c r="W76" s="265"/>
      <c r="X76" s="264"/>
      <c r="Y76" s="265"/>
      <c r="Z76" s="264"/>
      <c r="AA76" s="265"/>
      <c r="AB76" s="264"/>
      <c r="AC76" s="265"/>
      <c r="AD76" s="264"/>
      <c r="AE76" s="265"/>
      <c r="AF76" s="264"/>
      <c r="AG76" s="265"/>
      <c r="AH76" s="264"/>
      <c r="AI76" s="265"/>
      <c r="AJ76" s="264"/>
    </row>
    <row r="77" spans="1:36">
      <c r="A77" s="268"/>
      <c r="B77" s="264" t="s">
        <v>2062</v>
      </c>
      <c r="C77" s="269" t="s">
        <v>2164</v>
      </c>
      <c r="D77" s="270" t="s">
        <v>3988</v>
      </c>
      <c r="E77" s="265" t="s">
        <v>2384</v>
      </c>
      <c r="F77" s="270" t="s">
        <v>2453</v>
      </c>
      <c r="G77" s="269" t="s">
        <v>2510</v>
      </c>
      <c r="H77" s="270" t="s">
        <v>2577</v>
      </c>
      <c r="I77" s="269" t="s">
        <v>2620</v>
      </c>
      <c r="J77" s="270" t="s">
        <v>2661</v>
      </c>
      <c r="K77" s="269" t="s">
        <v>2693</v>
      </c>
      <c r="L77" s="275" t="s">
        <v>2709</v>
      </c>
      <c r="M77" s="265" t="s">
        <v>2722</v>
      </c>
      <c r="N77" s="264" t="s">
        <v>2739</v>
      </c>
      <c r="O77" s="265" t="s">
        <v>2755</v>
      </c>
      <c r="P77" s="270" t="s">
        <v>2769</v>
      </c>
      <c r="Q77" s="265" t="s">
        <v>2780</v>
      </c>
      <c r="R77" s="264" t="s">
        <v>2790</v>
      </c>
      <c r="S77" s="265" t="s">
        <v>2794</v>
      </c>
      <c r="T77" s="264" t="s">
        <v>2798</v>
      </c>
      <c r="U77" s="265" t="s">
        <v>2808</v>
      </c>
      <c r="V77" s="264" t="s">
        <v>2813</v>
      </c>
      <c r="W77" s="265" t="s">
        <v>2819</v>
      </c>
      <c r="X77" s="264" t="s">
        <v>2834</v>
      </c>
      <c r="Y77" s="265" t="s">
        <v>2841</v>
      </c>
      <c r="Z77" s="264" t="s">
        <v>2845</v>
      </c>
      <c r="AA77" s="265" t="s">
        <v>2847</v>
      </c>
      <c r="AB77" s="264" t="s">
        <v>2849</v>
      </c>
      <c r="AC77" s="265" t="s">
        <v>2851</v>
      </c>
      <c r="AD77" s="264" t="s">
        <v>2853</v>
      </c>
      <c r="AE77" s="265" t="s">
        <v>2855</v>
      </c>
      <c r="AF77" s="264" t="s">
        <v>2857</v>
      </c>
      <c r="AG77" s="265" t="s">
        <v>2861</v>
      </c>
      <c r="AH77" s="264" t="s">
        <v>2865</v>
      </c>
      <c r="AI77" s="265" t="s">
        <v>2868</v>
      </c>
      <c r="AJ77" s="264" t="s">
        <v>2870</v>
      </c>
    </row>
    <row r="78" spans="1:36">
      <c r="A78" s="268"/>
      <c r="B78" s="264" t="s">
        <v>2067</v>
      </c>
      <c r="C78" s="269" t="s">
        <v>2168</v>
      </c>
      <c r="D78" s="270" t="s">
        <v>2278</v>
      </c>
      <c r="E78" s="265" t="s">
        <v>2387</v>
      </c>
      <c r="F78" s="270" t="s">
        <v>2455</v>
      </c>
      <c r="G78" s="269" t="s">
        <v>2513</v>
      </c>
      <c r="H78" s="270" t="s">
        <v>2580</v>
      </c>
      <c r="I78" s="269" t="s">
        <v>2623</v>
      </c>
      <c r="J78" s="270" t="s">
        <v>2664</v>
      </c>
      <c r="K78" s="269" t="s">
        <v>2695</v>
      </c>
      <c r="L78" s="264" t="s">
        <v>2712</v>
      </c>
      <c r="M78" s="265" t="s">
        <v>2725</v>
      </c>
      <c r="N78" s="264" t="s">
        <v>2742</v>
      </c>
      <c r="O78" s="265" t="s">
        <v>2757</v>
      </c>
      <c r="P78" s="264" t="s">
        <v>2772</v>
      </c>
      <c r="Q78" s="265" t="s">
        <v>2783</v>
      </c>
      <c r="R78" s="264"/>
      <c r="S78" s="265" t="s">
        <v>2796</v>
      </c>
      <c r="T78" s="264" t="s">
        <v>2800</v>
      </c>
      <c r="U78" s="265" t="s">
        <v>2811</v>
      </c>
      <c r="V78" s="264" t="s">
        <v>2815</v>
      </c>
      <c r="W78" s="265" t="s">
        <v>2822</v>
      </c>
      <c r="X78" s="264" t="s">
        <v>2837</v>
      </c>
      <c r="Y78" s="265" t="s">
        <v>2843</v>
      </c>
      <c r="Z78" s="264"/>
      <c r="AA78" s="265"/>
      <c r="AB78" s="264"/>
      <c r="AC78" s="265"/>
      <c r="AD78" s="264"/>
      <c r="AE78" s="265"/>
      <c r="AF78" s="264"/>
      <c r="AG78" s="265" t="s">
        <v>2863</v>
      </c>
      <c r="AH78" s="264"/>
      <c r="AI78" s="265"/>
      <c r="AJ78" s="264"/>
    </row>
    <row r="79" spans="1:36">
      <c r="A79" s="268"/>
      <c r="B79" s="264" t="s">
        <v>2070</v>
      </c>
      <c r="C79" s="269" t="s">
        <v>2171</v>
      </c>
      <c r="D79" s="270" t="s">
        <v>2281</v>
      </c>
      <c r="E79" s="265" t="s">
        <v>2390</v>
      </c>
      <c r="F79" s="270" t="s">
        <v>2458</v>
      </c>
      <c r="G79" s="269" t="s">
        <v>2515</v>
      </c>
      <c r="H79" s="270" t="s">
        <v>2583</v>
      </c>
      <c r="I79" s="269" t="s">
        <v>2626</v>
      </c>
      <c r="J79" s="270" t="s">
        <v>2667</v>
      </c>
      <c r="K79" s="269" t="s">
        <v>2698</v>
      </c>
      <c r="L79" s="264" t="s">
        <v>2714</v>
      </c>
      <c r="M79" s="265" t="s">
        <v>2728</v>
      </c>
      <c r="N79" s="264" t="s">
        <v>2745</v>
      </c>
      <c r="O79" s="265" t="s">
        <v>2752</v>
      </c>
      <c r="P79" s="264" t="s">
        <v>2774</v>
      </c>
      <c r="Q79" s="265" t="s">
        <v>2786</v>
      </c>
      <c r="R79" s="264"/>
      <c r="S79" s="265"/>
      <c r="T79" s="264" t="s">
        <v>2802</v>
      </c>
      <c r="U79" s="265"/>
      <c r="V79" s="264" t="s">
        <v>2817</v>
      </c>
      <c r="W79" s="265" t="s">
        <v>2824</v>
      </c>
      <c r="X79" s="264" t="s">
        <v>2839</v>
      </c>
      <c r="Y79" s="265"/>
      <c r="Z79" s="264"/>
      <c r="AA79" s="265"/>
      <c r="AB79" s="264"/>
      <c r="AC79" s="265"/>
      <c r="AD79" s="264"/>
      <c r="AE79" s="265"/>
      <c r="AF79" s="264"/>
      <c r="AG79" s="265"/>
      <c r="AH79" s="264"/>
      <c r="AI79" s="265"/>
      <c r="AJ79" s="264"/>
    </row>
    <row r="80" spans="1:36">
      <c r="A80" s="276"/>
      <c r="B80" s="264" t="s">
        <v>2073</v>
      </c>
      <c r="C80" s="269" t="s">
        <v>2174</v>
      </c>
      <c r="D80" s="270" t="s">
        <v>2284</v>
      </c>
      <c r="E80" s="265" t="s">
        <v>2393</v>
      </c>
      <c r="F80" s="270" t="s">
        <v>2461</v>
      </c>
      <c r="G80" s="269" t="s">
        <v>2518</v>
      </c>
      <c r="H80" s="270" t="s">
        <v>2586</v>
      </c>
      <c r="I80" s="269" t="s">
        <v>2629</v>
      </c>
      <c r="J80" s="270" t="s">
        <v>2670</v>
      </c>
      <c r="K80" s="269" t="s">
        <v>2701</v>
      </c>
      <c r="L80" s="264"/>
      <c r="M80" s="265"/>
      <c r="N80" s="264" t="s">
        <v>2748</v>
      </c>
      <c r="O80" s="265"/>
      <c r="P80" s="264" t="s">
        <v>2776</v>
      </c>
      <c r="Q80" s="265"/>
      <c r="R80" s="264"/>
      <c r="S80" s="265"/>
      <c r="T80" s="264"/>
      <c r="U80" s="265"/>
      <c r="V80" s="264"/>
      <c r="W80" s="265" t="s">
        <v>2826</v>
      </c>
      <c r="X80" s="264"/>
      <c r="Y80" s="265"/>
      <c r="Z80" s="264"/>
      <c r="AA80" s="265"/>
      <c r="AB80" s="264"/>
      <c r="AC80" s="265"/>
      <c r="AD80" s="264"/>
      <c r="AE80" s="265"/>
      <c r="AF80" s="264"/>
      <c r="AG80" s="265"/>
      <c r="AH80" s="264"/>
      <c r="AI80" s="265"/>
      <c r="AJ80" s="264"/>
    </row>
    <row r="81" spans="1:36">
      <c r="A81" s="41"/>
      <c r="B81" s="264" t="s">
        <v>2076</v>
      </c>
      <c r="C81" s="269" t="s">
        <v>2177</v>
      </c>
      <c r="D81" s="270" t="s">
        <v>2287</v>
      </c>
      <c r="E81" s="265" t="s">
        <v>2396</v>
      </c>
      <c r="F81" s="270" t="s">
        <v>2464</v>
      </c>
      <c r="G81" s="269" t="s">
        <v>2521</v>
      </c>
      <c r="H81" s="270" t="s">
        <v>2589</v>
      </c>
      <c r="I81" s="269" t="s">
        <v>2632</v>
      </c>
      <c r="J81" s="270" t="s">
        <v>2673</v>
      </c>
      <c r="K81" s="269" t="s">
        <v>2703</v>
      </c>
      <c r="L81" s="264"/>
      <c r="M81" s="265"/>
      <c r="N81" s="264" t="s">
        <v>2750</v>
      </c>
      <c r="O81" s="265"/>
      <c r="P81" s="264" t="s">
        <v>2778</v>
      </c>
      <c r="Q81" s="265"/>
      <c r="R81" s="264"/>
      <c r="S81" s="265"/>
      <c r="T81" s="264"/>
      <c r="U81" s="265"/>
      <c r="V81" s="264"/>
      <c r="W81" s="265"/>
      <c r="X81" s="264"/>
      <c r="Y81" s="265"/>
      <c r="Z81" s="264"/>
      <c r="AA81" s="265"/>
      <c r="AB81" s="264"/>
      <c r="AC81" s="265"/>
      <c r="AD81" s="264"/>
      <c r="AE81" s="265"/>
      <c r="AF81" s="264"/>
      <c r="AG81" s="265"/>
      <c r="AH81" s="264"/>
      <c r="AI81" s="265"/>
      <c r="AJ81" s="264"/>
    </row>
    <row r="82" spans="1:36">
      <c r="A82" s="41"/>
      <c r="B82" s="264" t="s">
        <v>2079</v>
      </c>
      <c r="C82" s="269" t="s">
        <v>2180</v>
      </c>
      <c r="D82" s="270" t="s">
        <v>2290</v>
      </c>
      <c r="E82" s="265" t="s">
        <v>2399</v>
      </c>
      <c r="F82" s="270" t="s">
        <v>2467</v>
      </c>
      <c r="G82" s="269" t="s">
        <v>2524</v>
      </c>
      <c r="H82" s="270" t="s">
        <v>2592</v>
      </c>
      <c r="I82" s="269" t="s">
        <v>2635</v>
      </c>
      <c r="J82" s="270" t="s">
        <v>2676</v>
      </c>
      <c r="K82" s="269" t="s">
        <v>2705</v>
      </c>
      <c r="L82" s="264"/>
      <c r="M82" s="265"/>
      <c r="N82" s="264"/>
      <c r="O82" s="265"/>
      <c r="P82" s="264"/>
      <c r="Q82" s="265"/>
      <c r="R82" s="264"/>
      <c r="S82" s="265"/>
      <c r="T82" s="264"/>
      <c r="U82" s="265"/>
      <c r="V82" s="264"/>
      <c r="W82" s="265"/>
      <c r="X82" s="264"/>
      <c r="Y82" s="265"/>
      <c r="Z82" s="264"/>
      <c r="AA82" s="265"/>
      <c r="AB82" s="264"/>
      <c r="AC82" s="265"/>
      <c r="AD82" s="264"/>
      <c r="AE82" s="265"/>
      <c r="AF82" s="264"/>
      <c r="AG82" s="265"/>
      <c r="AH82" s="264"/>
      <c r="AI82" s="265"/>
      <c r="AJ82" s="264"/>
    </row>
    <row r="83" spans="1:36">
      <c r="A83" s="41"/>
      <c r="B83" s="264" t="s">
        <v>2083</v>
      </c>
      <c r="C83" s="269" t="s">
        <v>2183</v>
      </c>
      <c r="D83" s="270" t="s">
        <v>2293</v>
      </c>
      <c r="E83" s="265" t="s">
        <v>2402</v>
      </c>
      <c r="F83" s="270" t="s">
        <v>2470</v>
      </c>
      <c r="G83" s="269" t="s">
        <v>2527</v>
      </c>
      <c r="H83" s="270" t="s">
        <v>2595</v>
      </c>
      <c r="I83" s="269" t="s">
        <v>2637</v>
      </c>
      <c r="J83" s="270"/>
      <c r="K83" s="269" t="s">
        <v>2707</v>
      </c>
      <c r="L83" s="270"/>
      <c r="M83" s="265"/>
      <c r="N83" s="264"/>
      <c r="O83" s="265"/>
      <c r="P83" s="264"/>
      <c r="Q83" s="265"/>
      <c r="R83" s="264"/>
      <c r="S83" s="265"/>
      <c r="T83" s="264"/>
      <c r="U83" s="265"/>
      <c r="V83" s="264"/>
      <c r="W83" s="265"/>
      <c r="X83" s="264"/>
      <c r="Y83" s="265"/>
      <c r="Z83" s="264"/>
      <c r="AA83" s="265"/>
      <c r="AB83" s="264"/>
      <c r="AC83" s="265"/>
      <c r="AD83" s="264"/>
      <c r="AE83" s="265"/>
      <c r="AF83" s="264"/>
      <c r="AG83" s="265"/>
      <c r="AH83" s="264"/>
      <c r="AI83" s="265"/>
      <c r="AJ83" s="264"/>
    </row>
    <row r="84" spans="1:36">
      <c r="A84" s="41"/>
      <c r="B84" s="264" t="s">
        <v>2086</v>
      </c>
      <c r="C84" s="269" t="s">
        <v>2186</v>
      </c>
      <c r="D84" s="270" t="s">
        <v>2296</v>
      </c>
      <c r="E84" s="265" t="s">
        <v>2405</v>
      </c>
      <c r="F84" s="270" t="s">
        <v>2473</v>
      </c>
      <c r="G84" s="269" t="s">
        <v>2530</v>
      </c>
      <c r="H84" s="270" t="s">
        <v>2596</v>
      </c>
      <c r="I84" s="269" t="s">
        <v>2639</v>
      </c>
      <c r="J84" s="270"/>
      <c r="K84" s="269"/>
      <c r="L84" s="270"/>
      <c r="M84" s="265"/>
      <c r="N84" s="264"/>
      <c r="O84" s="265"/>
      <c r="P84" s="264"/>
      <c r="Q84" s="265"/>
      <c r="R84" s="264"/>
      <c r="S84" s="265"/>
      <c r="T84" s="264"/>
      <c r="U84" s="265"/>
      <c r="V84" s="264"/>
      <c r="W84" s="265"/>
      <c r="X84" s="264"/>
      <c r="Y84" s="265"/>
      <c r="Z84" s="264"/>
      <c r="AA84" s="265"/>
      <c r="AB84" s="264"/>
      <c r="AC84" s="265"/>
      <c r="AD84" s="264"/>
      <c r="AE84" s="265"/>
      <c r="AF84" s="264"/>
      <c r="AG84" s="265"/>
      <c r="AH84" s="264"/>
      <c r="AI84" s="265"/>
      <c r="AJ84" s="264"/>
    </row>
    <row r="85" spans="1:36">
      <c r="A85" s="41"/>
      <c r="B85" s="264" t="s">
        <v>2089</v>
      </c>
      <c r="C85" s="269" t="s">
        <v>2189</v>
      </c>
      <c r="D85" s="270" t="s">
        <v>2299</v>
      </c>
      <c r="E85" s="265" t="s">
        <v>2408</v>
      </c>
      <c r="F85" s="270" t="s">
        <v>2476</v>
      </c>
      <c r="G85" s="269" t="s">
        <v>2533</v>
      </c>
      <c r="H85" s="270" t="s">
        <v>2597</v>
      </c>
      <c r="I85" s="269" t="s">
        <v>2641</v>
      </c>
      <c r="J85" s="270"/>
      <c r="K85" s="269"/>
      <c r="L85" s="264"/>
      <c r="M85" s="265"/>
      <c r="N85" s="264"/>
      <c r="O85" s="265"/>
      <c r="P85" s="264"/>
      <c r="Q85" s="265"/>
      <c r="R85" s="264"/>
      <c r="S85" s="265"/>
      <c r="T85" s="264"/>
      <c r="U85" s="265"/>
      <c r="V85" s="264"/>
      <c r="W85" s="265"/>
      <c r="X85" s="264"/>
      <c r="Y85" s="265"/>
      <c r="Z85" s="264"/>
      <c r="AA85" s="265"/>
      <c r="AB85" s="264"/>
      <c r="AC85" s="265"/>
      <c r="AD85" s="264"/>
      <c r="AE85" s="265"/>
      <c r="AF85" s="264"/>
      <c r="AG85" s="265"/>
      <c r="AH85" s="264"/>
      <c r="AI85" s="265"/>
      <c r="AJ85" s="264"/>
    </row>
    <row r="86" spans="1:36">
      <c r="A86" s="41"/>
      <c r="B86" s="264" t="s">
        <v>2091</v>
      </c>
      <c r="C86" s="269" t="s">
        <v>2191</v>
      </c>
      <c r="D86" s="270" t="s">
        <v>2302</v>
      </c>
      <c r="E86" s="265" t="s">
        <v>2411</v>
      </c>
      <c r="F86" s="270" t="s">
        <v>2479</v>
      </c>
      <c r="G86" s="269" t="s">
        <v>2536</v>
      </c>
      <c r="H86" s="270" t="s">
        <v>2598</v>
      </c>
      <c r="I86" s="269" t="s">
        <v>2643</v>
      </c>
      <c r="J86" s="270"/>
      <c r="K86" s="269"/>
      <c r="L86" s="264"/>
      <c r="M86" s="265"/>
      <c r="N86" s="264"/>
      <c r="O86" s="265"/>
      <c r="P86" s="264"/>
      <c r="Q86" s="265"/>
      <c r="R86" s="264"/>
      <c r="S86" s="265"/>
      <c r="T86" s="264"/>
      <c r="U86" s="265"/>
      <c r="V86" s="264"/>
      <c r="W86" s="265"/>
      <c r="X86" s="264"/>
      <c r="Y86" s="265"/>
      <c r="Z86" s="264"/>
      <c r="AA86" s="265"/>
      <c r="AB86" s="264"/>
      <c r="AC86" s="265"/>
      <c r="AD86" s="264"/>
      <c r="AE86" s="265"/>
      <c r="AF86" s="264"/>
      <c r="AG86" s="265"/>
      <c r="AH86" s="264"/>
      <c r="AI86" s="265"/>
      <c r="AJ86" s="264"/>
    </row>
    <row r="87" spans="1:36">
      <c r="A87" s="41"/>
      <c r="B87" s="264" t="s">
        <v>2093</v>
      </c>
      <c r="C87" s="269" t="s">
        <v>2193</v>
      </c>
      <c r="D87" s="270" t="s">
        <v>2305</v>
      </c>
      <c r="E87" s="265" t="s">
        <v>2413</v>
      </c>
      <c r="F87" s="270" t="s">
        <v>2482</v>
      </c>
      <c r="G87" s="269" t="s">
        <v>2538</v>
      </c>
      <c r="H87" s="270" t="s">
        <v>2600</v>
      </c>
      <c r="I87" s="269" t="s">
        <v>2645</v>
      </c>
      <c r="J87" s="270"/>
      <c r="K87" s="269"/>
      <c r="L87" s="264"/>
      <c r="M87" s="265"/>
      <c r="N87" s="264"/>
      <c r="O87" s="265"/>
      <c r="P87" s="264"/>
      <c r="Q87" s="265"/>
      <c r="R87" s="264"/>
      <c r="S87" s="265"/>
      <c r="T87" s="264"/>
      <c r="U87" s="265"/>
      <c r="V87" s="264"/>
      <c r="W87" s="265"/>
      <c r="X87" s="264"/>
      <c r="Y87" s="265"/>
      <c r="Z87" s="264"/>
      <c r="AA87" s="265"/>
      <c r="AB87" s="264"/>
      <c r="AC87" s="265"/>
      <c r="AD87" s="264"/>
      <c r="AE87" s="265"/>
      <c r="AF87" s="264"/>
      <c r="AG87" s="265"/>
      <c r="AH87" s="264"/>
      <c r="AI87" s="265"/>
      <c r="AJ87" s="264"/>
    </row>
    <row r="88" spans="1:36">
      <c r="A88" s="41"/>
      <c r="B88" s="264" t="s">
        <v>2095</v>
      </c>
      <c r="C88" s="269" t="s">
        <v>3989</v>
      </c>
      <c r="D88" s="270" t="s">
        <v>2308</v>
      </c>
      <c r="E88" s="265" t="s">
        <v>2415</v>
      </c>
      <c r="F88" s="270" t="s">
        <v>2484</v>
      </c>
      <c r="G88" s="269" t="s">
        <v>2540</v>
      </c>
      <c r="H88" s="270" t="s">
        <v>2602</v>
      </c>
      <c r="I88" s="269"/>
      <c r="J88" s="270"/>
      <c r="K88" s="269"/>
      <c r="L88" s="264"/>
      <c r="M88" s="265"/>
      <c r="N88" s="264"/>
      <c r="O88" s="265"/>
      <c r="P88" s="264"/>
      <c r="Q88" s="265"/>
      <c r="R88" s="264"/>
      <c r="S88" s="265"/>
      <c r="T88" s="264"/>
      <c r="U88" s="265"/>
      <c r="V88" s="264"/>
      <c r="W88" s="265"/>
      <c r="X88" s="264"/>
      <c r="Y88" s="265"/>
      <c r="Z88" s="264"/>
      <c r="AA88" s="265"/>
      <c r="AB88" s="264"/>
      <c r="AC88" s="265"/>
      <c r="AD88" s="264"/>
      <c r="AE88" s="265"/>
      <c r="AF88" s="264"/>
      <c r="AG88" s="265"/>
      <c r="AH88" s="264"/>
      <c r="AI88" s="265"/>
      <c r="AJ88" s="264"/>
    </row>
    <row r="89" spans="1:36">
      <c r="A89" s="41"/>
      <c r="B89" s="264" t="s">
        <v>2097</v>
      </c>
      <c r="C89" s="269" t="s">
        <v>3990</v>
      </c>
      <c r="D89" s="270" t="s">
        <v>2311</v>
      </c>
      <c r="E89" s="269" t="s">
        <v>2417</v>
      </c>
      <c r="F89" s="270" t="s">
        <v>2486</v>
      </c>
      <c r="G89" s="269" t="s">
        <v>2542</v>
      </c>
      <c r="H89" s="273"/>
      <c r="I89" s="269"/>
      <c r="J89" s="270"/>
      <c r="K89" s="269"/>
      <c r="L89" s="264"/>
      <c r="M89" s="265"/>
      <c r="N89" s="264"/>
      <c r="O89" s="265"/>
      <c r="P89" s="264"/>
      <c r="Q89" s="265"/>
      <c r="R89" s="264"/>
      <c r="S89" s="265"/>
      <c r="T89" s="264"/>
      <c r="U89" s="265"/>
      <c r="V89" s="264"/>
      <c r="W89" s="265"/>
      <c r="X89" s="264"/>
      <c r="Y89" s="265"/>
      <c r="Z89" s="264"/>
      <c r="AA89" s="265"/>
      <c r="AB89" s="264"/>
      <c r="AC89" s="265"/>
      <c r="AD89" s="264"/>
      <c r="AE89" s="265"/>
      <c r="AF89" s="264"/>
      <c r="AG89" s="265"/>
      <c r="AH89" s="264"/>
      <c r="AI89" s="265"/>
      <c r="AJ89" s="264"/>
    </row>
    <row r="90" spans="1:36">
      <c r="A90" s="41"/>
      <c r="B90" s="264" t="s">
        <v>2100</v>
      </c>
      <c r="C90" s="269" t="s">
        <v>2197</v>
      </c>
      <c r="D90" s="270" t="s">
        <v>2314</v>
      </c>
      <c r="E90" s="269" t="s">
        <v>2419</v>
      </c>
      <c r="F90" s="270" t="s">
        <v>2488</v>
      </c>
      <c r="G90" s="269" t="s">
        <v>2544</v>
      </c>
      <c r="H90" s="273"/>
      <c r="I90" s="269"/>
      <c r="J90" s="270"/>
      <c r="K90" s="41"/>
      <c r="L90" s="264"/>
      <c r="M90" s="265"/>
      <c r="N90" s="264"/>
      <c r="O90" s="265"/>
      <c r="P90" s="264"/>
      <c r="Q90" s="265"/>
      <c r="R90" s="264"/>
      <c r="S90" s="265"/>
      <c r="T90" s="264"/>
      <c r="U90" s="265"/>
      <c r="V90" s="264"/>
      <c r="W90" s="265"/>
      <c r="X90" s="264"/>
      <c r="Y90" s="265"/>
      <c r="Z90" s="264"/>
      <c r="AA90" s="265"/>
      <c r="AB90" s="264"/>
      <c r="AC90" s="265"/>
      <c r="AD90" s="264"/>
      <c r="AE90" s="265"/>
      <c r="AF90" s="264"/>
      <c r="AG90" s="265"/>
      <c r="AH90" s="264"/>
      <c r="AI90" s="265"/>
      <c r="AJ90" s="264"/>
    </row>
    <row r="91" spans="1:36">
      <c r="A91" s="276"/>
      <c r="B91" s="264"/>
      <c r="C91" s="269" t="s">
        <v>2199</v>
      </c>
      <c r="D91" s="270" t="s">
        <v>2319</v>
      </c>
      <c r="E91" s="269" t="s">
        <v>2421</v>
      </c>
      <c r="F91" s="273"/>
      <c r="G91" s="269" t="s">
        <v>2546</v>
      </c>
      <c r="H91" s="270"/>
      <c r="I91" s="269"/>
      <c r="J91" s="270"/>
      <c r="K91" s="269"/>
      <c r="L91" s="264"/>
      <c r="M91" s="265"/>
      <c r="N91" s="264"/>
      <c r="O91" s="265"/>
      <c r="P91" s="264"/>
      <c r="Q91" s="265"/>
      <c r="R91" s="264"/>
      <c r="S91" s="265"/>
      <c r="T91" s="264"/>
      <c r="U91" s="265"/>
      <c r="V91" s="264"/>
      <c r="W91" s="265"/>
      <c r="X91" s="264"/>
      <c r="Y91" s="265"/>
      <c r="Z91" s="264"/>
      <c r="AA91" s="265"/>
      <c r="AB91" s="264"/>
      <c r="AC91" s="265"/>
      <c r="AD91" s="264"/>
      <c r="AE91" s="265"/>
      <c r="AF91" s="264"/>
      <c r="AG91" s="265"/>
      <c r="AH91" s="264"/>
      <c r="AI91" s="265"/>
      <c r="AJ91" s="264"/>
    </row>
    <row r="92" spans="1:36">
      <c r="A92" s="276"/>
      <c r="B92" s="264"/>
      <c r="C92" s="269" t="s">
        <v>2201</v>
      </c>
      <c r="D92" s="270" t="s">
        <v>2317</v>
      </c>
      <c r="E92" s="269" t="s">
        <v>2423</v>
      </c>
      <c r="F92" s="264"/>
      <c r="G92" s="269" t="s">
        <v>2549</v>
      </c>
      <c r="H92" s="270"/>
      <c r="I92" s="269"/>
      <c r="J92" s="264"/>
      <c r="K92" s="265"/>
      <c r="L92" s="264"/>
      <c r="M92" s="265"/>
      <c r="N92" s="264"/>
      <c r="O92" s="265"/>
      <c r="P92" s="264"/>
      <c r="Q92" s="265"/>
      <c r="R92" s="264"/>
      <c r="S92" s="265"/>
      <c r="T92" s="264"/>
      <c r="U92" s="265"/>
      <c r="V92" s="264"/>
      <c r="W92" s="265"/>
      <c r="X92" s="264"/>
      <c r="Y92" s="265"/>
      <c r="Z92" s="264"/>
      <c r="AA92" s="265"/>
      <c r="AB92" s="264"/>
      <c r="AC92" s="265"/>
      <c r="AD92" s="264"/>
      <c r="AE92" s="265"/>
      <c r="AF92" s="264"/>
      <c r="AG92" s="265"/>
      <c r="AH92" s="264"/>
      <c r="AI92" s="265"/>
      <c r="AJ92" s="264"/>
    </row>
    <row r="93" spans="1:36">
      <c r="A93" s="276"/>
      <c r="B93" s="264"/>
      <c r="C93" s="269" t="s">
        <v>2203</v>
      </c>
      <c r="D93" s="273"/>
      <c r="E93" s="269"/>
      <c r="F93" s="264"/>
      <c r="G93" s="269"/>
      <c r="H93" s="270"/>
      <c r="I93" s="269"/>
      <c r="J93" s="264"/>
      <c r="K93" s="265"/>
      <c r="L93" s="264"/>
      <c r="M93" s="265"/>
      <c r="N93" s="264"/>
      <c r="O93" s="265"/>
      <c r="P93" s="264"/>
      <c r="Q93" s="265"/>
      <c r="R93" s="264"/>
      <c r="S93" s="265"/>
      <c r="T93" s="264"/>
      <c r="U93" s="265"/>
      <c r="V93" s="264"/>
      <c r="W93" s="265"/>
      <c r="X93" s="264"/>
      <c r="Y93" s="265"/>
      <c r="Z93" s="264"/>
      <c r="AA93" s="265"/>
      <c r="AB93" s="264"/>
      <c r="AC93" s="265"/>
      <c r="AD93" s="264"/>
      <c r="AE93" s="265"/>
      <c r="AF93" s="264"/>
      <c r="AG93" s="265"/>
      <c r="AH93" s="264"/>
      <c r="AI93" s="265"/>
      <c r="AJ93" s="264"/>
    </row>
    <row r="94" spans="1:36" ht="23.25" customHeight="1">
      <c r="A94" s="277"/>
      <c r="B94" s="278"/>
      <c r="C94" s="277"/>
      <c r="D94" s="278"/>
      <c r="E94" s="277"/>
      <c r="F94" s="278"/>
      <c r="G94" s="277"/>
      <c r="H94" s="278"/>
      <c r="I94" s="277"/>
      <c r="J94" s="278"/>
      <c r="K94" s="277"/>
      <c r="L94" s="278"/>
      <c r="M94" s="277"/>
      <c r="N94" s="278"/>
      <c r="O94" s="277"/>
      <c r="P94" s="278"/>
      <c r="Q94" s="277"/>
      <c r="R94" s="278"/>
      <c r="S94" s="277"/>
      <c r="T94" s="278"/>
      <c r="U94" s="277"/>
      <c r="V94" s="278"/>
      <c r="W94" s="277"/>
      <c r="X94" s="278"/>
      <c r="Y94" s="277"/>
      <c r="Z94" s="278"/>
      <c r="AA94" s="277"/>
      <c r="AB94" s="278"/>
      <c r="AC94" s="277"/>
      <c r="AD94" s="278"/>
      <c r="AE94" s="277"/>
      <c r="AF94" s="278"/>
      <c r="AG94" s="277"/>
      <c r="AH94" s="278"/>
      <c r="AI94" s="277"/>
      <c r="AJ94" s="278"/>
    </row>
    <row r="95" spans="1:36">
      <c r="A95" s="152" t="s">
        <v>1579</v>
      </c>
      <c r="B95" s="250" t="str">
        <f>"Tier 6 ("&amp;COUNTIF(B96,"&lt;&gt;")&amp;IF(COUNTIF(B96,"&lt;&gt;")=1," curse)"," curses)")</f>
        <v>Tier 6 (1 curse)</v>
      </c>
      <c r="C95" s="277"/>
      <c r="D95" s="278"/>
      <c r="E95" s="277"/>
      <c r="F95" s="278"/>
      <c r="G95" s="277"/>
      <c r="H95" s="278"/>
      <c r="I95" s="277"/>
      <c r="J95" s="278"/>
      <c r="K95" s="277"/>
      <c r="L95" s="278"/>
      <c r="M95" s="277"/>
      <c r="N95" s="278"/>
      <c r="O95" s="277"/>
      <c r="P95" s="278"/>
      <c r="Q95" s="277"/>
      <c r="R95" s="278"/>
      <c r="S95" s="277"/>
      <c r="T95" s="278"/>
      <c r="U95" s="277"/>
      <c r="V95" s="278"/>
      <c r="W95" s="277"/>
      <c r="X95" s="278"/>
      <c r="Y95" s="277"/>
      <c r="Z95" s="278"/>
      <c r="AA95" s="277"/>
      <c r="AB95" s="278"/>
      <c r="AC95" s="277"/>
      <c r="AD95" s="278"/>
      <c r="AE95" s="277"/>
      <c r="AF95" s="278"/>
      <c r="AG95" s="277"/>
      <c r="AH95" s="278"/>
      <c r="AI95" s="277"/>
      <c r="AJ95" s="278"/>
    </row>
    <row r="96" spans="1:36">
      <c r="A96" s="162"/>
      <c r="B96" s="253" t="s">
        <v>2874</v>
      </c>
      <c r="C96" s="277"/>
      <c r="D96" s="278"/>
      <c r="E96" s="277"/>
      <c r="F96" s="278"/>
      <c r="G96" s="277"/>
      <c r="H96" s="278"/>
      <c r="I96" s="277"/>
      <c r="J96" s="278"/>
      <c r="K96" s="277"/>
      <c r="L96" s="278"/>
      <c r="M96" s="277"/>
      <c r="N96" s="278"/>
      <c r="O96" s="277"/>
      <c r="P96" s="278"/>
      <c r="Q96" s="277"/>
      <c r="R96" s="278"/>
      <c r="S96" s="277"/>
      <c r="T96" s="278"/>
      <c r="U96" s="277"/>
      <c r="V96" s="278"/>
      <c r="W96" s="277"/>
      <c r="X96" s="278"/>
      <c r="Y96" s="277"/>
      <c r="Z96" s="278"/>
      <c r="AA96" s="277"/>
      <c r="AB96" s="278"/>
      <c r="AC96" s="277"/>
      <c r="AD96" s="278"/>
      <c r="AE96" s="277"/>
      <c r="AF96" s="278"/>
      <c r="AG96" s="277"/>
      <c r="AH96" s="278"/>
      <c r="AI96" s="277"/>
      <c r="AJ96" s="27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850"/>
  <sheetViews>
    <sheetView workbookViewId="0"/>
  </sheetViews>
  <sheetFormatPr defaultColWidth="12.5703125" defaultRowHeight="15.75" customHeight="1"/>
  <cols>
    <col min="1" max="1" width="8.140625" customWidth="1"/>
    <col min="2" max="2" width="21" customWidth="1"/>
    <col min="3" max="3" width="20.42578125" customWidth="1"/>
    <col min="4" max="4" width="26.85546875" customWidth="1"/>
    <col min="5" max="5" width="18.28515625" customWidth="1"/>
    <col min="9" max="9" width="20.7109375" customWidth="1"/>
    <col min="16" max="16" width="4.85546875" customWidth="1"/>
    <col min="20" max="24" width="6.28515625" customWidth="1"/>
    <col min="25" max="25" width="13.42578125" customWidth="1"/>
    <col min="26" max="27" width="6.28515625" customWidth="1"/>
  </cols>
  <sheetData>
    <row r="1" spans="1:37" ht="12.75">
      <c r="O1" s="279" t="s">
        <v>3991</v>
      </c>
      <c r="P1" s="279"/>
      <c r="U1" s="279" t="s">
        <v>3992</v>
      </c>
      <c r="V1" s="279"/>
      <c r="W1" s="279"/>
      <c r="Y1" s="279" t="s">
        <v>3993</v>
      </c>
    </row>
    <row r="2" spans="1:37" ht="12.75">
      <c r="A2" s="280" t="s">
        <v>3994</v>
      </c>
      <c r="B2" s="280" t="s">
        <v>1587</v>
      </c>
      <c r="E2" s="280" t="s">
        <v>20</v>
      </c>
      <c r="G2" s="280" t="s">
        <v>10</v>
      </c>
      <c r="I2" s="280" t="s">
        <v>316</v>
      </c>
      <c r="L2" s="280" t="s">
        <v>3838</v>
      </c>
      <c r="O2" s="279" t="s">
        <v>3995</v>
      </c>
      <c r="P2" s="279" t="s">
        <v>3996</v>
      </c>
      <c r="Q2" s="279" t="s">
        <v>3997</v>
      </c>
      <c r="R2" s="279" t="s">
        <v>3998</v>
      </c>
      <c r="S2" s="279" t="s">
        <v>3999</v>
      </c>
      <c r="T2" s="279" t="s">
        <v>4000</v>
      </c>
      <c r="U2" s="279" t="s">
        <v>3995</v>
      </c>
      <c r="V2" s="279" t="s">
        <v>4001</v>
      </c>
      <c r="W2" s="279" t="s">
        <v>4002</v>
      </c>
      <c r="X2" s="279" t="s">
        <v>3998</v>
      </c>
      <c r="Y2" s="271" t="s">
        <v>4003</v>
      </c>
      <c r="Z2" s="271" t="s">
        <v>4001</v>
      </c>
      <c r="AA2" s="271" t="s">
        <v>4004</v>
      </c>
      <c r="AB2" s="271" t="s">
        <v>3998</v>
      </c>
      <c r="AC2" s="271" t="s">
        <v>3842</v>
      </c>
      <c r="AH2" s="359" t="s">
        <v>4005</v>
      </c>
      <c r="AI2" s="302"/>
      <c r="AJ2" s="359" t="s">
        <v>4006</v>
      </c>
      <c r="AK2" s="302"/>
    </row>
    <row r="3" spans="1:37" ht="15.75" customHeight="1">
      <c r="B3" s="281" t="s">
        <v>4007</v>
      </c>
      <c r="C3" s="281" t="s">
        <v>4008</v>
      </c>
      <c r="D3" s="280" t="s">
        <v>4009</v>
      </c>
      <c r="E3" s="281" t="s">
        <v>4010</v>
      </c>
      <c r="G3" s="281" t="s">
        <v>4010</v>
      </c>
      <c r="I3" s="281" t="s">
        <v>4010</v>
      </c>
      <c r="J3" s="281" t="s">
        <v>1954</v>
      </c>
      <c r="L3" s="281" t="s">
        <v>4010</v>
      </c>
      <c r="M3" s="281" t="s">
        <v>1954</v>
      </c>
      <c r="O3" s="279" t="str">
        <f t="shared" ref="O3:O19" ca="1" si="0">IF(Q3&lt;&gt;"",Q3&amp;" ("&amp;P3&amp;")","")</f>
        <v>Gambler (1)</v>
      </c>
      <c r="P3" s="279">
        <f ca="1">IF(Q3&lt;&gt;"",MAX(V3:V24)+1,"")</f>
        <v>1</v>
      </c>
      <c r="Q3" s="279" t="str">
        <f ca="1">IFERROR(__xludf.DUMMYFUNCTION("{FILTER('Paste Editor (Beta)'!E22:E31,'Paste Editor (Beta)'!E22:E31&lt;&gt;"""")}"),"Gambler")</f>
        <v>Gambler</v>
      </c>
      <c r="S3" s="279" t="str">
        <f t="shared" ref="S3:S19" ca="1" si="1">IF(Q3&lt;&gt;"",Q3&amp;" ("&amp;T3&amp;")","")</f>
        <v>Gambler (0)</v>
      </c>
      <c r="T3" s="279">
        <f ca="1">IF(Q3&lt;&gt;"",0,"")</f>
        <v>0</v>
      </c>
      <c r="U3" s="279" t="str">
        <f t="shared" ref="U3:U5" ca="1" si="2">IF(W3&lt;&gt;"",W3&amp;" ("&amp;V3&amp;")","")</f>
        <v>Slate (0)</v>
      </c>
      <c r="V3" s="279">
        <f ca="1">IF(W3&lt;&gt;"",0,"")</f>
        <v>0</v>
      </c>
      <c r="W3" s="282" t="str">
        <f ca="1">IFERROR(__xludf.DUMMYFUNCTION("{FILTER('Paste Editor (Beta)'!E39:E43,'Paste Editor (Beta)'!E39:E43&lt;&gt;"""")}"),"Slate")</f>
        <v>Slate</v>
      </c>
      <c r="X3" s="282"/>
      <c r="Y3" s="279" t="str">
        <f ca="1">IFERROR(__xludf.DUMMYFUNCTION("{FILTER({U3:X19;O3:R19},{V3:V19;P3:P19}&lt;&gt;"""")}"),"Slate (0)")</f>
        <v>Slate (0)</v>
      </c>
      <c r="Z3" s="279">
        <f ca="1">IFERROR(__xludf.DUMMYFUNCTION("""COMPUTED_VALUE"""),0)</f>
        <v>0</v>
      </c>
      <c r="AA3" s="279" t="str">
        <f ca="1">IFERROR(__xludf.DUMMYFUNCTION("""COMPUTED_VALUE"""),"Slate")</f>
        <v>Slate</v>
      </c>
      <c r="AB3" s="280"/>
      <c r="AC3" s="280">
        <f ca="1">'Paste Editor (Beta)'!T46</f>
        <v>5</v>
      </c>
      <c r="AD3" s="280" t="s">
        <v>4011</v>
      </c>
      <c r="AH3" s="280" t="str">
        <f>IF('Paste Editor (Beta)'!$C$82="Level-up prompt",G4,IF('Paste Editor (Beta)'!$C$82="Item prompt",E4,IF('Paste Editor (Beta)'!$C$82="Modifier prompt","'"&amp;B4,IF('Paste Editor (Beta)'!$C$82="Challenge prompt",L4,IF('Paste Editor (Beta)'!$C$82="Reroll class prompt",S3,IF('Paste Editor (Beta)'!$C$82="Swap hero prompt",S3,IF('Paste Editor (Beta)'!$C$82="Anvil prompt",AD3,"")))))))</f>
        <v/>
      </c>
      <c r="AI3" s="280" t="str">
        <f>IF('Paste Editor (Beta)'!$C$82="Level-up prompt",G4,IF('Paste Editor (Beta)'!$C$82="Item prompt",E4,IF('Paste Editor (Beta)'!$C$82="Modifier prompt","'"&amp;B4,IF('Paste Editor (Beta)'!$C$82="Challenge prompt",E4,IF('Paste Editor (Beta)'!$C$82="Reroll class prompt",S3,IF('Paste Editor (Beta)'!$C$82="Swap hero prompt",S3,IF('Paste Editor (Beta)'!$C$82="Anvil prompt",AD3,"")))))))</f>
        <v/>
      </c>
      <c r="AJ3" s="283" t="str">
        <f>IF('Paste Editor (Beta)'!$C$90="Level-up prompt",G4,IF('Paste Editor (Beta)'!$C$90="Item prompt",E4,IF('Paste Editor (Beta)'!$C$90="Modifier prompt","'"&amp;B4,IF('Paste Editor (Beta)'!$C$90="Challenge prompt",L4,IF('Paste Editor (Beta)'!$C$90="Reroll class prompt",S3,IF('Paste Editor (Beta)'!$C$90="Swap hero prompt",S3,IF('Paste Editor (Beta)'!$C$90="Anvil prompt",AD3,"")))))))</f>
        <v>Thief</v>
      </c>
      <c r="AK3" s="283" t="str">
        <f>IF('Paste Editor (Beta)'!$C$90="Level-up prompt",G4,IF('Paste Editor (Beta)'!$C$90="Item prompt",E4,IF('Paste Editor (Beta)'!$C$90="Modifier prompt","'"&amp;B4,IF('Paste Editor (Beta)'!$C$90="Challenge prompt",E4,IF('Paste Editor (Beta)'!$C$90="Reroll class prompt",S3,IF('Paste Editor (Beta)'!$C$90="Swap hero prompt",S3,IF('Paste Editor (Beta)'!$C$90="Anvil prompt",AD3,"")))))))</f>
        <v>Thief</v>
      </c>
    </row>
    <row r="4" spans="1:37" ht="15.75" customHeight="1">
      <c r="A4" s="23" t="s">
        <v>3858</v>
      </c>
      <c r="B4" s="284" t="s">
        <v>2373</v>
      </c>
      <c r="C4" s="284" t="s">
        <v>2373</v>
      </c>
      <c r="D4" s="284" t="s">
        <v>2373</v>
      </c>
      <c r="E4" s="280" t="s">
        <v>995</v>
      </c>
      <c r="G4" s="280" t="str">
        <f t="array" ref="G4:G105">Heroes!$E$4:$E$105</f>
        <v>Thief</v>
      </c>
      <c r="I4" s="280" t="s">
        <v>3784</v>
      </c>
      <c r="J4" s="280" t="s">
        <v>3785</v>
      </c>
      <c r="L4" s="280" t="str">
        <f ca="1">IFERROR(__xludf.DUMMYFUNCTION("SORT({FILTER(Monsters!$C$4:$C$67,Monsters!$C$4:$C$67&lt;&gt;""Jinx"");$I$4:$I$15})"),"Agnes")</f>
        <v>Agnes</v>
      </c>
      <c r="M4" s="280" t="str">
        <f t="shared" ref="M4:M74" ca="1" si="3">IFERROR(INDEX($J$4:$J$15,MATCH(L4,$I$4:$I$15,0)),L4)</f>
        <v>Agnes</v>
      </c>
      <c r="O4" s="279" t="str">
        <f t="shared" ca="1" si="0"/>
        <v>Hoarder (2)</v>
      </c>
      <c r="P4" s="279">
        <f t="shared" ref="P4:P19" ca="1" si="4">IF(Q4&lt;&gt;"",P3+1,"")</f>
        <v>2</v>
      </c>
      <c r="Q4" s="279" t="str">
        <f ca="1">IFERROR(__xludf.DUMMYFUNCTION("""COMPUTED_VALUE"""),"Hoarder")</f>
        <v>Hoarder</v>
      </c>
      <c r="S4" s="279" t="str">
        <f t="shared" ca="1" si="1"/>
        <v>Hoarder (1)</v>
      </c>
      <c r="T4" s="279">
        <f t="shared" ref="T4:T19" ca="1" si="5">IF(Q4&lt;&gt;"",T3+1,"")</f>
        <v>1</v>
      </c>
      <c r="U4" s="279" t="str">
        <f t="shared" si="2"/>
        <v/>
      </c>
      <c r="V4" s="279" t="str">
        <f t="shared" ref="V4:V5" si="6">IF(W4&lt;&gt;"",V3+1,"")</f>
        <v/>
      </c>
      <c r="W4" s="279"/>
      <c r="X4" s="279"/>
      <c r="Y4" s="279" t="str">
        <f ca="1">IFERROR(__xludf.DUMMYFUNCTION("""COMPUTED_VALUE"""),"Gambler (1)")</f>
        <v>Gambler (1)</v>
      </c>
      <c r="Z4" s="279">
        <f ca="1">IFERROR(__xludf.DUMMYFUNCTION("""COMPUTED_VALUE"""),1)</f>
        <v>1</v>
      </c>
      <c r="AA4" s="279" t="str">
        <f ca="1">IFERROR(__xludf.DUMMYFUNCTION("""COMPUTED_VALUE"""),"Gambler")</f>
        <v>Gambler</v>
      </c>
      <c r="AB4" s="280"/>
      <c r="AC4" s="280">
        <f ca="1">'Paste Editor (Beta)'!T47</f>
        <v>5</v>
      </c>
      <c r="AD4" s="280" t="s">
        <v>4012</v>
      </c>
      <c r="AH4" s="280" t="str">
        <f>IF('Paste Editor (Beta)'!$C$82="Level-up prompt",G5,IF('Paste Editor (Beta)'!$C$82="Item prompt",E5,IF('Paste Editor (Beta)'!$C$82="Modifier prompt","'"&amp;B5,IF('Paste Editor (Beta)'!$C$82="Challenge prompt",L5,IF('Paste Editor (Beta)'!$C$82="Reroll class prompt",S4,IF('Paste Editor (Beta)'!$C$82="Swap hero prompt",S4,IF('Paste Editor (Beta)'!$C$82="Anvil prompt",AD4,"")))))))</f>
        <v/>
      </c>
      <c r="AI4" s="280" t="str">
        <f>IF('Paste Editor (Beta)'!$C$82="Level-up prompt",G5,IF('Paste Editor (Beta)'!$C$82="Item prompt",E5,IF('Paste Editor (Beta)'!$C$82="Modifier prompt","'"&amp;B5,IF('Paste Editor (Beta)'!$C$82="Challenge prompt",E5,IF('Paste Editor (Beta)'!$C$82="Reroll class prompt",S4,IF('Paste Editor (Beta)'!$C$82="Swap hero prompt",S4,IF('Paste Editor (Beta)'!$C$82="Anvil prompt",AD4,"")))))))</f>
        <v/>
      </c>
      <c r="AJ4" s="283" t="str">
        <f>IF('Paste Editor (Beta)'!$C$90="Level-up prompt",G5,IF('Paste Editor (Beta)'!$C$90="Item prompt",E5,IF('Paste Editor (Beta)'!$C$90="Modifier prompt","'"&amp;B5,IF('Paste Editor (Beta)'!$C$90="Challenge prompt",L5,IF('Paste Editor (Beta)'!$C$90="Reroll class prompt",S4,IF('Paste Editor (Beta)'!$C$90="Swap hero prompt",S4,IF('Paste Editor (Beta)'!$C$90="Anvil prompt",AD4,"")))))))</f>
        <v>Scoundrel</v>
      </c>
      <c r="AK4" s="283" t="str">
        <f>IF('Paste Editor (Beta)'!$C$90="Level-up prompt",G5,IF('Paste Editor (Beta)'!$C$90="Item prompt",E5,IF('Paste Editor (Beta)'!$C$90="Modifier prompt","'"&amp;B5,IF('Paste Editor (Beta)'!$C$90="Challenge prompt",E5,IF('Paste Editor (Beta)'!$C$90="Reroll class prompt",S4,IF('Paste Editor (Beta)'!$C$90="Swap hero prompt",S4,IF('Paste Editor (Beta)'!$C$90="Anvil prompt",AD4,"")))))))</f>
        <v>Scoundrel</v>
      </c>
    </row>
    <row r="5" spans="1:37" ht="15.75" customHeight="1">
      <c r="A5" s="23" t="s">
        <v>3862</v>
      </c>
      <c r="B5" s="284" t="s">
        <v>2888</v>
      </c>
      <c r="C5" s="284" t="s">
        <v>3814</v>
      </c>
      <c r="D5" s="284" t="s">
        <v>4013</v>
      </c>
      <c r="E5" s="280" t="s">
        <v>1079</v>
      </c>
      <c r="G5" s="280" t="str">
        <v>Scoundrel</v>
      </c>
      <c r="I5" s="280" t="s">
        <v>3786</v>
      </c>
      <c r="J5" s="280" t="s">
        <v>4014</v>
      </c>
      <c r="L5" s="280" t="str">
        <f ca="1">IFERROR(__xludf.DUMMYFUNCTION("""COMPUTED_VALUE"""),"Alpha")</f>
        <v>Alpha</v>
      </c>
      <c r="M5" s="280" t="str">
        <f t="shared" ca="1" si="3"/>
        <v>Alpha</v>
      </c>
      <c r="O5" s="279" t="str">
        <f t="shared" ca="1" si="0"/>
        <v>Whirl (3)</v>
      </c>
      <c r="P5" s="279">
        <f t="shared" ca="1" si="4"/>
        <v>3</v>
      </c>
      <c r="Q5" s="279" t="str">
        <f ca="1">IFERROR(__xludf.DUMMYFUNCTION("""COMPUTED_VALUE"""),"Whirl")</f>
        <v>Whirl</v>
      </c>
      <c r="S5" s="279" t="str">
        <f t="shared" ca="1" si="1"/>
        <v>Whirl (2)</v>
      </c>
      <c r="T5" s="279">
        <f t="shared" ca="1" si="5"/>
        <v>2</v>
      </c>
      <c r="U5" s="279" t="str">
        <f t="shared" si="2"/>
        <v/>
      </c>
      <c r="V5" s="279" t="str">
        <f t="shared" si="6"/>
        <v/>
      </c>
      <c r="W5" s="279"/>
      <c r="X5" s="279"/>
      <c r="Y5" s="279" t="str">
        <f ca="1">IFERROR(__xludf.DUMMYFUNCTION("""COMPUTED_VALUE"""),"Hoarder (2)")</f>
        <v>Hoarder (2)</v>
      </c>
      <c r="Z5" s="279">
        <f ca="1">IFERROR(__xludf.DUMMYFUNCTION("""COMPUTED_VALUE"""),2)</f>
        <v>2</v>
      </c>
      <c r="AA5" s="279" t="str">
        <f ca="1">IFERROR(__xludf.DUMMYFUNCTION("""COMPUTED_VALUE"""),"Hoarder")</f>
        <v>Hoarder</v>
      </c>
      <c r="AB5" s="280"/>
      <c r="AC5" s="280">
        <f ca="1">'Paste Editor (Beta)'!T48</f>
        <v>5</v>
      </c>
      <c r="AH5" s="280" t="str">
        <f>IF('Paste Editor (Beta)'!$C$82="Level-up prompt",G6,IF('Paste Editor (Beta)'!$C$82="Item prompt",E6,IF('Paste Editor (Beta)'!$C$82="Modifier prompt","'"&amp;B6,IF('Paste Editor (Beta)'!$C$82="Challenge prompt",L6,IF('Paste Editor (Beta)'!$C$82="Reroll class prompt",S5,IF('Paste Editor (Beta)'!$C$82="Swap hero prompt",S5,IF('Paste Editor (Beta)'!$C$82="Anvil prompt",AD5,"")))))))</f>
        <v/>
      </c>
      <c r="AI5" s="280" t="str">
        <f>IF('Paste Editor (Beta)'!$C$82="Level-up prompt",G6,IF('Paste Editor (Beta)'!$C$82="Item prompt",E6,IF('Paste Editor (Beta)'!$C$82="Modifier prompt","'"&amp;B6,IF('Paste Editor (Beta)'!$C$82="Challenge prompt",E6,IF('Paste Editor (Beta)'!$C$82="Reroll class prompt",S5,IF('Paste Editor (Beta)'!$C$82="Swap hero prompt",S5,IF('Paste Editor (Beta)'!$C$82="Anvil prompt",AD5,"")))))))</f>
        <v/>
      </c>
      <c r="AJ5" s="283" t="str">
        <f>IF('Paste Editor (Beta)'!$C$90="Level-up prompt",G6,IF('Paste Editor (Beta)'!$C$90="Item prompt",E6,IF('Paste Editor (Beta)'!$C$90="Modifier prompt","'"&amp;B6,IF('Paste Editor (Beta)'!$C$90="Challenge prompt",L6,IF('Paste Editor (Beta)'!$C$90="Reroll class prompt",S5,IF('Paste Editor (Beta)'!$C$90="Swap hero prompt",S5,IF('Paste Editor (Beta)'!$C$90="Anvil prompt",AD5,"")))))))</f>
        <v>Lost</v>
      </c>
      <c r="AK5" s="283" t="str">
        <f>IF('Paste Editor (Beta)'!$C$90="Level-up prompt",G6,IF('Paste Editor (Beta)'!$C$90="Item prompt",E6,IF('Paste Editor (Beta)'!$C$90="Modifier prompt","'"&amp;B6,IF('Paste Editor (Beta)'!$C$90="Challenge prompt",E6,IF('Paste Editor (Beta)'!$C$90="Reroll class prompt",S5,IF('Paste Editor (Beta)'!$C$90="Swap hero prompt",S5,IF('Paste Editor (Beta)'!$C$90="Anvil prompt",AD5,"")))))))</f>
        <v>Lost</v>
      </c>
    </row>
    <row r="6" spans="1:37" ht="15.75" customHeight="1">
      <c r="A6" s="23" t="s">
        <v>3865</v>
      </c>
      <c r="B6" s="284" t="s">
        <v>2021</v>
      </c>
      <c r="C6" s="284" t="s">
        <v>2021</v>
      </c>
      <c r="D6" s="284" t="s">
        <v>2021</v>
      </c>
      <c r="E6" s="280" t="s">
        <v>822</v>
      </c>
      <c r="G6" s="280" t="str">
        <v>Lost</v>
      </c>
      <c r="I6" s="280" t="s">
        <v>3788</v>
      </c>
      <c r="J6" s="280" t="s">
        <v>3789</v>
      </c>
      <c r="L6" s="280" t="str">
        <f ca="1">IFERROR(__xludf.DUMMYFUNCTION("""COMPUTED_VALUE"""),"Archer")</f>
        <v>Archer</v>
      </c>
      <c r="M6" s="280" t="str">
        <f t="shared" ca="1" si="3"/>
        <v>Archer</v>
      </c>
      <c r="O6" s="279" t="str">
        <f t="shared" ca="1" si="0"/>
        <v>Jester (4)</v>
      </c>
      <c r="P6" s="279">
        <f t="shared" ca="1" si="4"/>
        <v>4</v>
      </c>
      <c r="Q6" s="279" t="str">
        <f ca="1">IFERROR(__xludf.DUMMYFUNCTION("""COMPUTED_VALUE"""),"Jester")</f>
        <v>Jester</v>
      </c>
      <c r="S6" s="279" t="str">
        <f t="shared" ca="1" si="1"/>
        <v>Jester (3)</v>
      </c>
      <c r="T6" s="279">
        <f t="shared" ca="1" si="5"/>
        <v>3</v>
      </c>
      <c r="Y6" s="279" t="str">
        <f ca="1">IFERROR(__xludf.DUMMYFUNCTION("""COMPUTED_VALUE"""),"Whirl (3)")</f>
        <v>Whirl (3)</v>
      </c>
      <c r="Z6" s="279">
        <f ca="1">IFERROR(__xludf.DUMMYFUNCTION("""COMPUTED_VALUE"""),3)</f>
        <v>3</v>
      </c>
      <c r="AA6" s="279" t="str">
        <f ca="1">IFERROR(__xludf.DUMMYFUNCTION("""COMPUTED_VALUE"""),"Whirl")</f>
        <v>Whirl</v>
      </c>
      <c r="AB6" s="280"/>
      <c r="AC6" s="280">
        <f ca="1">'Paste Editor (Beta)'!T49</f>
        <v>5</v>
      </c>
      <c r="AE6" s="283"/>
      <c r="AH6" s="280" t="str">
        <f>IF('Paste Editor (Beta)'!$C$82="Level-up prompt",G7,IF('Paste Editor (Beta)'!$C$82="Item prompt",E7,IF('Paste Editor (Beta)'!$C$82="Modifier prompt","'"&amp;B7,IF('Paste Editor (Beta)'!$C$82="Challenge prompt",L7,IF('Paste Editor (Beta)'!$C$82="Reroll class prompt",S6,IF('Paste Editor (Beta)'!$C$82="Swap hero prompt",S6,IF('Paste Editor (Beta)'!$C$82="Anvil prompt",AD6,"")))))))</f>
        <v/>
      </c>
      <c r="AI6" s="280" t="str">
        <f>IF('Paste Editor (Beta)'!$C$82="Level-up prompt",G7,IF('Paste Editor (Beta)'!$C$82="Item prompt",E7,IF('Paste Editor (Beta)'!$C$82="Modifier prompt","'"&amp;B7,IF('Paste Editor (Beta)'!$C$82="Challenge prompt",E7,IF('Paste Editor (Beta)'!$C$82="Reroll class prompt",S6,IF('Paste Editor (Beta)'!$C$82="Swap hero prompt",S6,IF('Paste Editor (Beta)'!$C$82="Anvil prompt",AD6,"")))))))</f>
        <v/>
      </c>
      <c r="AJ6" s="283" t="str">
        <f>IF('Paste Editor (Beta)'!$C$90="Level-up prompt",G7,IF('Paste Editor (Beta)'!$C$90="Item prompt",E7,IF('Paste Editor (Beta)'!$C$90="Modifier prompt","'"&amp;B7,IF('Paste Editor (Beta)'!$C$90="Challenge prompt",L7,IF('Paste Editor (Beta)'!$C$90="Reroll class prompt",S6,IF('Paste Editor (Beta)'!$C$90="Swap hero prompt",S6,IF('Paste Editor (Beta)'!$C$90="Anvil prompt",AD6,"")))))))</f>
        <v>Dabble</v>
      </c>
      <c r="AK6" s="283" t="str">
        <f>IF('Paste Editor (Beta)'!$C$90="Level-up prompt",G7,IF('Paste Editor (Beta)'!$C$90="Item prompt",E7,IF('Paste Editor (Beta)'!$C$90="Modifier prompt","'"&amp;B7,IF('Paste Editor (Beta)'!$C$90="Challenge prompt",E7,IF('Paste Editor (Beta)'!$C$90="Reroll class prompt",S6,IF('Paste Editor (Beta)'!$C$90="Swap hero prompt",S6,IF('Paste Editor (Beta)'!$C$90="Anvil prompt",AD6,"")))))))</f>
        <v>Dabble</v>
      </c>
    </row>
    <row r="7" spans="1:37" ht="15.75" customHeight="1">
      <c r="A7" s="23" t="s">
        <v>3866</v>
      </c>
      <c r="B7" s="284" t="s">
        <v>2683</v>
      </c>
      <c r="C7" s="284" t="s">
        <v>2683</v>
      </c>
      <c r="D7" s="284" t="s">
        <v>2683</v>
      </c>
      <c r="E7" s="280" t="s">
        <v>1217</v>
      </c>
      <c r="G7" s="280" t="str">
        <v>Dabble</v>
      </c>
      <c r="I7" s="280" t="s">
        <v>3790</v>
      </c>
      <c r="J7" s="280" t="s">
        <v>3791</v>
      </c>
      <c r="L7" s="280" t="str">
        <f ca="1">IFERROR(__xludf.DUMMYFUNCTION("""COMPUTED_VALUE"""),"Bandit")</f>
        <v>Bandit</v>
      </c>
      <c r="M7" s="280" t="str">
        <f t="shared" ca="1" si="3"/>
        <v>Bandit</v>
      </c>
      <c r="O7" s="279" t="str">
        <f t="shared" ca="1" si="0"/>
        <v>Vampire (5)</v>
      </c>
      <c r="P7" s="279">
        <f t="shared" ca="1" si="4"/>
        <v>5</v>
      </c>
      <c r="Q7" s="279" t="str">
        <f ca="1">IFERROR(__xludf.DUMMYFUNCTION("""COMPUTED_VALUE"""),"Vampire")</f>
        <v>Vampire</v>
      </c>
      <c r="S7" s="279" t="str">
        <f t="shared" ca="1" si="1"/>
        <v>Vampire (4)</v>
      </c>
      <c r="T7" s="279">
        <f t="shared" ca="1" si="5"/>
        <v>4</v>
      </c>
      <c r="U7" s="280"/>
      <c r="V7" s="280"/>
      <c r="W7" s="280"/>
      <c r="X7" s="280"/>
      <c r="Y7" s="279" t="str">
        <f ca="1">IFERROR(__xludf.DUMMYFUNCTION("""COMPUTED_VALUE"""),"Jester (4)")</f>
        <v>Jester (4)</v>
      </c>
      <c r="Z7" s="279">
        <f ca="1">IFERROR(__xludf.DUMMYFUNCTION("""COMPUTED_VALUE"""),4)</f>
        <v>4</v>
      </c>
      <c r="AA7" s="279" t="str">
        <f ca="1">IFERROR(__xludf.DUMMYFUNCTION("""COMPUTED_VALUE"""),"Jester")</f>
        <v>Jester</v>
      </c>
      <c r="AB7" s="280"/>
      <c r="AC7" s="280">
        <f ca="1">'Paste Editor (Beta)'!T50</f>
        <v>5</v>
      </c>
      <c r="AH7" s="280" t="str">
        <f>IF('Paste Editor (Beta)'!$C$82="Level-up prompt",G8,IF('Paste Editor (Beta)'!$C$82="Item prompt",E8,IF('Paste Editor (Beta)'!$C$82="Modifier prompt","'"&amp;B8,IF('Paste Editor (Beta)'!$C$82="Challenge prompt",L8,IF('Paste Editor (Beta)'!$C$82="Reroll class prompt",S7,IF('Paste Editor (Beta)'!$C$82="Swap hero prompt",S7,IF('Paste Editor (Beta)'!$C$82="Anvil prompt",AD7,"")))))))</f>
        <v/>
      </c>
      <c r="AI7" s="280" t="str">
        <f>IF('Paste Editor (Beta)'!$C$82="Level-up prompt",G8,IF('Paste Editor (Beta)'!$C$82="Item prompt",E8,IF('Paste Editor (Beta)'!$C$82="Modifier prompt","'"&amp;B8,IF('Paste Editor (Beta)'!$C$82="Challenge prompt",E8,IF('Paste Editor (Beta)'!$C$82="Reroll class prompt",S7,IF('Paste Editor (Beta)'!$C$82="Swap hero prompt",S7,IF('Paste Editor (Beta)'!$C$82="Anvil prompt",AD7,"")))))))</f>
        <v/>
      </c>
      <c r="AJ7" s="283" t="str">
        <f>IF('Paste Editor (Beta)'!$C$90="Level-up prompt",G8,IF('Paste Editor (Beta)'!$C$90="Item prompt",E8,IF('Paste Editor (Beta)'!$C$90="Modifier prompt","'"&amp;B8,IF('Paste Editor (Beta)'!$C$90="Challenge prompt",L8,IF('Paste Editor (Beta)'!$C$90="Reroll class prompt",S7,IF('Paste Editor (Beta)'!$C$90="Swap hero prompt",S7,IF('Paste Editor (Beta)'!$C$90="Anvil prompt",AD7,"")))))))</f>
        <v>Fighter</v>
      </c>
      <c r="AK7" s="283" t="str">
        <f>IF('Paste Editor (Beta)'!$C$90="Level-up prompt",G8,IF('Paste Editor (Beta)'!$C$90="Item prompt",E8,IF('Paste Editor (Beta)'!$C$90="Modifier prompt","'"&amp;B8,IF('Paste Editor (Beta)'!$C$90="Challenge prompt",E8,IF('Paste Editor (Beta)'!$C$90="Reroll class prompt",S7,IF('Paste Editor (Beta)'!$C$90="Swap hero prompt",S7,IF('Paste Editor (Beta)'!$C$90="Anvil prompt",AD7,"")))))))</f>
        <v>Fighter</v>
      </c>
    </row>
    <row r="8" spans="1:37" ht="15.75" customHeight="1">
      <c r="A8" s="23" t="s">
        <v>3868</v>
      </c>
      <c r="B8" s="284" t="s">
        <v>2023</v>
      </c>
      <c r="C8" s="284" t="s">
        <v>2023</v>
      </c>
      <c r="D8" s="284" t="s">
        <v>2023</v>
      </c>
      <c r="E8" s="280" t="s">
        <v>1219</v>
      </c>
      <c r="G8" s="280" t="str">
        <v>Fighter</v>
      </c>
      <c r="I8" s="280" t="s">
        <v>3792</v>
      </c>
      <c r="J8" s="280" t="s">
        <v>3793</v>
      </c>
      <c r="L8" s="280" t="str">
        <f ca="1">IFERROR(__xludf.DUMMYFUNCTION("""COMPUTED_VALUE"""),"Banshee")</f>
        <v>Banshee</v>
      </c>
      <c r="M8" s="280" t="str">
        <f t="shared" ca="1" si="3"/>
        <v>Banshee</v>
      </c>
      <c r="O8" s="279" t="str">
        <f t="shared" ca="1" si="0"/>
        <v>Statue (6)</v>
      </c>
      <c r="P8" s="279">
        <f t="shared" ca="1" si="4"/>
        <v>6</v>
      </c>
      <c r="Q8" s="279" t="str">
        <f ca="1">IFERROR(__xludf.DUMMYFUNCTION("""COMPUTED_VALUE"""),"Statue")</f>
        <v>Statue</v>
      </c>
      <c r="S8" s="279" t="str">
        <f t="shared" ca="1" si="1"/>
        <v>Statue (5)</v>
      </c>
      <c r="T8" s="279">
        <f t="shared" ca="1" si="5"/>
        <v>5</v>
      </c>
      <c r="U8" s="280"/>
      <c r="V8" s="280"/>
      <c r="W8" s="280"/>
      <c r="X8" s="280"/>
      <c r="Y8" s="279" t="str">
        <f ca="1">IFERROR(__xludf.DUMMYFUNCTION("""COMPUTED_VALUE"""),"Vampire (5)")</f>
        <v>Vampire (5)</v>
      </c>
      <c r="Z8" s="279">
        <f ca="1">IFERROR(__xludf.DUMMYFUNCTION("""COMPUTED_VALUE"""),5)</f>
        <v>5</v>
      </c>
      <c r="AA8" s="279" t="str">
        <f ca="1">IFERROR(__xludf.DUMMYFUNCTION("""COMPUTED_VALUE"""),"Vampire")</f>
        <v>Vampire</v>
      </c>
      <c r="AB8" s="280"/>
      <c r="AC8" s="280">
        <f ca="1">'Paste Editor (Beta)'!T51</f>
        <v>5</v>
      </c>
      <c r="AH8" s="280" t="str">
        <f>IF('Paste Editor (Beta)'!$C$82="Level-up prompt",G9,IF('Paste Editor (Beta)'!$C$82="Item prompt",E9,IF('Paste Editor (Beta)'!$C$82="Modifier prompt","'"&amp;B9,IF('Paste Editor (Beta)'!$C$82="Challenge prompt",L9,IF('Paste Editor (Beta)'!$C$82="Reroll class prompt",S8,IF('Paste Editor (Beta)'!$C$82="Swap hero prompt",S8,IF('Paste Editor (Beta)'!$C$82="Anvil prompt",AD8,"")))))))</f>
        <v/>
      </c>
      <c r="AI8" s="280" t="str">
        <f>IF('Paste Editor (Beta)'!$C$82="Level-up prompt",G9,IF('Paste Editor (Beta)'!$C$82="Item prompt",E9,IF('Paste Editor (Beta)'!$C$82="Modifier prompt","'"&amp;B9,IF('Paste Editor (Beta)'!$C$82="Challenge prompt",E9,IF('Paste Editor (Beta)'!$C$82="Reroll class prompt",S8,IF('Paste Editor (Beta)'!$C$82="Swap hero prompt",S8,IF('Paste Editor (Beta)'!$C$82="Anvil prompt",AD8,"")))))))</f>
        <v/>
      </c>
      <c r="AJ8" s="283" t="str">
        <f>IF('Paste Editor (Beta)'!$C$90="Level-up prompt",G9,IF('Paste Editor (Beta)'!$C$90="Item prompt",E9,IF('Paste Editor (Beta)'!$C$90="Modifier prompt","'"&amp;B9,IF('Paste Editor (Beta)'!$C$90="Challenge prompt",L9,IF('Paste Editor (Beta)'!$C$90="Reroll class prompt",S8,IF('Paste Editor (Beta)'!$C$90="Swap hero prompt",S8,IF('Paste Editor (Beta)'!$C$90="Anvil prompt",AD8,"")))))))</f>
        <v>Brigand</v>
      </c>
      <c r="AK8" s="283" t="str">
        <f>IF('Paste Editor (Beta)'!$C$90="Level-up prompt",G9,IF('Paste Editor (Beta)'!$C$90="Item prompt",E9,IF('Paste Editor (Beta)'!$C$90="Modifier prompt","'"&amp;B9,IF('Paste Editor (Beta)'!$C$90="Challenge prompt",E9,IF('Paste Editor (Beta)'!$C$90="Reroll class prompt",S8,IF('Paste Editor (Beta)'!$C$90="Swap hero prompt",S8,IF('Paste Editor (Beta)'!$C$90="Anvil prompt",AD8,"")))))))</f>
        <v>Brigand</v>
      </c>
    </row>
    <row r="9" spans="1:37" ht="15.75" customHeight="1">
      <c r="A9" s="23" t="s">
        <v>3869</v>
      </c>
      <c r="B9" s="285" t="s">
        <v>2910</v>
      </c>
      <c r="C9" s="285" t="s">
        <v>2910</v>
      </c>
      <c r="D9" s="285" t="s">
        <v>2910</v>
      </c>
      <c r="E9" s="280" t="s">
        <v>917</v>
      </c>
      <c r="G9" s="280" t="str">
        <v>Brigand</v>
      </c>
      <c r="I9" s="280" t="s">
        <v>3794</v>
      </c>
      <c r="J9" s="280" t="s">
        <v>3795</v>
      </c>
      <c r="L9" s="280" t="str">
        <f ca="1">IFERROR(__xludf.DUMMYFUNCTION("""COMPUTED_VALUE"""),"Baron")</f>
        <v>Baron</v>
      </c>
      <c r="M9" s="280" t="str">
        <f t="shared" ca="1" si="3"/>
        <v>Baron</v>
      </c>
      <c r="O9" s="279" t="str">
        <f t="shared" si="0"/>
        <v/>
      </c>
      <c r="P9" s="279" t="str">
        <f t="shared" si="4"/>
        <v/>
      </c>
      <c r="Q9" s="279"/>
      <c r="S9" s="279" t="str">
        <f t="shared" si="1"/>
        <v/>
      </c>
      <c r="T9" s="279" t="str">
        <f t="shared" si="5"/>
        <v/>
      </c>
      <c r="U9" s="280"/>
      <c r="V9" s="280"/>
      <c r="W9" s="280"/>
      <c r="X9" s="280"/>
      <c r="Y9" s="279" t="str">
        <f ca="1">IFERROR(__xludf.DUMMYFUNCTION("""COMPUTED_VALUE"""),"Statue (6)")</f>
        <v>Statue (6)</v>
      </c>
      <c r="Z9" s="279">
        <f ca="1">IFERROR(__xludf.DUMMYFUNCTION("""COMPUTED_VALUE"""),6)</f>
        <v>6</v>
      </c>
      <c r="AA9" s="279" t="str">
        <f ca="1">IFERROR(__xludf.DUMMYFUNCTION("""COMPUTED_VALUE"""),"Statue")</f>
        <v>Statue</v>
      </c>
      <c r="AB9" s="280"/>
      <c r="AC9" s="280">
        <f ca="1">'Paste Editor (Beta)'!T52</f>
        <v>0</v>
      </c>
      <c r="AH9" s="280" t="str">
        <f>IF('Paste Editor (Beta)'!$C$82="Level-up prompt",G10,IF('Paste Editor (Beta)'!$C$82="Item prompt",E10,IF('Paste Editor (Beta)'!$C$82="Modifier prompt","'"&amp;B10,IF('Paste Editor (Beta)'!$C$82="Challenge prompt",L10,IF('Paste Editor (Beta)'!$C$82="Reroll class prompt",S9,IF('Paste Editor (Beta)'!$C$82="Swap hero prompt",S9,IF('Paste Editor (Beta)'!$C$82="Anvil prompt",AD9,"")))))))</f>
        <v/>
      </c>
      <c r="AI9" s="280" t="str">
        <f>IF('Paste Editor (Beta)'!$C$82="Level-up prompt",G10,IF('Paste Editor (Beta)'!$C$82="Item prompt",E10,IF('Paste Editor (Beta)'!$C$82="Modifier prompt","'"&amp;B10,IF('Paste Editor (Beta)'!$C$82="Challenge prompt",E10,IF('Paste Editor (Beta)'!$C$82="Reroll class prompt",S9,IF('Paste Editor (Beta)'!$C$82="Swap hero prompt",S9,IF('Paste Editor (Beta)'!$C$82="Anvil prompt",AD9,"")))))))</f>
        <v/>
      </c>
      <c r="AJ9" s="283" t="str">
        <f>IF('Paste Editor (Beta)'!$C$90="Level-up prompt",G10,IF('Paste Editor (Beta)'!$C$90="Item prompt",E10,IF('Paste Editor (Beta)'!$C$90="Modifier prompt","'"&amp;B10,IF('Paste Editor (Beta)'!$C$90="Challenge prompt",L10,IF('Paste Editor (Beta)'!$C$90="Reroll class prompt",S9,IF('Paste Editor (Beta)'!$C$90="Swap hero prompt",S9,IF('Paste Editor (Beta)'!$C$90="Anvil prompt",AD9,"")))))))</f>
        <v>Ruffian</v>
      </c>
      <c r="AK9" s="283" t="str">
        <f>IF('Paste Editor (Beta)'!$C$90="Level-up prompt",G10,IF('Paste Editor (Beta)'!$C$90="Item prompt",E10,IF('Paste Editor (Beta)'!$C$90="Modifier prompt","'"&amp;B10,IF('Paste Editor (Beta)'!$C$90="Challenge prompt",E10,IF('Paste Editor (Beta)'!$C$90="Reroll class prompt",S9,IF('Paste Editor (Beta)'!$C$90="Swap hero prompt",S9,IF('Paste Editor (Beta)'!$C$90="Anvil prompt",AD9,"")))))))</f>
        <v>Ruffian</v>
      </c>
    </row>
    <row r="10" spans="1:37" ht="15.75" customHeight="1">
      <c r="A10" s="23" t="s">
        <v>3871</v>
      </c>
      <c r="B10" s="285" t="s">
        <v>2956</v>
      </c>
      <c r="C10" s="285" t="s">
        <v>2956</v>
      </c>
      <c r="D10" s="285" t="s">
        <v>2956</v>
      </c>
      <c r="E10" s="280" t="s">
        <v>1494</v>
      </c>
      <c r="G10" s="280" t="str">
        <v>Ruffian</v>
      </c>
      <c r="I10" s="280" t="s">
        <v>3796</v>
      </c>
      <c r="J10" s="280" t="s">
        <v>3797</v>
      </c>
      <c r="L10" s="280" t="str">
        <f ca="1">IFERROR(__xludf.DUMMYFUNCTION("""COMPUTED_VALUE"""),"Barrel")</f>
        <v>Barrel</v>
      </c>
      <c r="M10" s="280" t="str">
        <f t="shared" ca="1" si="3"/>
        <v>Barrel</v>
      </c>
      <c r="O10" s="279" t="str">
        <f t="shared" si="0"/>
        <v/>
      </c>
      <c r="P10" s="279" t="str">
        <f t="shared" si="4"/>
        <v/>
      </c>
      <c r="Q10" s="279"/>
      <c r="S10" s="279" t="str">
        <f t="shared" si="1"/>
        <v/>
      </c>
      <c r="T10" s="279" t="str">
        <f t="shared" si="5"/>
        <v/>
      </c>
      <c r="U10" s="280"/>
      <c r="V10" s="280"/>
      <c r="W10" s="280"/>
      <c r="X10" s="280"/>
      <c r="Y10" s="279"/>
      <c r="Z10" s="279"/>
      <c r="AA10" s="279"/>
      <c r="AC10" s="280" t="str">
        <f>'Paste Editor (Beta)'!T53</f>
        <v/>
      </c>
      <c r="AH10" s="280" t="str">
        <f>IF('Paste Editor (Beta)'!$C$82="Level-up prompt",G11,IF('Paste Editor (Beta)'!$C$82="Item prompt",E11,IF('Paste Editor (Beta)'!$C$82="Modifier prompt","'"&amp;B11,IF('Paste Editor (Beta)'!$C$82="Challenge prompt",L11,IF('Paste Editor (Beta)'!$C$82="Reroll class prompt",S10,IF('Paste Editor (Beta)'!$C$82="Swap hero prompt",S10,IF('Paste Editor (Beta)'!$C$82="Anvil prompt",AD10,"")))))))</f>
        <v/>
      </c>
      <c r="AI10" s="280" t="str">
        <f>IF('Paste Editor (Beta)'!$C$82="Level-up prompt",G11,IF('Paste Editor (Beta)'!$C$82="Item prompt",E11,IF('Paste Editor (Beta)'!$C$82="Modifier prompt","'"&amp;B11,IF('Paste Editor (Beta)'!$C$82="Challenge prompt",E11,IF('Paste Editor (Beta)'!$C$82="Reroll class prompt",S10,IF('Paste Editor (Beta)'!$C$82="Swap hero prompt",S10,IF('Paste Editor (Beta)'!$C$82="Anvil prompt",AD10,"")))))))</f>
        <v/>
      </c>
      <c r="AJ10" s="283" t="str">
        <f>IF('Paste Editor (Beta)'!$C$90="Level-up prompt",G11,IF('Paste Editor (Beta)'!$C$90="Item prompt",E11,IF('Paste Editor (Beta)'!$C$90="Modifier prompt","'"&amp;B11,IF('Paste Editor (Beta)'!$C$90="Challenge prompt",L11,IF('Paste Editor (Beta)'!$C$90="Reroll class prompt",S10,IF('Paste Editor (Beta)'!$C$90="Swap hero prompt",S10,IF('Paste Editor (Beta)'!$C$90="Anvil prompt",AD10,"")))))))</f>
        <v>Hoarder</v>
      </c>
      <c r="AK10" s="283" t="str">
        <f>IF('Paste Editor (Beta)'!$C$90="Level-up prompt",G11,IF('Paste Editor (Beta)'!$C$90="Item prompt",E11,IF('Paste Editor (Beta)'!$C$90="Modifier prompt","'"&amp;B11,IF('Paste Editor (Beta)'!$C$90="Challenge prompt",E11,IF('Paste Editor (Beta)'!$C$90="Reroll class prompt",S10,IF('Paste Editor (Beta)'!$C$90="Swap hero prompt",S10,IF('Paste Editor (Beta)'!$C$90="Anvil prompt",AD10,"")))))))</f>
        <v>Hoarder</v>
      </c>
    </row>
    <row r="11" spans="1:37" ht="15.75" customHeight="1">
      <c r="A11" s="23" t="s">
        <v>3872</v>
      </c>
      <c r="B11" s="285" t="s">
        <v>3037</v>
      </c>
      <c r="C11" s="285" t="s">
        <v>3037</v>
      </c>
      <c r="D11" s="285" t="s">
        <v>3037</v>
      </c>
      <c r="E11" s="280" t="s">
        <v>1134</v>
      </c>
      <c r="G11" s="280" t="str">
        <v>Hoarder</v>
      </c>
      <c r="I11" s="280" t="s">
        <v>3798</v>
      </c>
      <c r="J11" s="280" t="s">
        <v>3799</v>
      </c>
      <c r="L11" s="280" t="str">
        <f ca="1">IFERROR(__xludf.DUMMYFUNCTION("""COMPUTED_VALUE"""),"Basalt")</f>
        <v>Basalt</v>
      </c>
      <c r="M11" s="280" t="str">
        <f t="shared" ca="1" si="3"/>
        <v>Basalt</v>
      </c>
      <c r="O11" s="279" t="str">
        <f t="shared" si="0"/>
        <v/>
      </c>
      <c r="P11" s="279" t="str">
        <f t="shared" si="4"/>
        <v/>
      </c>
      <c r="Q11" s="279"/>
      <c r="S11" s="279" t="str">
        <f t="shared" si="1"/>
        <v/>
      </c>
      <c r="T11" s="279" t="str">
        <f t="shared" si="5"/>
        <v/>
      </c>
      <c r="U11" s="280"/>
      <c r="V11" s="280"/>
      <c r="W11" s="280"/>
      <c r="X11" s="280"/>
      <c r="Y11" s="279"/>
      <c r="Z11" s="279"/>
      <c r="AA11" s="279"/>
      <c r="AC11" s="280" t="str">
        <f>'Paste Editor (Beta)'!T54</f>
        <v/>
      </c>
      <c r="AH11" s="280" t="str">
        <f>IF('Paste Editor (Beta)'!$C$82="Level-up prompt",G12,IF('Paste Editor (Beta)'!$C$82="Item prompt",E12,IF('Paste Editor (Beta)'!$C$82="Modifier prompt","'"&amp;B12,IF('Paste Editor (Beta)'!$C$82="Challenge prompt",L12,IF('Paste Editor (Beta)'!$C$82="Reroll class prompt",S11,IF('Paste Editor (Beta)'!$C$82="Swap hero prompt",S11,IF('Paste Editor (Beta)'!$C$82="Anvil prompt",AD11,"")))))))</f>
        <v/>
      </c>
      <c r="AI11" s="280" t="str">
        <f>IF('Paste Editor (Beta)'!$C$82="Level-up prompt",G12,IF('Paste Editor (Beta)'!$C$82="Item prompt",E12,IF('Paste Editor (Beta)'!$C$82="Modifier prompt","'"&amp;B12,IF('Paste Editor (Beta)'!$C$82="Challenge prompt",E12,IF('Paste Editor (Beta)'!$C$82="Reroll class prompt",S11,IF('Paste Editor (Beta)'!$C$82="Swap hero prompt",S11,IF('Paste Editor (Beta)'!$C$82="Anvil prompt",AD11,"")))))))</f>
        <v/>
      </c>
      <c r="AJ11" s="283" t="str">
        <f>IF('Paste Editor (Beta)'!$C$90="Level-up prompt",G12,IF('Paste Editor (Beta)'!$C$90="Item prompt",E12,IF('Paste Editor (Beta)'!$C$90="Modifier prompt","'"&amp;B12,IF('Paste Editor (Beta)'!$C$90="Challenge prompt",L12,IF('Paste Editor (Beta)'!$C$90="Reroll class prompt",S11,IF('Paste Editor (Beta)'!$C$90="Swap hero prompt",S11,IF('Paste Editor (Beta)'!$C$90="Anvil prompt",AD11,"")))))))</f>
        <v>Defender</v>
      </c>
      <c r="AK11" s="283" t="str">
        <f>IF('Paste Editor (Beta)'!$C$90="Level-up prompt",G12,IF('Paste Editor (Beta)'!$C$90="Item prompt",E12,IF('Paste Editor (Beta)'!$C$90="Modifier prompt","'"&amp;B12,IF('Paste Editor (Beta)'!$C$90="Challenge prompt",E12,IF('Paste Editor (Beta)'!$C$90="Reroll class prompt",S11,IF('Paste Editor (Beta)'!$C$90="Swap hero prompt",S11,IF('Paste Editor (Beta)'!$C$90="Anvil prompt",AD11,"")))))))</f>
        <v>Defender</v>
      </c>
    </row>
    <row r="12" spans="1:37" ht="15.75" customHeight="1">
      <c r="A12" s="23" t="s">
        <v>3873</v>
      </c>
      <c r="B12" s="285" t="s">
        <v>2885</v>
      </c>
      <c r="C12" s="284" t="s">
        <v>3812</v>
      </c>
      <c r="D12" s="284" t="s">
        <v>4015</v>
      </c>
      <c r="E12" s="280" t="s">
        <v>1383</v>
      </c>
      <c r="G12" s="280" t="str">
        <v>Defender</v>
      </c>
      <c r="I12" s="280" t="s">
        <v>3800</v>
      </c>
      <c r="J12" s="280" t="s">
        <v>3801</v>
      </c>
      <c r="L12" s="280" t="str">
        <f ca="1">IFERROR(__xludf.DUMMYFUNCTION("""COMPUTED_VALUE"""),"Basilisk")</f>
        <v>Basilisk</v>
      </c>
      <c r="M12" s="280" t="str">
        <f t="shared" ca="1" si="3"/>
        <v>Basilisk</v>
      </c>
      <c r="O12" s="279" t="str">
        <f t="shared" si="0"/>
        <v/>
      </c>
      <c r="P12" s="279" t="str">
        <f t="shared" si="4"/>
        <v/>
      </c>
      <c r="Q12" s="279"/>
      <c r="S12" s="279" t="str">
        <f t="shared" si="1"/>
        <v/>
      </c>
      <c r="T12" s="279" t="str">
        <f t="shared" si="5"/>
        <v/>
      </c>
      <c r="U12" s="280"/>
      <c r="V12" s="280"/>
      <c r="W12" s="280"/>
      <c r="X12" s="280"/>
      <c r="Y12" s="279"/>
      <c r="Z12" s="279"/>
      <c r="AA12" s="279"/>
      <c r="AC12" s="280" t="str">
        <f>'Paste Editor (Beta)'!T55</f>
        <v/>
      </c>
      <c r="AH12" s="280" t="str">
        <f>IF('Paste Editor (Beta)'!$C$82="Level-up prompt",G13,IF('Paste Editor (Beta)'!$C$82="Item prompt",E13,IF('Paste Editor (Beta)'!$C$82="Modifier prompt","'"&amp;B13,IF('Paste Editor (Beta)'!$C$82="Challenge prompt",L13,IF('Paste Editor (Beta)'!$C$82="Reroll class prompt",S12,IF('Paste Editor (Beta)'!$C$82="Swap hero prompt",S12,IF('Paste Editor (Beta)'!$C$82="Anvil prompt",AD12,"")))))))</f>
        <v/>
      </c>
      <c r="AI12" s="280" t="str">
        <f>IF('Paste Editor (Beta)'!$C$82="Level-up prompt",G13,IF('Paste Editor (Beta)'!$C$82="Item prompt",E13,IF('Paste Editor (Beta)'!$C$82="Modifier prompt","'"&amp;B13,IF('Paste Editor (Beta)'!$C$82="Challenge prompt",E13,IF('Paste Editor (Beta)'!$C$82="Reroll class prompt",S12,IF('Paste Editor (Beta)'!$C$82="Swap hero prompt",S12,IF('Paste Editor (Beta)'!$C$82="Anvil prompt",AD12,"")))))))</f>
        <v/>
      </c>
      <c r="AJ12" s="283" t="str">
        <f>IF('Paste Editor (Beta)'!$C$90="Level-up prompt",G13,IF('Paste Editor (Beta)'!$C$90="Item prompt",E13,IF('Paste Editor (Beta)'!$C$90="Modifier prompt","'"&amp;B13,IF('Paste Editor (Beta)'!$C$90="Challenge prompt",L13,IF('Paste Editor (Beta)'!$C$90="Reroll class prompt",S12,IF('Paste Editor (Beta)'!$C$90="Swap hero prompt",S12,IF('Paste Editor (Beta)'!$C$90="Anvil prompt",AD12,"")))))))</f>
        <v>Buckle</v>
      </c>
      <c r="AK12" s="283" t="str">
        <f>IF('Paste Editor (Beta)'!$C$90="Level-up prompt",G13,IF('Paste Editor (Beta)'!$C$90="Item prompt",E13,IF('Paste Editor (Beta)'!$C$90="Modifier prompt","'"&amp;B13,IF('Paste Editor (Beta)'!$C$90="Challenge prompt",E13,IF('Paste Editor (Beta)'!$C$90="Reroll class prompt",S12,IF('Paste Editor (Beta)'!$C$90="Swap hero prompt",S12,IF('Paste Editor (Beta)'!$C$90="Anvil prompt",AD12,"")))))))</f>
        <v>Buckle</v>
      </c>
    </row>
    <row r="13" spans="1:37" ht="15.75" customHeight="1">
      <c r="A13" s="23" t="s">
        <v>3874</v>
      </c>
      <c r="B13" s="285" t="s">
        <v>3041</v>
      </c>
      <c r="C13" s="285" t="s">
        <v>3041</v>
      </c>
      <c r="D13" s="285" t="s">
        <v>3041</v>
      </c>
      <c r="E13" s="280" t="s">
        <v>1136</v>
      </c>
      <c r="G13" s="280" t="str">
        <v>Buckle</v>
      </c>
      <c r="I13" s="280" t="s">
        <v>4016</v>
      </c>
      <c r="J13" s="280" t="s">
        <v>3803</v>
      </c>
      <c r="L13" s="280" t="str">
        <f ca="1">IFERROR(__xludf.DUMMYFUNCTION("""COMPUTED_VALUE"""),"Bell")</f>
        <v>Bell</v>
      </c>
      <c r="M13" s="280" t="str">
        <f t="shared" ca="1" si="3"/>
        <v>Bell</v>
      </c>
      <c r="O13" s="279" t="str">
        <f t="shared" si="0"/>
        <v/>
      </c>
      <c r="P13" s="279" t="str">
        <f t="shared" si="4"/>
        <v/>
      </c>
      <c r="Q13" s="279"/>
      <c r="S13" s="279" t="str">
        <f t="shared" si="1"/>
        <v/>
      </c>
      <c r="T13" s="279" t="str">
        <f t="shared" si="5"/>
        <v/>
      </c>
      <c r="U13" s="280"/>
      <c r="V13" s="280"/>
      <c r="W13" s="280"/>
      <c r="X13" s="280"/>
      <c r="Y13" s="279"/>
      <c r="Z13" s="279"/>
      <c r="AA13" s="279"/>
      <c r="AC13" s="280" t="str">
        <f>'Paste Editor (Beta)'!T56</f>
        <v/>
      </c>
      <c r="AH13" s="280" t="str">
        <f>IF('Paste Editor (Beta)'!$C$82="Level-up prompt",G14,IF('Paste Editor (Beta)'!$C$82="Item prompt",E14,IF('Paste Editor (Beta)'!$C$82="Modifier prompt","'"&amp;B14,IF('Paste Editor (Beta)'!$C$82="Challenge prompt",L14,IF('Paste Editor (Beta)'!$C$82="Reroll class prompt",S13,IF('Paste Editor (Beta)'!$C$82="Swap hero prompt",S13,IF('Paste Editor (Beta)'!$C$82="Anvil prompt",AD13,"")))))))</f>
        <v/>
      </c>
      <c r="AI13" s="280" t="str">
        <f>IF('Paste Editor (Beta)'!$C$82="Level-up prompt",G14,IF('Paste Editor (Beta)'!$C$82="Item prompt",E14,IF('Paste Editor (Beta)'!$C$82="Modifier prompt","'"&amp;B14,IF('Paste Editor (Beta)'!$C$82="Challenge prompt",E14,IF('Paste Editor (Beta)'!$C$82="Reroll class prompt",S13,IF('Paste Editor (Beta)'!$C$82="Swap hero prompt",S13,IF('Paste Editor (Beta)'!$C$82="Anvil prompt",AD13,"")))))))</f>
        <v/>
      </c>
      <c r="AJ13" s="283" t="str">
        <f>IF('Paste Editor (Beta)'!$C$90="Level-up prompt",G14,IF('Paste Editor (Beta)'!$C$90="Item prompt",E14,IF('Paste Editor (Beta)'!$C$90="Modifier prompt","'"&amp;B14,IF('Paste Editor (Beta)'!$C$90="Challenge prompt",L14,IF('Paste Editor (Beta)'!$C$90="Reroll class prompt",S13,IF('Paste Editor (Beta)'!$C$90="Swap hero prompt",S13,IF('Paste Editor (Beta)'!$C$90="Anvil prompt",AD13,"")))))))</f>
        <v>Squire</v>
      </c>
      <c r="AK13" s="283" t="str">
        <f>IF('Paste Editor (Beta)'!$C$90="Level-up prompt",G14,IF('Paste Editor (Beta)'!$C$90="Item prompt",E14,IF('Paste Editor (Beta)'!$C$90="Modifier prompt","'"&amp;B14,IF('Paste Editor (Beta)'!$C$90="Challenge prompt",E14,IF('Paste Editor (Beta)'!$C$90="Reroll class prompt",S13,IF('Paste Editor (Beta)'!$C$90="Swap hero prompt",S13,IF('Paste Editor (Beta)'!$C$90="Anvil prompt",AD13,"")))))))</f>
        <v>Squire</v>
      </c>
    </row>
    <row r="14" spans="1:37" ht="15.75" customHeight="1">
      <c r="A14" s="23" t="s">
        <v>3875</v>
      </c>
      <c r="B14" s="285" t="s">
        <v>2913</v>
      </c>
      <c r="C14" s="285" t="s">
        <v>2913</v>
      </c>
      <c r="D14" s="285" t="s">
        <v>2913</v>
      </c>
      <c r="E14" s="280" t="s">
        <v>1556</v>
      </c>
      <c r="G14" s="280" t="str">
        <v>Squire</v>
      </c>
      <c r="I14" s="280" t="s">
        <v>3804</v>
      </c>
      <c r="J14" s="280" t="s">
        <v>3805</v>
      </c>
      <c r="L14" s="280" t="str">
        <f ca="1">IFERROR(__xludf.DUMMYFUNCTION("""COMPUTED_VALUE"""),"Boar")</f>
        <v>Boar</v>
      </c>
      <c r="M14" s="280" t="str">
        <f t="shared" ca="1" si="3"/>
        <v>Boar</v>
      </c>
      <c r="O14" s="279" t="str">
        <f t="shared" si="0"/>
        <v/>
      </c>
      <c r="P14" s="279" t="str">
        <f t="shared" si="4"/>
        <v/>
      </c>
      <c r="Q14" s="279"/>
      <c r="S14" s="279" t="str">
        <f t="shared" si="1"/>
        <v/>
      </c>
      <c r="T14" s="279" t="str">
        <f t="shared" si="5"/>
        <v/>
      </c>
      <c r="U14" s="280"/>
      <c r="V14" s="280"/>
      <c r="W14" s="280"/>
      <c r="X14" s="280"/>
      <c r="Y14" s="279"/>
      <c r="Z14" s="279"/>
      <c r="AA14" s="279"/>
      <c r="AC14" s="280" t="str">
        <f>'Paste Editor (Beta)'!T57</f>
        <v/>
      </c>
      <c r="AH14" s="280" t="str">
        <f>IF('Paste Editor (Beta)'!$C$82="Level-up prompt",G15,IF('Paste Editor (Beta)'!$C$82="Item prompt",E15,IF('Paste Editor (Beta)'!$C$82="Modifier prompt","'"&amp;B15,IF('Paste Editor (Beta)'!$C$82="Challenge prompt",L15,IF('Paste Editor (Beta)'!$C$82="Reroll class prompt",S14,IF('Paste Editor (Beta)'!$C$82="Swap hero prompt",S14,IF('Paste Editor (Beta)'!$C$82="Anvil prompt",AD14,"")))))))</f>
        <v/>
      </c>
      <c r="AI14" s="280" t="str">
        <f>IF('Paste Editor (Beta)'!$C$82="Level-up prompt",G15,IF('Paste Editor (Beta)'!$C$82="Item prompt",E15,IF('Paste Editor (Beta)'!$C$82="Modifier prompt","'"&amp;B15,IF('Paste Editor (Beta)'!$C$82="Challenge prompt",E15,IF('Paste Editor (Beta)'!$C$82="Reroll class prompt",S14,IF('Paste Editor (Beta)'!$C$82="Swap hero prompt",S14,IF('Paste Editor (Beta)'!$C$82="Anvil prompt",AD14,"")))))))</f>
        <v/>
      </c>
      <c r="AJ14" s="283" t="str">
        <f>IF('Paste Editor (Beta)'!$C$90="Level-up prompt",G15,IF('Paste Editor (Beta)'!$C$90="Item prompt",E15,IF('Paste Editor (Beta)'!$C$90="Modifier prompt","'"&amp;B15,IF('Paste Editor (Beta)'!$C$90="Challenge prompt",L15,IF('Paste Editor (Beta)'!$C$90="Reroll class prompt",S14,IF('Paste Editor (Beta)'!$C$90="Swap hero prompt",S14,IF('Paste Editor (Beta)'!$C$90="Anvil prompt",AD14,"")))))))</f>
        <v>Alloy</v>
      </c>
      <c r="AK14" s="283" t="str">
        <f>IF('Paste Editor (Beta)'!$C$90="Level-up prompt",G15,IF('Paste Editor (Beta)'!$C$90="Item prompt",E15,IF('Paste Editor (Beta)'!$C$90="Modifier prompt","'"&amp;B15,IF('Paste Editor (Beta)'!$C$90="Challenge prompt",E15,IF('Paste Editor (Beta)'!$C$90="Reroll class prompt",S14,IF('Paste Editor (Beta)'!$C$90="Swap hero prompt",S14,IF('Paste Editor (Beta)'!$C$90="Anvil prompt",AD14,"")))))))</f>
        <v>Alloy</v>
      </c>
    </row>
    <row r="15" spans="1:37" ht="15.75" customHeight="1">
      <c r="A15" s="23" t="s">
        <v>3876</v>
      </c>
      <c r="B15" s="284" t="s">
        <v>2561</v>
      </c>
      <c r="C15" s="284" t="s">
        <v>2561</v>
      </c>
      <c r="D15" s="284" t="s">
        <v>2561</v>
      </c>
      <c r="E15" s="280" t="s">
        <v>1081</v>
      </c>
      <c r="G15" s="280" t="str">
        <v>Alloy</v>
      </c>
      <c r="I15" s="280" t="s">
        <v>3806</v>
      </c>
      <c r="J15" s="280" t="s">
        <v>3807</v>
      </c>
      <c r="L15" s="280" t="str">
        <f ca="1">IFERROR(__xludf.DUMMYFUNCTION("""COMPUTED_VALUE"""),"Bones")</f>
        <v>Bones</v>
      </c>
      <c r="M15" s="280" t="str">
        <f t="shared" ca="1" si="3"/>
        <v>Bones</v>
      </c>
      <c r="O15" s="279" t="str">
        <f t="shared" si="0"/>
        <v/>
      </c>
      <c r="P15" s="279" t="str">
        <f t="shared" si="4"/>
        <v/>
      </c>
      <c r="Q15" s="279"/>
      <c r="S15" s="279" t="str">
        <f t="shared" si="1"/>
        <v/>
      </c>
      <c r="T15" s="279" t="str">
        <f t="shared" si="5"/>
        <v/>
      </c>
      <c r="U15" s="280"/>
      <c r="V15" s="280"/>
      <c r="W15" s="280"/>
      <c r="X15" s="280"/>
      <c r="Y15" s="279"/>
      <c r="Z15" s="279"/>
      <c r="AA15" s="279"/>
      <c r="AC15" s="280" t="str">
        <f>'Paste Editor (Beta)'!T58</f>
        <v/>
      </c>
      <c r="AH15" s="280" t="str">
        <f>IF('Paste Editor (Beta)'!$C$82="Level-up prompt",G16,IF('Paste Editor (Beta)'!$C$82="Item prompt",E16,IF('Paste Editor (Beta)'!$C$82="Modifier prompt","'"&amp;B16,IF('Paste Editor (Beta)'!$C$82="Challenge prompt",L16,IF('Paste Editor (Beta)'!$C$82="Reroll class prompt",S15,IF('Paste Editor (Beta)'!$C$82="Swap hero prompt",S15,IF('Paste Editor (Beta)'!$C$82="Anvil prompt",AD15,"")))))))</f>
        <v/>
      </c>
      <c r="AI15" s="280" t="str">
        <f>IF('Paste Editor (Beta)'!$C$82="Level-up prompt",G16,IF('Paste Editor (Beta)'!$C$82="Item prompt",E16,IF('Paste Editor (Beta)'!$C$82="Modifier prompt","'"&amp;B16,IF('Paste Editor (Beta)'!$C$82="Challenge prompt",E16,IF('Paste Editor (Beta)'!$C$82="Reroll class prompt",S15,IF('Paste Editor (Beta)'!$C$82="Swap hero prompt",S15,IF('Paste Editor (Beta)'!$C$82="Anvil prompt",AD15,"")))))))</f>
        <v/>
      </c>
      <c r="AJ15" s="283" t="str">
        <f>IF('Paste Editor (Beta)'!$C$90="Level-up prompt",G16,IF('Paste Editor (Beta)'!$C$90="Item prompt",E16,IF('Paste Editor (Beta)'!$C$90="Modifier prompt","'"&amp;B16,IF('Paste Editor (Beta)'!$C$90="Challenge prompt",L16,IF('Paste Editor (Beta)'!$C$90="Reroll class prompt",S15,IF('Paste Editor (Beta)'!$C$90="Swap hero prompt",S15,IF('Paste Editor (Beta)'!$C$90="Anvil prompt",AD15,"")))))))</f>
        <v>Healer</v>
      </c>
      <c r="AK15" s="283" t="str">
        <f>IF('Paste Editor (Beta)'!$C$90="Level-up prompt",G16,IF('Paste Editor (Beta)'!$C$90="Item prompt",E16,IF('Paste Editor (Beta)'!$C$90="Modifier prompt","'"&amp;B16,IF('Paste Editor (Beta)'!$C$90="Challenge prompt",E16,IF('Paste Editor (Beta)'!$C$90="Reroll class prompt",S15,IF('Paste Editor (Beta)'!$C$90="Swap hero prompt",S15,IF('Paste Editor (Beta)'!$C$90="Anvil prompt",AD15,"")))))))</f>
        <v>Healer</v>
      </c>
    </row>
    <row r="16" spans="1:37" ht="15.75" customHeight="1">
      <c r="A16" s="23" t="s">
        <v>3877</v>
      </c>
      <c r="B16" s="284" t="s">
        <v>2153</v>
      </c>
      <c r="C16" s="284" t="s">
        <v>2153</v>
      </c>
      <c r="D16" s="284" t="s">
        <v>2153</v>
      </c>
      <c r="E16" s="280" t="s">
        <v>1577</v>
      </c>
      <c r="G16" s="280" t="str">
        <v>Healer</v>
      </c>
      <c r="L16" s="280" t="str">
        <f ca="1">IFERROR(__xludf.DUMMYFUNCTION("""COMPUTED_VALUE"""),"Bramble")</f>
        <v>Bramble</v>
      </c>
      <c r="M16" s="280" t="str">
        <f t="shared" ca="1" si="3"/>
        <v>Bramble</v>
      </c>
      <c r="O16" s="279" t="str">
        <f t="shared" si="0"/>
        <v/>
      </c>
      <c r="P16" s="279" t="str">
        <f t="shared" si="4"/>
        <v/>
      </c>
      <c r="Q16" s="279"/>
      <c r="S16" s="279" t="str">
        <f t="shared" si="1"/>
        <v/>
      </c>
      <c r="T16" s="279" t="str">
        <f t="shared" si="5"/>
        <v/>
      </c>
      <c r="U16" s="280"/>
      <c r="V16" s="280"/>
      <c r="W16" s="280"/>
      <c r="X16" s="280"/>
      <c r="Y16" s="279"/>
      <c r="Z16" s="279"/>
      <c r="AA16" s="279"/>
      <c r="AC16" s="280" t="str">
        <f>'Paste Editor (Beta)'!T59</f>
        <v/>
      </c>
      <c r="AH16" s="280" t="str">
        <f>IF('Paste Editor (Beta)'!$C$82="Level-up prompt",G17,IF('Paste Editor (Beta)'!$C$82="Item prompt",E17,IF('Paste Editor (Beta)'!$C$82="Modifier prompt","'"&amp;B17,IF('Paste Editor (Beta)'!$C$82="Challenge prompt",L17,IF('Paste Editor (Beta)'!$C$82="Reroll class prompt",S16,IF('Paste Editor (Beta)'!$C$82="Swap hero prompt",S16,IF('Paste Editor (Beta)'!$C$82="Anvil prompt",AD16,"")))))))</f>
        <v/>
      </c>
      <c r="AI16" s="280" t="str">
        <f>IF('Paste Editor (Beta)'!$C$82="Level-up prompt",G17,IF('Paste Editor (Beta)'!$C$82="Item prompt",E17,IF('Paste Editor (Beta)'!$C$82="Modifier prompt","'"&amp;B17,IF('Paste Editor (Beta)'!$C$82="Challenge prompt",E17,IF('Paste Editor (Beta)'!$C$82="Reroll class prompt",S16,IF('Paste Editor (Beta)'!$C$82="Swap hero prompt",S16,IF('Paste Editor (Beta)'!$C$82="Anvil prompt",AD16,"")))))))</f>
        <v/>
      </c>
      <c r="AJ16" s="283" t="str">
        <f>IF('Paste Editor (Beta)'!$C$90="Level-up prompt",G17,IF('Paste Editor (Beta)'!$C$90="Item prompt",E17,IF('Paste Editor (Beta)'!$C$90="Modifier prompt","'"&amp;B17,IF('Paste Editor (Beta)'!$C$90="Challenge prompt",L17,IF('Paste Editor (Beta)'!$C$90="Reroll class prompt",S16,IF('Paste Editor (Beta)'!$C$90="Swap hero prompt",S16,IF('Paste Editor (Beta)'!$C$90="Anvil prompt",AD16,"")))))))</f>
        <v>Acolyte</v>
      </c>
      <c r="AK16" s="283" t="str">
        <f>IF('Paste Editor (Beta)'!$C$90="Level-up prompt",G17,IF('Paste Editor (Beta)'!$C$90="Item prompt",E17,IF('Paste Editor (Beta)'!$C$90="Modifier prompt","'"&amp;B17,IF('Paste Editor (Beta)'!$C$90="Challenge prompt",E17,IF('Paste Editor (Beta)'!$C$90="Reroll class prompt",S16,IF('Paste Editor (Beta)'!$C$90="Swap hero prompt",S16,IF('Paste Editor (Beta)'!$C$90="Anvil prompt",AD16,"")))))))</f>
        <v>Acolyte</v>
      </c>
    </row>
    <row r="17" spans="1:37" ht="15.75" customHeight="1">
      <c r="A17" s="23" t="s">
        <v>3878</v>
      </c>
      <c r="B17" s="284" t="s">
        <v>2641</v>
      </c>
      <c r="C17" s="284" t="s">
        <v>2641</v>
      </c>
      <c r="D17" s="284" t="s">
        <v>2641</v>
      </c>
      <c r="E17" s="280" t="s">
        <v>919</v>
      </c>
      <c r="G17" s="280" t="str">
        <v>Acolyte</v>
      </c>
      <c r="L17" s="280" t="str">
        <f ca="1">IFERROR(__xludf.DUMMYFUNCTION("""COMPUTED_VALUE"""),"Caw")</f>
        <v>Caw</v>
      </c>
      <c r="M17" s="280" t="str">
        <f t="shared" ca="1" si="3"/>
        <v>Caw</v>
      </c>
      <c r="O17" s="279" t="str">
        <f t="shared" si="0"/>
        <v/>
      </c>
      <c r="P17" s="279" t="str">
        <f t="shared" si="4"/>
        <v/>
      </c>
      <c r="Q17" s="279"/>
      <c r="S17" s="279" t="str">
        <f t="shared" si="1"/>
        <v/>
      </c>
      <c r="T17" s="279" t="str">
        <f t="shared" si="5"/>
        <v/>
      </c>
      <c r="U17" s="280"/>
      <c r="V17" s="280"/>
      <c r="W17" s="280"/>
      <c r="X17" s="280"/>
      <c r="Y17" s="279"/>
      <c r="Z17" s="279"/>
      <c r="AA17" s="279"/>
      <c r="AC17" s="280" t="str">
        <f>'Paste Editor (Beta)'!T60</f>
        <v/>
      </c>
      <c r="AH17" s="280" t="str">
        <f>IF('Paste Editor (Beta)'!$C$82="Level-up prompt",G18,IF('Paste Editor (Beta)'!$C$82="Item prompt",E18,IF('Paste Editor (Beta)'!$C$82="Modifier prompt","'"&amp;B18,IF('Paste Editor (Beta)'!$C$82="Challenge prompt",L18,IF('Paste Editor (Beta)'!$C$82="Reroll class prompt",S17,IF('Paste Editor (Beta)'!$C$82="Swap hero prompt",S17,IF('Paste Editor (Beta)'!$C$82="Anvil prompt",AD17,"")))))))</f>
        <v/>
      </c>
      <c r="AI17" s="280" t="str">
        <f>IF('Paste Editor (Beta)'!$C$82="Level-up prompt",G18,IF('Paste Editor (Beta)'!$C$82="Item prompt",E18,IF('Paste Editor (Beta)'!$C$82="Modifier prompt","'"&amp;B18,IF('Paste Editor (Beta)'!$C$82="Challenge prompt",E18,IF('Paste Editor (Beta)'!$C$82="Reroll class prompt",S17,IF('Paste Editor (Beta)'!$C$82="Swap hero prompt",S17,IF('Paste Editor (Beta)'!$C$82="Anvil prompt",AD17,"")))))))</f>
        <v/>
      </c>
      <c r="AJ17" s="283" t="str">
        <f>IF('Paste Editor (Beta)'!$C$90="Level-up prompt",G18,IF('Paste Editor (Beta)'!$C$90="Item prompt",E18,IF('Paste Editor (Beta)'!$C$90="Modifier prompt","'"&amp;B18,IF('Paste Editor (Beta)'!$C$90="Challenge prompt",L18,IF('Paste Editor (Beta)'!$C$90="Reroll class prompt",S17,IF('Paste Editor (Beta)'!$C$90="Swap hero prompt",S17,IF('Paste Editor (Beta)'!$C$90="Anvil prompt",AD17,"")))))))</f>
        <v>Mystic</v>
      </c>
      <c r="AK17" s="283" t="str">
        <f>IF('Paste Editor (Beta)'!$C$90="Level-up prompt",G18,IF('Paste Editor (Beta)'!$C$90="Item prompt",E18,IF('Paste Editor (Beta)'!$C$90="Modifier prompt","'"&amp;B18,IF('Paste Editor (Beta)'!$C$90="Challenge prompt",E18,IF('Paste Editor (Beta)'!$C$90="Reroll class prompt",S17,IF('Paste Editor (Beta)'!$C$90="Swap hero prompt",S17,IF('Paste Editor (Beta)'!$C$90="Anvil prompt",AD17,"")))))))</f>
        <v>Mystic</v>
      </c>
    </row>
    <row r="18" spans="1:37" ht="15.75" customHeight="1">
      <c r="A18" s="23" t="s">
        <v>3879</v>
      </c>
      <c r="B18" s="284" t="s">
        <v>2191</v>
      </c>
      <c r="C18" s="284" t="s">
        <v>2191</v>
      </c>
      <c r="D18" s="284" t="s">
        <v>2191</v>
      </c>
      <c r="E18" s="280" t="s">
        <v>1575</v>
      </c>
      <c r="G18" s="280" t="str">
        <v>Mystic</v>
      </c>
      <c r="L18" s="280" t="str">
        <f ca="1">IFERROR(__xludf.DUMMYFUNCTION("""COMPUTED_VALUE"""),"Caw Egg")</f>
        <v>Caw Egg</v>
      </c>
      <c r="M18" s="280" t="str">
        <f t="shared" ca="1" si="3"/>
        <v>Caw Egg</v>
      </c>
      <c r="O18" s="279" t="str">
        <f t="shared" si="0"/>
        <v/>
      </c>
      <c r="P18" s="279" t="str">
        <f t="shared" si="4"/>
        <v/>
      </c>
      <c r="Q18" s="279"/>
      <c r="S18" s="279" t="str">
        <f t="shared" si="1"/>
        <v/>
      </c>
      <c r="T18" s="279" t="str">
        <f t="shared" si="5"/>
        <v/>
      </c>
      <c r="U18" s="280"/>
      <c r="V18" s="280"/>
      <c r="W18" s="280"/>
      <c r="X18" s="280"/>
      <c r="Y18" s="279"/>
      <c r="Z18" s="279"/>
      <c r="AA18" s="279"/>
      <c r="AC18" s="280" t="str">
        <f>'Paste Editor (Beta)'!T61</f>
        <v/>
      </c>
      <c r="AH18" s="280" t="str">
        <f>IF('Paste Editor (Beta)'!$C$82="Level-up prompt",G19,IF('Paste Editor (Beta)'!$C$82="Item prompt",E19,IF('Paste Editor (Beta)'!$C$82="Modifier prompt","'"&amp;B19,IF('Paste Editor (Beta)'!$C$82="Challenge prompt",L19,IF('Paste Editor (Beta)'!$C$82="Reroll class prompt",S18,IF('Paste Editor (Beta)'!$C$82="Swap hero prompt",S18,IF('Paste Editor (Beta)'!$C$82="Anvil prompt",AD18,"")))))))</f>
        <v/>
      </c>
      <c r="AI18" s="280" t="str">
        <f>IF('Paste Editor (Beta)'!$C$82="Level-up prompt",G19,IF('Paste Editor (Beta)'!$C$82="Item prompt",E19,IF('Paste Editor (Beta)'!$C$82="Modifier prompt","'"&amp;B19,IF('Paste Editor (Beta)'!$C$82="Challenge prompt",E19,IF('Paste Editor (Beta)'!$C$82="Reroll class prompt",S18,IF('Paste Editor (Beta)'!$C$82="Swap hero prompt",S18,IF('Paste Editor (Beta)'!$C$82="Anvil prompt",AD18,"")))))))</f>
        <v/>
      </c>
      <c r="AJ18" s="283" t="str">
        <f>IF('Paste Editor (Beta)'!$C$90="Level-up prompt",G19,IF('Paste Editor (Beta)'!$C$90="Item prompt",E19,IF('Paste Editor (Beta)'!$C$90="Modifier prompt","'"&amp;B19,IF('Paste Editor (Beta)'!$C$90="Challenge prompt",L19,IF('Paste Editor (Beta)'!$C$90="Reroll class prompt",S18,IF('Paste Editor (Beta)'!$C$90="Swap hero prompt",S18,IF('Paste Editor (Beta)'!$C$90="Anvil prompt",AD18,"")))))))</f>
        <v>Splint</v>
      </c>
      <c r="AK18" s="283" t="str">
        <f>IF('Paste Editor (Beta)'!$C$90="Level-up prompt",G19,IF('Paste Editor (Beta)'!$C$90="Item prompt",E19,IF('Paste Editor (Beta)'!$C$90="Modifier prompt","'"&amp;B19,IF('Paste Editor (Beta)'!$C$90="Challenge prompt",E19,IF('Paste Editor (Beta)'!$C$90="Reroll class prompt",S18,IF('Paste Editor (Beta)'!$C$90="Swap hero prompt",S18,IF('Paste Editor (Beta)'!$C$90="Anvil prompt",AD18,"")))))))</f>
        <v>Splint</v>
      </c>
    </row>
    <row r="19" spans="1:37" ht="15.75" customHeight="1">
      <c r="A19" s="23" t="s">
        <v>3880</v>
      </c>
      <c r="B19" s="284" t="s">
        <v>2540</v>
      </c>
      <c r="C19" s="284" t="s">
        <v>2540</v>
      </c>
      <c r="D19" s="284" t="s">
        <v>2540</v>
      </c>
      <c r="E19" s="280" t="s">
        <v>922</v>
      </c>
      <c r="G19" s="280" t="str">
        <v>Splint</v>
      </c>
      <c r="L19" s="280" t="str">
        <f ca="1">IFERROR(__xludf.DUMMYFUNCTION("""COMPUTED_VALUE"""),"Chest")</f>
        <v>Chest</v>
      </c>
      <c r="M19" s="280" t="str">
        <f t="shared" ca="1" si="3"/>
        <v>Chest</v>
      </c>
      <c r="O19" s="279" t="str">
        <f t="shared" si="0"/>
        <v/>
      </c>
      <c r="P19" s="279" t="str">
        <f t="shared" si="4"/>
        <v/>
      </c>
      <c r="Q19" s="279"/>
      <c r="S19" s="279" t="str">
        <f t="shared" si="1"/>
        <v/>
      </c>
      <c r="T19" s="279" t="str">
        <f t="shared" si="5"/>
        <v/>
      </c>
      <c r="U19" s="280"/>
      <c r="V19" s="280"/>
      <c r="W19" s="280"/>
      <c r="X19" s="280"/>
      <c r="Y19" s="279"/>
      <c r="Z19" s="279"/>
      <c r="AA19" s="279"/>
      <c r="AC19" s="280" t="str">
        <f>'Paste Editor (Beta)'!T62</f>
        <v/>
      </c>
      <c r="AH19" s="280" t="str">
        <f>IF('Paste Editor (Beta)'!$C$82="Level-up prompt",G20,IF('Paste Editor (Beta)'!$C$82="Item prompt",E20,IF('Paste Editor (Beta)'!$C$82="Modifier prompt","'"&amp;B20,IF('Paste Editor (Beta)'!$C$82="Challenge prompt",L20,IF('Paste Editor (Beta)'!$C$82="Reroll class prompt",S19,IF('Paste Editor (Beta)'!$C$82="Swap hero prompt",S19,IF('Paste Editor (Beta)'!$C$82="Anvil prompt",AD19,"")))))))</f>
        <v/>
      </c>
      <c r="AI19" s="280" t="str">
        <f>IF('Paste Editor (Beta)'!$C$82="Level-up prompt",G20,IF('Paste Editor (Beta)'!$C$82="Item prompt",E20,IF('Paste Editor (Beta)'!$C$82="Modifier prompt","'"&amp;B20,IF('Paste Editor (Beta)'!$C$82="Challenge prompt",E20,IF('Paste Editor (Beta)'!$C$82="Reroll class prompt",S19,IF('Paste Editor (Beta)'!$C$82="Swap hero prompt",S19,IF('Paste Editor (Beta)'!$C$82="Anvil prompt",AD19,"")))))))</f>
        <v/>
      </c>
      <c r="AJ19" s="283" t="str">
        <f>IF('Paste Editor (Beta)'!$C$90="Level-up prompt",G20,IF('Paste Editor (Beta)'!$C$90="Item prompt",E20,IF('Paste Editor (Beta)'!$C$90="Modifier prompt","'"&amp;B20,IF('Paste Editor (Beta)'!$C$90="Challenge prompt",L20,IF('Paste Editor (Beta)'!$C$90="Reroll class prompt",S19,IF('Paste Editor (Beta)'!$C$90="Swap hero prompt",S19,IF('Paste Editor (Beta)'!$C$90="Anvil prompt",AD19,"")))))))</f>
        <v>Mage</v>
      </c>
      <c r="AK19" s="283" t="str">
        <f>IF('Paste Editor (Beta)'!$C$90="Level-up prompt",G20,IF('Paste Editor (Beta)'!$C$90="Item prompt",E20,IF('Paste Editor (Beta)'!$C$90="Modifier prompt","'"&amp;B20,IF('Paste Editor (Beta)'!$C$90="Challenge prompt",E20,IF('Paste Editor (Beta)'!$C$90="Reroll class prompt",S19,IF('Paste Editor (Beta)'!$C$90="Swap hero prompt",S19,IF('Paste Editor (Beta)'!$C$90="Anvil prompt",AD19,"")))))))</f>
        <v>Mage</v>
      </c>
    </row>
    <row r="20" spans="1:37" ht="15.75" customHeight="1">
      <c r="A20" s="23" t="s">
        <v>3881</v>
      </c>
      <c r="B20" s="284" t="s">
        <v>2705</v>
      </c>
      <c r="C20" s="284" t="s">
        <v>2705</v>
      </c>
      <c r="D20" s="284" t="s">
        <v>2705</v>
      </c>
      <c r="E20" s="280" t="s">
        <v>924</v>
      </c>
      <c r="G20" s="280" t="str">
        <v>Mage</v>
      </c>
      <c r="L20" s="280" t="str">
        <f ca="1">IFERROR(__xludf.DUMMYFUNCTION("""COMPUTED_VALUE"""),"Crone")</f>
        <v>Crone</v>
      </c>
      <c r="M20" s="280" t="str">
        <f t="shared" ca="1" si="3"/>
        <v>Crone</v>
      </c>
      <c r="O20" s="89"/>
      <c r="P20" s="89"/>
      <c r="Q20" s="89"/>
      <c r="R20" s="89"/>
      <c r="S20" s="89"/>
      <c r="T20" s="89"/>
      <c r="U20" s="89"/>
      <c r="Y20" s="279"/>
      <c r="Z20" s="279"/>
      <c r="AA20" s="279"/>
      <c r="AC20" s="280" t="str">
        <f>'Paste Editor (Beta)'!T63</f>
        <v/>
      </c>
      <c r="AH20" s="280" t="str">
        <f>IF('Paste Editor (Beta)'!$C$82="Level-up prompt",G21,IF('Paste Editor (Beta)'!$C$82="Item prompt",E21,IF('Paste Editor (Beta)'!$C$82="Modifier prompt","'"&amp;B21,IF('Paste Editor (Beta)'!$C$82="Challenge prompt",L21,IF('Paste Editor (Beta)'!$C$82="Reroll class prompt",S20,IF('Paste Editor (Beta)'!$C$82="Swap hero prompt",S20,IF('Paste Editor (Beta)'!$C$82="Anvil prompt",AD20,"")))))))</f>
        <v/>
      </c>
      <c r="AI20" s="280" t="str">
        <f>IF('Paste Editor (Beta)'!$C$82="Level-up prompt",G21,IF('Paste Editor (Beta)'!$C$82="Item prompt",E21,IF('Paste Editor (Beta)'!$C$82="Modifier prompt","'"&amp;B21,IF('Paste Editor (Beta)'!$C$82="Challenge prompt",E21,IF('Paste Editor (Beta)'!$C$82="Reroll class prompt",S20,IF('Paste Editor (Beta)'!$C$82="Swap hero prompt",S20,IF('Paste Editor (Beta)'!$C$82="Anvil prompt",AD20,"")))))))</f>
        <v/>
      </c>
      <c r="AJ20" s="283" t="str">
        <f>IF('Paste Editor (Beta)'!$C$90="Level-up prompt",G21,IF('Paste Editor (Beta)'!$C$90="Item prompt",E21,IF('Paste Editor (Beta)'!$C$90="Modifier prompt","'"&amp;B21,IF('Paste Editor (Beta)'!$C$90="Challenge prompt",L21,IF('Paste Editor (Beta)'!$C$90="Reroll class prompt",S20,IF('Paste Editor (Beta)'!$C$90="Swap hero prompt",S20,IF('Paste Editor (Beta)'!$C$90="Anvil prompt",AD20,"")))))))</f>
        <v>Student</v>
      </c>
      <c r="AK20" s="283" t="str">
        <f>IF('Paste Editor (Beta)'!$C$90="Level-up prompt",G21,IF('Paste Editor (Beta)'!$C$90="Item prompt",E21,IF('Paste Editor (Beta)'!$C$90="Modifier prompt","'"&amp;B21,IF('Paste Editor (Beta)'!$C$90="Challenge prompt",E21,IF('Paste Editor (Beta)'!$C$90="Reroll class prompt",S20,IF('Paste Editor (Beta)'!$C$90="Swap hero prompt",S20,IF('Paste Editor (Beta)'!$C$90="Anvil prompt",AD20,"")))))))</f>
        <v>Student</v>
      </c>
    </row>
    <row r="21" spans="1:37" ht="15.75" customHeight="1">
      <c r="A21" s="23" t="s">
        <v>3882</v>
      </c>
      <c r="B21" s="284" t="s">
        <v>2538</v>
      </c>
      <c r="C21" s="284" t="s">
        <v>2538</v>
      </c>
      <c r="D21" s="284" t="s">
        <v>2538</v>
      </c>
      <c r="E21" s="280" t="s">
        <v>840</v>
      </c>
      <c r="G21" s="280" t="str">
        <v>Student</v>
      </c>
      <c r="L21" s="280" t="str">
        <f ca="1">IFERROR(__xludf.DUMMYFUNCTION("""COMPUTED_VALUE"""),"Cyclops")</f>
        <v>Cyclops</v>
      </c>
      <c r="M21" s="280" t="str">
        <f t="shared" ca="1" si="3"/>
        <v>Cyclops</v>
      </c>
      <c r="O21" s="89"/>
      <c r="P21" s="89"/>
      <c r="Q21" s="89"/>
      <c r="R21" s="89"/>
      <c r="S21" s="89"/>
      <c r="T21" s="89"/>
      <c r="U21" s="89"/>
      <c r="Y21" s="279"/>
      <c r="Z21" s="279"/>
      <c r="AA21" s="279"/>
      <c r="AC21" s="280" t="str">
        <f>'Paste Editor (Beta)'!T64</f>
        <v/>
      </c>
      <c r="AH21" s="280" t="str">
        <f>IF('Paste Editor (Beta)'!$C$82="Level-up prompt",G22,IF('Paste Editor (Beta)'!$C$82="Item prompt",E22,IF('Paste Editor (Beta)'!$C$82="Modifier prompt","'"&amp;B22,IF('Paste Editor (Beta)'!$C$82="Challenge prompt",L22,IF('Paste Editor (Beta)'!$C$82="Reroll class prompt",S21,IF('Paste Editor (Beta)'!$C$82="Swap hero prompt",S21,IF('Paste Editor (Beta)'!$C$82="Anvil prompt",AD21,"")))))))</f>
        <v/>
      </c>
      <c r="AI21" s="280" t="str">
        <f>IF('Paste Editor (Beta)'!$C$82="Level-up prompt",G22,IF('Paste Editor (Beta)'!$C$82="Item prompt",E22,IF('Paste Editor (Beta)'!$C$82="Modifier prompt","'"&amp;B22,IF('Paste Editor (Beta)'!$C$82="Challenge prompt",E22,IF('Paste Editor (Beta)'!$C$82="Reroll class prompt",S21,IF('Paste Editor (Beta)'!$C$82="Swap hero prompt",S21,IF('Paste Editor (Beta)'!$C$82="Anvil prompt",AD21,"")))))))</f>
        <v/>
      </c>
      <c r="AJ21" s="283" t="str">
        <f>IF('Paste Editor (Beta)'!$C$90="Level-up prompt",G22,IF('Paste Editor (Beta)'!$C$90="Item prompt",E22,IF('Paste Editor (Beta)'!$C$90="Modifier prompt","'"&amp;B22,IF('Paste Editor (Beta)'!$C$90="Challenge prompt",L22,IF('Paste Editor (Beta)'!$C$90="Reroll class prompt",S21,IF('Paste Editor (Beta)'!$C$90="Swap hero prompt",S21,IF('Paste Editor (Beta)'!$C$90="Anvil prompt",AD21,"")))))))</f>
        <v>Initiate</v>
      </c>
      <c r="AK21" s="283" t="str">
        <f>IF('Paste Editor (Beta)'!$C$90="Level-up prompt",G22,IF('Paste Editor (Beta)'!$C$90="Item prompt",E22,IF('Paste Editor (Beta)'!$C$90="Modifier prompt","'"&amp;B22,IF('Paste Editor (Beta)'!$C$90="Challenge prompt",E22,IF('Paste Editor (Beta)'!$C$90="Reroll class prompt",S21,IF('Paste Editor (Beta)'!$C$90="Swap hero prompt",S21,IF('Paste Editor (Beta)'!$C$90="Anvil prompt",AD21,"")))))))</f>
        <v>Initiate</v>
      </c>
    </row>
    <row r="22" spans="1:37" ht="15.75" customHeight="1">
      <c r="A22" s="23" t="s">
        <v>3883</v>
      </c>
      <c r="B22" s="284" t="s">
        <v>2317</v>
      </c>
      <c r="C22" s="284" t="s">
        <v>2317</v>
      </c>
      <c r="D22" s="284" t="s">
        <v>2317</v>
      </c>
      <c r="E22" s="280" t="s">
        <v>843</v>
      </c>
      <c r="G22" s="280" t="str">
        <v>Initiate</v>
      </c>
      <c r="L22" s="280" t="str">
        <f ca="1">IFERROR(__xludf.DUMMYFUNCTION("""COMPUTED_VALUE"""),"Demon")</f>
        <v>Demon</v>
      </c>
      <c r="M22" s="280" t="str">
        <f t="shared" ca="1" si="3"/>
        <v>Demon</v>
      </c>
      <c r="O22" s="23" t="s">
        <v>3870</v>
      </c>
      <c r="P22" s="23">
        <v>0</v>
      </c>
      <c r="Q22" s="89"/>
      <c r="R22" s="89"/>
      <c r="S22" s="89"/>
      <c r="T22" s="89"/>
      <c r="U22" s="89"/>
      <c r="V22" s="286"/>
      <c r="W22" s="286"/>
      <c r="X22" s="286"/>
      <c r="Y22" s="279"/>
      <c r="Z22" s="282"/>
      <c r="AA22" s="282"/>
      <c r="AC22" s="280" t="str">
        <f>'Paste Editor (Beta)'!T65</f>
        <v/>
      </c>
      <c r="AH22" s="280" t="str">
        <f>IF('Paste Editor (Beta)'!$C$82="Level-up prompt",G23,IF('Paste Editor (Beta)'!$C$82="Item prompt",E23,IF('Paste Editor (Beta)'!$C$82="Modifier prompt","'"&amp;B23,IF('Paste Editor (Beta)'!$C$82="Challenge prompt",L23,IF('Paste Editor (Beta)'!$C$82="Reroll class prompt",S22,IF('Paste Editor (Beta)'!$C$82="Swap hero prompt",S22,IF('Paste Editor (Beta)'!$C$82="Anvil prompt",AD22,"")))))))</f>
        <v/>
      </c>
      <c r="AI22" s="280" t="str">
        <f>IF('Paste Editor (Beta)'!$C$82="Level-up prompt",G23,IF('Paste Editor (Beta)'!$C$82="Item prompt",E23,IF('Paste Editor (Beta)'!$C$82="Modifier prompt","'"&amp;B23,IF('Paste Editor (Beta)'!$C$82="Challenge prompt",E23,IF('Paste Editor (Beta)'!$C$82="Reroll class prompt",S22,IF('Paste Editor (Beta)'!$C$82="Swap hero prompt",S22,IF('Paste Editor (Beta)'!$C$82="Anvil prompt",AD22,"")))))))</f>
        <v/>
      </c>
      <c r="AJ22" s="283" t="str">
        <f>IF('Paste Editor (Beta)'!$C$90="Level-up prompt",G23,IF('Paste Editor (Beta)'!$C$90="Item prompt",E23,IF('Paste Editor (Beta)'!$C$90="Modifier prompt","'"&amp;B23,IF('Paste Editor (Beta)'!$C$90="Challenge prompt",L23,IF('Paste Editor (Beta)'!$C$90="Reroll class prompt",S22,IF('Paste Editor (Beta)'!$C$90="Swap hero prompt",S22,IF('Paste Editor (Beta)'!$C$90="Anvil prompt",AD22,"")))))))</f>
        <v>Cultist</v>
      </c>
      <c r="AK22" s="283" t="str">
        <f>IF('Paste Editor (Beta)'!$C$90="Level-up prompt",G23,IF('Paste Editor (Beta)'!$C$90="Item prompt",E23,IF('Paste Editor (Beta)'!$C$90="Modifier prompt","'"&amp;B23,IF('Paste Editor (Beta)'!$C$90="Challenge prompt",E23,IF('Paste Editor (Beta)'!$C$90="Reroll class prompt",S22,IF('Paste Editor (Beta)'!$C$90="Swap hero prompt",S22,IF('Paste Editor (Beta)'!$C$90="Anvil prompt",AD22,"")))))))</f>
        <v>Cultist</v>
      </c>
    </row>
    <row r="23" spans="1:37" ht="15.75" customHeight="1">
      <c r="A23" s="23" t="s">
        <v>3884</v>
      </c>
      <c r="B23" s="284" t="s">
        <v>2411</v>
      </c>
      <c r="C23" s="284" t="s">
        <v>2411</v>
      </c>
      <c r="D23" s="284" t="s">
        <v>2411</v>
      </c>
      <c r="E23" s="280" t="s">
        <v>997</v>
      </c>
      <c r="G23" s="280" t="str">
        <v>Cultist</v>
      </c>
      <c r="L23" s="280" t="str">
        <f ca="1">IFERROR(__xludf.DUMMYFUNCTION("""COMPUTED_VALUE"""),"Dragon")</f>
        <v>Dragon</v>
      </c>
      <c r="M23" s="280" t="str">
        <f t="shared" ca="1" si="3"/>
        <v>Dragon</v>
      </c>
      <c r="O23" s="23" t="s">
        <v>4017</v>
      </c>
      <c r="P23" s="23">
        <v>2</v>
      </c>
      <c r="Q23" s="89"/>
      <c r="R23" s="89"/>
      <c r="S23" s="89"/>
      <c r="T23" s="89"/>
      <c r="U23" s="89"/>
      <c r="Y23" s="279"/>
      <c r="Z23" s="279"/>
      <c r="AA23" s="279"/>
      <c r="AC23" s="280" t="str">
        <f>'Paste Editor (Beta)'!T66</f>
        <v/>
      </c>
      <c r="AH23" s="280" t="str">
        <f>IF('Paste Editor (Beta)'!$C$82="Level-up prompt",G24,IF('Paste Editor (Beta)'!$C$82="Item prompt",E24,IF('Paste Editor (Beta)'!$C$82="Modifier prompt","'"&amp;B24,IF('Paste Editor (Beta)'!$C$82="Challenge prompt",L24,IF('Paste Editor (Beta)'!$C$82="Reroll class prompt",S23,IF('Paste Editor (Beta)'!$C$82="Swap hero prompt",S23,IF('Paste Editor (Beta)'!$C$82="Anvil prompt",AD23,"")))))))</f>
        <v/>
      </c>
      <c r="AI23" s="280" t="str">
        <f>IF('Paste Editor (Beta)'!$C$82="Level-up prompt",G24,IF('Paste Editor (Beta)'!$C$82="Item prompt",E24,IF('Paste Editor (Beta)'!$C$82="Modifier prompt","'"&amp;B24,IF('Paste Editor (Beta)'!$C$82="Challenge prompt",E24,IF('Paste Editor (Beta)'!$C$82="Reroll class prompt",S23,IF('Paste Editor (Beta)'!$C$82="Swap hero prompt",S23,IF('Paste Editor (Beta)'!$C$82="Anvil prompt",AD23,"")))))))</f>
        <v/>
      </c>
      <c r="AJ23" s="283" t="str">
        <f>IF('Paste Editor (Beta)'!$C$90="Level-up prompt",G24,IF('Paste Editor (Beta)'!$C$90="Item prompt",E24,IF('Paste Editor (Beta)'!$C$90="Modifier prompt","'"&amp;B24,IF('Paste Editor (Beta)'!$C$90="Challenge prompt",L24,IF('Paste Editor (Beta)'!$C$90="Reroll class prompt",S23,IF('Paste Editor (Beta)'!$C$90="Swap hero prompt",S23,IF('Paste Editor (Beta)'!$C$90="Anvil prompt",AD23,"")))))))</f>
        <v>Spellblade</v>
      </c>
      <c r="AK23" s="283" t="str">
        <f>IF('Paste Editor (Beta)'!$C$90="Level-up prompt",G24,IF('Paste Editor (Beta)'!$C$90="Item prompt",E24,IF('Paste Editor (Beta)'!$C$90="Modifier prompt","'"&amp;B24,IF('Paste Editor (Beta)'!$C$90="Challenge prompt",E24,IF('Paste Editor (Beta)'!$C$90="Reroll class prompt",S23,IF('Paste Editor (Beta)'!$C$90="Swap hero prompt",S23,IF('Paste Editor (Beta)'!$C$90="Anvil prompt",AD23,"")))))))</f>
        <v>Spellblade</v>
      </c>
    </row>
    <row r="24" spans="1:37" ht="15.75" customHeight="1">
      <c r="A24" s="23" t="s">
        <v>3885</v>
      </c>
      <c r="B24" s="284" t="s">
        <v>2639</v>
      </c>
      <c r="C24" s="284" t="s">
        <v>2639</v>
      </c>
      <c r="D24" s="284" t="s">
        <v>2639</v>
      </c>
      <c r="E24" s="280" t="s">
        <v>927</v>
      </c>
      <c r="G24" s="280" t="str">
        <v>Spellblade</v>
      </c>
      <c r="L24" s="280" t="str">
        <f ca="1">IFERROR(__xludf.DUMMYFUNCTION("""COMPUTED_VALUE"""),"Dragon Egg")</f>
        <v>Dragon Egg</v>
      </c>
      <c r="M24" s="280" t="str">
        <f t="shared" ca="1" si="3"/>
        <v>Dragon Egg</v>
      </c>
      <c r="O24" s="23" t="s">
        <v>4018</v>
      </c>
      <c r="P24" s="23">
        <v>4</v>
      </c>
      <c r="Q24" s="89"/>
      <c r="R24" s="89"/>
      <c r="S24" s="89"/>
      <c r="T24" s="89"/>
      <c r="U24" s="89"/>
      <c r="Y24" s="279"/>
      <c r="Z24" s="279"/>
      <c r="AA24" s="279"/>
      <c r="AC24" s="280" t="str">
        <f>'Paste Editor (Beta)'!T67</f>
        <v/>
      </c>
      <c r="AH24" s="280" t="str">
        <f>IF('Paste Editor (Beta)'!$C$82="Level-up prompt",G25,IF('Paste Editor (Beta)'!$C$82="Item prompt",E25,IF('Paste Editor (Beta)'!$C$82="Modifier prompt","'"&amp;B25,IF('Paste Editor (Beta)'!$C$82="Challenge prompt",L25,IF('Paste Editor (Beta)'!$C$82="Reroll class prompt",S24,IF('Paste Editor (Beta)'!$C$82="Swap hero prompt",S24,IF('Paste Editor (Beta)'!$C$82="Anvil prompt",AD24,"")))))))</f>
        <v/>
      </c>
      <c r="AI24" s="280" t="str">
        <f>IF('Paste Editor (Beta)'!$C$82="Level-up prompt",G25,IF('Paste Editor (Beta)'!$C$82="Item prompt",E25,IF('Paste Editor (Beta)'!$C$82="Modifier prompt","'"&amp;B25,IF('Paste Editor (Beta)'!$C$82="Challenge prompt",E25,IF('Paste Editor (Beta)'!$C$82="Reroll class prompt",S24,IF('Paste Editor (Beta)'!$C$82="Swap hero prompt",S24,IF('Paste Editor (Beta)'!$C$82="Anvil prompt",AD24,"")))))))</f>
        <v/>
      </c>
      <c r="AJ24" s="283" t="str">
        <f>IF('Paste Editor (Beta)'!$C$90="Level-up prompt",G25,IF('Paste Editor (Beta)'!$C$90="Item prompt",E25,IF('Paste Editor (Beta)'!$C$90="Modifier prompt","'"&amp;B25,IF('Paste Editor (Beta)'!$C$90="Challenge prompt",L25,IF('Paste Editor (Beta)'!$C$90="Reroll class prompt",S24,IF('Paste Editor (Beta)'!$C$90="Swap hero prompt",S24,IF('Paste Editor (Beta)'!$C$90="Anvil prompt",AD24,"")))))))</f>
        <v>Trapper</v>
      </c>
      <c r="AK24" s="283" t="str">
        <f>IF('Paste Editor (Beta)'!$C$90="Level-up prompt",G25,IF('Paste Editor (Beta)'!$C$90="Item prompt",E25,IF('Paste Editor (Beta)'!$C$90="Modifier prompt","'"&amp;B25,IF('Paste Editor (Beta)'!$C$90="Challenge prompt",E25,IF('Paste Editor (Beta)'!$C$90="Reroll class prompt",S24,IF('Paste Editor (Beta)'!$C$90="Swap hero prompt",S24,IF('Paste Editor (Beta)'!$C$90="Anvil prompt",AD24,"")))))))</f>
        <v>Trapper</v>
      </c>
    </row>
    <row r="25" spans="1:37" ht="15.75" customHeight="1">
      <c r="A25" s="23" t="s">
        <v>3886</v>
      </c>
      <c r="B25" s="284" t="s">
        <v>2542</v>
      </c>
      <c r="C25" s="284" t="s">
        <v>2542</v>
      </c>
      <c r="D25" s="284" t="s">
        <v>2542</v>
      </c>
      <c r="E25" s="280" t="s">
        <v>929</v>
      </c>
      <c r="G25" s="280" t="str">
        <v>Trapper</v>
      </c>
      <c r="L25" s="280" t="str">
        <f ca="1">IFERROR(__xludf.DUMMYFUNCTION("""COMPUTED_VALUE"""),"error")</f>
        <v>error</v>
      </c>
      <c r="M25" s="280" t="str">
        <f t="shared" ca="1" si="3"/>
        <v>error</v>
      </c>
      <c r="O25" s="23" t="s">
        <v>4019</v>
      </c>
      <c r="P25" s="23">
        <v>3</v>
      </c>
      <c r="Q25" s="89"/>
      <c r="R25" s="89"/>
      <c r="S25" s="89"/>
      <c r="T25" s="89"/>
      <c r="U25" s="89"/>
      <c r="Y25" s="279"/>
      <c r="Z25" s="279"/>
      <c r="AA25" s="279"/>
      <c r="AC25" s="280" t="str">
        <f>'Paste Editor (Beta)'!T68</f>
        <v/>
      </c>
      <c r="AH25" s="280" t="str">
        <f>IF('Paste Editor (Beta)'!$C$82="Level-up prompt",G26,IF('Paste Editor (Beta)'!$C$82="Item prompt",E26,IF('Paste Editor (Beta)'!$C$82="Modifier prompt","'"&amp;B26,IF('Paste Editor (Beta)'!$C$82="Challenge prompt",L26,IF('Paste Editor (Beta)'!$C$82="Reroll class prompt",S25,IF('Paste Editor (Beta)'!$C$82="Swap hero prompt",S25,IF('Paste Editor (Beta)'!$C$82="Anvil prompt",AD25,"")))))))</f>
        <v/>
      </c>
      <c r="AI25" s="280" t="str">
        <f>IF('Paste Editor (Beta)'!$C$82="Level-up prompt",G26,IF('Paste Editor (Beta)'!$C$82="Item prompt",E26,IF('Paste Editor (Beta)'!$C$82="Modifier prompt","'"&amp;B26,IF('Paste Editor (Beta)'!$C$82="Challenge prompt",E26,IF('Paste Editor (Beta)'!$C$82="Reroll class prompt",S25,IF('Paste Editor (Beta)'!$C$82="Swap hero prompt",S25,IF('Paste Editor (Beta)'!$C$82="Anvil prompt",AD25,"")))))))</f>
        <v/>
      </c>
      <c r="AJ25" s="283" t="str">
        <f>IF('Paste Editor (Beta)'!$C$90="Level-up prompt",G26,IF('Paste Editor (Beta)'!$C$90="Item prompt",E26,IF('Paste Editor (Beta)'!$C$90="Modifier prompt","'"&amp;B26,IF('Paste Editor (Beta)'!$C$90="Challenge prompt",L26,IF('Paste Editor (Beta)'!$C$90="Reroll class prompt",S25,IF('Paste Editor (Beta)'!$C$90="Swap hero prompt",S25,IF('Paste Editor (Beta)'!$C$90="Anvil prompt",AD25,"")))))))</f>
        <v>Juggler</v>
      </c>
      <c r="AK25" s="283" t="str">
        <f>IF('Paste Editor (Beta)'!$C$90="Level-up prompt",G26,IF('Paste Editor (Beta)'!$C$90="Item prompt",E26,IF('Paste Editor (Beta)'!$C$90="Modifier prompt","'"&amp;B26,IF('Paste Editor (Beta)'!$C$90="Challenge prompt",E26,IF('Paste Editor (Beta)'!$C$90="Reroll class prompt",S25,IF('Paste Editor (Beta)'!$C$90="Swap hero prompt",S25,IF('Paste Editor (Beta)'!$C$90="Anvil prompt",AD25,"")))))))</f>
        <v>Juggler</v>
      </c>
    </row>
    <row r="26" spans="1:37" ht="15.75" customHeight="1">
      <c r="A26" s="23" t="s">
        <v>3887</v>
      </c>
      <c r="B26" s="284" t="s">
        <v>2701</v>
      </c>
      <c r="C26" s="284" t="s">
        <v>2701</v>
      </c>
      <c r="D26" s="284" t="s">
        <v>2701</v>
      </c>
      <c r="E26" s="280" t="s">
        <v>239</v>
      </c>
      <c r="G26" s="280" t="str">
        <v>Juggler</v>
      </c>
      <c r="L26" s="280" t="str">
        <f ca="1">IFERROR(__xludf.DUMMYFUNCTION("""COMPUTED_VALUE"""),"Fanatic")</f>
        <v>Fanatic</v>
      </c>
      <c r="M26" s="280" t="str">
        <f t="shared" ca="1" si="3"/>
        <v>Fanatic</v>
      </c>
      <c r="O26" s="23" t="s">
        <v>3857</v>
      </c>
      <c r="P26" s="23">
        <v>5</v>
      </c>
      <c r="Q26" s="89"/>
      <c r="R26" s="89"/>
      <c r="S26" s="89"/>
      <c r="T26" s="89"/>
      <c r="U26" s="89"/>
      <c r="Y26" s="279"/>
      <c r="Z26" s="279"/>
      <c r="AA26" s="279"/>
      <c r="AC26" s="280" t="str">
        <f>'Paste Editor (Beta)'!T69</f>
        <v/>
      </c>
      <c r="AH26" s="280" t="str">
        <f>IF('Paste Editor (Beta)'!$C$82="Level-up prompt",G27,IF('Paste Editor (Beta)'!$C$82="Item prompt",E27,IF('Paste Editor (Beta)'!$C$82="Modifier prompt","'"&amp;B27,IF('Paste Editor (Beta)'!$C$82="Challenge prompt",L27,IF('Paste Editor (Beta)'!$C$82="Reroll class prompt",S26,IF('Paste Editor (Beta)'!$C$82="Swap hero prompt",S26,IF('Paste Editor (Beta)'!$C$82="Anvil prompt",AD26,"")))))))</f>
        <v/>
      </c>
      <c r="AI26" s="280" t="str">
        <f>IF('Paste Editor (Beta)'!$C$82="Level-up prompt",G27,IF('Paste Editor (Beta)'!$C$82="Item prompt",E27,IF('Paste Editor (Beta)'!$C$82="Modifier prompt","'"&amp;B27,IF('Paste Editor (Beta)'!$C$82="Challenge prompt",E27,IF('Paste Editor (Beta)'!$C$82="Reroll class prompt",S26,IF('Paste Editor (Beta)'!$C$82="Swap hero prompt",S26,IF('Paste Editor (Beta)'!$C$82="Anvil prompt",AD26,"")))))))</f>
        <v/>
      </c>
      <c r="AJ26" s="283" t="str">
        <f>IF('Paste Editor (Beta)'!$C$90="Level-up prompt",G27,IF('Paste Editor (Beta)'!$C$90="Item prompt",E27,IF('Paste Editor (Beta)'!$C$90="Modifier prompt","'"&amp;B27,IF('Paste Editor (Beta)'!$C$90="Challenge prompt",L27,IF('Paste Editor (Beta)'!$C$90="Reroll class prompt",S26,IF('Paste Editor (Beta)'!$C$90="Swap hero prompt",S26,IF('Paste Editor (Beta)'!$C$90="Anvil prompt",AD26,"")))))))</f>
        <v>Ninja</v>
      </c>
      <c r="AK26" s="283" t="str">
        <f>IF('Paste Editor (Beta)'!$C$90="Level-up prompt",G27,IF('Paste Editor (Beta)'!$C$90="Item prompt",E27,IF('Paste Editor (Beta)'!$C$90="Modifier prompt","'"&amp;B27,IF('Paste Editor (Beta)'!$C$90="Challenge prompt",E27,IF('Paste Editor (Beta)'!$C$90="Reroll class prompt",S26,IF('Paste Editor (Beta)'!$C$90="Swap hero prompt",S26,IF('Paste Editor (Beta)'!$C$90="Anvil prompt",AD26,"")))))))</f>
        <v>Ninja</v>
      </c>
    </row>
    <row r="27" spans="1:37" ht="15.75" customHeight="1">
      <c r="A27" s="23" t="s">
        <v>3888</v>
      </c>
      <c r="B27" s="284" t="s">
        <v>2536</v>
      </c>
      <c r="C27" s="284" t="s">
        <v>2536</v>
      </c>
      <c r="D27" s="284" t="s">
        <v>2536</v>
      </c>
      <c r="E27" s="280" t="s">
        <v>1001</v>
      </c>
      <c r="G27" s="280" t="str">
        <v>Ninja</v>
      </c>
      <c r="L27" s="280" t="str">
        <f ca="1">IFERROR(__xludf.DUMMYFUNCTION("""COMPUTED_VALUE"""),"Ghost")</f>
        <v>Ghost</v>
      </c>
      <c r="M27" s="280" t="str">
        <f t="shared" ca="1" si="3"/>
        <v>Ghost</v>
      </c>
      <c r="O27" s="23" t="s">
        <v>4020</v>
      </c>
      <c r="P27" s="23">
        <v>1</v>
      </c>
      <c r="Q27" s="89"/>
      <c r="R27" s="89"/>
      <c r="S27" s="89"/>
      <c r="T27" s="89"/>
      <c r="U27" s="89"/>
      <c r="Y27" s="279"/>
      <c r="Z27" s="279"/>
      <c r="AA27" s="279"/>
      <c r="AC27" s="280" t="str">
        <f>'Paste Editor (Beta)'!T70</f>
        <v/>
      </c>
      <c r="AH27" s="280" t="str">
        <f>IF('Paste Editor (Beta)'!$C$82="Level-up prompt",G28,IF('Paste Editor (Beta)'!$C$82="Item prompt",E28,IF('Paste Editor (Beta)'!$C$82="Modifier prompt","'"&amp;B28,IF('Paste Editor (Beta)'!$C$82="Challenge prompt",L28,IF('Paste Editor (Beta)'!$C$82="Reroll class prompt",S27,IF('Paste Editor (Beta)'!$C$82="Swap hero prompt",S27,IF('Paste Editor (Beta)'!$C$82="Anvil prompt",AD27,"")))))))</f>
        <v/>
      </c>
      <c r="AI27" s="280" t="str">
        <f>IF('Paste Editor (Beta)'!$C$82="Level-up prompt",G28,IF('Paste Editor (Beta)'!$C$82="Item prompt",E28,IF('Paste Editor (Beta)'!$C$82="Modifier prompt","'"&amp;B28,IF('Paste Editor (Beta)'!$C$82="Challenge prompt",E28,IF('Paste Editor (Beta)'!$C$82="Reroll class prompt",S27,IF('Paste Editor (Beta)'!$C$82="Swap hero prompt",S27,IF('Paste Editor (Beta)'!$C$82="Anvil prompt",AD27,"")))))))</f>
        <v/>
      </c>
      <c r="AJ27" s="283" t="str">
        <f>IF('Paste Editor (Beta)'!$C$90="Level-up prompt",G28,IF('Paste Editor (Beta)'!$C$90="Item prompt",E28,IF('Paste Editor (Beta)'!$C$90="Modifier prompt","'"&amp;B28,IF('Paste Editor (Beta)'!$C$90="Challenge prompt",L28,IF('Paste Editor (Beta)'!$C$90="Reroll class prompt",S27,IF('Paste Editor (Beta)'!$C$90="Swap hero prompt",S27,IF('Paste Editor (Beta)'!$C$90="Anvil prompt",AD27,"")))))))</f>
        <v>Rogue</v>
      </c>
      <c r="AK27" s="283" t="str">
        <f>IF('Paste Editor (Beta)'!$C$90="Level-up prompt",G28,IF('Paste Editor (Beta)'!$C$90="Item prompt",E28,IF('Paste Editor (Beta)'!$C$90="Modifier prompt","'"&amp;B28,IF('Paste Editor (Beta)'!$C$90="Challenge prompt",E28,IF('Paste Editor (Beta)'!$C$90="Reroll class prompt",S27,IF('Paste Editor (Beta)'!$C$90="Swap hero prompt",S27,IF('Paste Editor (Beta)'!$C$90="Anvil prompt",AD27,"")))))))</f>
        <v>Rogue</v>
      </c>
    </row>
    <row r="28" spans="1:37" ht="15.75" customHeight="1">
      <c r="A28" s="23" t="s">
        <v>3889</v>
      </c>
      <c r="B28" s="284" t="s">
        <v>2595</v>
      </c>
      <c r="C28" s="284" t="s">
        <v>2595</v>
      </c>
      <c r="D28" s="284" t="s">
        <v>2595</v>
      </c>
      <c r="E28" s="280" t="s">
        <v>1222</v>
      </c>
      <c r="G28" s="280" t="str">
        <v>Rogue</v>
      </c>
      <c r="L28" s="280" t="str">
        <f ca="1">IFERROR(__xludf.DUMMYFUNCTION("""COMPUTED_VALUE"""),"Gnoll")</f>
        <v>Gnoll</v>
      </c>
      <c r="M28" s="280" t="str">
        <f t="shared" ca="1" si="3"/>
        <v>Gnoll</v>
      </c>
      <c r="O28" s="89"/>
      <c r="P28" s="89"/>
      <c r="Q28" s="89"/>
      <c r="R28" s="89"/>
      <c r="S28" s="89"/>
      <c r="T28" s="89"/>
      <c r="U28" s="89"/>
      <c r="Y28" s="279"/>
      <c r="Z28" s="279"/>
      <c r="AA28" s="279"/>
      <c r="AC28" s="280" t="str">
        <f>'Paste Editor (Beta)'!T71</f>
        <v/>
      </c>
      <c r="AH28" s="280" t="str">
        <f>IF('Paste Editor (Beta)'!$C$82="Level-up prompt",G29,IF('Paste Editor (Beta)'!$C$82="Item prompt",E29,IF('Paste Editor (Beta)'!$C$82="Modifier prompt","'"&amp;B29,IF('Paste Editor (Beta)'!$C$82="Challenge prompt",L29,IF('Paste Editor (Beta)'!$C$82="Reroll class prompt",S28,IF('Paste Editor (Beta)'!$C$82="Swap hero prompt",S28,IF('Paste Editor (Beta)'!$C$82="Anvil prompt",AD28,"")))))))</f>
        <v/>
      </c>
      <c r="AI28" s="280" t="str">
        <f>IF('Paste Editor (Beta)'!$C$82="Level-up prompt",G29,IF('Paste Editor (Beta)'!$C$82="Item prompt",E29,IF('Paste Editor (Beta)'!$C$82="Modifier prompt","'"&amp;B29,IF('Paste Editor (Beta)'!$C$82="Challenge prompt",E29,IF('Paste Editor (Beta)'!$C$82="Reroll class prompt",S28,IF('Paste Editor (Beta)'!$C$82="Swap hero prompt",S28,IF('Paste Editor (Beta)'!$C$82="Anvil prompt",AD28,"")))))))</f>
        <v/>
      </c>
      <c r="AJ28" s="283" t="str">
        <f>IF('Paste Editor (Beta)'!$C$90="Level-up prompt",G29,IF('Paste Editor (Beta)'!$C$90="Item prompt",E29,IF('Paste Editor (Beta)'!$C$90="Modifier prompt","'"&amp;B29,IF('Paste Editor (Beta)'!$C$90="Challenge prompt",L29,IF('Paste Editor (Beta)'!$C$90="Reroll class prompt",S28,IF('Paste Editor (Beta)'!$C$90="Swap hero prompt",S28,IF('Paste Editor (Beta)'!$C$90="Anvil prompt",AD28,"")))))))</f>
        <v>Dabbler</v>
      </c>
      <c r="AK28" s="283" t="str">
        <f>IF('Paste Editor (Beta)'!$C$90="Level-up prompt",G29,IF('Paste Editor (Beta)'!$C$90="Item prompt",E29,IF('Paste Editor (Beta)'!$C$90="Modifier prompt","'"&amp;B29,IF('Paste Editor (Beta)'!$C$90="Challenge prompt",E29,IF('Paste Editor (Beta)'!$C$90="Reroll class prompt",S28,IF('Paste Editor (Beta)'!$C$90="Swap hero prompt",S28,IF('Paste Editor (Beta)'!$C$90="Anvil prompt",AD28,"")))))))</f>
        <v>Dabbler</v>
      </c>
    </row>
    <row r="29" spans="1:37" ht="15.75" customHeight="1">
      <c r="A29" s="23" t="s">
        <v>3890</v>
      </c>
      <c r="B29" s="284" t="s">
        <v>2598</v>
      </c>
      <c r="C29" s="284" t="s">
        <v>2598</v>
      </c>
      <c r="D29" s="284" t="s">
        <v>2598</v>
      </c>
      <c r="E29" s="280" t="s">
        <v>1301</v>
      </c>
      <c r="G29" s="280" t="str">
        <v>Dabbler</v>
      </c>
      <c r="L29" s="280" t="str">
        <f ca="1">IFERROR(__xludf.DUMMYFUNCTION("""COMPUTED_VALUE"""),"Goblin")</f>
        <v>Goblin</v>
      </c>
      <c r="M29" s="280" t="str">
        <f t="shared" ca="1" si="3"/>
        <v>Goblin</v>
      </c>
      <c r="O29" s="23" t="s">
        <v>81</v>
      </c>
      <c r="P29" s="23">
        <v>1</v>
      </c>
      <c r="Q29" s="89"/>
      <c r="R29" s="89"/>
      <c r="S29" s="89"/>
      <c r="T29" s="89"/>
      <c r="U29" s="89"/>
      <c r="Y29" s="279"/>
      <c r="Z29" s="279"/>
      <c r="AA29" s="279"/>
      <c r="AC29" s="280" t="str">
        <f>'Paste Editor (Beta)'!T72</f>
        <v/>
      </c>
      <c r="AH29" s="280" t="str">
        <f>IF('Paste Editor (Beta)'!$C$82="Level-up prompt",G30,IF('Paste Editor (Beta)'!$C$82="Item prompt",E30,IF('Paste Editor (Beta)'!$C$82="Modifier prompt","'"&amp;B30,IF('Paste Editor (Beta)'!$C$82="Challenge prompt",L30,IF('Paste Editor (Beta)'!$C$82="Reroll class prompt",S29,IF('Paste Editor (Beta)'!$C$82="Swap hero prompt",S29,IF('Paste Editor (Beta)'!$C$82="Anvil prompt",AD29,"")))))))</f>
        <v/>
      </c>
      <c r="AI29" s="280" t="str">
        <f>IF('Paste Editor (Beta)'!$C$82="Level-up prompt",G30,IF('Paste Editor (Beta)'!$C$82="Item prompt",E30,IF('Paste Editor (Beta)'!$C$82="Modifier prompt","'"&amp;B30,IF('Paste Editor (Beta)'!$C$82="Challenge prompt",E30,IF('Paste Editor (Beta)'!$C$82="Reroll class prompt",S29,IF('Paste Editor (Beta)'!$C$82="Swap hero prompt",S29,IF('Paste Editor (Beta)'!$C$82="Anvil prompt",AD29,"")))))))</f>
        <v/>
      </c>
      <c r="AJ29" s="283" t="str">
        <f>IF('Paste Editor (Beta)'!$C$90="Level-up prompt",G30,IF('Paste Editor (Beta)'!$C$90="Item prompt",E30,IF('Paste Editor (Beta)'!$C$90="Modifier prompt","'"&amp;B30,IF('Paste Editor (Beta)'!$C$90="Challenge prompt",L30,IF('Paste Editor (Beta)'!$C$90="Reroll class prompt",S29,IF('Paste Editor (Beta)'!$C$90="Swap hero prompt",S29,IF('Paste Editor (Beta)'!$C$90="Anvil prompt",AD29,"")))))))</f>
        <v>Ranger</v>
      </c>
      <c r="AK29" s="283" t="str">
        <f>IF('Paste Editor (Beta)'!$C$90="Level-up prompt",G30,IF('Paste Editor (Beta)'!$C$90="Item prompt",E30,IF('Paste Editor (Beta)'!$C$90="Modifier prompt","'"&amp;B30,IF('Paste Editor (Beta)'!$C$90="Challenge prompt",E30,IF('Paste Editor (Beta)'!$C$90="Reroll class prompt",S29,IF('Paste Editor (Beta)'!$C$90="Swap hero prompt",S29,IF('Paste Editor (Beta)'!$C$90="Anvil prompt",AD29,"")))))))</f>
        <v>Ranger</v>
      </c>
    </row>
    <row r="30" spans="1:37" ht="15.75" customHeight="1">
      <c r="A30" s="23" t="s">
        <v>3891</v>
      </c>
      <c r="B30" s="284" t="s">
        <v>2482</v>
      </c>
      <c r="C30" s="284" t="s">
        <v>2482</v>
      </c>
      <c r="D30" s="284" t="s">
        <v>2482</v>
      </c>
      <c r="E30" s="280" t="s">
        <v>1303</v>
      </c>
      <c r="G30" s="280" t="str">
        <v>Ranger</v>
      </c>
      <c r="L30" s="280" t="str">
        <f ca="1">IFERROR(__xludf.DUMMYFUNCTION("""COMPUTED_VALUE"""),"Grave")</f>
        <v>Grave</v>
      </c>
      <c r="M30" s="280" t="str">
        <f t="shared" ca="1" si="3"/>
        <v>Grave</v>
      </c>
      <c r="O30" s="23" t="s">
        <v>3859</v>
      </c>
      <c r="P30" s="23">
        <v>2</v>
      </c>
      <c r="Q30" s="89"/>
      <c r="R30" s="89"/>
      <c r="S30" s="89"/>
      <c r="T30" s="89"/>
      <c r="U30" s="89"/>
      <c r="Y30" s="279"/>
      <c r="Z30" s="279"/>
      <c r="AA30" s="279"/>
      <c r="AC30" s="280" t="str">
        <f>'Paste Editor (Beta)'!T73</f>
        <v/>
      </c>
      <c r="AH30" s="280" t="str">
        <f>IF('Paste Editor (Beta)'!$C$82="Level-up prompt",G31,IF('Paste Editor (Beta)'!$C$82="Item prompt",E31,IF('Paste Editor (Beta)'!$C$82="Modifier prompt","'"&amp;B31,IF('Paste Editor (Beta)'!$C$82="Challenge prompt",L31,IF('Paste Editor (Beta)'!$C$82="Reroll class prompt",S30,IF('Paste Editor (Beta)'!$C$82="Swap hero prompt",S30,IF('Paste Editor (Beta)'!$C$82="Anvil prompt",AD30,"")))))))</f>
        <v/>
      </c>
      <c r="AI30" s="280" t="str">
        <f>IF('Paste Editor (Beta)'!$C$82="Level-up prompt",G31,IF('Paste Editor (Beta)'!$C$82="Item prompt",E31,IF('Paste Editor (Beta)'!$C$82="Modifier prompt","'"&amp;B31,IF('Paste Editor (Beta)'!$C$82="Challenge prompt",E31,IF('Paste Editor (Beta)'!$C$82="Reroll class prompt",S30,IF('Paste Editor (Beta)'!$C$82="Swap hero prompt",S30,IF('Paste Editor (Beta)'!$C$82="Anvil prompt",AD30,"")))))))</f>
        <v/>
      </c>
      <c r="AJ30" s="283" t="str">
        <f>IF('Paste Editor (Beta)'!$C$90="Level-up prompt",G31,IF('Paste Editor (Beta)'!$C$90="Item prompt",E31,IF('Paste Editor (Beta)'!$C$90="Modifier prompt","'"&amp;B31,IF('Paste Editor (Beta)'!$C$90="Challenge prompt",L31,IF('Paste Editor (Beta)'!$C$90="Reroll class prompt",S30,IF('Paste Editor (Beta)'!$C$90="Swap hero prompt",S30,IF('Paste Editor (Beta)'!$C$90="Anvil prompt",AD30,"")))))))</f>
        <v>Gambler</v>
      </c>
      <c r="AK30" s="283" t="str">
        <f>IF('Paste Editor (Beta)'!$C$90="Level-up prompt",G31,IF('Paste Editor (Beta)'!$C$90="Item prompt",E31,IF('Paste Editor (Beta)'!$C$90="Modifier prompt","'"&amp;B31,IF('Paste Editor (Beta)'!$C$90="Challenge prompt",E31,IF('Paste Editor (Beta)'!$C$90="Reroll class prompt",S30,IF('Paste Editor (Beta)'!$C$90="Swap hero prompt",S30,IF('Paste Editor (Beta)'!$C$90="Anvil prompt",AD30,"")))))))</f>
        <v>Gambler</v>
      </c>
    </row>
    <row r="31" spans="1:37" ht="15.75" customHeight="1">
      <c r="A31" s="23" t="s">
        <v>3892</v>
      </c>
      <c r="B31" s="284" t="s">
        <v>2417</v>
      </c>
      <c r="C31" s="284" t="s">
        <v>2417</v>
      </c>
      <c r="D31" s="284" t="s">
        <v>2417</v>
      </c>
      <c r="E31" s="280" t="s">
        <v>1083</v>
      </c>
      <c r="G31" s="280" t="str">
        <v>Gambler</v>
      </c>
      <c r="L31" s="280" t="str">
        <f ca="1">IFERROR(__xludf.DUMMYFUNCTION("""COMPUTED_VALUE"""),"Gytha")</f>
        <v>Gytha</v>
      </c>
      <c r="M31" s="280" t="str">
        <f t="shared" ca="1" si="3"/>
        <v>Gytha</v>
      </c>
      <c r="O31" s="23" t="s">
        <v>529</v>
      </c>
      <c r="P31" s="23">
        <v>3</v>
      </c>
      <c r="Q31" s="89"/>
      <c r="R31" s="89"/>
      <c r="S31" s="89"/>
      <c r="T31" s="89"/>
      <c r="U31" s="89"/>
      <c r="Y31" s="279"/>
      <c r="Z31" s="279"/>
      <c r="AA31" s="279"/>
      <c r="AC31" s="280" t="str">
        <f>'Paste Editor (Beta)'!T74</f>
        <v/>
      </c>
      <c r="AH31" s="280" t="str">
        <f>IF('Paste Editor (Beta)'!$C$82="Level-up prompt",G32,IF('Paste Editor (Beta)'!$C$82="Item prompt",E32,IF('Paste Editor (Beta)'!$C$82="Modifier prompt","'"&amp;B32,IF('Paste Editor (Beta)'!$C$82="Challenge prompt",L32,IF('Paste Editor (Beta)'!$C$82="Reroll class prompt",S31,IF('Paste Editor (Beta)'!$C$82="Swap hero prompt",S31,IF('Paste Editor (Beta)'!$C$82="Anvil prompt",AD31,"")))))))</f>
        <v/>
      </c>
      <c r="AI31" s="280" t="str">
        <f>IF('Paste Editor (Beta)'!$C$82="Level-up prompt",G32,IF('Paste Editor (Beta)'!$C$82="Item prompt",E32,IF('Paste Editor (Beta)'!$C$82="Modifier prompt","'"&amp;B32,IF('Paste Editor (Beta)'!$C$82="Challenge prompt",E32,IF('Paste Editor (Beta)'!$C$82="Reroll class prompt",S31,IF('Paste Editor (Beta)'!$C$82="Swap hero prompt",S31,IF('Paste Editor (Beta)'!$C$82="Anvil prompt",AD31,"")))))))</f>
        <v/>
      </c>
      <c r="AJ31" s="283" t="str">
        <f>IF('Paste Editor (Beta)'!$C$90="Level-up prompt",G32,IF('Paste Editor (Beta)'!$C$90="Item prompt",E32,IF('Paste Editor (Beta)'!$C$90="Modifier prompt","'"&amp;B32,IF('Paste Editor (Beta)'!$C$90="Challenge prompt",L32,IF('Paste Editor (Beta)'!$C$90="Reroll class prompt",S31,IF('Paste Editor (Beta)'!$C$90="Swap hero prompt",S31,IF('Paste Editor (Beta)'!$C$90="Anvil prompt",AD31,"")))))))</f>
        <v>Berserker</v>
      </c>
      <c r="AK31" s="283" t="str">
        <f>IF('Paste Editor (Beta)'!$C$90="Level-up prompt",G32,IF('Paste Editor (Beta)'!$C$90="Item prompt",E32,IF('Paste Editor (Beta)'!$C$90="Modifier prompt","'"&amp;B32,IF('Paste Editor (Beta)'!$C$90="Challenge prompt",E32,IF('Paste Editor (Beta)'!$C$90="Reroll class prompt",S31,IF('Paste Editor (Beta)'!$C$90="Swap hero prompt",S31,IF('Paste Editor (Beta)'!$C$90="Anvil prompt",AD31,"")))))))</f>
        <v>Berserker</v>
      </c>
    </row>
    <row r="32" spans="1:37" ht="15.75" customHeight="1">
      <c r="A32" s="23" t="s">
        <v>3893</v>
      </c>
      <c r="B32" s="284" t="s">
        <v>2544</v>
      </c>
      <c r="C32" s="284" t="s">
        <v>2544</v>
      </c>
      <c r="D32" s="284" t="s">
        <v>2544</v>
      </c>
      <c r="E32" s="280" t="s">
        <v>1546</v>
      </c>
      <c r="G32" s="280" t="str">
        <v>Berserker</v>
      </c>
      <c r="L32" s="280" t="str">
        <f ca="1">IFERROR(__xludf.DUMMYFUNCTION("""COMPUTED_VALUE"""),"Hexia")</f>
        <v>Hexia</v>
      </c>
      <c r="M32" s="280" t="str">
        <f t="shared" ca="1" si="3"/>
        <v>Hexia</v>
      </c>
      <c r="O32" s="89"/>
      <c r="P32" s="89"/>
      <c r="Q32" s="89"/>
      <c r="R32" s="89"/>
      <c r="S32" s="89"/>
      <c r="T32" s="89"/>
      <c r="U32" s="89"/>
      <c r="Y32" s="279"/>
      <c r="Z32" s="279"/>
      <c r="AA32" s="279"/>
      <c r="AC32" s="280" t="str">
        <f>'Paste Editor (Beta)'!T75</f>
        <v/>
      </c>
      <c r="AH32" s="280" t="str">
        <f>IF('Paste Editor (Beta)'!$C$82="Level-up prompt",G33,IF('Paste Editor (Beta)'!$C$82="Item prompt",E33,IF('Paste Editor (Beta)'!$C$82="Modifier prompt","'"&amp;B33,IF('Paste Editor (Beta)'!$C$82="Challenge prompt",L33,IF('Paste Editor (Beta)'!$C$82="Reroll class prompt",S32,IF('Paste Editor (Beta)'!$C$82="Swap hero prompt",S32,IF('Paste Editor (Beta)'!$C$82="Anvil prompt",AD32,"")))))))</f>
        <v/>
      </c>
      <c r="AI32" s="280" t="str">
        <f>IF('Paste Editor (Beta)'!$C$82="Level-up prompt",G33,IF('Paste Editor (Beta)'!$C$82="Item prompt",E33,IF('Paste Editor (Beta)'!$C$82="Modifier prompt","'"&amp;B33,IF('Paste Editor (Beta)'!$C$82="Challenge prompt",E33,IF('Paste Editor (Beta)'!$C$82="Reroll class prompt",S32,IF('Paste Editor (Beta)'!$C$82="Swap hero prompt",S32,IF('Paste Editor (Beta)'!$C$82="Anvil prompt",AD32,"")))))))</f>
        <v/>
      </c>
      <c r="AJ32" s="283" t="str">
        <f>IF('Paste Editor (Beta)'!$C$90="Level-up prompt",G33,IF('Paste Editor (Beta)'!$C$90="Item prompt",E33,IF('Paste Editor (Beta)'!$C$90="Modifier prompt","'"&amp;B33,IF('Paste Editor (Beta)'!$C$90="Challenge prompt",L33,IF('Paste Editor (Beta)'!$C$90="Reroll class prompt",S32,IF('Paste Editor (Beta)'!$C$90="Swap hero prompt",S32,IF('Paste Editor (Beta)'!$C$90="Anvil prompt",AD32,"")))))))</f>
        <v>Scrapper</v>
      </c>
      <c r="AK32" s="283" t="str">
        <f>IF('Paste Editor (Beta)'!$C$90="Level-up prompt",G33,IF('Paste Editor (Beta)'!$C$90="Item prompt",E33,IF('Paste Editor (Beta)'!$C$90="Modifier prompt","'"&amp;B33,IF('Paste Editor (Beta)'!$C$90="Challenge prompt",E33,IF('Paste Editor (Beta)'!$C$90="Reroll class prompt",S32,IF('Paste Editor (Beta)'!$C$90="Swap hero prompt",S32,IF('Paste Editor (Beta)'!$C$90="Anvil prompt",AD32,"")))))))</f>
        <v>Scrapper</v>
      </c>
    </row>
    <row r="33" spans="1:37" ht="15.75" customHeight="1">
      <c r="A33" s="23" t="s">
        <v>3894</v>
      </c>
      <c r="B33" s="284" t="s">
        <v>2189</v>
      </c>
      <c r="C33" s="284" t="s">
        <v>2189</v>
      </c>
      <c r="D33" s="284" t="s">
        <v>2189</v>
      </c>
      <c r="E33" s="280" t="s">
        <v>1496</v>
      </c>
      <c r="G33" s="280" t="str">
        <v>Scrapper</v>
      </c>
      <c r="L33" s="280" t="str">
        <f ca="1">IFERROR(__xludf.DUMMYFUNCTION("""COMPUTED_VALUE"""),"Hydra")</f>
        <v>Hydra</v>
      </c>
      <c r="M33" s="280" t="str">
        <f t="shared" ca="1" si="3"/>
        <v>Hydra</v>
      </c>
      <c r="O33" s="89"/>
      <c r="P33" s="89"/>
      <c r="Q33" s="89"/>
      <c r="R33" s="89"/>
      <c r="S33" s="89"/>
      <c r="T33" s="89"/>
      <c r="U33" s="89"/>
      <c r="Y33" s="279"/>
      <c r="Z33" s="279"/>
      <c r="AA33" s="279"/>
      <c r="AC33" s="280" t="str">
        <f>'Paste Editor (Beta)'!T76</f>
        <v/>
      </c>
      <c r="AH33" s="280" t="str">
        <f>IF('Paste Editor (Beta)'!$C$82="Level-up prompt",G34,IF('Paste Editor (Beta)'!$C$82="Item prompt",E34,IF('Paste Editor (Beta)'!$C$82="Modifier prompt","'"&amp;B34,IF('Paste Editor (Beta)'!$C$82="Challenge prompt",L34,IF('Paste Editor (Beta)'!$C$82="Reroll class prompt",S33,IF('Paste Editor (Beta)'!$C$82="Swap hero prompt",S33,IF('Paste Editor (Beta)'!$C$82="Anvil prompt",AD33,"")))))))</f>
        <v/>
      </c>
      <c r="AI33" s="280" t="str">
        <f>IF('Paste Editor (Beta)'!$C$82="Level-up prompt",G34,IF('Paste Editor (Beta)'!$C$82="Item prompt",E34,IF('Paste Editor (Beta)'!$C$82="Modifier prompt","'"&amp;B34,IF('Paste Editor (Beta)'!$C$82="Challenge prompt",E34,IF('Paste Editor (Beta)'!$C$82="Reroll class prompt",S33,IF('Paste Editor (Beta)'!$C$82="Swap hero prompt",S33,IF('Paste Editor (Beta)'!$C$82="Anvil prompt",AD33,"")))))))</f>
        <v/>
      </c>
      <c r="AJ33" s="283" t="str">
        <f>IF('Paste Editor (Beta)'!$C$90="Level-up prompt",G34,IF('Paste Editor (Beta)'!$C$90="Item prompt",E34,IF('Paste Editor (Beta)'!$C$90="Modifier prompt","'"&amp;B34,IF('Paste Editor (Beta)'!$C$90="Challenge prompt",L34,IF('Paste Editor (Beta)'!$C$90="Reroll class prompt",S33,IF('Paste Editor (Beta)'!$C$90="Swap hero prompt",S33,IF('Paste Editor (Beta)'!$C$90="Anvil prompt",AD33,"")))))))</f>
        <v>Brute</v>
      </c>
      <c r="AK33" s="283" t="str">
        <f>IF('Paste Editor (Beta)'!$C$90="Level-up prompt",G34,IF('Paste Editor (Beta)'!$C$90="Item prompt",E34,IF('Paste Editor (Beta)'!$C$90="Modifier prompt","'"&amp;B34,IF('Paste Editor (Beta)'!$C$90="Challenge prompt",E34,IF('Paste Editor (Beta)'!$C$90="Reroll class prompt",S33,IF('Paste Editor (Beta)'!$C$90="Swap hero prompt",S33,IF('Paste Editor (Beta)'!$C$90="Anvil prompt",AD33,"")))))))</f>
        <v>Brute</v>
      </c>
    </row>
    <row r="34" spans="1:37" ht="15.75" customHeight="1">
      <c r="A34" s="23" t="s">
        <v>3895</v>
      </c>
      <c r="B34" s="284" t="s">
        <v>2488</v>
      </c>
      <c r="C34" s="284" t="s">
        <v>2488</v>
      </c>
      <c r="D34" s="284" t="s">
        <v>2488</v>
      </c>
      <c r="E34" s="280" t="s">
        <v>846</v>
      </c>
      <c r="G34" s="280" t="str">
        <v>Brute</v>
      </c>
      <c r="L34" s="280" t="str">
        <f ca="1">IFERROR(__xludf.DUMMYFUNCTION("""COMPUTED_VALUE"""),"Illusion")</f>
        <v>Illusion</v>
      </c>
      <c r="M34" s="280" t="str">
        <f t="shared" ca="1" si="3"/>
        <v>Illusion</v>
      </c>
      <c r="O34" s="89"/>
      <c r="P34" s="89"/>
      <c r="Q34" s="89"/>
      <c r="R34" s="89"/>
      <c r="S34" s="89"/>
      <c r="T34" s="89"/>
      <c r="U34" s="89"/>
      <c r="V34" s="89"/>
      <c r="W34" s="89"/>
      <c r="X34" s="89"/>
      <c r="Y34" s="279"/>
      <c r="Z34" s="279"/>
      <c r="AA34" s="279"/>
      <c r="AC34" s="280" t="str">
        <f>'Paste Editor (Beta)'!T77</f>
        <v/>
      </c>
      <c r="AH34" s="280" t="str">
        <f>IF('Paste Editor (Beta)'!$C$82="Level-up prompt",G35,IF('Paste Editor (Beta)'!$C$82="Item prompt",E35,IF('Paste Editor (Beta)'!$C$82="Modifier prompt","'"&amp;B35,IF('Paste Editor (Beta)'!$C$82="Challenge prompt",L35,IF('Paste Editor (Beta)'!$C$82="Reroll class prompt",S34,IF('Paste Editor (Beta)'!$C$82="Swap hero prompt",S34,IF('Paste Editor (Beta)'!$C$82="Anvil prompt",AD34,"")))))))</f>
        <v/>
      </c>
      <c r="AI34" s="280" t="str">
        <f>IF('Paste Editor (Beta)'!$C$82="Level-up prompt",G35,IF('Paste Editor (Beta)'!$C$82="Item prompt",E35,IF('Paste Editor (Beta)'!$C$82="Modifier prompt","'"&amp;B35,IF('Paste Editor (Beta)'!$C$82="Challenge prompt",E35,IF('Paste Editor (Beta)'!$C$82="Reroll class prompt",S34,IF('Paste Editor (Beta)'!$C$82="Swap hero prompt",S34,IF('Paste Editor (Beta)'!$C$82="Anvil prompt",AD34,"")))))))</f>
        <v/>
      </c>
      <c r="AJ34" s="283" t="str">
        <f>IF('Paste Editor (Beta)'!$C$90="Level-up prompt",G35,IF('Paste Editor (Beta)'!$C$90="Item prompt",E35,IF('Paste Editor (Beta)'!$C$90="Modifier prompt","'"&amp;B35,IF('Paste Editor (Beta)'!$C$90="Challenge prompt",L35,IF('Paste Editor (Beta)'!$C$90="Reroll class prompt",S34,IF('Paste Editor (Beta)'!$C$90="Swap hero prompt",S34,IF('Paste Editor (Beta)'!$C$90="Anvil prompt",AD34,"")))))))</f>
        <v>Sinew</v>
      </c>
      <c r="AK34" s="283" t="str">
        <f>IF('Paste Editor (Beta)'!$C$90="Level-up prompt",G35,IF('Paste Editor (Beta)'!$C$90="Item prompt",E35,IF('Paste Editor (Beta)'!$C$90="Modifier prompt","'"&amp;B35,IF('Paste Editor (Beta)'!$C$90="Challenge prompt",E35,IF('Paste Editor (Beta)'!$C$90="Reroll class prompt",S34,IF('Paste Editor (Beta)'!$C$90="Swap hero prompt",S34,IF('Paste Editor (Beta)'!$C$90="Anvil prompt",AD34,"")))))))</f>
        <v>Sinew</v>
      </c>
    </row>
    <row r="35" spans="1:37" ht="15.75" customHeight="1">
      <c r="A35" s="23" t="s">
        <v>3896</v>
      </c>
      <c r="B35" s="284" t="s">
        <v>2643</v>
      </c>
      <c r="C35" s="284" t="s">
        <v>2643</v>
      </c>
      <c r="D35" s="284" t="s">
        <v>2643</v>
      </c>
      <c r="E35" s="280" t="s">
        <v>931</v>
      </c>
      <c r="G35" s="280" t="str">
        <v>Sinew</v>
      </c>
      <c r="L35" s="280" t="str">
        <f ca="1">IFERROR(__xludf.DUMMYFUNCTION("""COMPUTED_VALUE"""),"Imp")</f>
        <v>Imp</v>
      </c>
      <c r="M35" s="280" t="str">
        <f t="shared" ca="1" si="3"/>
        <v>Imp</v>
      </c>
      <c r="O35" s="89"/>
      <c r="P35" s="89"/>
      <c r="Q35" s="89"/>
      <c r="R35" s="89"/>
      <c r="S35" s="89"/>
      <c r="T35" s="89"/>
      <c r="U35" s="89"/>
      <c r="V35" s="89"/>
      <c r="W35" s="89"/>
      <c r="X35" s="89"/>
      <c r="Y35" s="279"/>
      <c r="Z35" s="279"/>
      <c r="AA35" s="279"/>
      <c r="AC35" s="280" t="str">
        <f>'Paste Editor (Beta)'!T78</f>
        <v/>
      </c>
      <c r="AH35" s="280" t="str">
        <f>IF('Paste Editor (Beta)'!$C$82="Level-up prompt",G36,IF('Paste Editor (Beta)'!$C$82="Item prompt",E36,IF('Paste Editor (Beta)'!$C$82="Modifier prompt","'"&amp;B36,IF('Paste Editor (Beta)'!$C$82="Challenge prompt",L36,IF('Paste Editor (Beta)'!$C$82="Reroll class prompt",S35,IF('Paste Editor (Beta)'!$C$82="Swap hero prompt",S35,IF('Paste Editor (Beta)'!$C$82="Anvil prompt",AD35,"")))))))</f>
        <v/>
      </c>
      <c r="AI35" s="280" t="str">
        <f>IF('Paste Editor (Beta)'!$C$82="Level-up prompt",G36,IF('Paste Editor (Beta)'!$C$82="Item prompt",E36,IF('Paste Editor (Beta)'!$C$82="Modifier prompt","'"&amp;B36,IF('Paste Editor (Beta)'!$C$82="Challenge prompt",E36,IF('Paste Editor (Beta)'!$C$82="Reroll class prompt",S35,IF('Paste Editor (Beta)'!$C$82="Swap hero prompt",S35,IF('Paste Editor (Beta)'!$C$82="Anvil prompt",AD35,"")))))))</f>
        <v/>
      </c>
      <c r="AJ35" s="283" t="str">
        <f>IF('Paste Editor (Beta)'!$C$90="Level-up prompt",G36,IF('Paste Editor (Beta)'!$C$90="Item prompt",E36,IF('Paste Editor (Beta)'!$C$90="Modifier prompt","'"&amp;B36,IF('Paste Editor (Beta)'!$C$90="Challenge prompt",L36,IF('Paste Editor (Beta)'!$C$90="Reroll class prompt",S35,IF('Paste Editor (Beta)'!$C$90="Swap hero prompt",S35,IF('Paste Editor (Beta)'!$C$90="Anvil prompt",AD35,"")))))))</f>
        <v>Gladiator</v>
      </c>
      <c r="AK35" s="283" t="str">
        <f>IF('Paste Editor (Beta)'!$C$90="Level-up prompt",G36,IF('Paste Editor (Beta)'!$C$90="Item prompt",E36,IF('Paste Editor (Beta)'!$C$90="Modifier prompt","'"&amp;B36,IF('Paste Editor (Beta)'!$C$90="Challenge prompt",E36,IF('Paste Editor (Beta)'!$C$90="Reroll class prompt",S35,IF('Paste Editor (Beta)'!$C$90="Swap hero prompt",S35,IF('Paste Editor (Beta)'!$C$90="Anvil prompt",AD35,"")))))))</f>
        <v>Gladiator</v>
      </c>
    </row>
    <row r="36" spans="1:37" ht="15.75" customHeight="1">
      <c r="A36" s="23" t="s">
        <v>3897</v>
      </c>
      <c r="B36" s="284" t="s">
        <v>2486</v>
      </c>
      <c r="C36" s="284" t="s">
        <v>2486</v>
      </c>
      <c r="D36" s="284" t="s">
        <v>2486</v>
      </c>
      <c r="E36" s="280" t="s">
        <v>1138</v>
      </c>
      <c r="G36" s="280" t="str">
        <v>Gladiator</v>
      </c>
      <c r="K36" s="287"/>
      <c r="L36" s="280" t="str">
        <f ca="1">IFERROR(__xludf.DUMMYFUNCTION("""COMPUTED_VALUE"""),"Jinx-3m (-3 max mana)")</f>
        <v>Jinx-3m (-3 max mana)</v>
      </c>
      <c r="M36" s="280" t="str">
        <f t="shared" ca="1" si="3"/>
        <v>Jinx-0</v>
      </c>
      <c r="O36" s="89"/>
      <c r="P36" s="89"/>
      <c r="Q36" s="89"/>
      <c r="R36" s="89"/>
      <c r="S36" s="89"/>
      <c r="T36" s="89"/>
      <c r="U36" s="89"/>
      <c r="V36" s="89"/>
      <c r="W36" s="89"/>
      <c r="X36" s="89"/>
      <c r="Y36" s="89"/>
      <c r="Z36" s="89"/>
      <c r="AA36" s="89"/>
      <c r="AH36" s="280" t="str">
        <f>IF('Paste Editor (Beta)'!$C$82="Level-up prompt",G37,IF('Paste Editor (Beta)'!$C$82="Item prompt",E37,IF('Paste Editor (Beta)'!$C$82="Modifier prompt","'"&amp;B37,IF('Paste Editor (Beta)'!$C$82="Challenge prompt",L37,IF('Paste Editor (Beta)'!$C$82="Reroll class prompt",S36,IF('Paste Editor (Beta)'!$C$82="Swap hero prompt",S36,IF('Paste Editor (Beta)'!$C$82="Anvil prompt",AD36,"")))))))</f>
        <v/>
      </c>
      <c r="AI36" s="280" t="str">
        <f>IF('Paste Editor (Beta)'!$C$82="Level-up prompt",G37,IF('Paste Editor (Beta)'!$C$82="Item prompt",E37,IF('Paste Editor (Beta)'!$C$82="Modifier prompt","'"&amp;B37,IF('Paste Editor (Beta)'!$C$82="Challenge prompt",E37,IF('Paste Editor (Beta)'!$C$82="Reroll class prompt",S36,IF('Paste Editor (Beta)'!$C$82="Swap hero prompt",S36,IF('Paste Editor (Beta)'!$C$82="Anvil prompt",AD36,"")))))))</f>
        <v/>
      </c>
      <c r="AJ36" s="283" t="str">
        <f>IF('Paste Editor (Beta)'!$C$90="Level-up prompt",G37,IF('Paste Editor (Beta)'!$C$90="Item prompt",E37,IF('Paste Editor (Beta)'!$C$90="Modifier prompt","'"&amp;B37,IF('Paste Editor (Beta)'!$C$90="Challenge prompt",L37,IF('Paste Editor (Beta)'!$C$90="Reroll class prompt",S36,IF('Paste Editor (Beta)'!$C$90="Swap hero prompt",S36,IF('Paste Editor (Beta)'!$C$90="Anvil prompt",AD36,"")))))))</f>
        <v>Whirl</v>
      </c>
      <c r="AK36" s="283" t="str">
        <f>IF('Paste Editor (Beta)'!$C$90="Level-up prompt",G37,IF('Paste Editor (Beta)'!$C$90="Item prompt",E37,IF('Paste Editor (Beta)'!$C$90="Modifier prompt","'"&amp;B37,IF('Paste Editor (Beta)'!$C$90="Challenge prompt",E37,IF('Paste Editor (Beta)'!$C$90="Reroll class prompt",S36,IF('Paste Editor (Beta)'!$C$90="Swap hero prompt",S36,IF('Paste Editor (Beta)'!$C$90="Anvil prompt",AD36,"")))))))</f>
        <v>Whirl</v>
      </c>
    </row>
    <row r="37" spans="1:37" ht="18">
      <c r="A37" s="23" t="s">
        <v>3898</v>
      </c>
      <c r="B37" s="284" t="s">
        <v>2193</v>
      </c>
      <c r="C37" s="284" t="s">
        <v>2193</v>
      </c>
      <c r="D37" s="284" t="s">
        <v>2193</v>
      </c>
      <c r="E37" s="280" t="s">
        <v>1385</v>
      </c>
      <c r="G37" s="280" t="str">
        <v>Whirl</v>
      </c>
      <c r="L37" s="280" t="str">
        <f ca="1">IFERROR(__xludf.DUMMYFUNCTION("""COMPUTED_VALUE"""),"Jinx-bp (Bottom Poison+)")</f>
        <v>Jinx-bp (Bottom Poison+)</v>
      </c>
      <c r="M37" s="280" t="str">
        <f t="shared" ca="1" si="3"/>
        <v>Jinx-3</v>
      </c>
      <c r="O37" s="89"/>
      <c r="P37" s="89"/>
      <c r="Q37" s="89"/>
      <c r="R37" s="89"/>
      <c r="S37" s="89"/>
      <c r="T37" s="89"/>
      <c r="U37" s="89"/>
      <c r="V37" s="89"/>
      <c r="W37" s="89"/>
      <c r="X37" s="89"/>
      <c r="Y37" s="89"/>
      <c r="Z37" s="89"/>
      <c r="AA37" s="89"/>
      <c r="AH37" s="280" t="str">
        <f>IF('Paste Editor (Beta)'!$C$82="Level-up prompt",G38,IF('Paste Editor (Beta)'!$C$82="Item prompt",E38,IF('Paste Editor (Beta)'!$C$82="Modifier prompt","'"&amp;B38,IF('Paste Editor (Beta)'!$C$82="Challenge prompt",L38,IF('Paste Editor (Beta)'!$C$82="Reroll class prompt",S37,IF('Paste Editor (Beta)'!$C$82="Swap hero prompt",S37,IF('Paste Editor (Beta)'!$C$82="Anvil prompt",AD37,"")))))))</f>
        <v/>
      </c>
      <c r="AI37" s="280" t="str">
        <f>IF('Paste Editor (Beta)'!$C$82="Level-up prompt",G38,IF('Paste Editor (Beta)'!$C$82="Item prompt",E38,IF('Paste Editor (Beta)'!$C$82="Modifier prompt","'"&amp;B38,IF('Paste Editor (Beta)'!$C$82="Challenge prompt",E38,IF('Paste Editor (Beta)'!$C$82="Reroll class prompt",S37,IF('Paste Editor (Beta)'!$C$82="Swap hero prompt",S37,IF('Paste Editor (Beta)'!$C$82="Anvil prompt",AD37,"")))))))</f>
        <v/>
      </c>
      <c r="AJ37" s="283" t="str">
        <f>IF('Paste Editor (Beta)'!$C$90="Level-up prompt",G38,IF('Paste Editor (Beta)'!$C$90="Item prompt",E38,IF('Paste Editor (Beta)'!$C$90="Modifier prompt","'"&amp;B38,IF('Paste Editor (Beta)'!$C$90="Challenge prompt",L38,IF('Paste Editor (Beta)'!$C$90="Reroll class prompt",S37,IF('Paste Editor (Beta)'!$C$90="Swap hero prompt",S37,IF('Paste Editor (Beta)'!$C$90="Anvil prompt",AD37,"")))))))</f>
        <v>Collector</v>
      </c>
      <c r="AK37" s="283" t="str">
        <f>IF('Paste Editor (Beta)'!$C$90="Level-up prompt",G38,IF('Paste Editor (Beta)'!$C$90="Item prompt",E38,IF('Paste Editor (Beta)'!$C$90="Modifier prompt","'"&amp;B38,IF('Paste Editor (Beta)'!$C$90="Challenge prompt",E38,IF('Paste Editor (Beta)'!$C$90="Reroll class prompt",S37,IF('Paste Editor (Beta)'!$C$90="Swap hero prompt",S37,IF('Paste Editor (Beta)'!$C$90="Anvil prompt",AD37,"")))))))</f>
        <v>Collector</v>
      </c>
    </row>
    <row r="38" spans="1:37" ht="18">
      <c r="A38" s="23" t="s">
        <v>4021</v>
      </c>
      <c r="B38" s="284" t="s">
        <v>2635</v>
      </c>
      <c r="C38" s="284" t="s">
        <v>2635</v>
      </c>
      <c r="D38" s="284" t="s">
        <v>2635</v>
      </c>
      <c r="E38" s="280" t="s">
        <v>1085</v>
      </c>
      <c r="G38" s="280" t="str">
        <v>Collector</v>
      </c>
      <c r="L38" s="280" t="str">
        <f ca="1">IFERROR(__xludf.DUMMYFUNCTION("""COMPUTED_VALUE"""),"Jinx-ds (Death Shield+)")</f>
        <v>Jinx-ds (Death Shield+)</v>
      </c>
      <c r="M38" s="280" t="str">
        <f t="shared" ca="1" si="3"/>
        <v>Jinx-4</v>
      </c>
      <c r="O38" s="89"/>
      <c r="P38" s="89"/>
      <c r="Q38" s="89"/>
      <c r="R38" s="89"/>
      <c r="S38" s="89"/>
      <c r="T38" s="89"/>
      <c r="U38" s="89"/>
      <c r="V38" s="89"/>
      <c r="W38" s="89"/>
      <c r="X38" s="89"/>
      <c r="Y38" s="89"/>
      <c r="Z38" s="89"/>
      <c r="AA38" s="89"/>
      <c r="AH38" s="280" t="str">
        <f>IF('Paste Editor (Beta)'!$C$82="Level-up prompt",G39,IF('Paste Editor (Beta)'!$C$82="Item prompt",E39,IF('Paste Editor (Beta)'!$C$82="Modifier prompt","'"&amp;B39,IF('Paste Editor (Beta)'!$C$82="Challenge prompt",L39,IF('Paste Editor (Beta)'!$C$82="Reroll class prompt",S38,IF('Paste Editor (Beta)'!$C$82="Swap hero prompt",S38,IF('Paste Editor (Beta)'!$C$82="Anvil prompt",AD38,"")))))))</f>
        <v/>
      </c>
      <c r="AI38" s="280" t="str">
        <f>IF('Paste Editor (Beta)'!$C$82="Level-up prompt",G39,IF('Paste Editor (Beta)'!$C$82="Item prompt",E39,IF('Paste Editor (Beta)'!$C$82="Modifier prompt","'"&amp;B39,IF('Paste Editor (Beta)'!$C$82="Challenge prompt",E39,IF('Paste Editor (Beta)'!$C$82="Reroll class prompt",S38,IF('Paste Editor (Beta)'!$C$82="Swap hero prompt",S38,IF('Paste Editor (Beta)'!$C$82="Anvil prompt",AD38,"")))))))</f>
        <v/>
      </c>
      <c r="AJ38" s="283" t="str">
        <f>IF('Paste Editor (Beta)'!$C$90="Level-up prompt",G39,IF('Paste Editor (Beta)'!$C$90="Item prompt",E39,IF('Paste Editor (Beta)'!$C$90="Modifier prompt","'"&amp;B39,IF('Paste Editor (Beta)'!$C$90="Challenge prompt",L39,IF('Paste Editor (Beta)'!$C$90="Reroll class prompt",S38,IF('Paste Editor (Beta)'!$C$90="Swap hero prompt",S38,IF('Paste Editor (Beta)'!$C$90="Anvil prompt",AD38,"")))))))</f>
        <v>Soldier</v>
      </c>
      <c r="AK38" s="283" t="str">
        <f>IF('Paste Editor (Beta)'!$C$90="Level-up prompt",G39,IF('Paste Editor (Beta)'!$C$90="Item prompt",E39,IF('Paste Editor (Beta)'!$C$90="Modifier prompt","'"&amp;B39,IF('Paste Editor (Beta)'!$C$90="Challenge prompt",E39,IF('Paste Editor (Beta)'!$C$90="Reroll class prompt",S38,IF('Paste Editor (Beta)'!$C$90="Swap hero prompt",S38,IF('Paste Editor (Beta)'!$C$90="Anvil prompt",AD38,"")))))))</f>
        <v>Soldier</v>
      </c>
    </row>
    <row r="39" spans="1:37" ht="18">
      <c r="A39" s="23" t="s">
        <v>4022</v>
      </c>
      <c r="B39" s="284" t="s">
        <v>2703</v>
      </c>
      <c r="C39" s="284" t="s">
        <v>2703</v>
      </c>
      <c r="D39" s="284" t="s">
        <v>2703</v>
      </c>
      <c r="E39" s="280" t="s">
        <v>1450</v>
      </c>
      <c r="G39" s="280" t="str">
        <v>Soldier</v>
      </c>
      <c r="L39" s="280" t="str">
        <f ca="1">IFERROR(__xludf.DUMMYFUNCTION("""COMPUTED_VALUE"""),"Jinx-f (Frail Edges)")</f>
        <v>Jinx-f (Frail Edges)</v>
      </c>
      <c r="M39" s="280" t="str">
        <f t="shared" ca="1" si="3"/>
        <v>Jinx-10</v>
      </c>
      <c r="O39" s="89"/>
      <c r="P39" s="89"/>
      <c r="Q39" s="89"/>
      <c r="R39" s="89"/>
      <c r="S39" s="89"/>
      <c r="T39" s="89"/>
      <c r="U39" s="89"/>
      <c r="V39" s="89"/>
      <c r="W39" s="89"/>
      <c r="X39" s="89"/>
      <c r="Y39" s="89" t="s">
        <v>4023</v>
      </c>
      <c r="Z39" s="280" t="s">
        <v>4024</v>
      </c>
      <c r="AA39" s="89"/>
      <c r="AH39" s="280" t="str">
        <f>IF('Paste Editor (Beta)'!$C$82="Level-up prompt",G40,IF('Paste Editor (Beta)'!$C$82="Item prompt",E40,IF('Paste Editor (Beta)'!$C$82="Modifier prompt","'"&amp;B40,IF('Paste Editor (Beta)'!$C$82="Challenge prompt",L40,IF('Paste Editor (Beta)'!$C$82="Reroll class prompt",S39,IF('Paste Editor (Beta)'!$C$82="Swap hero prompt",S39,IF('Paste Editor (Beta)'!$C$82="Anvil prompt",AD39,"")))))))</f>
        <v/>
      </c>
      <c r="AI39" s="280" t="str">
        <f>IF('Paste Editor (Beta)'!$C$82="Level-up prompt",G40,IF('Paste Editor (Beta)'!$C$82="Item prompt",E40,IF('Paste Editor (Beta)'!$C$82="Modifier prompt","'"&amp;B40,IF('Paste Editor (Beta)'!$C$82="Challenge prompt",E40,IF('Paste Editor (Beta)'!$C$82="Reroll class prompt",S39,IF('Paste Editor (Beta)'!$C$82="Swap hero prompt",S39,IF('Paste Editor (Beta)'!$C$82="Anvil prompt",AD39,"")))))))</f>
        <v/>
      </c>
      <c r="AJ39" s="283" t="str">
        <f>IF('Paste Editor (Beta)'!$C$90="Level-up prompt",G40,IF('Paste Editor (Beta)'!$C$90="Item prompt",E40,IF('Paste Editor (Beta)'!$C$90="Modifier prompt","'"&amp;B40,IF('Paste Editor (Beta)'!$C$90="Challenge prompt",L40,IF('Paste Editor (Beta)'!$C$90="Reroll class prompt",S39,IF('Paste Editor (Beta)'!$C$90="Swap hero prompt",S39,IF('Paste Editor (Beta)'!$C$90="Anvil prompt",AD39,"")))))))</f>
        <v>Knight</v>
      </c>
      <c r="AK39" s="283" t="str">
        <f>IF('Paste Editor (Beta)'!$C$90="Level-up prompt",G40,IF('Paste Editor (Beta)'!$C$90="Item prompt",E40,IF('Paste Editor (Beta)'!$C$90="Modifier prompt","'"&amp;B40,IF('Paste Editor (Beta)'!$C$90="Challenge prompt",E40,IF('Paste Editor (Beta)'!$C$90="Reroll class prompt",S39,IF('Paste Editor (Beta)'!$C$90="Swap hero prompt",S39,IF('Paste Editor (Beta)'!$C$90="Anvil prompt",AD39,"")))))))</f>
        <v>Knight</v>
      </c>
    </row>
    <row r="40" spans="1:37" ht="18">
      <c r="A40" s="23" t="s">
        <v>4025</v>
      </c>
      <c r="B40" s="284" t="s">
        <v>2186</v>
      </c>
      <c r="C40" s="284" t="s">
        <v>2186</v>
      </c>
      <c r="D40" s="284" t="s">
        <v>2186</v>
      </c>
      <c r="E40" s="280" t="s">
        <v>1387</v>
      </c>
      <c r="G40" s="280" t="str">
        <v>Knight</v>
      </c>
      <c r="L40" s="280" t="str">
        <f ca="1">IFERROR(__xludf.DUMMYFUNCTION("""COMPUTED_VALUE"""),"Jinx-hw (Heavy Weapon)")</f>
        <v>Jinx-hw (Heavy Weapon)</v>
      </c>
      <c r="M40" s="280" t="str">
        <f t="shared" ca="1" si="3"/>
        <v>Jinx-9</v>
      </c>
      <c r="O40" s="89"/>
      <c r="P40" s="89"/>
      <c r="Q40" s="89"/>
      <c r="R40" s="89"/>
      <c r="S40" s="89"/>
      <c r="T40" s="89"/>
      <c r="U40" s="89"/>
      <c r="V40" s="89"/>
      <c r="W40" s="89"/>
      <c r="X40" s="89"/>
      <c r="Y40" s="89" t="s">
        <v>4026</v>
      </c>
      <c r="Z40" s="280" t="s">
        <v>4024</v>
      </c>
      <c r="AA40" s="89"/>
      <c r="AH40" s="280" t="str">
        <f>IF('Paste Editor (Beta)'!$C$82="Level-up prompt",G41,IF('Paste Editor (Beta)'!$C$82="Item prompt",E41,IF('Paste Editor (Beta)'!$C$82="Modifier prompt","'"&amp;B41,IF('Paste Editor (Beta)'!$C$82="Challenge prompt",L41,IF('Paste Editor (Beta)'!$C$82="Reroll class prompt",S40,IF('Paste Editor (Beta)'!$C$82="Swap hero prompt",S40,IF('Paste Editor (Beta)'!$C$82="Anvil prompt",AD40,"")))))))</f>
        <v/>
      </c>
      <c r="AI40" s="280" t="str">
        <f>IF('Paste Editor (Beta)'!$C$82="Level-up prompt",G41,IF('Paste Editor (Beta)'!$C$82="Item prompt",E41,IF('Paste Editor (Beta)'!$C$82="Modifier prompt","'"&amp;B41,IF('Paste Editor (Beta)'!$C$82="Challenge prompt",E41,IF('Paste Editor (Beta)'!$C$82="Reroll class prompt",S40,IF('Paste Editor (Beta)'!$C$82="Swap hero prompt",S40,IF('Paste Editor (Beta)'!$C$82="Anvil prompt",AD40,"")))))))</f>
        <v/>
      </c>
      <c r="AJ40" s="283" t="str">
        <f>IF('Paste Editor (Beta)'!$C$90="Level-up prompt",G41,IF('Paste Editor (Beta)'!$C$90="Item prompt",E41,IF('Paste Editor (Beta)'!$C$90="Modifier prompt","'"&amp;B41,IF('Paste Editor (Beta)'!$C$90="Challenge prompt",L41,IF('Paste Editor (Beta)'!$C$90="Reroll class prompt",S40,IF('Paste Editor (Beta)'!$C$90="Swap hero prompt",S40,IF('Paste Editor (Beta)'!$C$90="Anvil prompt",AD40,"")))))))</f>
        <v>Warden</v>
      </c>
      <c r="AK40" s="283" t="str">
        <f>IF('Paste Editor (Beta)'!$C$90="Level-up prompt",G41,IF('Paste Editor (Beta)'!$C$90="Item prompt",E41,IF('Paste Editor (Beta)'!$C$90="Modifier prompt","'"&amp;B41,IF('Paste Editor (Beta)'!$C$90="Challenge prompt",E41,IF('Paste Editor (Beta)'!$C$90="Reroll class prompt",S40,IF('Paste Editor (Beta)'!$C$90="Swap hero prompt",S40,IF('Paste Editor (Beta)'!$C$90="Anvil prompt",AD40,"")))))))</f>
        <v>Warden</v>
      </c>
    </row>
    <row r="41" spans="1:37" ht="18">
      <c r="A41" s="23" t="s">
        <v>4027</v>
      </c>
      <c r="B41" s="284" t="s">
        <v>2597</v>
      </c>
      <c r="C41" s="284" t="s">
        <v>2597</v>
      </c>
      <c r="D41" s="284" t="s">
        <v>2597</v>
      </c>
      <c r="E41" s="280" t="s">
        <v>824</v>
      </c>
      <c r="G41" s="280" t="str">
        <v>Warden</v>
      </c>
      <c r="L41" s="280" t="str">
        <f ca="1">IFERROR(__xludf.DUMMYFUNCTION("""COMPUTED_VALUE"""),"Jinx-md (Mana Debt+)")</f>
        <v>Jinx-md (Mana Debt+)</v>
      </c>
      <c r="M41" s="280" t="str">
        <f t="shared" ca="1" si="3"/>
        <v>Jinx-5</v>
      </c>
      <c r="O41" s="89"/>
      <c r="P41" s="89"/>
      <c r="Q41" s="89"/>
      <c r="R41" s="89"/>
      <c r="S41" s="89"/>
      <c r="T41" s="89"/>
      <c r="U41" s="89"/>
      <c r="V41" s="89"/>
      <c r="W41" s="89"/>
      <c r="X41" s="89"/>
      <c r="Y41" s="89"/>
      <c r="Z41" s="89"/>
      <c r="AA41" s="89"/>
      <c r="AH41" s="280" t="str">
        <f>IF('Paste Editor (Beta)'!$C$82="Level-up prompt",G42,IF('Paste Editor (Beta)'!$C$82="Item prompt",E42,IF('Paste Editor (Beta)'!$C$82="Modifier prompt","'"&amp;B42,IF('Paste Editor (Beta)'!$C$82="Challenge prompt",L42,IF('Paste Editor (Beta)'!$C$82="Reroll class prompt",S41,IF('Paste Editor (Beta)'!$C$82="Swap hero prompt",S41,IF('Paste Editor (Beta)'!$C$82="Anvil prompt",AD41,"")))))))</f>
        <v/>
      </c>
      <c r="AI41" s="280" t="str">
        <f>IF('Paste Editor (Beta)'!$C$82="Level-up prompt",G42,IF('Paste Editor (Beta)'!$C$82="Item prompt",E42,IF('Paste Editor (Beta)'!$C$82="Modifier prompt","'"&amp;B42,IF('Paste Editor (Beta)'!$C$82="Challenge prompt",E42,IF('Paste Editor (Beta)'!$C$82="Reroll class prompt",S41,IF('Paste Editor (Beta)'!$C$82="Swap hero prompt",S41,IF('Paste Editor (Beta)'!$C$82="Anvil prompt",AD41,"")))))))</f>
        <v/>
      </c>
      <c r="AJ41" s="283" t="str">
        <f>IF('Paste Editor (Beta)'!$C$90="Level-up prompt",G42,IF('Paste Editor (Beta)'!$C$90="Item prompt",E42,IF('Paste Editor (Beta)'!$C$90="Modifier prompt","'"&amp;B42,IF('Paste Editor (Beta)'!$C$90="Challenge prompt",L42,IF('Paste Editor (Beta)'!$C$90="Reroll class prompt",S41,IF('Paste Editor (Beta)'!$C$90="Swap hero prompt",S41,IF('Paste Editor (Beta)'!$C$90="Anvil prompt",AD41,"")))))))</f>
        <v>Armorer</v>
      </c>
      <c r="AK41" s="283" t="str">
        <f>IF('Paste Editor (Beta)'!$C$90="Level-up prompt",G42,IF('Paste Editor (Beta)'!$C$90="Item prompt",E42,IF('Paste Editor (Beta)'!$C$90="Modifier prompt","'"&amp;B42,IF('Paste Editor (Beta)'!$C$90="Challenge prompt",E42,IF('Paste Editor (Beta)'!$C$90="Reroll class prompt",S41,IF('Paste Editor (Beta)'!$C$90="Swap hero prompt",S41,IF('Paste Editor (Beta)'!$C$90="Anvil prompt",AD41,"")))))))</f>
        <v>Armorer</v>
      </c>
    </row>
    <row r="42" spans="1:37" ht="18">
      <c r="A42" s="23" t="s">
        <v>4028</v>
      </c>
      <c r="B42" s="284" t="s">
        <v>2413</v>
      </c>
      <c r="C42" s="284" t="s">
        <v>2413</v>
      </c>
      <c r="D42" s="284" t="s">
        <v>2413</v>
      </c>
      <c r="E42" s="280" t="s">
        <v>806</v>
      </c>
      <c r="G42" s="280" t="str">
        <v>Armorer</v>
      </c>
      <c r="L42" s="280" t="str">
        <f ca="1">IFERROR(__xludf.DUMMYFUNCTION("""COMPUTED_VALUE"""),"Jinx-ml (Monster Left +3)")</f>
        <v>Jinx-ml (Monster Left +3)</v>
      </c>
      <c r="M42" s="280" t="str">
        <f t="shared" ca="1" si="3"/>
        <v>Jinx-11</v>
      </c>
      <c r="O42" s="89"/>
      <c r="P42" s="89"/>
      <c r="Q42" s="89"/>
      <c r="R42" s="89"/>
      <c r="S42" s="89"/>
      <c r="T42" s="89"/>
      <c r="U42" s="89"/>
      <c r="V42" s="89"/>
      <c r="W42" s="89"/>
      <c r="X42" s="89"/>
      <c r="Y42" s="89"/>
      <c r="Z42" s="89"/>
      <c r="AA42" s="89"/>
      <c r="AH42" s="280" t="str">
        <f>IF('Paste Editor (Beta)'!$C$82="Level-up prompt",G43,IF('Paste Editor (Beta)'!$C$82="Item prompt",E43,IF('Paste Editor (Beta)'!$C$82="Modifier prompt","'"&amp;B43,IF('Paste Editor (Beta)'!$C$82="Challenge prompt",L43,IF('Paste Editor (Beta)'!$C$82="Reroll class prompt",S42,IF('Paste Editor (Beta)'!$C$82="Swap hero prompt",S42,IF('Paste Editor (Beta)'!$C$82="Anvil prompt",AD42,"")))))))</f>
        <v/>
      </c>
      <c r="AI42" s="280" t="str">
        <f>IF('Paste Editor (Beta)'!$C$82="Level-up prompt",G43,IF('Paste Editor (Beta)'!$C$82="Item prompt",E43,IF('Paste Editor (Beta)'!$C$82="Modifier prompt","'"&amp;B43,IF('Paste Editor (Beta)'!$C$82="Challenge prompt",E43,IF('Paste Editor (Beta)'!$C$82="Reroll class prompt",S42,IF('Paste Editor (Beta)'!$C$82="Swap hero prompt",S42,IF('Paste Editor (Beta)'!$C$82="Anvil prompt",AD42,"")))))))</f>
        <v/>
      </c>
      <c r="AJ42" s="283" t="str">
        <f>IF('Paste Editor (Beta)'!$C$90="Level-up prompt",G43,IF('Paste Editor (Beta)'!$C$90="Item prompt",E43,IF('Paste Editor (Beta)'!$C$90="Modifier prompt","'"&amp;B43,IF('Paste Editor (Beta)'!$C$90="Challenge prompt",L43,IF('Paste Editor (Beta)'!$C$90="Reroll class prompt",S42,IF('Paste Editor (Beta)'!$C$90="Swap hero prompt",S42,IF('Paste Editor (Beta)'!$C$90="Anvil prompt",AD42,"")))))))</f>
        <v>Monk</v>
      </c>
      <c r="AK42" s="283" t="str">
        <f>IF('Paste Editor (Beta)'!$C$90="Level-up prompt",G43,IF('Paste Editor (Beta)'!$C$90="Item prompt",E43,IF('Paste Editor (Beta)'!$C$90="Modifier prompt","'"&amp;B43,IF('Paste Editor (Beta)'!$C$90="Challenge prompt",E43,IF('Paste Editor (Beta)'!$C$90="Reroll class prompt",S42,IF('Paste Editor (Beta)'!$C$90="Swap hero prompt",S42,IF('Paste Editor (Beta)'!$C$90="Anvil prompt",AD42,"")))))))</f>
        <v>Monk</v>
      </c>
    </row>
    <row r="43" spans="1:37" ht="18">
      <c r="A43" s="23" t="s">
        <v>4029</v>
      </c>
      <c r="B43" s="284" t="s">
        <v>2423</v>
      </c>
      <c r="C43" s="284" t="s">
        <v>2423</v>
      </c>
      <c r="D43" s="284" t="s">
        <v>2423</v>
      </c>
      <c r="E43" s="280" t="s">
        <v>1558</v>
      </c>
      <c r="G43" s="280" t="str">
        <v>Monk</v>
      </c>
      <c r="L43" s="280" t="str">
        <f ca="1">IFERROR(__xludf.DUMMYFUNCTION("""COMPUTED_VALUE"""),"Jinx-nb (No Burst)")</f>
        <v>Jinx-nb (No Burst)</v>
      </c>
      <c r="M43" s="280" t="str">
        <f t="shared" ca="1" si="3"/>
        <v>Jinx-2</v>
      </c>
      <c r="O43" s="89"/>
      <c r="P43" s="89"/>
      <c r="Q43" s="89"/>
      <c r="R43" s="89"/>
      <c r="S43" s="89"/>
      <c r="T43" s="89"/>
      <c r="U43" s="89"/>
      <c r="V43" s="89"/>
      <c r="W43" s="89"/>
      <c r="X43" s="89"/>
      <c r="Y43" s="89"/>
      <c r="Z43" s="89"/>
      <c r="AA43" s="89"/>
      <c r="AH43" s="280" t="str">
        <f>IF('Paste Editor (Beta)'!$C$82="Level-up prompt",G44,IF('Paste Editor (Beta)'!$C$82="Item prompt",E44,IF('Paste Editor (Beta)'!$C$82="Modifier prompt","'"&amp;B44,IF('Paste Editor (Beta)'!$C$82="Challenge prompt",L44,IF('Paste Editor (Beta)'!$C$82="Reroll class prompt",S43,IF('Paste Editor (Beta)'!$C$82="Swap hero prompt",S43,IF('Paste Editor (Beta)'!$C$82="Anvil prompt",AD43,"")))))))</f>
        <v/>
      </c>
      <c r="AI43" s="280" t="str">
        <f>IF('Paste Editor (Beta)'!$C$82="Level-up prompt",G44,IF('Paste Editor (Beta)'!$C$82="Item prompt",E44,IF('Paste Editor (Beta)'!$C$82="Modifier prompt","'"&amp;B44,IF('Paste Editor (Beta)'!$C$82="Challenge prompt",E44,IF('Paste Editor (Beta)'!$C$82="Reroll class prompt",S43,IF('Paste Editor (Beta)'!$C$82="Swap hero prompt",S43,IF('Paste Editor (Beta)'!$C$82="Anvil prompt",AD43,"")))))))</f>
        <v/>
      </c>
      <c r="AJ43" s="283" t="str">
        <f>IF('Paste Editor (Beta)'!$C$90="Level-up prompt",G44,IF('Paste Editor (Beta)'!$C$90="Item prompt",E44,IF('Paste Editor (Beta)'!$C$90="Modifier prompt","'"&amp;B44,IF('Paste Editor (Beta)'!$C$90="Challenge prompt",L44,IF('Paste Editor (Beta)'!$C$90="Reroll class prompt",S43,IF('Paste Editor (Beta)'!$C$90="Swap hero prompt",S43,IF('Paste Editor (Beta)'!$C$90="Anvil prompt",AD43,"")))))))</f>
        <v>Cleric</v>
      </c>
      <c r="AK43" s="283" t="str">
        <f>IF('Paste Editor (Beta)'!$C$90="Level-up prompt",G44,IF('Paste Editor (Beta)'!$C$90="Item prompt",E44,IF('Paste Editor (Beta)'!$C$90="Modifier prompt","'"&amp;B44,IF('Paste Editor (Beta)'!$C$90="Challenge prompt",E44,IF('Paste Editor (Beta)'!$C$90="Reroll class prompt",S43,IF('Paste Editor (Beta)'!$C$90="Swap hero prompt",S43,IF('Paste Editor (Beta)'!$C$90="Anvil prompt",AD43,"")))))))</f>
        <v>Cleric</v>
      </c>
    </row>
    <row r="44" spans="1:37" ht="18">
      <c r="A44" s="23" t="s">
        <v>4030</v>
      </c>
      <c r="B44" s="284" t="s">
        <v>2319</v>
      </c>
      <c r="C44" s="284" t="s">
        <v>2319</v>
      </c>
      <c r="D44" s="284" t="s">
        <v>2319</v>
      </c>
      <c r="E44" s="280" t="s">
        <v>1003</v>
      </c>
      <c r="G44" s="280" t="str">
        <v>Cleric</v>
      </c>
      <c r="L44" s="280" t="str">
        <f ca="1">IFERROR(__xludf.DUMMYFUNCTION("""COMPUTED_VALUE"""),"Jinx-s (Second single-use)")</f>
        <v>Jinx-s (Second single-use)</v>
      </c>
      <c r="M44" s="280" t="str">
        <f t="shared" ca="1" si="3"/>
        <v>Jinx-6</v>
      </c>
      <c r="O44" s="89"/>
      <c r="P44" s="89"/>
      <c r="Q44" s="89"/>
      <c r="R44" s="89"/>
      <c r="S44" s="89"/>
      <c r="T44" s="89"/>
      <c r="U44" s="89"/>
      <c r="V44" s="89"/>
      <c r="W44" s="89"/>
      <c r="X44" s="89"/>
      <c r="Y44" s="89"/>
      <c r="Z44" s="89"/>
      <c r="AA44" s="89"/>
      <c r="AH44" s="280" t="str">
        <f>IF('Paste Editor (Beta)'!$C$82="Level-up prompt",G45,IF('Paste Editor (Beta)'!$C$82="Item prompt",E45,IF('Paste Editor (Beta)'!$C$82="Modifier prompt","'"&amp;B45,IF('Paste Editor (Beta)'!$C$82="Challenge prompt",L45,IF('Paste Editor (Beta)'!$C$82="Reroll class prompt",S44,IF('Paste Editor (Beta)'!$C$82="Swap hero prompt",S44,IF('Paste Editor (Beta)'!$C$82="Anvil prompt",AD44,"")))))))</f>
        <v/>
      </c>
      <c r="AI44" s="280" t="str">
        <f>IF('Paste Editor (Beta)'!$C$82="Level-up prompt",G45,IF('Paste Editor (Beta)'!$C$82="Item prompt",E45,IF('Paste Editor (Beta)'!$C$82="Modifier prompt","'"&amp;B45,IF('Paste Editor (Beta)'!$C$82="Challenge prompt",E45,IF('Paste Editor (Beta)'!$C$82="Reroll class prompt",S44,IF('Paste Editor (Beta)'!$C$82="Swap hero prompt",S44,IF('Paste Editor (Beta)'!$C$82="Anvil prompt",AD44,"")))))))</f>
        <v/>
      </c>
      <c r="AJ44" s="283" t="str">
        <f>IF('Paste Editor (Beta)'!$C$90="Level-up prompt",G45,IF('Paste Editor (Beta)'!$C$90="Item prompt",E45,IF('Paste Editor (Beta)'!$C$90="Modifier prompt","'"&amp;B45,IF('Paste Editor (Beta)'!$C$90="Challenge prompt",L45,IF('Paste Editor (Beta)'!$C$90="Reroll class prompt",S44,IF('Paste Editor (Beta)'!$C$90="Swap hero prompt",S44,IF('Paste Editor (Beta)'!$C$90="Anvil prompt",AD44,"")))))))</f>
        <v>Guardian</v>
      </c>
      <c r="AK44" s="283" t="str">
        <f>IF('Paste Editor (Beta)'!$C$90="Level-up prompt",G45,IF('Paste Editor (Beta)'!$C$90="Item prompt",E45,IF('Paste Editor (Beta)'!$C$90="Modifier prompt","'"&amp;B45,IF('Paste Editor (Beta)'!$C$90="Challenge prompt",E45,IF('Paste Editor (Beta)'!$C$90="Reroll class prompt",S44,IF('Paste Editor (Beta)'!$C$90="Swap hero prompt",S44,IF('Paste Editor (Beta)'!$C$90="Anvil prompt",AD44,"")))))))</f>
        <v>Guardian</v>
      </c>
    </row>
    <row r="45" spans="1:37" ht="18">
      <c r="A45" s="23" t="s">
        <v>4031</v>
      </c>
      <c r="B45" s="284" t="s">
        <v>2415</v>
      </c>
      <c r="C45" s="284" t="s">
        <v>2415</v>
      </c>
      <c r="D45" s="284" t="s">
        <v>2415</v>
      </c>
      <c r="E45" s="280" t="s">
        <v>1580</v>
      </c>
      <c r="G45" s="280" t="str">
        <v>Guardian</v>
      </c>
      <c r="L45" s="280" t="str">
        <f ca="1">IFERROR(__xludf.DUMMYFUNCTION("""COMPUTED_VALUE"""),"Jinx-sd (Slippery Dice)")</f>
        <v>Jinx-sd (Slippery Dice)</v>
      </c>
      <c r="M45" s="280" t="str">
        <f t="shared" ca="1" si="3"/>
        <v>Jinx-7</v>
      </c>
      <c r="O45" s="89"/>
      <c r="P45" s="89"/>
      <c r="Q45" s="89"/>
      <c r="R45" s="89"/>
      <c r="S45" s="89"/>
      <c r="T45" s="89"/>
      <c r="U45" s="89"/>
      <c r="V45" s="89"/>
      <c r="W45" s="89"/>
      <c r="X45" s="89"/>
      <c r="Y45" s="89"/>
      <c r="Z45" s="89"/>
      <c r="AA45" s="89"/>
      <c r="AH45" s="280" t="str">
        <f>IF('Paste Editor (Beta)'!$C$82="Level-up prompt",G46,IF('Paste Editor (Beta)'!$C$82="Item prompt",E46,IF('Paste Editor (Beta)'!$C$82="Modifier prompt","'"&amp;B46,IF('Paste Editor (Beta)'!$C$82="Challenge prompt",L46,IF('Paste Editor (Beta)'!$C$82="Reroll class prompt",S45,IF('Paste Editor (Beta)'!$C$82="Swap hero prompt",S45,IF('Paste Editor (Beta)'!$C$82="Anvil prompt",AD45,"")))))))</f>
        <v/>
      </c>
      <c r="AI45" s="280" t="str">
        <f>IF('Paste Editor (Beta)'!$C$82="Level-up prompt",G46,IF('Paste Editor (Beta)'!$C$82="Item prompt",E46,IF('Paste Editor (Beta)'!$C$82="Modifier prompt","'"&amp;B46,IF('Paste Editor (Beta)'!$C$82="Challenge prompt",E46,IF('Paste Editor (Beta)'!$C$82="Reroll class prompt",S45,IF('Paste Editor (Beta)'!$C$82="Swap hero prompt",S45,IF('Paste Editor (Beta)'!$C$82="Anvil prompt",AD45,"")))))))</f>
        <v/>
      </c>
      <c r="AJ45" s="283" t="str">
        <f>IF('Paste Editor (Beta)'!$C$90="Level-up prompt",G46,IF('Paste Editor (Beta)'!$C$90="Item prompt",E46,IF('Paste Editor (Beta)'!$C$90="Modifier prompt","'"&amp;B46,IF('Paste Editor (Beta)'!$C$90="Challenge prompt",L46,IF('Paste Editor (Beta)'!$C$90="Reroll class prompt",S45,IF('Paste Editor (Beta)'!$C$90="Swap hero prompt",S45,IF('Paste Editor (Beta)'!$C$90="Anvil prompt",AD45,"")))))))</f>
        <v>Bard</v>
      </c>
      <c r="AK45" s="283" t="str">
        <f>IF('Paste Editor (Beta)'!$C$90="Level-up prompt",G46,IF('Paste Editor (Beta)'!$C$90="Item prompt",E46,IF('Paste Editor (Beta)'!$C$90="Modifier prompt","'"&amp;B46,IF('Paste Editor (Beta)'!$C$90="Challenge prompt",E46,IF('Paste Editor (Beta)'!$C$90="Reroll class prompt",S45,IF('Paste Editor (Beta)'!$C$90="Swap hero prompt",S45,IF('Paste Editor (Beta)'!$C$90="Anvil prompt",AD45,"")))))))</f>
        <v>Bard</v>
      </c>
    </row>
    <row r="46" spans="1:37" ht="18">
      <c r="A46" s="23" t="s">
        <v>4032</v>
      </c>
      <c r="B46" s="284" t="s">
        <v>2484</v>
      </c>
      <c r="C46" s="284" t="s">
        <v>2484</v>
      </c>
      <c r="D46" s="284" t="s">
        <v>2484</v>
      </c>
      <c r="E46" s="280" t="s">
        <v>1498</v>
      </c>
      <c r="G46" s="280" t="str">
        <v>Bard</v>
      </c>
      <c r="L46" s="280" t="str">
        <f ca="1">IFERROR(__xludf.DUMMYFUNCTION("""COMPUTED_VALUE"""),"Jinx-sg (Stony Grasp)")</f>
        <v>Jinx-sg (Stony Grasp)</v>
      </c>
      <c r="M46" s="280" t="str">
        <f t="shared" ca="1" si="3"/>
        <v>Jinx-8</v>
      </c>
      <c r="O46" s="89"/>
      <c r="P46" s="89"/>
      <c r="Q46" s="89"/>
      <c r="R46" s="89"/>
      <c r="S46" s="89"/>
      <c r="T46" s="89"/>
      <c r="U46" s="89"/>
      <c r="V46" s="89"/>
      <c r="W46" s="89"/>
      <c r="X46" s="89"/>
      <c r="Y46" s="89"/>
      <c r="Z46" s="89"/>
      <c r="AA46" s="89"/>
      <c r="AH46" s="280" t="str">
        <f>IF('Paste Editor (Beta)'!$C$82="Level-up prompt",G47,IF('Paste Editor (Beta)'!$C$82="Item prompt",E47,IF('Paste Editor (Beta)'!$C$82="Modifier prompt","'"&amp;B47,IF('Paste Editor (Beta)'!$C$82="Challenge prompt",L47,IF('Paste Editor (Beta)'!$C$82="Reroll class prompt",S46,IF('Paste Editor (Beta)'!$C$82="Swap hero prompt",S46,IF('Paste Editor (Beta)'!$C$82="Anvil prompt",AD46,"")))))))</f>
        <v/>
      </c>
      <c r="AI46" s="280" t="str">
        <f>IF('Paste Editor (Beta)'!$C$82="Level-up prompt",G47,IF('Paste Editor (Beta)'!$C$82="Item prompt",E47,IF('Paste Editor (Beta)'!$C$82="Modifier prompt","'"&amp;B47,IF('Paste Editor (Beta)'!$C$82="Challenge prompt",E47,IF('Paste Editor (Beta)'!$C$82="Reroll class prompt",S46,IF('Paste Editor (Beta)'!$C$82="Swap hero prompt",S46,IF('Paste Editor (Beta)'!$C$82="Anvil prompt",AD46,"")))))))</f>
        <v/>
      </c>
      <c r="AJ46" s="283" t="str">
        <f>IF('Paste Editor (Beta)'!$C$90="Level-up prompt",G47,IF('Paste Editor (Beta)'!$C$90="Item prompt",E47,IF('Paste Editor (Beta)'!$C$90="Modifier prompt","'"&amp;B47,IF('Paste Editor (Beta)'!$C$90="Challenge prompt",L47,IF('Paste Editor (Beta)'!$C$90="Reroll class prompt",S46,IF('Paste Editor (Beta)'!$C$90="Swap hero prompt",S46,IF('Paste Editor (Beta)'!$C$90="Anvil prompt",AD46,"")))))))</f>
        <v>Statue</v>
      </c>
      <c r="AK46" s="283" t="str">
        <f>IF('Paste Editor (Beta)'!$C$90="Level-up prompt",G47,IF('Paste Editor (Beta)'!$C$90="Item prompt",E47,IF('Paste Editor (Beta)'!$C$90="Modifier prompt","'"&amp;B47,IF('Paste Editor (Beta)'!$C$90="Challenge prompt",E47,IF('Paste Editor (Beta)'!$C$90="Reroll class prompt",S46,IF('Paste Editor (Beta)'!$C$90="Swap hero prompt",S46,IF('Paste Editor (Beta)'!$C$90="Anvil prompt",AD46,"")))))))</f>
        <v>Statue</v>
      </c>
    </row>
    <row r="47" spans="1:37" ht="18">
      <c r="A47" s="23" t="s">
        <v>4033</v>
      </c>
      <c r="B47" s="284" t="s">
        <v>2637</v>
      </c>
      <c r="C47" s="284" t="s">
        <v>2637</v>
      </c>
      <c r="D47" s="284" t="s">
        <v>2637</v>
      </c>
      <c r="E47" s="280" t="s">
        <v>1005</v>
      </c>
      <c r="G47" s="280" t="str">
        <v>Statue</v>
      </c>
      <c r="L47" s="280" t="str">
        <f ca="1">IFERROR(__xludf.DUMMYFUNCTION("""COMPUTED_VALUE"""),"Jinx-ss (Slow spells+)")</f>
        <v>Jinx-ss (Slow spells+)</v>
      </c>
      <c r="M47" s="280" t="str">
        <f t="shared" ca="1" si="3"/>
        <v>Jinx-1</v>
      </c>
      <c r="O47" s="89"/>
      <c r="P47" s="89"/>
      <c r="Q47" s="89"/>
      <c r="R47" s="89"/>
      <c r="S47" s="89"/>
      <c r="T47" s="89"/>
      <c r="U47" s="89"/>
      <c r="V47" s="89"/>
      <c r="W47" s="89"/>
      <c r="X47" s="89"/>
      <c r="Y47" s="89"/>
      <c r="Z47" s="89"/>
      <c r="AA47" s="89"/>
      <c r="AH47" s="280" t="str">
        <f>IF('Paste Editor (Beta)'!$C$82="Level-up prompt",G48,IF('Paste Editor (Beta)'!$C$82="Item prompt",E48,IF('Paste Editor (Beta)'!$C$82="Modifier prompt","'"&amp;B48,IF('Paste Editor (Beta)'!$C$82="Challenge prompt",L48,IF('Paste Editor (Beta)'!$C$82="Reroll class prompt",S47,IF('Paste Editor (Beta)'!$C$82="Swap hero prompt",S47,IF('Paste Editor (Beta)'!$C$82="Anvil prompt",AD47,"")))))))</f>
        <v/>
      </c>
      <c r="AI47" s="280" t="str">
        <f>IF('Paste Editor (Beta)'!$C$82="Level-up prompt",G48,IF('Paste Editor (Beta)'!$C$82="Item prompt",E48,IF('Paste Editor (Beta)'!$C$82="Modifier prompt","'"&amp;B48,IF('Paste Editor (Beta)'!$C$82="Challenge prompt",E48,IF('Paste Editor (Beta)'!$C$82="Reroll class prompt",S47,IF('Paste Editor (Beta)'!$C$82="Swap hero prompt",S47,IF('Paste Editor (Beta)'!$C$82="Anvil prompt",AD47,"")))))))</f>
        <v/>
      </c>
      <c r="AJ47" s="283" t="str">
        <f>IF('Paste Editor (Beta)'!$C$90="Level-up prompt",G48,IF('Paste Editor (Beta)'!$C$90="Item prompt",E48,IF('Paste Editor (Beta)'!$C$90="Modifier prompt","'"&amp;B48,IF('Paste Editor (Beta)'!$C$90="Challenge prompt",L48,IF('Paste Editor (Beta)'!$C$90="Reroll class prompt",S47,IF('Paste Editor (Beta)'!$C$90="Swap hero prompt",S47,IF('Paste Editor (Beta)'!$C$90="Anvil prompt",AD47,"")))))))</f>
        <v>Druid</v>
      </c>
      <c r="AK47" s="283" t="str">
        <f>IF('Paste Editor (Beta)'!$C$90="Level-up prompt",G48,IF('Paste Editor (Beta)'!$C$90="Item prompt",E48,IF('Paste Editor (Beta)'!$C$90="Modifier prompt","'"&amp;B48,IF('Paste Editor (Beta)'!$C$90="Challenge prompt",E48,IF('Paste Editor (Beta)'!$C$90="Reroll class prompt",S47,IF('Paste Editor (Beta)'!$C$90="Swap hero prompt",S47,IF('Paste Editor (Beta)'!$C$90="Anvil prompt",AD47,"")))))))</f>
        <v>Druid</v>
      </c>
    </row>
    <row r="48" spans="1:37" ht="18">
      <c r="A48" s="23" t="s">
        <v>4034</v>
      </c>
      <c r="B48" s="284" t="s">
        <v>2421</v>
      </c>
      <c r="C48" s="284" t="s">
        <v>2421</v>
      </c>
      <c r="D48" s="284" t="s">
        <v>2421</v>
      </c>
      <c r="E48" s="280" t="s">
        <v>1452</v>
      </c>
      <c r="G48" s="280" t="str">
        <v>Druid</v>
      </c>
      <c r="L48" s="280" t="str">
        <f ca="1">IFERROR(__xludf.DUMMYFUNCTION("""COMPUTED_VALUE"""),"Lich")</f>
        <v>Lich</v>
      </c>
      <c r="M48" s="280" t="str">
        <f t="shared" ca="1" si="3"/>
        <v>Lich</v>
      </c>
      <c r="O48" s="89"/>
      <c r="P48" s="89"/>
      <c r="Q48" s="89"/>
      <c r="R48" s="89"/>
      <c r="S48" s="89"/>
      <c r="T48" s="89"/>
      <c r="U48" s="89"/>
      <c r="V48" s="89"/>
      <c r="W48" s="89"/>
      <c r="X48" s="89"/>
      <c r="Y48" s="89"/>
      <c r="Z48" s="89"/>
      <c r="AA48" s="89"/>
      <c r="AH48" s="280" t="str">
        <f>IF('Paste Editor (Beta)'!$C$82="Level-up prompt",G49,IF('Paste Editor (Beta)'!$C$82="Item prompt",E49,IF('Paste Editor (Beta)'!$C$82="Modifier prompt","'"&amp;B49,IF('Paste Editor (Beta)'!$C$82="Challenge prompt",L49,IF('Paste Editor (Beta)'!$C$82="Reroll class prompt",S48,IF('Paste Editor (Beta)'!$C$82="Swap hero prompt",S48,IF('Paste Editor (Beta)'!$C$82="Anvil prompt",AD48,"")))))))</f>
        <v/>
      </c>
      <c r="AI48" s="280" t="str">
        <f>IF('Paste Editor (Beta)'!$C$82="Level-up prompt",G49,IF('Paste Editor (Beta)'!$C$82="Item prompt",E49,IF('Paste Editor (Beta)'!$C$82="Modifier prompt","'"&amp;B49,IF('Paste Editor (Beta)'!$C$82="Challenge prompt",E49,IF('Paste Editor (Beta)'!$C$82="Reroll class prompt",S48,IF('Paste Editor (Beta)'!$C$82="Swap hero prompt",S48,IF('Paste Editor (Beta)'!$C$82="Anvil prompt",AD48,"")))))))</f>
        <v/>
      </c>
      <c r="AJ48" s="283" t="str">
        <f>IF('Paste Editor (Beta)'!$C$90="Level-up prompt",G49,IF('Paste Editor (Beta)'!$C$90="Item prompt",E49,IF('Paste Editor (Beta)'!$C$90="Modifier prompt","'"&amp;B49,IF('Paste Editor (Beta)'!$C$90="Challenge prompt",L49,IF('Paste Editor (Beta)'!$C$90="Reroll class prompt",S48,IF('Paste Editor (Beta)'!$C$90="Swap hero prompt",S48,IF('Paste Editor (Beta)'!$C$90="Anvil prompt",AD48,"")))))))</f>
        <v>Herbalist</v>
      </c>
      <c r="AK48" s="283" t="str">
        <f>IF('Paste Editor (Beta)'!$C$90="Level-up prompt",G49,IF('Paste Editor (Beta)'!$C$90="Item prompt",E49,IF('Paste Editor (Beta)'!$C$90="Modifier prompt","'"&amp;B49,IF('Paste Editor (Beta)'!$C$90="Challenge prompt",E49,IF('Paste Editor (Beta)'!$C$90="Reroll class prompt",S48,IF('Paste Editor (Beta)'!$C$90="Swap hero prompt",S48,IF('Paste Editor (Beta)'!$C$90="Anvil prompt",AD48,"")))))))</f>
        <v>Herbalist</v>
      </c>
    </row>
    <row r="49" spans="1:37" ht="18">
      <c r="A49" s="23" t="s">
        <v>4035</v>
      </c>
      <c r="B49" s="284" t="s">
        <v>2600</v>
      </c>
      <c r="C49" s="284" t="s">
        <v>2600</v>
      </c>
      <c r="D49" s="284" t="s">
        <v>2600</v>
      </c>
      <c r="E49" s="280" t="s">
        <v>848</v>
      </c>
      <c r="G49" s="280" t="str">
        <v>Herbalist</v>
      </c>
      <c r="L49" s="280" t="str">
        <f ca="1">IFERROR(__xludf.DUMMYFUNCTION("""COMPUTED_VALUE"""),"Magrat")</f>
        <v>Magrat</v>
      </c>
      <c r="M49" s="280" t="str">
        <f t="shared" ca="1" si="3"/>
        <v>Magrat</v>
      </c>
      <c r="O49" s="89"/>
      <c r="P49" s="89"/>
      <c r="Q49" s="89"/>
      <c r="R49" s="89"/>
      <c r="S49" s="89"/>
      <c r="T49" s="89"/>
      <c r="U49" s="89"/>
      <c r="V49" s="89"/>
      <c r="W49" s="89"/>
      <c r="X49" s="89"/>
      <c r="Y49" s="89"/>
      <c r="Z49" s="89"/>
      <c r="AA49" s="89"/>
      <c r="AH49" s="280" t="str">
        <f>IF('Paste Editor (Beta)'!$C$82="Level-up prompt",G50,IF('Paste Editor (Beta)'!$C$82="Item prompt",E50,IF('Paste Editor (Beta)'!$C$82="Modifier prompt","'"&amp;B50,IF('Paste Editor (Beta)'!$C$82="Challenge prompt",L50,IF('Paste Editor (Beta)'!$C$82="Reroll class prompt",S49,IF('Paste Editor (Beta)'!$C$82="Swap hero prompt",S49,IF('Paste Editor (Beta)'!$C$82="Anvil prompt",AD49,"")))))))</f>
        <v/>
      </c>
      <c r="AI49" s="280" t="str">
        <f>IF('Paste Editor (Beta)'!$C$82="Level-up prompt",G50,IF('Paste Editor (Beta)'!$C$82="Item prompt",E50,IF('Paste Editor (Beta)'!$C$82="Modifier prompt","'"&amp;B50,IF('Paste Editor (Beta)'!$C$82="Challenge prompt",E50,IF('Paste Editor (Beta)'!$C$82="Reroll class prompt",S49,IF('Paste Editor (Beta)'!$C$82="Swap hero prompt",S49,IF('Paste Editor (Beta)'!$C$82="Anvil prompt",AD49,"")))))))</f>
        <v/>
      </c>
      <c r="AJ49" s="283" t="str">
        <f>IF('Paste Editor (Beta)'!$C$90="Level-up prompt",G50,IF('Paste Editor (Beta)'!$C$90="Item prompt",E50,IF('Paste Editor (Beta)'!$C$90="Modifier prompt","'"&amp;B50,IF('Paste Editor (Beta)'!$C$90="Challenge prompt",L50,IF('Paste Editor (Beta)'!$C$90="Reroll class prompt",S49,IF('Paste Editor (Beta)'!$C$90="Swap hero prompt",S49,IF('Paste Editor (Beta)'!$C$90="Anvil prompt",AD49,"")))))))</f>
        <v>Fey</v>
      </c>
      <c r="AK49" s="283" t="str">
        <f>IF('Paste Editor (Beta)'!$C$90="Level-up prompt",G50,IF('Paste Editor (Beta)'!$C$90="Item prompt",E50,IF('Paste Editor (Beta)'!$C$90="Modifier prompt","'"&amp;B50,IF('Paste Editor (Beta)'!$C$90="Challenge prompt",E50,IF('Paste Editor (Beta)'!$C$90="Reroll class prompt",S49,IF('Paste Editor (Beta)'!$C$90="Swap hero prompt",S49,IF('Paste Editor (Beta)'!$C$90="Anvil prompt",AD49,"")))))))</f>
        <v>Fey</v>
      </c>
    </row>
    <row r="50" spans="1:37" ht="18">
      <c r="A50" s="23" t="s">
        <v>4036</v>
      </c>
      <c r="B50" s="284" t="s">
        <v>2419</v>
      </c>
      <c r="C50" s="284" t="s">
        <v>2419</v>
      </c>
      <c r="D50" s="284" t="s">
        <v>2419</v>
      </c>
      <c r="E50" s="280" t="s">
        <v>1305</v>
      </c>
      <c r="G50" s="280" t="str">
        <v>Fey</v>
      </c>
      <c r="L50" s="280" t="str">
        <f ca="1">IFERROR(__xludf.DUMMYFUNCTION("""COMPUTED_VALUE"""),"Ogre")</f>
        <v>Ogre</v>
      </c>
      <c r="M50" s="280" t="str">
        <f t="shared" ca="1" si="3"/>
        <v>Ogre</v>
      </c>
      <c r="O50" s="89"/>
      <c r="P50" s="89"/>
      <c r="Q50" s="89"/>
      <c r="R50" s="89"/>
      <c r="S50" s="89"/>
      <c r="T50" s="89"/>
      <c r="U50" s="89"/>
      <c r="V50" s="89"/>
      <c r="W50" s="89"/>
      <c r="X50" s="89"/>
      <c r="Y50" s="89"/>
      <c r="Z50" s="89"/>
      <c r="AA50" s="89"/>
      <c r="AH50" s="280" t="str">
        <f>IF('Paste Editor (Beta)'!$C$82="Level-up prompt",G51,IF('Paste Editor (Beta)'!$C$82="Item prompt",E51,IF('Paste Editor (Beta)'!$C$82="Modifier prompt","'"&amp;B51,IF('Paste Editor (Beta)'!$C$82="Challenge prompt",L51,IF('Paste Editor (Beta)'!$C$82="Reroll class prompt",S50,IF('Paste Editor (Beta)'!$C$82="Swap hero prompt",S50,IF('Paste Editor (Beta)'!$C$82="Anvil prompt",AD50,"")))))))</f>
        <v/>
      </c>
      <c r="AI50" s="280" t="str">
        <f>IF('Paste Editor (Beta)'!$C$82="Level-up prompt",G51,IF('Paste Editor (Beta)'!$C$82="Item prompt",E51,IF('Paste Editor (Beta)'!$C$82="Modifier prompt","'"&amp;B51,IF('Paste Editor (Beta)'!$C$82="Challenge prompt",E51,IF('Paste Editor (Beta)'!$C$82="Reroll class prompt",S50,IF('Paste Editor (Beta)'!$C$82="Swap hero prompt",S50,IF('Paste Editor (Beta)'!$C$82="Anvil prompt",AD50,"")))))))</f>
        <v/>
      </c>
      <c r="AJ50" s="283" t="str">
        <f>IF('Paste Editor (Beta)'!$C$90="Level-up prompt",G51,IF('Paste Editor (Beta)'!$C$90="Item prompt",E51,IF('Paste Editor (Beta)'!$C$90="Modifier prompt","'"&amp;B51,IF('Paste Editor (Beta)'!$C$90="Challenge prompt",L51,IF('Paste Editor (Beta)'!$C$90="Reroll class prompt",S50,IF('Paste Editor (Beta)'!$C$90="Swap hero prompt",S50,IF('Paste Editor (Beta)'!$C$90="Anvil prompt",AD50,"")))))))</f>
        <v>Disciple</v>
      </c>
      <c r="AK50" s="283" t="str">
        <f>IF('Paste Editor (Beta)'!$C$90="Level-up prompt",G51,IF('Paste Editor (Beta)'!$C$90="Item prompt",E51,IF('Paste Editor (Beta)'!$C$90="Modifier prompt","'"&amp;B51,IF('Paste Editor (Beta)'!$C$90="Challenge prompt",E51,IF('Paste Editor (Beta)'!$C$90="Reroll class prompt",S50,IF('Paste Editor (Beta)'!$C$90="Swap hero prompt",S50,IF('Paste Editor (Beta)'!$C$90="Anvil prompt",AD50,"")))))))</f>
        <v>Disciple</v>
      </c>
    </row>
    <row r="51" spans="1:37" ht="18">
      <c r="A51" s="23" t="s">
        <v>4037</v>
      </c>
      <c r="B51" s="284" t="s">
        <v>2707</v>
      </c>
      <c r="C51" s="284" t="s">
        <v>2707</v>
      </c>
      <c r="D51" s="284" t="s">
        <v>2707</v>
      </c>
      <c r="E51" s="280" t="s">
        <v>933</v>
      </c>
      <c r="G51" s="280" t="str">
        <v>Disciple</v>
      </c>
      <c r="L51" s="280" t="str">
        <f ca="1">IFERROR(__xludf.DUMMYFUNCTION("""COMPUTED_VALUE"""),"Quartz")</f>
        <v>Quartz</v>
      </c>
      <c r="M51" s="280" t="str">
        <f t="shared" ca="1" si="3"/>
        <v>Quartz</v>
      </c>
      <c r="O51" s="89"/>
      <c r="P51" s="89"/>
      <c r="Q51" s="89"/>
      <c r="R51" s="89"/>
      <c r="S51" s="89"/>
      <c r="T51" s="89"/>
      <c r="U51" s="89"/>
      <c r="V51" s="89"/>
      <c r="W51" s="89"/>
      <c r="X51" s="89"/>
      <c r="Y51" s="89"/>
      <c r="Z51" s="89"/>
      <c r="AA51" s="89"/>
      <c r="AH51" s="280" t="str">
        <f>IF('Paste Editor (Beta)'!$C$82="Level-up prompt",G52,IF('Paste Editor (Beta)'!$C$82="Item prompt",E52,IF('Paste Editor (Beta)'!$C$82="Modifier prompt","'"&amp;B52,IF('Paste Editor (Beta)'!$C$82="Challenge prompt",L52,IF('Paste Editor (Beta)'!$C$82="Reroll class prompt",S51,IF('Paste Editor (Beta)'!$C$82="Swap hero prompt",S51,IF('Paste Editor (Beta)'!$C$82="Anvil prompt",AD51,"")))))))</f>
        <v/>
      </c>
      <c r="AI51" s="280" t="str">
        <f>IF('Paste Editor (Beta)'!$C$82="Level-up prompt",G52,IF('Paste Editor (Beta)'!$C$82="Item prompt",E52,IF('Paste Editor (Beta)'!$C$82="Modifier prompt","'"&amp;B52,IF('Paste Editor (Beta)'!$C$82="Challenge prompt",E52,IF('Paste Editor (Beta)'!$C$82="Reroll class prompt",S51,IF('Paste Editor (Beta)'!$C$82="Swap hero prompt",S51,IF('Paste Editor (Beta)'!$C$82="Anvil prompt",AD51,"")))))))</f>
        <v/>
      </c>
      <c r="AJ51" s="283" t="str">
        <f>IF('Paste Editor (Beta)'!$C$90="Level-up prompt",G52,IF('Paste Editor (Beta)'!$C$90="Item prompt",E52,IF('Paste Editor (Beta)'!$C$90="Modifier prompt","'"&amp;B52,IF('Paste Editor (Beta)'!$C$90="Challenge prompt",L52,IF('Paste Editor (Beta)'!$C$90="Reroll class prompt",S51,IF('Paste Editor (Beta)'!$C$90="Swap hero prompt",S51,IF('Paste Editor (Beta)'!$C$90="Anvil prompt",AD51,"")))))))</f>
        <v>Vampire</v>
      </c>
      <c r="AK51" s="283" t="str">
        <f>IF('Paste Editor (Beta)'!$C$90="Level-up prompt",G52,IF('Paste Editor (Beta)'!$C$90="Item prompt",E52,IF('Paste Editor (Beta)'!$C$90="Modifier prompt","'"&amp;B52,IF('Paste Editor (Beta)'!$C$90="Challenge prompt",E52,IF('Paste Editor (Beta)'!$C$90="Reroll class prompt",S51,IF('Paste Editor (Beta)'!$C$90="Swap hero prompt",S51,IF('Paste Editor (Beta)'!$C$90="Anvil prompt",AD51,"")))))))</f>
        <v>Vampire</v>
      </c>
    </row>
    <row r="52" spans="1:37" ht="18">
      <c r="A52" s="23" t="s">
        <v>4038</v>
      </c>
      <c r="B52" s="284" t="s">
        <v>2596</v>
      </c>
      <c r="C52" s="284" t="s">
        <v>2596</v>
      </c>
      <c r="D52" s="284" t="s">
        <v>2596</v>
      </c>
      <c r="E52" s="280" t="s">
        <v>1308</v>
      </c>
      <c r="G52" s="280" t="str">
        <v>Vampire</v>
      </c>
      <c r="L52" s="280" t="str">
        <f ca="1">IFERROR(__xludf.DUMMYFUNCTION("""COMPUTED_VALUE"""),"Rat")</f>
        <v>Rat</v>
      </c>
      <c r="M52" s="280" t="str">
        <f t="shared" ca="1" si="3"/>
        <v>Rat</v>
      </c>
      <c r="O52" s="89"/>
      <c r="P52" s="89"/>
      <c r="Q52" s="89"/>
      <c r="R52" s="89"/>
      <c r="S52" s="89"/>
      <c r="T52" s="89"/>
      <c r="U52" s="89"/>
      <c r="V52" s="89"/>
      <c r="W52" s="89"/>
      <c r="X52" s="89"/>
      <c r="Y52" s="89"/>
      <c r="Z52" s="89"/>
      <c r="AA52" s="89"/>
      <c r="AH52" s="280" t="str">
        <f>IF('Paste Editor (Beta)'!$C$82="Level-up prompt",G53,IF('Paste Editor (Beta)'!$C$82="Item prompt",E53,IF('Paste Editor (Beta)'!$C$82="Modifier prompt","'"&amp;B53,IF('Paste Editor (Beta)'!$C$82="Challenge prompt",L53,IF('Paste Editor (Beta)'!$C$82="Reroll class prompt",S52,IF('Paste Editor (Beta)'!$C$82="Swap hero prompt",S52,IF('Paste Editor (Beta)'!$C$82="Anvil prompt",AD52,"")))))))</f>
        <v/>
      </c>
      <c r="AI52" s="280" t="str">
        <f>IF('Paste Editor (Beta)'!$C$82="Level-up prompt",G53,IF('Paste Editor (Beta)'!$C$82="Item prompt",E53,IF('Paste Editor (Beta)'!$C$82="Modifier prompt","'"&amp;B53,IF('Paste Editor (Beta)'!$C$82="Challenge prompt",E53,IF('Paste Editor (Beta)'!$C$82="Reroll class prompt",S52,IF('Paste Editor (Beta)'!$C$82="Swap hero prompt",S52,IF('Paste Editor (Beta)'!$C$82="Anvil prompt",AD52,"")))))))</f>
        <v/>
      </c>
      <c r="AJ52" s="283" t="str">
        <f>IF('Paste Editor (Beta)'!$C$90="Level-up prompt",G53,IF('Paste Editor (Beta)'!$C$90="Item prompt",E53,IF('Paste Editor (Beta)'!$C$90="Modifier prompt","'"&amp;B53,IF('Paste Editor (Beta)'!$C$90="Challenge prompt",L53,IF('Paste Editor (Beta)'!$C$90="Reroll class prompt",S52,IF('Paste Editor (Beta)'!$C$90="Swap hero prompt",S52,IF('Paste Editor (Beta)'!$C$90="Anvil prompt",AD52,"")))))))</f>
        <v>Medic</v>
      </c>
      <c r="AK52" s="283" t="str">
        <f>IF('Paste Editor (Beta)'!$C$90="Level-up prompt",G53,IF('Paste Editor (Beta)'!$C$90="Item prompt",E53,IF('Paste Editor (Beta)'!$C$90="Modifier prompt","'"&amp;B53,IF('Paste Editor (Beta)'!$C$90="Challenge prompt",E53,IF('Paste Editor (Beta)'!$C$90="Reroll class prompt",S52,IF('Paste Editor (Beta)'!$C$90="Swap hero prompt",S52,IF('Paste Editor (Beta)'!$C$90="Anvil prompt",AD52,"")))))))</f>
        <v>Medic</v>
      </c>
    </row>
    <row r="53" spans="1:37" ht="18">
      <c r="A53" s="23" t="s">
        <v>4039</v>
      </c>
      <c r="B53" s="284" t="s">
        <v>2003</v>
      </c>
      <c r="C53" s="284" t="s">
        <v>2003</v>
      </c>
      <c r="D53" s="284" t="s">
        <v>2003</v>
      </c>
      <c r="E53" s="280" t="s">
        <v>1389</v>
      </c>
      <c r="G53" s="280" t="str">
        <v>Medic</v>
      </c>
      <c r="L53" s="280" t="str">
        <f ca="1">IFERROR(__xludf.DUMMYFUNCTION("""COMPUTED_VALUE"""),"Rotten")</f>
        <v>Rotten</v>
      </c>
      <c r="M53" s="280" t="str">
        <f t="shared" ca="1" si="3"/>
        <v>Rotten</v>
      </c>
      <c r="O53" s="89"/>
      <c r="P53" s="89"/>
      <c r="Q53" s="89"/>
      <c r="R53" s="89"/>
      <c r="S53" s="89"/>
      <c r="T53" s="89"/>
      <c r="U53" s="89"/>
      <c r="V53" s="89"/>
      <c r="W53" s="89"/>
      <c r="X53" s="89"/>
      <c r="Y53" s="89"/>
      <c r="Z53" s="89"/>
      <c r="AA53" s="89"/>
      <c r="AH53" s="280" t="str">
        <f>IF('Paste Editor (Beta)'!$C$82="Level-up prompt",G54,IF('Paste Editor (Beta)'!$C$82="Item prompt",E54,IF('Paste Editor (Beta)'!$C$82="Modifier prompt","'"&amp;B54,IF('Paste Editor (Beta)'!$C$82="Challenge prompt",L54,IF('Paste Editor (Beta)'!$C$82="Reroll class prompt",S53,IF('Paste Editor (Beta)'!$C$82="Swap hero prompt",S53,IF('Paste Editor (Beta)'!$C$82="Anvil prompt",AD53,"")))))))</f>
        <v/>
      </c>
      <c r="AI53" s="280" t="str">
        <f>IF('Paste Editor (Beta)'!$C$82="Level-up prompt",G54,IF('Paste Editor (Beta)'!$C$82="Item prompt",E54,IF('Paste Editor (Beta)'!$C$82="Modifier prompt","'"&amp;B54,IF('Paste Editor (Beta)'!$C$82="Challenge prompt",E54,IF('Paste Editor (Beta)'!$C$82="Reroll class prompt",S53,IF('Paste Editor (Beta)'!$C$82="Swap hero prompt",S53,IF('Paste Editor (Beta)'!$C$82="Anvil prompt",AD53,"")))))))</f>
        <v/>
      </c>
      <c r="AJ53" s="283" t="str">
        <f>IF('Paste Editor (Beta)'!$C$90="Level-up prompt",G54,IF('Paste Editor (Beta)'!$C$90="Item prompt",E54,IF('Paste Editor (Beta)'!$C$90="Modifier prompt","'"&amp;B54,IF('Paste Editor (Beta)'!$C$90="Challenge prompt",L54,IF('Paste Editor (Beta)'!$C$90="Reroll class prompt",S53,IF('Paste Editor (Beta)'!$C$90="Swap hero prompt",S53,IF('Paste Editor (Beta)'!$C$90="Anvil prompt",AD53,"")))))))</f>
        <v>Priestess</v>
      </c>
      <c r="AK53" s="283" t="str">
        <f>IF('Paste Editor (Beta)'!$C$90="Level-up prompt",G54,IF('Paste Editor (Beta)'!$C$90="Item prompt",E54,IF('Paste Editor (Beta)'!$C$90="Modifier prompt","'"&amp;B54,IF('Paste Editor (Beta)'!$C$90="Challenge prompt",E54,IF('Paste Editor (Beta)'!$C$90="Reroll class prompt",S53,IF('Paste Editor (Beta)'!$C$90="Swap hero prompt",S53,IF('Paste Editor (Beta)'!$C$90="Anvil prompt",AD53,"")))))))</f>
        <v>Priestess</v>
      </c>
    </row>
    <row r="54" spans="1:37" ht="18">
      <c r="A54" s="23" t="s">
        <v>4040</v>
      </c>
      <c r="B54" s="284" t="s">
        <v>3067</v>
      </c>
      <c r="C54" s="284" t="s">
        <v>3067</v>
      </c>
      <c r="D54" s="284" t="s">
        <v>3067</v>
      </c>
      <c r="E54" s="280" t="s">
        <v>1140</v>
      </c>
      <c r="G54" s="280" t="str">
        <v>Priestess</v>
      </c>
      <c r="L54" s="280" t="str">
        <f ca="1">IFERROR(__xludf.DUMMYFUNCTION("""COMPUTED_VALUE"""),"Saber")</f>
        <v>Saber</v>
      </c>
      <c r="M54" s="280" t="str">
        <f t="shared" ca="1" si="3"/>
        <v>Saber</v>
      </c>
      <c r="O54" s="89"/>
      <c r="P54" s="89"/>
      <c r="Q54" s="89"/>
      <c r="R54" s="89"/>
      <c r="S54" s="89"/>
      <c r="T54" s="89"/>
      <c r="U54" s="89"/>
      <c r="V54" s="89"/>
      <c r="W54" s="89"/>
      <c r="X54" s="89"/>
      <c r="Y54" s="89"/>
      <c r="Z54" s="89"/>
      <c r="AA54" s="89"/>
      <c r="AH54" s="280" t="str">
        <f>IF('Paste Editor (Beta)'!$C$82="Level-up prompt",G55,IF('Paste Editor (Beta)'!$C$82="Item prompt",E55,IF('Paste Editor (Beta)'!$C$82="Modifier prompt","'"&amp;B55,IF('Paste Editor (Beta)'!$C$82="Challenge prompt",L55,IF('Paste Editor (Beta)'!$C$82="Reroll class prompt",S54,IF('Paste Editor (Beta)'!$C$82="Swap hero prompt",S54,IF('Paste Editor (Beta)'!$C$82="Anvil prompt",AD54,"")))))))</f>
        <v/>
      </c>
      <c r="AI54" s="280" t="str">
        <f>IF('Paste Editor (Beta)'!$C$82="Level-up prompt",G55,IF('Paste Editor (Beta)'!$C$82="Item prompt",E55,IF('Paste Editor (Beta)'!$C$82="Modifier prompt","'"&amp;B55,IF('Paste Editor (Beta)'!$C$82="Challenge prompt",E55,IF('Paste Editor (Beta)'!$C$82="Reroll class prompt",S54,IF('Paste Editor (Beta)'!$C$82="Swap hero prompt",S54,IF('Paste Editor (Beta)'!$C$82="Anvil prompt",AD54,"")))))))</f>
        <v/>
      </c>
      <c r="AJ54" s="283" t="str">
        <f>IF('Paste Editor (Beta)'!$C$90="Level-up prompt",G55,IF('Paste Editor (Beta)'!$C$90="Item prompt",E55,IF('Paste Editor (Beta)'!$C$90="Modifier prompt","'"&amp;B55,IF('Paste Editor (Beta)'!$C$90="Challenge prompt",L55,IF('Paste Editor (Beta)'!$C$90="Reroll class prompt",S54,IF('Paste Editor (Beta)'!$C$90="Swap hero prompt",S54,IF('Paste Editor (Beta)'!$C$90="Anvil prompt",AD54,"")))))))</f>
        <v>Enchanter</v>
      </c>
      <c r="AK54" s="283" t="str">
        <f>IF('Paste Editor (Beta)'!$C$90="Level-up prompt",G55,IF('Paste Editor (Beta)'!$C$90="Item prompt",E55,IF('Paste Editor (Beta)'!$C$90="Modifier prompt","'"&amp;B55,IF('Paste Editor (Beta)'!$C$90="Challenge prompt",E55,IF('Paste Editor (Beta)'!$C$90="Reroll class prompt",S54,IF('Paste Editor (Beta)'!$C$90="Swap hero prompt",S54,IF('Paste Editor (Beta)'!$C$90="Anvil prompt",AD54,"")))))))</f>
        <v>Enchanter</v>
      </c>
    </row>
    <row r="55" spans="1:37" ht="18">
      <c r="A55" s="23" t="s">
        <v>4041</v>
      </c>
      <c r="B55" s="284" t="s">
        <v>2698</v>
      </c>
      <c r="C55" s="284" t="s">
        <v>4042</v>
      </c>
      <c r="D55" s="284" t="s">
        <v>4043</v>
      </c>
      <c r="E55" s="280" t="s">
        <v>1224</v>
      </c>
      <c r="G55" s="280" t="str">
        <v>Enchanter</v>
      </c>
      <c r="L55" s="280" t="str">
        <f ca="1">IFERROR(__xludf.DUMMYFUNCTION("""COMPUTED_VALUE"""),"Slate")</f>
        <v>Slate</v>
      </c>
      <c r="M55" s="280" t="str">
        <f t="shared" ca="1" si="3"/>
        <v>Slate</v>
      </c>
      <c r="O55" s="89"/>
      <c r="P55" s="89"/>
      <c r="Q55" s="89"/>
      <c r="R55" s="89"/>
      <c r="S55" s="89"/>
      <c r="T55" s="89"/>
      <c r="U55" s="89"/>
      <c r="V55" s="89"/>
      <c r="W55" s="89"/>
      <c r="X55" s="89"/>
      <c r="Y55" s="89"/>
      <c r="Z55" s="89"/>
      <c r="AA55" s="89"/>
      <c r="AH55" s="280" t="str">
        <f>IF('Paste Editor (Beta)'!$C$82="Level-up prompt",G56,IF('Paste Editor (Beta)'!$C$82="Item prompt",E56,IF('Paste Editor (Beta)'!$C$82="Modifier prompt","'"&amp;B56,IF('Paste Editor (Beta)'!$C$82="Challenge prompt",L56,IF('Paste Editor (Beta)'!$C$82="Reroll class prompt",S55,IF('Paste Editor (Beta)'!$C$82="Swap hero prompt",S55,IF('Paste Editor (Beta)'!$C$82="Anvil prompt",AD55,"")))))))</f>
        <v/>
      </c>
      <c r="AI55" s="280" t="str">
        <f>IF('Paste Editor (Beta)'!$C$82="Level-up prompt",G56,IF('Paste Editor (Beta)'!$C$82="Item prompt",E56,IF('Paste Editor (Beta)'!$C$82="Modifier prompt","'"&amp;B56,IF('Paste Editor (Beta)'!$C$82="Challenge prompt",E56,IF('Paste Editor (Beta)'!$C$82="Reroll class prompt",S55,IF('Paste Editor (Beta)'!$C$82="Swap hero prompt",S55,IF('Paste Editor (Beta)'!$C$82="Anvil prompt",AD55,"")))))))</f>
        <v/>
      </c>
      <c r="AJ55" s="283" t="str">
        <f>IF('Paste Editor (Beta)'!$C$90="Level-up prompt",G56,IF('Paste Editor (Beta)'!$C$90="Item prompt",E56,IF('Paste Editor (Beta)'!$C$90="Modifier prompt","'"&amp;B56,IF('Paste Editor (Beta)'!$C$90="Challenge prompt",L56,IF('Paste Editor (Beta)'!$C$90="Reroll class prompt",S55,IF('Paste Editor (Beta)'!$C$90="Swap hero prompt",S55,IF('Paste Editor (Beta)'!$C$90="Anvil prompt",AD55,"")))))))</f>
        <v>Caldera</v>
      </c>
      <c r="AK55" s="283" t="str">
        <f>IF('Paste Editor (Beta)'!$C$90="Level-up prompt",G56,IF('Paste Editor (Beta)'!$C$90="Item prompt",E56,IF('Paste Editor (Beta)'!$C$90="Modifier prompt","'"&amp;B56,IF('Paste Editor (Beta)'!$C$90="Challenge prompt",E56,IF('Paste Editor (Beta)'!$C$90="Reroll class prompt",S55,IF('Paste Editor (Beta)'!$C$90="Swap hero prompt",S55,IF('Paste Editor (Beta)'!$C$90="Anvil prompt",AD55,"")))))))</f>
        <v>Caldera</v>
      </c>
    </row>
    <row r="56" spans="1:37" ht="18">
      <c r="A56" s="23" t="s">
        <v>4044</v>
      </c>
      <c r="B56" s="284" t="s">
        <v>2530</v>
      </c>
      <c r="C56" s="284" t="s">
        <v>4045</v>
      </c>
      <c r="D56" s="284" t="s">
        <v>4046</v>
      </c>
      <c r="E56" s="280" t="s">
        <v>233</v>
      </c>
      <c r="G56" s="280" t="str">
        <v>Caldera</v>
      </c>
      <c r="L56" s="280" t="str">
        <f ca="1">IFERROR(__xludf.DUMMYFUNCTION("""COMPUTED_VALUE"""),"Slime Queen")</f>
        <v>Slime Queen</v>
      </c>
      <c r="M56" s="280" t="str">
        <f t="shared" ca="1" si="3"/>
        <v>Slime Queen</v>
      </c>
      <c r="O56" s="89"/>
      <c r="P56" s="89"/>
      <c r="Q56" s="89"/>
      <c r="R56" s="89"/>
      <c r="S56" s="89"/>
      <c r="T56" s="89"/>
      <c r="U56" s="89"/>
      <c r="V56" s="89"/>
      <c r="W56" s="89"/>
      <c r="X56" s="89"/>
      <c r="Y56" s="89"/>
      <c r="Z56" s="89"/>
      <c r="AA56" s="89"/>
      <c r="AH56" s="280" t="str">
        <f>IF('Paste Editor (Beta)'!$C$82="Level-up prompt",G57,IF('Paste Editor (Beta)'!$C$82="Item prompt",E57,IF('Paste Editor (Beta)'!$C$82="Modifier prompt","'"&amp;B57,IF('Paste Editor (Beta)'!$C$82="Challenge prompt",L57,IF('Paste Editor (Beta)'!$C$82="Reroll class prompt",S56,IF('Paste Editor (Beta)'!$C$82="Swap hero prompt",S56,IF('Paste Editor (Beta)'!$C$82="Anvil prompt",AD56,"")))))))</f>
        <v/>
      </c>
      <c r="AI56" s="280" t="str">
        <f>IF('Paste Editor (Beta)'!$C$82="Level-up prompt",G57,IF('Paste Editor (Beta)'!$C$82="Item prompt",E57,IF('Paste Editor (Beta)'!$C$82="Modifier prompt","'"&amp;B57,IF('Paste Editor (Beta)'!$C$82="Challenge prompt",E57,IF('Paste Editor (Beta)'!$C$82="Reroll class prompt",S56,IF('Paste Editor (Beta)'!$C$82="Swap hero prompt",S56,IF('Paste Editor (Beta)'!$C$82="Anvil prompt",AD56,"")))))))</f>
        <v/>
      </c>
      <c r="AJ56" s="283" t="str">
        <f>IF('Paste Editor (Beta)'!$C$90="Level-up prompt",G57,IF('Paste Editor (Beta)'!$C$90="Item prompt",E57,IF('Paste Editor (Beta)'!$C$90="Modifier prompt","'"&amp;B57,IF('Paste Editor (Beta)'!$C$90="Challenge prompt",L57,IF('Paste Editor (Beta)'!$C$90="Reroll class prompt",S56,IF('Paste Editor (Beta)'!$C$90="Swap hero prompt",S56,IF('Paste Editor (Beta)'!$C$90="Anvil prompt",AD56,"")))))))</f>
        <v>Fiend</v>
      </c>
      <c r="AK56" s="283" t="str">
        <f>IF('Paste Editor (Beta)'!$C$90="Level-up prompt",G57,IF('Paste Editor (Beta)'!$C$90="Item prompt",E57,IF('Paste Editor (Beta)'!$C$90="Modifier prompt","'"&amp;B57,IF('Paste Editor (Beta)'!$C$90="Challenge prompt",E57,IF('Paste Editor (Beta)'!$C$90="Reroll class prompt",S56,IF('Paste Editor (Beta)'!$C$90="Swap hero prompt",S56,IF('Paste Editor (Beta)'!$C$90="Anvil prompt",AD56,"")))))))</f>
        <v>Fiend</v>
      </c>
    </row>
    <row r="57" spans="1:37" ht="18">
      <c r="A57" s="23" t="s">
        <v>4047</v>
      </c>
      <c r="B57" s="284" t="s">
        <v>2171</v>
      </c>
      <c r="C57" s="284" t="s">
        <v>4048</v>
      </c>
      <c r="D57" s="284" t="s">
        <v>4049</v>
      </c>
      <c r="E57" s="280" t="s">
        <v>1500</v>
      </c>
      <c r="G57" s="280" t="str">
        <v>Fiend</v>
      </c>
      <c r="L57" s="280" t="str">
        <f ca="1">IFERROR(__xludf.DUMMYFUNCTION("""COMPUTED_VALUE"""),"Slimelet")</f>
        <v>Slimelet</v>
      </c>
      <c r="M57" s="280" t="str">
        <f t="shared" ca="1" si="3"/>
        <v>Slimelet</v>
      </c>
      <c r="V57" s="89"/>
      <c r="W57" s="89"/>
      <c r="X57" s="89"/>
      <c r="Y57" s="89"/>
      <c r="Z57" s="89"/>
      <c r="AA57" s="89"/>
      <c r="AH57" s="280" t="str">
        <f>IF('Paste Editor (Beta)'!$C$82="Level-up prompt",G58,IF('Paste Editor (Beta)'!$C$82="Item prompt",E58,IF('Paste Editor (Beta)'!$C$82="Modifier prompt","'"&amp;B58,IF('Paste Editor (Beta)'!$C$82="Challenge prompt",L58,IF('Paste Editor (Beta)'!$C$82="Reroll class prompt",S57,IF('Paste Editor (Beta)'!$C$82="Swap hero prompt",S57,IF('Paste Editor (Beta)'!$C$82="Anvil prompt",AD57,"")))))))</f>
        <v/>
      </c>
      <c r="AI57" s="280" t="str">
        <f>IF('Paste Editor (Beta)'!$C$82="Level-up prompt",G58,IF('Paste Editor (Beta)'!$C$82="Item prompt",E58,IF('Paste Editor (Beta)'!$C$82="Modifier prompt","'"&amp;B58,IF('Paste Editor (Beta)'!$C$82="Challenge prompt",E58,IF('Paste Editor (Beta)'!$C$82="Reroll class prompt",S57,IF('Paste Editor (Beta)'!$C$82="Swap hero prompt",S57,IF('Paste Editor (Beta)'!$C$82="Anvil prompt",AD57,"")))))))</f>
        <v/>
      </c>
      <c r="AJ57" s="283" t="str">
        <f>IF('Paste Editor (Beta)'!$C$90="Level-up prompt",G58,IF('Paste Editor (Beta)'!$C$90="Item prompt",E58,IF('Paste Editor (Beta)'!$C$90="Modifier prompt","'"&amp;B58,IF('Paste Editor (Beta)'!$C$90="Challenge prompt",L58,IF('Paste Editor (Beta)'!$C$90="Reroll class prompt",S57,IF('Paste Editor (Beta)'!$C$90="Swap hero prompt",S57,IF('Paste Editor (Beta)'!$C$90="Anvil prompt",AD57,"")))))))</f>
        <v>Jester</v>
      </c>
      <c r="AK57" s="283" t="str">
        <f>IF('Paste Editor (Beta)'!$C$90="Level-up prompt",G58,IF('Paste Editor (Beta)'!$C$90="Item prompt",E58,IF('Paste Editor (Beta)'!$C$90="Modifier prompt","'"&amp;B58,IF('Paste Editor (Beta)'!$C$90="Challenge prompt",E58,IF('Paste Editor (Beta)'!$C$90="Reroll class prompt",S57,IF('Paste Editor (Beta)'!$C$90="Swap hero prompt",S57,IF('Paste Editor (Beta)'!$C$90="Anvil prompt",AD57,"")))))))</f>
        <v>Jester</v>
      </c>
    </row>
    <row r="58" spans="1:37" ht="18">
      <c r="A58" s="23" t="s">
        <v>4050</v>
      </c>
      <c r="B58" s="284" t="s">
        <v>2070</v>
      </c>
      <c r="C58" s="284" t="s">
        <v>4051</v>
      </c>
      <c r="D58" s="284" t="s">
        <v>4052</v>
      </c>
      <c r="E58" s="280" t="s">
        <v>1391</v>
      </c>
      <c r="G58" s="280" t="str">
        <v>Jester</v>
      </c>
      <c r="L58" s="280" t="str">
        <f ca="1">IFERROR(__xludf.DUMMYFUNCTION("""COMPUTED_VALUE"""),"Slimer")</f>
        <v>Slimer</v>
      </c>
      <c r="M58" s="280" t="str">
        <f t="shared" ca="1" si="3"/>
        <v>Slimer</v>
      </c>
      <c r="V58" s="89"/>
      <c r="W58" s="89"/>
      <c r="X58" s="89"/>
      <c r="Y58" s="89"/>
      <c r="Z58" s="89"/>
      <c r="AA58" s="89"/>
      <c r="AH58" s="280" t="str">
        <f>IF('Paste Editor (Beta)'!$C$82="Level-up prompt",G59,IF('Paste Editor (Beta)'!$C$82="Item prompt",E59,IF('Paste Editor (Beta)'!$C$82="Modifier prompt","'"&amp;B59,IF('Paste Editor (Beta)'!$C$82="Challenge prompt",L59,IF('Paste Editor (Beta)'!$C$82="Reroll class prompt",S58,IF('Paste Editor (Beta)'!$C$82="Swap hero prompt",S58,IF('Paste Editor (Beta)'!$C$82="Anvil prompt",AD58,"")))))))</f>
        <v/>
      </c>
      <c r="AI58" s="280" t="str">
        <f>IF('Paste Editor (Beta)'!$C$82="Level-up prompt",G59,IF('Paste Editor (Beta)'!$C$82="Item prompt",E59,IF('Paste Editor (Beta)'!$C$82="Modifier prompt","'"&amp;B59,IF('Paste Editor (Beta)'!$C$82="Challenge prompt",E59,IF('Paste Editor (Beta)'!$C$82="Reroll class prompt",S58,IF('Paste Editor (Beta)'!$C$82="Swap hero prompt",S58,IF('Paste Editor (Beta)'!$C$82="Anvil prompt",AD58,"")))))))</f>
        <v/>
      </c>
      <c r="AJ58" s="283" t="str">
        <f>IF('Paste Editor (Beta)'!$C$90="Level-up prompt",G59,IF('Paste Editor (Beta)'!$C$90="Item prompt",E59,IF('Paste Editor (Beta)'!$C$90="Modifier prompt","'"&amp;B59,IF('Paste Editor (Beta)'!$C$90="Challenge prompt",L59,IF('Paste Editor (Beta)'!$C$90="Reroll class prompt",S58,IF('Paste Editor (Beta)'!$C$90="Swap hero prompt",S58,IF('Paste Editor (Beta)'!$C$90="Anvil prompt",AD58,"")))))))</f>
        <v>Myco</v>
      </c>
      <c r="AK58" s="283" t="str">
        <f>IF('Paste Editor (Beta)'!$C$90="Level-up prompt",G59,IF('Paste Editor (Beta)'!$C$90="Item prompt",E59,IF('Paste Editor (Beta)'!$C$90="Modifier prompt","'"&amp;B59,IF('Paste Editor (Beta)'!$C$90="Challenge prompt",E59,IF('Paste Editor (Beta)'!$C$90="Reroll class prompt",S58,IF('Paste Editor (Beta)'!$C$90="Swap hero prompt",S58,IF('Paste Editor (Beta)'!$C$90="Anvil prompt",AD58,"")))))))</f>
        <v>Myco</v>
      </c>
    </row>
    <row r="59" spans="1:37" ht="18">
      <c r="A59" s="23" t="s">
        <v>4053</v>
      </c>
      <c r="B59" s="284" t="s">
        <v>2515</v>
      </c>
      <c r="C59" s="284" t="s">
        <v>4054</v>
      </c>
      <c r="D59" s="284" t="s">
        <v>4055</v>
      </c>
      <c r="E59" s="280" t="s">
        <v>1503</v>
      </c>
      <c r="G59" s="280" t="str">
        <v>Myco</v>
      </c>
      <c r="L59" s="280" t="str">
        <f ca="1">IFERROR(__xludf.DUMMYFUNCTION("""COMPUTED_VALUE"""),"Snake")</f>
        <v>Snake</v>
      </c>
      <c r="M59" s="280" t="str">
        <f t="shared" ca="1" si="3"/>
        <v>Snake</v>
      </c>
      <c r="V59" s="89"/>
      <c r="W59" s="89"/>
      <c r="X59" s="89"/>
      <c r="Y59" s="89"/>
      <c r="Z59" s="89"/>
      <c r="AA59" s="89"/>
      <c r="AH59" s="280" t="str">
        <f>IF('Paste Editor (Beta)'!$C$82="Level-up prompt",G60,IF('Paste Editor (Beta)'!$C$82="Item prompt",E60,IF('Paste Editor (Beta)'!$C$82="Modifier prompt","'"&amp;B60,IF('Paste Editor (Beta)'!$C$82="Challenge prompt",L60,IF('Paste Editor (Beta)'!$C$82="Reroll class prompt",S59,IF('Paste Editor (Beta)'!$C$82="Swap hero prompt",S59,IF('Paste Editor (Beta)'!$C$82="Anvil prompt",AD59,"")))))))</f>
        <v/>
      </c>
      <c r="AI59" s="280" t="str">
        <f>IF('Paste Editor (Beta)'!$C$82="Level-up prompt",G60,IF('Paste Editor (Beta)'!$C$82="Item prompt",E60,IF('Paste Editor (Beta)'!$C$82="Modifier prompt","'"&amp;B60,IF('Paste Editor (Beta)'!$C$82="Challenge prompt",E60,IF('Paste Editor (Beta)'!$C$82="Reroll class prompt",S59,IF('Paste Editor (Beta)'!$C$82="Swap hero prompt",S59,IF('Paste Editor (Beta)'!$C$82="Anvil prompt",AD59,"")))))))</f>
        <v/>
      </c>
      <c r="AJ59" s="283" t="str">
        <f>IF('Paste Editor (Beta)'!$C$90="Level-up prompt",G60,IF('Paste Editor (Beta)'!$C$90="Item prompt",E60,IF('Paste Editor (Beta)'!$C$90="Modifier prompt","'"&amp;B60,IF('Paste Editor (Beta)'!$C$90="Challenge prompt",L60,IF('Paste Editor (Beta)'!$C$90="Reroll class prompt",S59,IF('Paste Editor (Beta)'!$C$90="Swap hero prompt",S59,IF('Paste Editor (Beta)'!$C$90="Anvil prompt",AD59,"")))))))</f>
        <v>Sparky</v>
      </c>
      <c r="AK59" s="283" t="str">
        <f>IF('Paste Editor (Beta)'!$C$90="Level-up prompt",G60,IF('Paste Editor (Beta)'!$C$90="Item prompt",E60,IF('Paste Editor (Beta)'!$C$90="Modifier prompt","'"&amp;B60,IF('Paste Editor (Beta)'!$C$90="Challenge prompt",E60,IF('Paste Editor (Beta)'!$C$90="Reroll class prompt",S59,IF('Paste Editor (Beta)'!$C$90="Swap hero prompt",S59,IF('Paste Editor (Beta)'!$C$90="Anvil prompt",AD59,"")))))))</f>
        <v>Sparky</v>
      </c>
    </row>
    <row r="60" spans="1:37" ht="18">
      <c r="A60" s="23" t="s">
        <v>4056</v>
      </c>
      <c r="B60" s="284" t="s">
        <v>2308</v>
      </c>
      <c r="C60" s="284" t="s">
        <v>4057</v>
      </c>
      <c r="D60" s="284" t="s">
        <v>4058</v>
      </c>
      <c r="E60" s="280" t="s">
        <v>1142</v>
      </c>
      <c r="G60" s="280" t="str">
        <v>Sparky</v>
      </c>
      <c r="L60" s="280" t="str">
        <f ca="1">IFERROR(__xludf.DUMMYFUNCTION("""COMPUTED_VALUE"""),"Sniper")</f>
        <v>Sniper</v>
      </c>
      <c r="M60" s="280" t="str">
        <f t="shared" ca="1" si="3"/>
        <v>Sniper</v>
      </c>
      <c r="V60" s="89"/>
      <c r="W60" s="89"/>
      <c r="X60" s="89"/>
      <c r="Y60" s="89"/>
      <c r="Z60" s="89"/>
      <c r="AA60" s="89"/>
      <c r="AH60" s="280" t="str">
        <f>IF('Paste Editor (Beta)'!$C$82="Level-up prompt",G61,IF('Paste Editor (Beta)'!$C$82="Item prompt",E61,IF('Paste Editor (Beta)'!$C$82="Modifier prompt","'"&amp;B61,IF('Paste Editor (Beta)'!$C$82="Challenge prompt",L61,IF('Paste Editor (Beta)'!$C$82="Reroll class prompt",S60,IF('Paste Editor (Beta)'!$C$82="Swap hero prompt",S60,IF('Paste Editor (Beta)'!$C$82="Anvil prompt",AD60,"")))))))</f>
        <v/>
      </c>
      <c r="AI60" s="280" t="str">
        <f>IF('Paste Editor (Beta)'!$C$82="Level-up prompt",G61,IF('Paste Editor (Beta)'!$C$82="Item prompt",E61,IF('Paste Editor (Beta)'!$C$82="Modifier prompt","'"&amp;B61,IF('Paste Editor (Beta)'!$C$82="Challenge prompt",E61,IF('Paste Editor (Beta)'!$C$82="Reroll class prompt",S60,IF('Paste Editor (Beta)'!$C$82="Swap hero prompt",S60,IF('Paste Editor (Beta)'!$C$82="Anvil prompt",AD60,"")))))))</f>
        <v/>
      </c>
      <c r="AJ60" s="283" t="str">
        <f>IF('Paste Editor (Beta)'!$C$90="Level-up prompt",G61,IF('Paste Editor (Beta)'!$C$90="Item prompt",E61,IF('Paste Editor (Beta)'!$C$90="Modifier prompt","'"&amp;B61,IF('Paste Editor (Beta)'!$C$90="Challenge prompt",L61,IF('Paste Editor (Beta)'!$C$90="Reroll class prompt",S60,IF('Paste Editor (Beta)'!$C$90="Swap hero prompt",S60,IF('Paste Editor (Beta)'!$C$90="Anvil prompt",AD60,"")))))))</f>
        <v>Glacia</v>
      </c>
      <c r="AK60" s="283" t="str">
        <f>IF('Paste Editor (Beta)'!$C$90="Level-up prompt",G61,IF('Paste Editor (Beta)'!$C$90="Item prompt",E61,IF('Paste Editor (Beta)'!$C$90="Modifier prompt","'"&amp;B61,IF('Paste Editor (Beta)'!$C$90="Challenge prompt",E61,IF('Paste Editor (Beta)'!$C$90="Reroll class prompt",S60,IF('Paste Editor (Beta)'!$C$90="Swap hero prompt",S60,IF('Paste Editor (Beta)'!$C$90="Anvil prompt",AD60,"")))))))</f>
        <v>Glacia</v>
      </c>
    </row>
    <row r="61" spans="1:37" ht="18">
      <c r="A61" s="23" t="s">
        <v>4059</v>
      </c>
      <c r="B61" s="284" t="s">
        <v>2780</v>
      </c>
      <c r="C61" s="284" t="s">
        <v>4060</v>
      </c>
      <c r="D61" s="284" t="s">
        <v>4061</v>
      </c>
      <c r="E61" s="280" t="s">
        <v>1144</v>
      </c>
      <c r="G61" s="280" t="str">
        <v>Glacia</v>
      </c>
      <c r="L61" s="280" t="str">
        <f ca="1">IFERROR(__xludf.DUMMYFUNCTION("""COMPUTED_VALUE"""),"Spider")</f>
        <v>Spider</v>
      </c>
      <c r="M61" s="280" t="str">
        <f t="shared" ca="1" si="3"/>
        <v>Spider</v>
      </c>
      <c r="V61" s="89"/>
      <c r="W61" s="89"/>
      <c r="X61" s="89"/>
      <c r="Y61" s="89"/>
      <c r="Z61" s="89"/>
      <c r="AA61" s="89"/>
      <c r="AH61" s="280" t="str">
        <f>IF('Paste Editor (Beta)'!$C$82="Level-up prompt",G62,IF('Paste Editor (Beta)'!$C$82="Item prompt",E62,IF('Paste Editor (Beta)'!$C$82="Modifier prompt","'"&amp;B62,IF('Paste Editor (Beta)'!$C$82="Challenge prompt",L62,IF('Paste Editor (Beta)'!$C$82="Reroll class prompt",S61,IF('Paste Editor (Beta)'!$C$82="Swap hero prompt",S61,IF('Paste Editor (Beta)'!$C$82="Anvil prompt",AD61,"")))))))</f>
        <v/>
      </c>
      <c r="AI61" s="280" t="str">
        <f>IF('Paste Editor (Beta)'!$C$82="Level-up prompt",G62,IF('Paste Editor (Beta)'!$C$82="Item prompt",E62,IF('Paste Editor (Beta)'!$C$82="Modifier prompt","'"&amp;B62,IF('Paste Editor (Beta)'!$C$82="Challenge prompt",E62,IF('Paste Editor (Beta)'!$C$82="Reroll class prompt",S61,IF('Paste Editor (Beta)'!$C$82="Swap hero prompt",S61,IF('Paste Editor (Beta)'!$C$82="Anvil prompt",AD61,"")))))))</f>
        <v/>
      </c>
      <c r="AJ61" s="283" t="str">
        <f>IF('Paste Editor (Beta)'!$C$90="Level-up prompt",G62,IF('Paste Editor (Beta)'!$C$90="Item prompt",E62,IF('Paste Editor (Beta)'!$C$90="Modifier prompt","'"&amp;B62,IF('Paste Editor (Beta)'!$C$90="Challenge prompt",L62,IF('Paste Editor (Beta)'!$C$90="Reroll class prompt",S61,IF('Paste Editor (Beta)'!$C$90="Swap hero prompt",S61,IF('Paste Editor (Beta)'!$C$90="Anvil prompt",AD61,"")))))))</f>
        <v>Seer</v>
      </c>
      <c r="AK61" s="283" t="str">
        <f>IF('Paste Editor (Beta)'!$C$90="Level-up prompt",G62,IF('Paste Editor (Beta)'!$C$90="Item prompt",E62,IF('Paste Editor (Beta)'!$C$90="Modifier prompt","'"&amp;B62,IF('Paste Editor (Beta)'!$C$90="Challenge prompt",E62,IF('Paste Editor (Beta)'!$C$90="Reroll class prompt",S61,IF('Paste Editor (Beta)'!$C$90="Swap hero prompt",S61,IF('Paste Editor (Beta)'!$C$90="Anvil prompt",AD61,"")))))))</f>
        <v>Seer</v>
      </c>
    </row>
    <row r="62" spans="1:37" ht="18">
      <c r="A62" s="23" t="s">
        <v>4062</v>
      </c>
      <c r="B62" s="284" t="s">
        <v>2673</v>
      </c>
      <c r="C62" s="284" t="s">
        <v>4063</v>
      </c>
      <c r="D62" s="284" t="s">
        <v>4064</v>
      </c>
      <c r="E62" s="280" t="s">
        <v>1007</v>
      </c>
      <c r="G62" s="280" t="str">
        <v>Seer</v>
      </c>
      <c r="L62" s="280" t="str">
        <f ca="1">IFERROR(__xludf.DUMMYFUNCTION("""COMPUTED_VALUE"""),"Spiker")</f>
        <v>Spiker</v>
      </c>
      <c r="M62" s="280" t="str">
        <f t="shared" ca="1" si="3"/>
        <v>Spiker</v>
      </c>
      <c r="V62" s="89"/>
      <c r="W62" s="89"/>
      <c r="X62" s="89"/>
      <c r="Y62" s="89"/>
      <c r="Z62" s="89"/>
      <c r="AA62" s="89"/>
      <c r="AH62" s="280" t="str">
        <f>IF('Paste Editor (Beta)'!$C$82="Level-up prompt",G63,IF('Paste Editor (Beta)'!$C$82="Item prompt",E63,IF('Paste Editor (Beta)'!$C$82="Modifier prompt","'"&amp;B63,IF('Paste Editor (Beta)'!$C$82="Challenge prompt",L63,IF('Paste Editor (Beta)'!$C$82="Reroll class prompt",S62,IF('Paste Editor (Beta)'!$C$82="Swap hero prompt",S62,IF('Paste Editor (Beta)'!$C$82="Anvil prompt",AD62,"")))))))</f>
        <v/>
      </c>
      <c r="AI62" s="280" t="str">
        <f>IF('Paste Editor (Beta)'!$C$82="Level-up prompt",G63,IF('Paste Editor (Beta)'!$C$82="Item prompt",E63,IF('Paste Editor (Beta)'!$C$82="Modifier prompt","'"&amp;B63,IF('Paste Editor (Beta)'!$C$82="Challenge prompt",E63,IF('Paste Editor (Beta)'!$C$82="Reroll class prompt",S62,IF('Paste Editor (Beta)'!$C$82="Swap hero prompt",S62,IF('Paste Editor (Beta)'!$C$82="Anvil prompt",AD62,"")))))))</f>
        <v/>
      </c>
      <c r="AJ62" s="283" t="str">
        <f>IF('Paste Editor (Beta)'!$C$90="Level-up prompt",G63,IF('Paste Editor (Beta)'!$C$90="Item prompt",E63,IF('Paste Editor (Beta)'!$C$90="Modifier prompt","'"&amp;B63,IF('Paste Editor (Beta)'!$C$90="Challenge prompt",L63,IF('Paste Editor (Beta)'!$C$90="Reroll class prompt",S62,IF('Paste Editor (Beta)'!$C$90="Swap hero prompt",S62,IF('Paste Editor (Beta)'!$C$90="Anvil prompt",AD62,"")))))))</f>
        <v>Evoker</v>
      </c>
      <c r="AK62" s="283" t="str">
        <f>IF('Paste Editor (Beta)'!$C$90="Level-up prompt",G63,IF('Paste Editor (Beta)'!$C$90="Item prompt",E63,IF('Paste Editor (Beta)'!$C$90="Modifier prompt","'"&amp;B63,IF('Paste Editor (Beta)'!$C$90="Challenge prompt",E63,IF('Paste Editor (Beta)'!$C$90="Reroll class prompt",S62,IF('Paste Editor (Beta)'!$C$90="Swap hero prompt",S62,IF('Paste Editor (Beta)'!$C$90="Anvil prompt",AD62,"")))))))</f>
        <v>Evoker</v>
      </c>
    </row>
    <row r="63" spans="1:37" ht="18">
      <c r="A63" s="23" t="s">
        <v>4065</v>
      </c>
      <c r="B63" s="284" t="s">
        <v>2722</v>
      </c>
      <c r="C63" s="284" t="s">
        <v>4066</v>
      </c>
      <c r="D63" s="284" t="s">
        <v>4067</v>
      </c>
      <c r="E63" s="280" t="s">
        <v>1226</v>
      </c>
      <c r="G63" s="280" t="str">
        <v>Evoker</v>
      </c>
      <c r="L63" s="280" t="str">
        <f ca="1">IFERROR(__xludf.DUMMYFUNCTION("""COMPUTED_VALUE"""),"Sudul")</f>
        <v>Sudul</v>
      </c>
      <c r="M63" s="280" t="str">
        <f t="shared" ca="1" si="3"/>
        <v>Sudul</v>
      </c>
      <c r="V63" s="89"/>
      <c r="W63" s="89"/>
      <c r="X63" s="89"/>
      <c r="Y63" s="89"/>
      <c r="Z63" s="89"/>
      <c r="AA63" s="89"/>
      <c r="AH63" s="280" t="str">
        <f>IF('Paste Editor (Beta)'!$C$82="Level-up prompt",G64,IF('Paste Editor (Beta)'!$C$82="Item prompt",E64,IF('Paste Editor (Beta)'!$C$82="Modifier prompt","'"&amp;B64,IF('Paste Editor (Beta)'!$C$82="Challenge prompt",L64,IF('Paste Editor (Beta)'!$C$82="Reroll class prompt",S63,IF('Paste Editor (Beta)'!$C$82="Swap hero prompt",S63,IF('Paste Editor (Beta)'!$C$82="Anvil prompt",AD63,"")))))))</f>
        <v/>
      </c>
      <c r="AI63" s="280" t="str">
        <f>IF('Paste Editor (Beta)'!$C$82="Level-up prompt",G64,IF('Paste Editor (Beta)'!$C$82="Item prompt",E64,IF('Paste Editor (Beta)'!$C$82="Modifier prompt","'"&amp;B64,IF('Paste Editor (Beta)'!$C$82="Challenge prompt",E64,IF('Paste Editor (Beta)'!$C$82="Reroll class prompt",S63,IF('Paste Editor (Beta)'!$C$82="Swap hero prompt",S63,IF('Paste Editor (Beta)'!$C$82="Anvil prompt",AD63,"")))))))</f>
        <v/>
      </c>
      <c r="AJ63" s="283" t="str">
        <f>IF('Paste Editor (Beta)'!$C$90="Level-up prompt",G64,IF('Paste Editor (Beta)'!$C$90="Item prompt",E64,IF('Paste Editor (Beta)'!$C$90="Modifier prompt","'"&amp;B64,IF('Paste Editor (Beta)'!$C$90="Challenge prompt",L64,IF('Paste Editor (Beta)'!$C$90="Reroll class prompt",S63,IF('Paste Editor (Beta)'!$C$90="Swap hero prompt",S63,IF('Paste Editor (Beta)'!$C$90="Anvil prompt",AD63,"")))))))</f>
        <v>Venom</v>
      </c>
      <c r="AK63" s="283" t="str">
        <f>IF('Paste Editor (Beta)'!$C$90="Level-up prompt",G64,IF('Paste Editor (Beta)'!$C$90="Item prompt",E64,IF('Paste Editor (Beta)'!$C$90="Modifier prompt","'"&amp;B64,IF('Paste Editor (Beta)'!$C$90="Challenge prompt",E64,IF('Paste Editor (Beta)'!$C$90="Reroll class prompt",S63,IF('Paste Editor (Beta)'!$C$90="Swap hero prompt",S63,IF('Paste Editor (Beta)'!$C$90="Anvil prompt",AD63,"")))))))</f>
        <v>Venom</v>
      </c>
    </row>
    <row r="64" spans="1:37" ht="18">
      <c r="A64" s="23" t="s">
        <v>4068</v>
      </c>
      <c r="B64" s="284" t="s">
        <v>2583</v>
      </c>
      <c r="C64" s="284" t="s">
        <v>4069</v>
      </c>
      <c r="D64" s="284" t="s">
        <v>4070</v>
      </c>
      <c r="E64" s="280" t="s">
        <v>850</v>
      </c>
      <c r="G64" s="280" t="str">
        <v>Venom</v>
      </c>
      <c r="L64" s="280" t="str">
        <f ca="1">IFERROR(__xludf.DUMMYFUNCTION("""COMPUTED_VALUE"""),"Tarantus")</f>
        <v>Tarantus</v>
      </c>
      <c r="M64" s="280" t="str">
        <f t="shared" ca="1" si="3"/>
        <v>Tarantus</v>
      </c>
      <c r="V64" s="89"/>
      <c r="W64" s="89"/>
      <c r="X64" s="89"/>
      <c r="Y64" s="89"/>
      <c r="Z64" s="89"/>
      <c r="AA64" s="89"/>
      <c r="AH64" s="280" t="str">
        <f>IF('Paste Editor (Beta)'!$C$82="Level-up prompt",G65,IF('Paste Editor (Beta)'!$C$82="Item prompt",E65,IF('Paste Editor (Beta)'!$C$82="Modifier prompt","'"&amp;B65,IF('Paste Editor (Beta)'!$C$82="Challenge prompt",L65,IF('Paste Editor (Beta)'!$C$82="Reroll class prompt",S64,IF('Paste Editor (Beta)'!$C$82="Swap hero prompt",S64,IF('Paste Editor (Beta)'!$C$82="Anvil prompt",AD64,"")))))))</f>
        <v/>
      </c>
      <c r="AI64" s="280" t="str">
        <f>IF('Paste Editor (Beta)'!$C$82="Level-up prompt",G65,IF('Paste Editor (Beta)'!$C$82="Item prompt",E65,IF('Paste Editor (Beta)'!$C$82="Modifier prompt","'"&amp;B65,IF('Paste Editor (Beta)'!$C$82="Challenge prompt",E65,IF('Paste Editor (Beta)'!$C$82="Reroll class prompt",S64,IF('Paste Editor (Beta)'!$C$82="Swap hero prompt",S64,IF('Paste Editor (Beta)'!$C$82="Anvil prompt",AD64,"")))))))</f>
        <v/>
      </c>
      <c r="AJ64" s="283" t="str">
        <f>IF('Paste Editor (Beta)'!$C$90="Level-up prompt",G65,IF('Paste Editor (Beta)'!$C$90="Item prompt",E65,IF('Paste Editor (Beta)'!$C$90="Modifier prompt","'"&amp;B65,IF('Paste Editor (Beta)'!$C$90="Challenge prompt",L65,IF('Paste Editor (Beta)'!$C$90="Reroll class prompt",S64,IF('Paste Editor (Beta)'!$C$90="Swap hero prompt",S64,IF('Paste Editor (Beta)'!$C$90="Anvil prompt",AD64,"")))))))</f>
        <v>Assassin</v>
      </c>
      <c r="AK64" s="283" t="str">
        <f>IF('Paste Editor (Beta)'!$C$90="Level-up prompt",G65,IF('Paste Editor (Beta)'!$C$90="Item prompt",E65,IF('Paste Editor (Beta)'!$C$90="Modifier prompt","'"&amp;B65,IF('Paste Editor (Beta)'!$C$90="Challenge prompt",E65,IF('Paste Editor (Beta)'!$C$90="Reroll class prompt",S64,IF('Paste Editor (Beta)'!$C$90="Swap hero prompt",S64,IF('Paste Editor (Beta)'!$C$90="Anvil prompt",AD64,"")))))))</f>
        <v>Assassin</v>
      </c>
    </row>
    <row r="65" spans="1:37" ht="18">
      <c r="A65" s="23" t="s">
        <v>4071</v>
      </c>
      <c r="B65" s="284" t="s">
        <v>2518</v>
      </c>
      <c r="C65" s="284" t="s">
        <v>4072</v>
      </c>
      <c r="D65" s="284" t="s">
        <v>4073</v>
      </c>
      <c r="E65" s="280" t="s">
        <v>1010</v>
      </c>
      <c r="G65" s="280" t="str">
        <v>Assassin</v>
      </c>
      <c r="L65" s="280" t="str">
        <f ca="1">IFERROR(__xludf.DUMMYFUNCTION("""COMPUTED_VALUE"""),"The Hand")</f>
        <v>The Hand</v>
      </c>
      <c r="M65" s="280" t="str">
        <f t="shared" ca="1" si="3"/>
        <v>The Hand</v>
      </c>
      <c r="V65" s="89"/>
      <c r="W65" s="89"/>
      <c r="X65" s="89"/>
      <c r="Y65" s="89"/>
      <c r="Z65" s="89"/>
      <c r="AA65" s="89"/>
      <c r="AH65" s="280" t="str">
        <f>IF('Paste Editor (Beta)'!$C$82="Level-up prompt",G66,IF('Paste Editor (Beta)'!$C$82="Item prompt",E66,IF('Paste Editor (Beta)'!$C$82="Modifier prompt","'"&amp;B66,IF('Paste Editor (Beta)'!$C$82="Challenge prompt",L66,IF('Paste Editor (Beta)'!$C$82="Reroll class prompt",S65,IF('Paste Editor (Beta)'!$C$82="Swap hero prompt",S65,IF('Paste Editor (Beta)'!$C$82="Anvil prompt",AD65,"")))))))</f>
        <v/>
      </c>
      <c r="AI65" s="280" t="str">
        <f>IF('Paste Editor (Beta)'!$C$82="Level-up prompt",G66,IF('Paste Editor (Beta)'!$C$82="Item prompt",E66,IF('Paste Editor (Beta)'!$C$82="Modifier prompt","'"&amp;B66,IF('Paste Editor (Beta)'!$C$82="Challenge prompt",E66,IF('Paste Editor (Beta)'!$C$82="Reroll class prompt",S65,IF('Paste Editor (Beta)'!$C$82="Swap hero prompt",S65,IF('Paste Editor (Beta)'!$C$82="Anvil prompt",AD65,"")))))))</f>
        <v/>
      </c>
      <c r="AJ65" s="283" t="str">
        <f>IF('Paste Editor (Beta)'!$C$90="Level-up prompt",G66,IF('Paste Editor (Beta)'!$C$90="Item prompt",E66,IF('Paste Editor (Beta)'!$C$90="Modifier prompt","'"&amp;B66,IF('Paste Editor (Beta)'!$C$90="Challenge prompt",L66,IF('Paste Editor (Beta)'!$C$90="Reroll class prompt",S65,IF('Paste Editor (Beta)'!$C$90="Swap hero prompt",S65,IF('Paste Editor (Beta)'!$C$90="Anvil prompt",AD65,"")))))))</f>
        <v>Dancer</v>
      </c>
      <c r="AK65" s="283" t="str">
        <f>IF('Paste Editor (Beta)'!$C$90="Level-up prompt",G66,IF('Paste Editor (Beta)'!$C$90="Item prompt",E66,IF('Paste Editor (Beta)'!$C$90="Modifier prompt","'"&amp;B66,IF('Paste Editor (Beta)'!$C$90="Challenge prompt",E66,IF('Paste Editor (Beta)'!$C$90="Reroll class prompt",S65,IF('Paste Editor (Beta)'!$C$90="Swap hero prompt",S65,IF('Paste Editor (Beta)'!$C$90="Anvil prompt",AD65,"")))))))</f>
        <v>Dancer</v>
      </c>
    </row>
    <row r="66" spans="1:37" ht="18">
      <c r="A66" s="23" t="s">
        <v>4074</v>
      </c>
      <c r="B66" s="284" t="s">
        <v>2314</v>
      </c>
      <c r="C66" s="284" t="s">
        <v>4075</v>
      </c>
      <c r="D66" s="284" t="s">
        <v>4076</v>
      </c>
      <c r="E66" s="280" t="s">
        <v>1454</v>
      </c>
      <c r="G66" s="280" t="str">
        <v>Dancer</v>
      </c>
      <c r="L66" s="280" t="str">
        <f ca="1">IFERROR(__xludf.DUMMYFUNCTION("""COMPUTED_VALUE"""),"Thorn")</f>
        <v>Thorn</v>
      </c>
      <c r="M66" s="280" t="str">
        <f t="shared" ca="1" si="3"/>
        <v>Thorn</v>
      </c>
      <c r="V66" s="89"/>
      <c r="W66" s="89"/>
      <c r="X66" s="89"/>
      <c r="Y66" s="89"/>
      <c r="Z66" s="89"/>
      <c r="AA66" s="89"/>
      <c r="AH66" s="280" t="str">
        <f>IF('Paste Editor (Beta)'!$C$82="Level-up prompt",G67,IF('Paste Editor (Beta)'!$C$82="Item prompt",E67,IF('Paste Editor (Beta)'!$C$82="Modifier prompt","'"&amp;B67,IF('Paste Editor (Beta)'!$C$82="Challenge prompt",L67,IF('Paste Editor (Beta)'!$C$82="Reroll class prompt",S66,IF('Paste Editor (Beta)'!$C$82="Swap hero prompt",S66,IF('Paste Editor (Beta)'!$C$82="Anvil prompt",AD66,"")))))))</f>
        <v/>
      </c>
      <c r="AI66" s="280" t="str">
        <f>IF('Paste Editor (Beta)'!$C$82="Level-up prompt",G67,IF('Paste Editor (Beta)'!$C$82="Item prompt",E67,IF('Paste Editor (Beta)'!$C$82="Modifier prompt","'"&amp;B67,IF('Paste Editor (Beta)'!$C$82="Challenge prompt",E67,IF('Paste Editor (Beta)'!$C$82="Reroll class prompt",S66,IF('Paste Editor (Beta)'!$C$82="Swap hero prompt",S66,IF('Paste Editor (Beta)'!$C$82="Anvil prompt",AD66,"")))))))</f>
        <v/>
      </c>
      <c r="AJ66" s="283" t="str">
        <f>IF('Paste Editor (Beta)'!$C$90="Level-up prompt",G67,IF('Paste Editor (Beta)'!$C$90="Item prompt",E67,IF('Paste Editor (Beta)'!$C$90="Modifier prompt","'"&amp;B67,IF('Paste Editor (Beta)'!$C$90="Challenge prompt",L67,IF('Paste Editor (Beta)'!$C$90="Reroll class prompt",S66,IF('Paste Editor (Beta)'!$C$90="Swap hero prompt",S66,IF('Paste Editor (Beta)'!$C$90="Anvil prompt",AD66,"")))))))</f>
        <v>Roulette</v>
      </c>
      <c r="AK66" s="283" t="str">
        <f>IF('Paste Editor (Beta)'!$C$90="Level-up prompt",G67,IF('Paste Editor (Beta)'!$C$90="Item prompt",E67,IF('Paste Editor (Beta)'!$C$90="Modifier prompt","'"&amp;B67,IF('Paste Editor (Beta)'!$C$90="Challenge prompt",E67,IF('Paste Editor (Beta)'!$C$90="Reroll class prompt",S66,IF('Paste Editor (Beta)'!$C$90="Swap hero prompt",S66,IF('Paste Editor (Beta)'!$C$90="Anvil prompt",AD66,"")))))))</f>
        <v>Roulette</v>
      </c>
    </row>
    <row r="67" spans="1:37" ht="18">
      <c r="A67" s="23" t="s">
        <v>4077</v>
      </c>
      <c r="B67" s="284" t="s">
        <v>2134</v>
      </c>
      <c r="C67" s="284" t="s">
        <v>2134</v>
      </c>
      <c r="D67" s="284" t="s">
        <v>2134</v>
      </c>
      <c r="E67" s="280" t="s">
        <v>937</v>
      </c>
      <c r="G67" s="280" t="str">
        <v>Roulette</v>
      </c>
      <c r="L67" s="280" t="str">
        <f ca="1">IFERROR(__xludf.DUMMYFUNCTION("""COMPUTED_VALUE"""),"Troll")</f>
        <v>Troll</v>
      </c>
      <c r="M67" s="280" t="str">
        <f t="shared" ca="1" si="3"/>
        <v>Troll</v>
      </c>
      <c r="V67" s="89"/>
      <c r="W67" s="89"/>
      <c r="X67" s="89"/>
      <c r="Y67" s="89"/>
      <c r="Z67" s="89"/>
      <c r="AA67" s="89"/>
      <c r="AH67" s="280" t="str">
        <f>IF('Paste Editor (Beta)'!$C$82="Level-up prompt",G68,IF('Paste Editor (Beta)'!$C$82="Item prompt",E68,IF('Paste Editor (Beta)'!$C$82="Modifier prompt","'"&amp;B68,IF('Paste Editor (Beta)'!$C$82="Challenge prompt",L68,IF('Paste Editor (Beta)'!$C$82="Reroll class prompt",S67,IF('Paste Editor (Beta)'!$C$82="Swap hero prompt",S67,IF('Paste Editor (Beta)'!$C$82="Anvil prompt",AD67,"")))))))</f>
        <v/>
      </c>
      <c r="AI67" s="280" t="str">
        <f>IF('Paste Editor (Beta)'!$C$82="Level-up prompt",G68,IF('Paste Editor (Beta)'!$C$82="Item prompt",E68,IF('Paste Editor (Beta)'!$C$82="Modifier prompt","'"&amp;B68,IF('Paste Editor (Beta)'!$C$82="Challenge prompt",E68,IF('Paste Editor (Beta)'!$C$82="Reroll class prompt",S67,IF('Paste Editor (Beta)'!$C$82="Swap hero prompt",S67,IF('Paste Editor (Beta)'!$C$82="Anvil prompt",AD67,"")))))))</f>
        <v/>
      </c>
      <c r="AJ67" s="283" t="str">
        <f>IF('Paste Editor (Beta)'!$C$90="Level-up prompt",G68,IF('Paste Editor (Beta)'!$C$90="Item prompt",E68,IF('Paste Editor (Beta)'!$C$90="Modifier prompt","'"&amp;B68,IF('Paste Editor (Beta)'!$C$90="Challenge prompt",L68,IF('Paste Editor (Beta)'!$C$90="Reroll class prompt",S67,IF('Paste Editor (Beta)'!$C$90="Swap hero prompt",S67,IF('Paste Editor (Beta)'!$C$90="Anvil prompt",AD67,"")))))))</f>
        <v>Ludus</v>
      </c>
      <c r="AK67" s="283" t="str">
        <f>IF('Paste Editor (Beta)'!$C$90="Level-up prompt",G68,IF('Paste Editor (Beta)'!$C$90="Item prompt",E68,IF('Paste Editor (Beta)'!$C$90="Modifier prompt","'"&amp;B68,IF('Paste Editor (Beta)'!$C$90="Challenge prompt",E68,IF('Paste Editor (Beta)'!$C$90="Reroll class prompt",S67,IF('Paste Editor (Beta)'!$C$90="Swap hero prompt",S67,IF('Paste Editor (Beta)'!$C$90="Anvil prompt",AD67,"")))))))</f>
        <v>Ludus</v>
      </c>
    </row>
    <row r="68" spans="1:37" ht="18">
      <c r="A68" s="23" t="s">
        <v>4078</v>
      </c>
      <c r="B68" s="284" t="s">
        <v>2745</v>
      </c>
      <c r="C68" s="284" t="s">
        <v>4079</v>
      </c>
      <c r="D68" s="284" t="s">
        <v>4080</v>
      </c>
      <c r="E68" s="280" t="s">
        <v>939</v>
      </c>
      <c r="G68" s="280" t="str">
        <v>Ludus</v>
      </c>
      <c r="L68" s="280" t="str">
        <f ca="1">IFERROR(__xludf.DUMMYFUNCTION("""COMPUTED_VALUE"""),"Troll King")</f>
        <v>Troll King</v>
      </c>
      <c r="M68" s="280" t="str">
        <f t="shared" ca="1" si="3"/>
        <v>Troll King</v>
      </c>
      <c r="V68" s="89"/>
      <c r="W68" s="89"/>
      <c r="X68" s="89"/>
      <c r="Y68" s="89"/>
      <c r="Z68" s="89"/>
      <c r="AA68" s="89"/>
      <c r="AH68" s="280" t="str">
        <f>IF('Paste Editor (Beta)'!$C$82="Level-up prompt",G69,IF('Paste Editor (Beta)'!$C$82="Item prompt",E69,IF('Paste Editor (Beta)'!$C$82="Modifier prompt","'"&amp;B69,IF('Paste Editor (Beta)'!$C$82="Challenge prompt",L69,IF('Paste Editor (Beta)'!$C$82="Reroll class prompt",S68,IF('Paste Editor (Beta)'!$C$82="Swap hero prompt",S68,IF('Paste Editor (Beta)'!$C$82="Anvil prompt",AD68,"")))))))</f>
        <v/>
      </c>
      <c r="AI68" s="280" t="str">
        <f>IF('Paste Editor (Beta)'!$C$82="Level-up prompt",G69,IF('Paste Editor (Beta)'!$C$82="Item prompt",E69,IF('Paste Editor (Beta)'!$C$82="Modifier prompt","'"&amp;B69,IF('Paste Editor (Beta)'!$C$82="Challenge prompt",E69,IF('Paste Editor (Beta)'!$C$82="Reroll class prompt",S68,IF('Paste Editor (Beta)'!$C$82="Swap hero prompt",S68,IF('Paste Editor (Beta)'!$C$82="Anvil prompt",AD68,"")))))))</f>
        <v/>
      </c>
      <c r="AJ68" s="283" t="str">
        <f>IF('Paste Editor (Beta)'!$C$90="Level-up prompt",G69,IF('Paste Editor (Beta)'!$C$90="Item prompt",E69,IF('Paste Editor (Beta)'!$C$90="Modifier prompt","'"&amp;B69,IF('Paste Editor (Beta)'!$C$90="Challenge prompt",L69,IF('Paste Editor (Beta)'!$C$90="Reroll class prompt",S68,IF('Paste Editor (Beta)'!$C$90="Swap hero prompt",S68,IF('Paste Editor (Beta)'!$C$90="Anvil prompt",AD68,"")))))))</f>
        <v>Fencer</v>
      </c>
      <c r="AK68" s="283" t="str">
        <f>IF('Paste Editor (Beta)'!$C$90="Level-up prompt",G69,IF('Paste Editor (Beta)'!$C$90="Item prompt",E69,IF('Paste Editor (Beta)'!$C$90="Modifier prompt","'"&amp;B69,IF('Paste Editor (Beta)'!$C$90="Challenge prompt",E69,IF('Paste Editor (Beta)'!$C$90="Reroll class prompt",S68,IF('Paste Editor (Beta)'!$C$90="Swap hero prompt",S68,IF('Paste Editor (Beta)'!$C$90="Anvil prompt",AD68,"")))))))</f>
        <v>Fencer</v>
      </c>
    </row>
    <row r="69" spans="1:37" ht="18">
      <c r="A69" s="23" t="s">
        <v>4081</v>
      </c>
      <c r="B69" s="284" t="s">
        <v>2589</v>
      </c>
      <c r="C69" s="284" t="s">
        <v>4082</v>
      </c>
      <c r="D69" s="284" t="s">
        <v>4083</v>
      </c>
      <c r="E69" s="280" t="s">
        <v>1087</v>
      </c>
      <c r="G69" s="280" t="str">
        <v>Fencer</v>
      </c>
      <c r="L69" s="280" t="str">
        <f ca="1">IFERROR(__xludf.DUMMYFUNCTION("""COMPUTED_VALUE"""),"Warchief")</f>
        <v>Warchief</v>
      </c>
      <c r="M69" s="280" t="str">
        <f t="shared" ca="1" si="3"/>
        <v>Warchief</v>
      </c>
      <c r="V69" s="89"/>
      <c r="W69" s="89"/>
      <c r="X69" s="89"/>
      <c r="Y69" s="89"/>
      <c r="Z69" s="89"/>
      <c r="AA69" s="89"/>
      <c r="AH69" s="280" t="str">
        <f>IF('Paste Editor (Beta)'!$C$82="Level-up prompt",G70,IF('Paste Editor (Beta)'!$C$82="Item prompt",E70,IF('Paste Editor (Beta)'!$C$82="Modifier prompt","'"&amp;B70,IF('Paste Editor (Beta)'!$C$82="Challenge prompt",L70,IF('Paste Editor (Beta)'!$C$82="Reroll class prompt",S69,IF('Paste Editor (Beta)'!$C$82="Swap hero prompt",S69,IF('Paste Editor (Beta)'!$C$82="Anvil prompt",AD69,"")))))))</f>
        <v/>
      </c>
      <c r="AI69" s="280" t="str">
        <f>IF('Paste Editor (Beta)'!$C$82="Level-up prompt",G70,IF('Paste Editor (Beta)'!$C$82="Item prompt",E70,IF('Paste Editor (Beta)'!$C$82="Modifier prompt","'"&amp;B70,IF('Paste Editor (Beta)'!$C$82="Challenge prompt",E70,IF('Paste Editor (Beta)'!$C$82="Reroll class prompt",S69,IF('Paste Editor (Beta)'!$C$82="Swap hero prompt",S69,IF('Paste Editor (Beta)'!$C$82="Anvil prompt",AD69,"")))))))</f>
        <v/>
      </c>
      <c r="AJ69" s="283" t="str">
        <f>IF('Paste Editor (Beta)'!$C$90="Level-up prompt",G70,IF('Paste Editor (Beta)'!$C$90="Item prompt",E70,IF('Paste Editor (Beta)'!$C$90="Modifier prompt","'"&amp;B70,IF('Paste Editor (Beta)'!$C$90="Challenge prompt",L70,IF('Paste Editor (Beta)'!$C$90="Reroll class prompt",S69,IF('Paste Editor (Beta)'!$C$90="Swap hero prompt",S69,IF('Paste Editor (Beta)'!$C$90="Anvil prompt",AD69,"")))))))</f>
        <v>Dabblest</v>
      </c>
      <c r="AK69" s="283" t="str">
        <f>IF('Paste Editor (Beta)'!$C$90="Level-up prompt",G70,IF('Paste Editor (Beta)'!$C$90="Item prompt",E70,IF('Paste Editor (Beta)'!$C$90="Modifier prompt","'"&amp;B70,IF('Paste Editor (Beta)'!$C$90="Challenge prompt",E70,IF('Paste Editor (Beta)'!$C$90="Reroll class prompt",S69,IF('Paste Editor (Beta)'!$C$90="Swap hero prompt",S69,IF('Paste Editor (Beta)'!$C$90="Anvil prompt",AD69,"")))))))</f>
        <v>Dabblest</v>
      </c>
    </row>
    <row r="70" spans="1:37" ht="18">
      <c r="A70" s="23" t="s">
        <v>4084</v>
      </c>
      <c r="B70" s="284" t="s">
        <v>2661</v>
      </c>
      <c r="C70" s="284" t="s">
        <v>4085</v>
      </c>
      <c r="D70" s="284" t="s">
        <v>4086</v>
      </c>
      <c r="E70" s="280" t="s">
        <v>1456</v>
      </c>
      <c r="G70" s="280" t="str">
        <v>Dabblest</v>
      </c>
      <c r="L70" s="280" t="str">
        <f ca="1">IFERROR(__xludf.DUMMYFUNCTION("""COMPUTED_VALUE"""),"Wisp")</f>
        <v>Wisp</v>
      </c>
      <c r="M70" s="280" t="str">
        <f t="shared" ca="1" si="3"/>
        <v>Wisp</v>
      </c>
      <c r="V70" s="89"/>
      <c r="W70" s="89"/>
      <c r="X70" s="89"/>
      <c r="Y70" s="89"/>
      <c r="Z70" s="89"/>
      <c r="AA70" s="89"/>
      <c r="AH70" s="280" t="str">
        <f>IF('Paste Editor (Beta)'!$C$82="Level-up prompt",G71,IF('Paste Editor (Beta)'!$C$82="Item prompt",E71,IF('Paste Editor (Beta)'!$C$82="Modifier prompt","'"&amp;B71,IF('Paste Editor (Beta)'!$C$82="Challenge prompt",L71,IF('Paste Editor (Beta)'!$C$82="Reroll class prompt",S70,IF('Paste Editor (Beta)'!$C$82="Swap hero prompt",S70,IF('Paste Editor (Beta)'!$C$82="Anvil prompt",AD70,"")))))))</f>
        <v/>
      </c>
      <c r="AI70" s="280" t="str">
        <f>IF('Paste Editor (Beta)'!$C$82="Level-up prompt",G71,IF('Paste Editor (Beta)'!$C$82="Item prompt",E71,IF('Paste Editor (Beta)'!$C$82="Modifier prompt","'"&amp;B71,IF('Paste Editor (Beta)'!$C$82="Challenge prompt",E71,IF('Paste Editor (Beta)'!$C$82="Reroll class prompt",S70,IF('Paste Editor (Beta)'!$C$82="Swap hero prompt",S70,IF('Paste Editor (Beta)'!$C$82="Anvil prompt",AD70,"")))))))</f>
        <v/>
      </c>
      <c r="AJ70" s="283" t="str">
        <f>IF('Paste Editor (Beta)'!$C$90="Level-up prompt",G71,IF('Paste Editor (Beta)'!$C$90="Item prompt",E71,IF('Paste Editor (Beta)'!$C$90="Modifier prompt","'"&amp;B71,IF('Paste Editor (Beta)'!$C$90="Challenge prompt",L71,IF('Paste Editor (Beta)'!$C$90="Reroll class prompt",S70,IF('Paste Editor (Beta)'!$C$90="Swap hero prompt",S70,IF('Paste Editor (Beta)'!$C$90="Anvil prompt",AD70,"")))))))</f>
        <v>Sharpshot</v>
      </c>
      <c r="AK70" s="283" t="str">
        <f>IF('Paste Editor (Beta)'!$C$90="Level-up prompt",G71,IF('Paste Editor (Beta)'!$C$90="Item prompt",E71,IF('Paste Editor (Beta)'!$C$90="Modifier prompt","'"&amp;B71,IF('Paste Editor (Beta)'!$C$90="Challenge prompt",E71,IF('Paste Editor (Beta)'!$C$90="Reroll class prompt",S70,IF('Paste Editor (Beta)'!$C$90="Swap hero prompt",S70,IF('Paste Editor (Beta)'!$C$90="Anvil prompt",AD70,"")))))))</f>
        <v>Sharpshot</v>
      </c>
    </row>
    <row r="71" spans="1:37" ht="18">
      <c r="A71" s="23" t="s">
        <v>4087</v>
      </c>
      <c r="B71" s="284" t="s">
        <v>2476</v>
      </c>
      <c r="C71" s="284" t="s">
        <v>4088</v>
      </c>
      <c r="D71" s="284" t="s">
        <v>4089</v>
      </c>
      <c r="E71" s="280" t="s">
        <v>826</v>
      </c>
      <c r="G71" s="280" t="str">
        <v>Sharpshot</v>
      </c>
      <c r="L71" s="280" t="str">
        <f ca="1">IFERROR(__xludf.DUMMYFUNCTION("""COMPUTED_VALUE"""),"Wizz")</f>
        <v>Wizz</v>
      </c>
      <c r="M71" s="280" t="str">
        <f t="shared" ca="1" si="3"/>
        <v>Wizz</v>
      </c>
      <c r="V71" s="89"/>
      <c r="W71" s="89"/>
      <c r="X71" s="89"/>
      <c r="Y71" s="89"/>
      <c r="Z71" s="89"/>
      <c r="AA71" s="89"/>
      <c r="AH71" s="280" t="str">
        <f>IF('Paste Editor (Beta)'!$C$82="Level-up prompt",G72,IF('Paste Editor (Beta)'!$C$82="Item prompt",E72,IF('Paste Editor (Beta)'!$C$82="Modifier prompt","'"&amp;B72,IF('Paste Editor (Beta)'!$C$82="Challenge prompt",L72,IF('Paste Editor (Beta)'!$C$82="Reroll class prompt",S71,IF('Paste Editor (Beta)'!$C$82="Swap hero prompt",S71,IF('Paste Editor (Beta)'!$C$82="Anvil prompt",AD71,"")))))))</f>
        <v/>
      </c>
      <c r="AI71" s="280" t="str">
        <f>IF('Paste Editor (Beta)'!$C$82="Level-up prompt",G72,IF('Paste Editor (Beta)'!$C$82="Item prompt",E72,IF('Paste Editor (Beta)'!$C$82="Modifier prompt","'"&amp;B72,IF('Paste Editor (Beta)'!$C$82="Challenge prompt",E72,IF('Paste Editor (Beta)'!$C$82="Reroll class prompt",S71,IF('Paste Editor (Beta)'!$C$82="Swap hero prompt",S71,IF('Paste Editor (Beta)'!$C$82="Anvil prompt",AD71,"")))))))</f>
        <v/>
      </c>
      <c r="AJ71" s="283" t="str">
        <f>IF('Paste Editor (Beta)'!$C$90="Level-up prompt",G72,IF('Paste Editor (Beta)'!$C$90="Item prompt",E72,IF('Paste Editor (Beta)'!$C$90="Modifier prompt","'"&amp;B72,IF('Paste Editor (Beta)'!$C$90="Challenge prompt",L72,IF('Paste Editor (Beta)'!$C$90="Reroll class prompt",S71,IF('Paste Editor (Beta)'!$C$90="Swap hero prompt",S71,IF('Paste Editor (Beta)'!$C$90="Anvil prompt",AD71,"")))))))</f>
        <v>Barbarian</v>
      </c>
      <c r="AK71" s="283" t="str">
        <f>IF('Paste Editor (Beta)'!$C$90="Level-up prompt",G72,IF('Paste Editor (Beta)'!$C$90="Item prompt",E72,IF('Paste Editor (Beta)'!$C$90="Modifier prompt","'"&amp;B72,IF('Paste Editor (Beta)'!$C$90="Challenge prompt",E72,IF('Paste Editor (Beta)'!$C$90="Reroll class prompt",S71,IF('Paste Editor (Beta)'!$C$90="Swap hero prompt",S71,IF('Paste Editor (Beta)'!$C$90="Anvil prompt",AD71,"")))))))</f>
        <v>Barbarian</v>
      </c>
    </row>
    <row r="72" spans="1:37" ht="18">
      <c r="A72" s="23" t="s">
        <v>4090</v>
      </c>
      <c r="B72" s="284" t="s">
        <v>2458</v>
      </c>
      <c r="C72" s="284" t="s">
        <v>4091</v>
      </c>
      <c r="D72" s="284" t="s">
        <v>4092</v>
      </c>
      <c r="E72" s="280" t="s">
        <v>941</v>
      </c>
      <c r="G72" s="280" t="str">
        <v>Barbarian</v>
      </c>
      <c r="L72" s="280" t="str">
        <f ca="1">IFERROR(__xludf.DUMMYFUNCTION("""COMPUTED_VALUE"""),"Wolf")</f>
        <v>Wolf</v>
      </c>
      <c r="M72" s="280" t="str">
        <f t="shared" ca="1" si="3"/>
        <v>Wolf</v>
      </c>
      <c r="V72" s="89"/>
      <c r="W72" s="89"/>
      <c r="X72" s="89"/>
      <c r="Y72" s="89"/>
      <c r="Z72" s="89"/>
      <c r="AA72" s="89"/>
      <c r="AH72" s="280" t="str">
        <f>IF('Paste Editor (Beta)'!$C$82="Level-up prompt",G73,IF('Paste Editor (Beta)'!$C$82="Item prompt",E73,IF('Paste Editor (Beta)'!$C$82="Modifier prompt","'"&amp;B73,IF('Paste Editor (Beta)'!$C$82="Challenge prompt",L73,IF('Paste Editor (Beta)'!$C$82="Reroll class prompt",S72,IF('Paste Editor (Beta)'!$C$82="Swap hero prompt",S72,IF('Paste Editor (Beta)'!$C$82="Anvil prompt",AD72,"")))))))</f>
        <v/>
      </c>
      <c r="AI72" s="280" t="str">
        <f>IF('Paste Editor (Beta)'!$C$82="Level-up prompt",G73,IF('Paste Editor (Beta)'!$C$82="Item prompt",E73,IF('Paste Editor (Beta)'!$C$82="Modifier prompt","'"&amp;B73,IF('Paste Editor (Beta)'!$C$82="Challenge prompt",E73,IF('Paste Editor (Beta)'!$C$82="Reroll class prompt",S72,IF('Paste Editor (Beta)'!$C$82="Swap hero prompt",S72,IF('Paste Editor (Beta)'!$C$82="Anvil prompt",AD72,"")))))))</f>
        <v/>
      </c>
      <c r="AJ72" s="283" t="str">
        <f>IF('Paste Editor (Beta)'!$C$90="Level-up prompt",G73,IF('Paste Editor (Beta)'!$C$90="Item prompt",E73,IF('Paste Editor (Beta)'!$C$90="Modifier prompt","'"&amp;B73,IF('Paste Editor (Beta)'!$C$90="Challenge prompt",L73,IF('Paste Editor (Beta)'!$C$90="Reroll class prompt",S72,IF('Paste Editor (Beta)'!$C$90="Swap hero prompt",S72,IF('Paste Editor (Beta)'!$C$90="Anvil prompt",AD72,"")))))))</f>
        <v>Brawler</v>
      </c>
      <c r="AK72" s="283" t="str">
        <f>IF('Paste Editor (Beta)'!$C$90="Level-up prompt",G73,IF('Paste Editor (Beta)'!$C$90="Item prompt",E73,IF('Paste Editor (Beta)'!$C$90="Modifier prompt","'"&amp;B73,IF('Paste Editor (Beta)'!$C$90="Challenge prompt",E73,IF('Paste Editor (Beta)'!$C$90="Reroll class prompt",S72,IF('Paste Editor (Beta)'!$C$90="Swap hero prompt",S72,IF('Paste Editor (Beta)'!$C$90="Anvil prompt",AD72,"")))))))</f>
        <v>Brawler</v>
      </c>
    </row>
    <row r="73" spans="1:37" ht="18">
      <c r="A73" s="23" t="s">
        <v>4093</v>
      </c>
      <c r="B73" s="284" t="s">
        <v>2305</v>
      </c>
      <c r="C73" s="284" t="s">
        <v>4094</v>
      </c>
      <c r="D73" s="284" t="s">
        <v>4095</v>
      </c>
      <c r="E73" s="280" t="s">
        <v>1505</v>
      </c>
      <c r="G73" s="280" t="str">
        <v>Brawler</v>
      </c>
      <c r="L73" s="280" t="str">
        <f ca="1">IFERROR(__xludf.DUMMYFUNCTION("""COMPUTED_VALUE"""),"Z0mbie")</f>
        <v>Z0mbie</v>
      </c>
      <c r="M73" s="280" t="str">
        <f t="shared" ca="1" si="3"/>
        <v>Z0mbie</v>
      </c>
      <c r="V73" s="89"/>
      <c r="W73" s="89"/>
      <c r="X73" s="89"/>
      <c r="Y73" s="89"/>
      <c r="Z73" s="89"/>
      <c r="AA73" s="89"/>
      <c r="AH73" s="280" t="str">
        <f>IF('Paste Editor (Beta)'!$C$82="Level-up prompt",G74,IF('Paste Editor (Beta)'!$C$82="Item prompt",E74,IF('Paste Editor (Beta)'!$C$82="Modifier prompt","'"&amp;B74,IF('Paste Editor (Beta)'!$C$82="Challenge prompt",L74,IF('Paste Editor (Beta)'!$C$82="Reroll class prompt",S73,IF('Paste Editor (Beta)'!$C$82="Swap hero prompt",S73,IF('Paste Editor (Beta)'!$C$82="Anvil prompt",AD73,"")))))))</f>
        <v/>
      </c>
      <c r="AI73" s="280" t="str">
        <f>IF('Paste Editor (Beta)'!$C$82="Level-up prompt",G74,IF('Paste Editor (Beta)'!$C$82="Item prompt",E74,IF('Paste Editor (Beta)'!$C$82="Modifier prompt","'"&amp;B74,IF('Paste Editor (Beta)'!$C$82="Challenge prompt",E74,IF('Paste Editor (Beta)'!$C$82="Reroll class prompt",S73,IF('Paste Editor (Beta)'!$C$82="Swap hero prompt",S73,IF('Paste Editor (Beta)'!$C$82="Anvil prompt",AD73,"")))))))</f>
        <v/>
      </c>
      <c r="AJ73" s="283" t="str">
        <f>IF('Paste Editor (Beta)'!$C$90="Level-up prompt",G74,IF('Paste Editor (Beta)'!$C$90="Item prompt",E74,IF('Paste Editor (Beta)'!$C$90="Modifier prompt","'"&amp;B74,IF('Paste Editor (Beta)'!$C$90="Challenge prompt",L74,IF('Paste Editor (Beta)'!$C$90="Reroll class prompt",S73,IF('Paste Editor (Beta)'!$C$90="Swap hero prompt",S73,IF('Paste Editor (Beta)'!$C$90="Anvil prompt",AD73,"")))))))</f>
        <v>Eccentric</v>
      </c>
      <c r="AK73" s="283" t="str">
        <f>IF('Paste Editor (Beta)'!$C$90="Level-up prompt",G74,IF('Paste Editor (Beta)'!$C$90="Item prompt",E74,IF('Paste Editor (Beta)'!$C$90="Modifier prompt","'"&amp;B74,IF('Paste Editor (Beta)'!$C$90="Challenge prompt",E74,IF('Paste Editor (Beta)'!$C$90="Reroll class prompt",S73,IF('Paste Editor (Beta)'!$C$90="Swap hero prompt",S73,IF('Paste Editor (Beta)'!$C$90="Anvil prompt",AD73,"")))))))</f>
        <v>Eccentric</v>
      </c>
    </row>
    <row r="74" spans="1:37" ht="18">
      <c r="A74" s="23" t="s">
        <v>4096</v>
      </c>
      <c r="B74" s="284" t="s">
        <v>2513</v>
      </c>
      <c r="C74" s="284" t="s">
        <v>4097</v>
      </c>
      <c r="D74" s="284" t="s">
        <v>4098</v>
      </c>
      <c r="E74" s="280" t="s">
        <v>944</v>
      </c>
      <c r="G74" s="280" t="str">
        <v>Eccentric</v>
      </c>
      <c r="L74" s="280" t="str">
        <f ca="1">IFERROR(__xludf.DUMMYFUNCTION("""COMPUTED_VALUE"""),"Zombie")</f>
        <v>Zombie</v>
      </c>
      <c r="M74" s="280" t="str">
        <f t="shared" ca="1" si="3"/>
        <v>Zombie</v>
      </c>
      <c r="V74" s="89"/>
      <c r="W74" s="89"/>
      <c r="X74" s="89"/>
      <c r="Y74" s="89"/>
      <c r="Z74" s="89"/>
      <c r="AA74" s="89"/>
      <c r="AH74" s="280" t="str">
        <f>IF('Paste Editor (Beta)'!$C$82="Level-up prompt",G75,IF('Paste Editor (Beta)'!$C$82="Item prompt",E75,IF('Paste Editor (Beta)'!$C$82="Modifier prompt","'"&amp;B75,IF('Paste Editor (Beta)'!$C$82="Challenge prompt",L75,IF('Paste Editor (Beta)'!$C$82="Reroll class prompt",S74,IF('Paste Editor (Beta)'!$C$82="Swap hero prompt",S74,IF('Paste Editor (Beta)'!$C$82="Anvil prompt",AD74,"")))))))</f>
        <v/>
      </c>
      <c r="AI74" s="280" t="str">
        <f>IF('Paste Editor (Beta)'!$C$82="Level-up prompt",G75,IF('Paste Editor (Beta)'!$C$82="Item prompt",E75,IF('Paste Editor (Beta)'!$C$82="Modifier prompt","'"&amp;B75,IF('Paste Editor (Beta)'!$C$82="Challenge prompt",E75,IF('Paste Editor (Beta)'!$C$82="Reroll class prompt",S74,IF('Paste Editor (Beta)'!$C$82="Swap hero prompt",S74,IF('Paste Editor (Beta)'!$C$82="Anvil prompt",AD74,"")))))))</f>
        <v/>
      </c>
      <c r="AJ74" s="283" t="str">
        <f>IF('Paste Editor (Beta)'!$C$90="Level-up prompt",G75,IF('Paste Editor (Beta)'!$C$90="Item prompt",E75,IF('Paste Editor (Beta)'!$C$90="Modifier prompt","'"&amp;B75,IF('Paste Editor (Beta)'!$C$90="Challenge prompt",L75,IF('Paste Editor (Beta)'!$C$90="Reroll class prompt",S74,IF('Paste Editor (Beta)'!$C$90="Swap hero prompt",S74,IF('Paste Editor (Beta)'!$C$90="Anvil prompt",AD74,"")))))))</f>
        <v>Leader</v>
      </c>
      <c r="AK74" s="283" t="str">
        <f>IF('Paste Editor (Beta)'!$C$90="Level-up prompt",G75,IF('Paste Editor (Beta)'!$C$90="Item prompt",E75,IF('Paste Editor (Beta)'!$C$90="Modifier prompt","'"&amp;B75,IF('Paste Editor (Beta)'!$C$90="Challenge prompt",E75,IF('Paste Editor (Beta)'!$C$90="Reroll class prompt",S74,IF('Paste Editor (Beta)'!$C$90="Swap hero prompt",S74,IF('Paste Editor (Beta)'!$C$90="Anvil prompt",AD74,"")))))))</f>
        <v>Leader</v>
      </c>
    </row>
    <row r="75" spans="1:37" ht="18">
      <c r="A75" s="23" t="s">
        <v>4099</v>
      </c>
      <c r="B75" s="284" t="s">
        <v>2311</v>
      </c>
      <c r="C75" s="284" t="s">
        <v>4100</v>
      </c>
      <c r="D75" s="284" t="s">
        <v>4101</v>
      </c>
      <c r="E75" s="280" t="s">
        <v>1393</v>
      </c>
      <c r="G75" s="280" t="str">
        <v>Leader</v>
      </c>
      <c r="L75" s="280"/>
      <c r="V75" s="89"/>
      <c r="W75" s="89"/>
      <c r="X75" s="89"/>
      <c r="Y75" s="89"/>
      <c r="Z75" s="89"/>
      <c r="AA75" s="89"/>
      <c r="AH75" s="280" t="str">
        <f>IF('Paste Editor (Beta)'!$C$82="Level-up prompt",G76,IF('Paste Editor (Beta)'!$C$82="Item prompt",E76,IF('Paste Editor (Beta)'!$C$82="Modifier prompt","'"&amp;B76,IF('Paste Editor (Beta)'!$C$82="Challenge prompt",L76,IF('Paste Editor (Beta)'!$C$82="Reroll class prompt",S75,IF('Paste Editor (Beta)'!$C$82="Swap hero prompt",S75,IF('Paste Editor (Beta)'!$C$82="Anvil prompt",AD75,"")))))))</f>
        <v/>
      </c>
      <c r="AI75" s="280" t="str">
        <f>IF('Paste Editor (Beta)'!$C$82="Level-up prompt",G76,IF('Paste Editor (Beta)'!$C$82="Item prompt",E76,IF('Paste Editor (Beta)'!$C$82="Modifier prompt","'"&amp;B76,IF('Paste Editor (Beta)'!$C$82="Challenge prompt",E76,IF('Paste Editor (Beta)'!$C$82="Reroll class prompt",S75,IF('Paste Editor (Beta)'!$C$82="Swap hero prompt",S75,IF('Paste Editor (Beta)'!$C$82="Anvil prompt",AD75,"")))))))</f>
        <v/>
      </c>
      <c r="AJ75" s="283" t="str">
        <f>IF('Paste Editor (Beta)'!$C$90="Level-up prompt",G76,IF('Paste Editor (Beta)'!$C$90="Item prompt",E76,IF('Paste Editor (Beta)'!$C$90="Modifier prompt","'"&amp;B76,IF('Paste Editor (Beta)'!$C$90="Challenge prompt",L76,IF('Paste Editor (Beta)'!$C$90="Reroll class prompt",S75,IF('Paste Editor (Beta)'!$C$90="Swap hero prompt",S75,IF('Paste Editor (Beta)'!$C$90="Anvil prompt",AD75,"")))))))</f>
        <v>Wanderer</v>
      </c>
      <c r="AK75" s="283" t="str">
        <f>IF('Paste Editor (Beta)'!$C$90="Level-up prompt",G76,IF('Paste Editor (Beta)'!$C$90="Item prompt",E76,IF('Paste Editor (Beta)'!$C$90="Modifier prompt","'"&amp;B76,IF('Paste Editor (Beta)'!$C$90="Challenge prompt",E76,IF('Paste Editor (Beta)'!$C$90="Reroll class prompt",S75,IF('Paste Editor (Beta)'!$C$90="Swap hero prompt",S75,IF('Paste Editor (Beta)'!$C$90="Anvil prompt",AD75,"")))))))</f>
        <v>Wanderer</v>
      </c>
    </row>
    <row r="76" spans="1:37" ht="18">
      <c r="A76" s="23" t="s">
        <v>4102</v>
      </c>
      <c r="B76" s="284" t="s">
        <v>2739</v>
      </c>
      <c r="C76" s="284" t="s">
        <v>4103</v>
      </c>
      <c r="D76" s="284" t="s">
        <v>4104</v>
      </c>
      <c r="E76" s="280" t="s">
        <v>946</v>
      </c>
      <c r="G76" s="280" t="str">
        <v>Wanderer</v>
      </c>
      <c r="L76" s="280"/>
      <c r="V76" s="89"/>
      <c r="W76" s="89"/>
      <c r="X76" s="89"/>
      <c r="Y76" s="89"/>
      <c r="Z76" s="89"/>
      <c r="AA76" s="89"/>
      <c r="AH76" s="280" t="str">
        <f>IF('Paste Editor (Beta)'!$C$82="Level-up prompt",G77,IF('Paste Editor (Beta)'!$C$82="Item prompt",E77,IF('Paste Editor (Beta)'!$C$82="Modifier prompt","'"&amp;B77,IF('Paste Editor (Beta)'!$C$82="Challenge prompt",L77,IF('Paste Editor (Beta)'!$C$82="Reroll class prompt",S76,IF('Paste Editor (Beta)'!$C$82="Swap hero prompt",S76,IF('Paste Editor (Beta)'!$C$82="Anvil prompt",AD76,"")))))))</f>
        <v/>
      </c>
      <c r="AI76" s="280" t="str">
        <f>IF('Paste Editor (Beta)'!$C$82="Level-up prompt",G77,IF('Paste Editor (Beta)'!$C$82="Item prompt",E77,IF('Paste Editor (Beta)'!$C$82="Modifier prompt","'"&amp;B77,IF('Paste Editor (Beta)'!$C$82="Challenge prompt",E77,IF('Paste Editor (Beta)'!$C$82="Reroll class prompt",S76,IF('Paste Editor (Beta)'!$C$82="Swap hero prompt",S76,IF('Paste Editor (Beta)'!$C$82="Anvil prompt",AD76,"")))))))</f>
        <v/>
      </c>
      <c r="AJ76" s="283" t="str">
        <f>IF('Paste Editor (Beta)'!$C$90="Level-up prompt",G77,IF('Paste Editor (Beta)'!$C$90="Item prompt",E77,IF('Paste Editor (Beta)'!$C$90="Modifier prompt","'"&amp;B77,IF('Paste Editor (Beta)'!$C$90="Challenge prompt",L77,IF('Paste Editor (Beta)'!$C$90="Reroll class prompt",S76,IF('Paste Editor (Beta)'!$C$90="Swap hero prompt",S76,IF('Paste Editor (Beta)'!$C$90="Anvil prompt",AD76,"")))))))</f>
        <v>Bash</v>
      </c>
      <c r="AK76" s="283" t="str">
        <f>IF('Paste Editor (Beta)'!$C$90="Level-up prompt",G77,IF('Paste Editor (Beta)'!$C$90="Item prompt",E77,IF('Paste Editor (Beta)'!$C$90="Modifier prompt","'"&amp;B77,IF('Paste Editor (Beta)'!$C$90="Challenge prompt",E77,IF('Paste Editor (Beta)'!$C$90="Reroll class prompt",S76,IF('Paste Editor (Beta)'!$C$90="Swap hero prompt",S76,IF('Paste Editor (Beta)'!$C$90="Anvil prompt",AD76,"")))))))</f>
        <v>Bash</v>
      </c>
    </row>
    <row r="77" spans="1:37" ht="18">
      <c r="A77" s="23" t="s">
        <v>4105</v>
      </c>
      <c r="B77" s="284" t="s">
        <v>2586</v>
      </c>
      <c r="C77" s="284" t="s">
        <v>4106</v>
      </c>
      <c r="D77" s="284" t="s">
        <v>4107</v>
      </c>
      <c r="E77" s="280" t="s">
        <v>852</v>
      </c>
      <c r="G77" s="280" t="str">
        <v>Bash</v>
      </c>
      <c r="L77" s="280"/>
      <c r="V77" s="89"/>
      <c r="W77" s="89"/>
      <c r="X77" s="89"/>
      <c r="Y77" s="89"/>
      <c r="Z77" s="89"/>
      <c r="AA77" s="89"/>
      <c r="AH77" s="280" t="str">
        <f>IF('Paste Editor (Beta)'!$C$82="Level-up prompt",G78,IF('Paste Editor (Beta)'!$C$82="Item prompt",E78,IF('Paste Editor (Beta)'!$C$82="Modifier prompt","'"&amp;B78,IF('Paste Editor (Beta)'!$C$82="Challenge prompt",L78,IF('Paste Editor (Beta)'!$C$82="Reroll class prompt",S77,IF('Paste Editor (Beta)'!$C$82="Swap hero prompt",S77,IF('Paste Editor (Beta)'!$C$82="Anvil prompt",AD77,"")))))))</f>
        <v/>
      </c>
      <c r="AI77" s="280" t="str">
        <f>IF('Paste Editor (Beta)'!$C$82="Level-up prompt",G78,IF('Paste Editor (Beta)'!$C$82="Item prompt",E78,IF('Paste Editor (Beta)'!$C$82="Modifier prompt","'"&amp;B78,IF('Paste Editor (Beta)'!$C$82="Challenge prompt",E78,IF('Paste Editor (Beta)'!$C$82="Reroll class prompt",S77,IF('Paste Editor (Beta)'!$C$82="Swap hero prompt",S77,IF('Paste Editor (Beta)'!$C$82="Anvil prompt",AD77,"")))))))</f>
        <v/>
      </c>
      <c r="AJ77" s="283" t="str">
        <f>IF('Paste Editor (Beta)'!$C$90="Level-up prompt",G78,IF('Paste Editor (Beta)'!$C$90="Item prompt",E78,IF('Paste Editor (Beta)'!$C$90="Modifier prompt","'"&amp;B78,IF('Paste Editor (Beta)'!$C$90="Challenge prompt",L78,IF('Paste Editor (Beta)'!$C$90="Reroll class prompt",S77,IF('Paste Editor (Beta)'!$C$90="Swap hero prompt",S77,IF('Paste Editor (Beta)'!$C$90="Anvil prompt",AD77,"")))))))</f>
        <v>Veteran</v>
      </c>
      <c r="AK77" s="283" t="str">
        <f>IF('Paste Editor (Beta)'!$C$90="Level-up prompt",G78,IF('Paste Editor (Beta)'!$C$90="Item prompt",E78,IF('Paste Editor (Beta)'!$C$90="Modifier prompt","'"&amp;B78,IF('Paste Editor (Beta)'!$C$90="Challenge prompt",E78,IF('Paste Editor (Beta)'!$C$90="Reroll class prompt",S77,IF('Paste Editor (Beta)'!$C$90="Swap hero prompt",S77,IF('Paste Editor (Beta)'!$C$90="Anvil prompt",AD77,"")))))))</f>
        <v>Veteran</v>
      </c>
    </row>
    <row r="78" spans="1:37" ht="18">
      <c r="A78" s="23" t="s">
        <v>4108</v>
      </c>
      <c r="B78" s="284" t="s">
        <v>2742</v>
      </c>
      <c r="C78" s="284" t="s">
        <v>4109</v>
      </c>
      <c r="D78" s="284" t="s">
        <v>4110</v>
      </c>
      <c r="E78" s="280" t="s">
        <v>948</v>
      </c>
      <c r="G78" s="280" t="str">
        <v>Veteran</v>
      </c>
      <c r="L78" s="280"/>
      <c r="V78" s="89"/>
      <c r="W78" s="89"/>
      <c r="X78" s="89"/>
      <c r="Y78" s="89"/>
      <c r="Z78" s="89"/>
      <c r="AA78" s="89"/>
      <c r="AH78" s="280" t="str">
        <f>IF('Paste Editor (Beta)'!$C$82="Level-up prompt",G79,IF('Paste Editor (Beta)'!$C$82="Item prompt",E79,IF('Paste Editor (Beta)'!$C$82="Modifier prompt","'"&amp;B79,IF('Paste Editor (Beta)'!$C$82="Challenge prompt",L79,IF('Paste Editor (Beta)'!$C$82="Reroll class prompt",S78,IF('Paste Editor (Beta)'!$C$82="Swap hero prompt",S78,IF('Paste Editor (Beta)'!$C$82="Anvil prompt",AD78,"")))))))</f>
        <v/>
      </c>
      <c r="AI78" s="280" t="str">
        <f>IF('Paste Editor (Beta)'!$C$82="Level-up prompt",G79,IF('Paste Editor (Beta)'!$C$82="Item prompt",E79,IF('Paste Editor (Beta)'!$C$82="Modifier prompt","'"&amp;B79,IF('Paste Editor (Beta)'!$C$82="Challenge prompt",E79,IF('Paste Editor (Beta)'!$C$82="Reroll class prompt",S78,IF('Paste Editor (Beta)'!$C$82="Swap hero prompt",S78,IF('Paste Editor (Beta)'!$C$82="Anvil prompt",AD78,"")))))))</f>
        <v/>
      </c>
      <c r="AJ78" s="283" t="str">
        <f>IF('Paste Editor (Beta)'!$C$90="Level-up prompt",G79,IF('Paste Editor (Beta)'!$C$90="Item prompt",E79,IF('Paste Editor (Beta)'!$C$90="Modifier prompt","'"&amp;B79,IF('Paste Editor (Beta)'!$C$90="Challenge prompt",L79,IF('Paste Editor (Beta)'!$C$90="Reroll class prompt",S78,IF('Paste Editor (Beta)'!$C$90="Swap hero prompt",S78,IF('Paste Editor (Beta)'!$C$90="Anvil prompt",AD78,"")))))))</f>
        <v>Curator</v>
      </c>
      <c r="AK78" s="283" t="str">
        <f>IF('Paste Editor (Beta)'!$C$90="Level-up prompt",G79,IF('Paste Editor (Beta)'!$C$90="Item prompt",E79,IF('Paste Editor (Beta)'!$C$90="Modifier prompt","'"&amp;B79,IF('Paste Editor (Beta)'!$C$90="Challenge prompt",E79,IF('Paste Editor (Beta)'!$C$90="Reroll class prompt",S78,IF('Paste Editor (Beta)'!$C$90="Swap hero prompt",S78,IF('Paste Editor (Beta)'!$C$90="Anvil prompt",AD78,"")))))))</f>
        <v>Curator</v>
      </c>
    </row>
    <row r="79" spans="1:37" ht="18">
      <c r="A79" s="23" t="s">
        <v>4111</v>
      </c>
      <c r="B79" s="284" t="s">
        <v>2580</v>
      </c>
      <c r="C79" s="284" t="s">
        <v>4112</v>
      </c>
      <c r="D79" s="284" t="s">
        <v>4113</v>
      </c>
      <c r="E79" s="280" t="s">
        <v>854</v>
      </c>
      <c r="G79" s="280" t="str">
        <v>Curator</v>
      </c>
      <c r="V79" s="89"/>
      <c r="W79" s="89"/>
      <c r="X79" s="89"/>
      <c r="Y79" s="89"/>
      <c r="Z79" s="89"/>
      <c r="AA79" s="89"/>
      <c r="AH79" s="280" t="str">
        <f>IF('Paste Editor (Beta)'!$C$82="Level-up prompt",G80,IF('Paste Editor (Beta)'!$C$82="Item prompt",E80,IF('Paste Editor (Beta)'!$C$82="Modifier prompt","'"&amp;B80,IF('Paste Editor (Beta)'!$C$82="Challenge prompt",L80,IF('Paste Editor (Beta)'!$C$82="Reroll class prompt",S79,IF('Paste Editor (Beta)'!$C$82="Swap hero prompt",S79,IF('Paste Editor (Beta)'!$C$82="Anvil prompt",AD79,"")))))))</f>
        <v/>
      </c>
      <c r="AI79" s="280" t="str">
        <f>IF('Paste Editor (Beta)'!$C$82="Level-up prompt",G80,IF('Paste Editor (Beta)'!$C$82="Item prompt",E80,IF('Paste Editor (Beta)'!$C$82="Modifier prompt","'"&amp;B80,IF('Paste Editor (Beta)'!$C$82="Challenge prompt",E80,IF('Paste Editor (Beta)'!$C$82="Reroll class prompt",S79,IF('Paste Editor (Beta)'!$C$82="Swap hero prompt",S79,IF('Paste Editor (Beta)'!$C$82="Anvil prompt",AD79,"")))))))</f>
        <v/>
      </c>
      <c r="AJ79" s="283" t="str">
        <f>IF('Paste Editor (Beta)'!$C$90="Level-up prompt",G80,IF('Paste Editor (Beta)'!$C$90="Item prompt",E80,IF('Paste Editor (Beta)'!$C$90="Modifier prompt","'"&amp;B80,IF('Paste Editor (Beta)'!$C$90="Challenge prompt",L80,IF('Paste Editor (Beta)'!$C$90="Reroll class prompt",S79,IF('Paste Editor (Beta)'!$C$90="Swap hero prompt",S79,IF('Paste Editor (Beta)'!$C$90="Anvil prompt",AD79,"")))))))</f>
        <v>Valkyrie</v>
      </c>
      <c r="AK79" s="283" t="str">
        <f>IF('Paste Editor (Beta)'!$C$90="Level-up prompt",G80,IF('Paste Editor (Beta)'!$C$90="Item prompt",E80,IF('Paste Editor (Beta)'!$C$90="Modifier prompt","'"&amp;B80,IF('Paste Editor (Beta)'!$C$90="Challenge prompt",E80,IF('Paste Editor (Beta)'!$C$90="Reroll class prompt",S79,IF('Paste Editor (Beta)'!$C$90="Swap hero prompt",S79,IF('Paste Editor (Beta)'!$C$90="Anvil prompt",AD79,"")))))))</f>
        <v>Valkyrie</v>
      </c>
    </row>
    <row r="80" spans="1:37" ht="18">
      <c r="A80" s="23" t="s">
        <v>4114</v>
      </c>
      <c r="B80" s="284" t="s">
        <v>2865</v>
      </c>
      <c r="C80" s="284" t="s">
        <v>4115</v>
      </c>
      <c r="D80" s="284" t="s">
        <v>4116</v>
      </c>
      <c r="E80" s="280" t="s">
        <v>857</v>
      </c>
      <c r="G80" s="280" t="str">
        <v>Valkyrie</v>
      </c>
      <c r="V80" s="89"/>
      <c r="W80" s="89"/>
      <c r="X80" s="89"/>
      <c r="Y80" s="89"/>
      <c r="Z80" s="89"/>
      <c r="AA80" s="89"/>
      <c r="AH80" s="280" t="str">
        <f>IF('Paste Editor (Beta)'!$C$82="Level-up prompt",G81,IF('Paste Editor (Beta)'!$C$82="Item prompt",E81,IF('Paste Editor (Beta)'!$C$82="Modifier prompt","'"&amp;B81,IF('Paste Editor (Beta)'!$C$82="Challenge prompt",L81,IF('Paste Editor (Beta)'!$C$82="Reroll class prompt",S80,IF('Paste Editor (Beta)'!$C$82="Swap hero prompt",S80,IF('Paste Editor (Beta)'!$C$82="Anvil prompt",AD80,"")))))))</f>
        <v/>
      </c>
      <c r="AI80" s="280" t="str">
        <f>IF('Paste Editor (Beta)'!$C$82="Level-up prompt",G81,IF('Paste Editor (Beta)'!$C$82="Item prompt",E81,IF('Paste Editor (Beta)'!$C$82="Modifier prompt","'"&amp;B81,IF('Paste Editor (Beta)'!$C$82="Challenge prompt",E81,IF('Paste Editor (Beta)'!$C$82="Reroll class prompt",S80,IF('Paste Editor (Beta)'!$C$82="Swap hero prompt",S80,IF('Paste Editor (Beta)'!$C$82="Anvil prompt",AD80,"")))))))</f>
        <v/>
      </c>
      <c r="AJ80" s="283" t="str">
        <f>IF('Paste Editor (Beta)'!$C$90="Level-up prompt",G81,IF('Paste Editor (Beta)'!$C$90="Item prompt",E81,IF('Paste Editor (Beta)'!$C$90="Modifier prompt","'"&amp;B81,IF('Paste Editor (Beta)'!$C$90="Challenge prompt",L81,IF('Paste Editor (Beta)'!$C$90="Reroll class prompt",S80,IF('Paste Editor (Beta)'!$C$90="Swap hero prompt",S80,IF('Paste Editor (Beta)'!$C$90="Anvil prompt",AD80,"")))))))</f>
        <v>Keeper</v>
      </c>
      <c r="AK80" s="283" t="str">
        <f>IF('Paste Editor (Beta)'!$C$90="Level-up prompt",G81,IF('Paste Editor (Beta)'!$C$90="Item prompt",E81,IF('Paste Editor (Beta)'!$C$90="Modifier prompt","'"&amp;B81,IF('Paste Editor (Beta)'!$C$90="Challenge prompt",E81,IF('Paste Editor (Beta)'!$C$90="Reroll class prompt",S80,IF('Paste Editor (Beta)'!$C$90="Swap hero prompt",S80,IF('Paste Editor (Beta)'!$C$90="Anvil prompt",AD80,"")))))))</f>
        <v>Keeper</v>
      </c>
    </row>
    <row r="81" spans="1:37" ht="18">
      <c r="A81" s="23" t="s">
        <v>4117</v>
      </c>
      <c r="B81" s="284" t="s">
        <v>2834</v>
      </c>
      <c r="C81" s="284" t="s">
        <v>4118</v>
      </c>
      <c r="D81" s="284" t="s">
        <v>4119</v>
      </c>
      <c r="E81" s="280" t="s">
        <v>1146</v>
      </c>
      <c r="G81" s="280" t="str">
        <v>Keeper</v>
      </c>
      <c r="V81" s="89"/>
      <c r="W81" s="89"/>
      <c r="X81" s="89"/>
      <c r="Y81" s="89"/>
      <c r="Z81" s="89"/>
      <c r="AA81" s="89"/>
      <c r="AH81" s="280" t="str">
        <f>IF('Paste Editor (Beta)'!$C$82="Level-up prompt",G82,IF('Paste Editor (Beta)'!$C$82="Item prompt",E82,IF('Paste Editor (Beta)'!$C$82="Modifier prompt","'"&amp;B82,IF('Paste Editor (Beta)'!$C$82="Challenge prompt",L82,IF('Paste Editor (Beta)'!$C$82="Reroll class prompt",S81,IF('Paste Editor (Beta)'!$C$82="Swap hero prompt",S81,IF('Paste Editor (Beta)'!$C$82="Anvil prompt",AD81,"")))))))</f>
        <v/>
      </c>
      <c r="AI81" s="280" t="str">
        <f>IF('Paste Editor (Beta)'!$C$82="Level-up prompt",G82,IF('Paste Editor (Beta)'!$C$82="Item prompt",E82,IF('Paste Editor (Beta)'!$C$82="Modifier prompt","'"&amp;B82,IF('Paste Editor (Beta)'!$C$82="Challenge prompt",E82,IF('Paste Editor (Beta)'!$C$82="Reroll class prompt",S81,IF('Paste Editor (Beta)'!$C$82="Swap hero prompt",S81,IF('Paste Editor (Beta)'!$C$82="Anvil prompt",AD81,"")))))))</f>
        <v/>
      </c>
      <c r="AJ81" s="283" t="str">
        <f>IF('Paste Editor (Beta)'!$C$90="Level-up prompt",G82,IF('Paste Editor (Beta)'!$C$90="Item prompt",E82,IF('Paste Editor (Beta)'!$C$90="Modifier prompt","'"&amp;B82,IF('Paste Editor (Beta)'!$C$90="Challenge prompt",L82,IF('Paste Editor (Beta)'!$C$90="Reroll class prompt",S81,IF('Paste Editor (Beta)'!$C$90="Swap hero prompt",S81,IF('Paste Editor (Beta)'!$C$90="Anvil prompt",AD81,"")))))))</f>
        <v>Twin</v>
      </c>
      <c r="AK81" s="283" t="str">
        <f>IF('Paste Editor (Beta)'!$C$90="Level-up prompt",G82,IF('Paste Editor (Beta)'!$C$90="Item prompt",E82,IF('Paste Editor (Beta)'!$C$90="Modifier prompt","'"&amp;B82,IF('Paste Editor (Beta)'!$C$90="Challenge prompt",E82,IF('Paste Editor (Beta)'!$C$90="Reroll class prompt",S81,IF('Paste Editor (Beta)'!$C$90="Swap hero prompt",S81,IF('Paste Editor (Beta)'!$C$90="Anvil prompt",AD81,"")))))))</f>
        <v>Twin</v>
      </c>
    </row>
    <row r="82" spans="1:37" ht="18">
      <c r="A82" s="23" t="s">
        <v>4120</v>
      </c>
      <c r="B82" s="284" t="s">
        <v>2577</v>
      </c>
      <c r="C82" s="284" t="s">
        <v>4121</v>
      </c>
      <c r="D82" s="284" t="s">
        <v>4122</v>
      </c>
      <c r="E82" s="280" t="s">
        <v>1310</v>
      </c>
      <c r="G82" s="280" t="str">
        <v>Twin</v>
      </c>
      <c r="V82" s="89"/>
      <c r="W82" s="89"/>
      <c r="X82" s="89"/>
      <c r="Y82" s="89"/>
      <c r="Z82" s="89"/>
      <c r="AA82" s="89"/>
      <c r="AH82" s="280" t="str">
        <f>IF('Paste Editor (Beta)'!$C$82="Level-up prompt",G83,IF('Paste Editor (Beta)'!$C$82="Item prompt",E83,IF('Paste Editor (Beta)'!$C$82="Modifier prompt","'"&amp;B83,IF('Paste Editor (Beta)'!$C$82="Challenge prompt",L83,IF('Paste Editor (Beta)'!$C$82="Reroll class prompt",S82,IF('Paste Editor (Beta)'!$C$82="Swap hero prompt",S82,IF('Paste Editor (Beta)'!$C$82="Anvil prompt",AD82,"")))))))</f>
        <v/>
      </c>
      <c r="AI82" s="280" t="str">
        <f>IF('Paste Editor (Beta)'!$C$82="Level-up prompt",G83,IF('Paste Editor (Beta)'!$C$82="Item prompt",E83,IF('Paste Editor (Beta)'!$C$82="Modifier prompt","'"&amp;B83,IF('Paste Editor (Beta)'!$C$82="Challenge prompt",E83,IF('Paste Editor (Beta)'!$C$82="Reroll class prompt",S82,IF('Paste Editor (Beta)'!$C$82="Swap hero prompt",S82,IF('Paste Editor (Beta)'!$C$82="Anvil prompt",AD82,"")))))))</f>
        <v/>
      </c>
      <c r="AJ82" s="283" t="str">
        <f>IF('Paste Editor (Beta)'!$C$90="Level-up prompt",G83,IF('Paste Editor (Beta)'!$C$90="Item prompt",E83,IF('Paste Editor (Beta)'!$C$90="Modifier prompt","'"&amp;B83,IF('Paste Editor (Beta)'!$C$90="Challenge prompt",L83,IF('Paste Editor (Beta)'!$C$90="Reroll class prompt",S82,IF('Paste Editor (Beta)'!$C$90="Swap hero prompt",S82,IF('Paste Editor (Beta)'!$C$90="Anvil prompt",AD82,"")))))))</f>
        <v>Tw1n</v>
      </c>
      <c r="AK82" s="283" t="str">
        <f>IF('Paste Editor (Beta)'!$C$90="Level-up prompt",G83,IF('Paste Editor (Beta)'!$C$90="Item prompt",E83,IF('Paste Editor (Beta)'!$C$90="Modifier prompt","'"&amp;B83,IF('Paste Editor (Beta)'!$C$90="Challenge prompt",E83,IF('Paste Editor (Beta)'!$C$90="Reroll class prompt",S82,IF('Paste Editor (Beta)'!$C$90="Swap hero prompt",S82,IF('Paste Editor (Beta)'!$C$90="Anvil prompt",AD82,"")))))))</f>
        <v>Tw1n</v>
      </c>
    </row>
    <row r="83" spans="1:37" ht="18">
      <c r="A83" s="23" t="s">
        <v>4123</v>
      </c>
      <c r="B83" s="284" t="s">
        <v>2408</v>
      </c>
      <c r="C83" s="284" t="s">
        <v>4124</v>
      </c>
      <c r="D83" s="284" t="s">
        <v>4125</v>
      </c>
      <c r="E83" s="280" t="s">
        <v>227</v>
      </c>
      <c r="G83" s="280" t="str">
        <v>Tw1n</v>
      </c>
      <c r="V83" s="89"/>
      <c r="W83" s="89"/>
      <c r="X83" s="89"/>
      <c r="Y83" s="89"/>
      <c r="Z83" s="89"/>
      <c r="AA83" s="89"/>
      <c r="AH83" s="280" t="str">
        <f>IF('Paste Editor (Beta)'!$C$82="Level-up prompt",G84,IF('Paste Editor (Beta)'!$C$82="Item prompt",E84,IF('Paste Editor (Beta)'!$C$82="Modifier prompt","'"&amp;B84,IF('Paste Editor (Beta)'!$C$82="Challenge prompt",L84,IF('Paste Editor (Beta)'!$C$82="Reroll class prompt",S83,IF('Paste Editor (Beta)'!$C$82="Swap hero prompt",S83,IF('Paste Editor (Beta)'!$C$82="Anvil prompt",AD83,"")))))))</f>
        <v/>
      </c>
      <c r="AI83" s="280" t="str">
        <f>IF('Paste Editor (Beta)'!$C$82="Level-up prompt",G84,IF('Paste Editor (Beta)'!$C$82="Item prompt",E84,IF('Paste Editor (Beta)'!$C$82="Modifier prompt","'"&amp;B84,IF('Paste Editor (Beta)'!$C$82="Challenge prompt",E84,IF('Paste Editor (Beta)'!$C$82="Reroll class prompt",S83,IF('Paste Editor (Beta)'!$C$82="Swap hero prompt",S83,IF('Paste Editor (Beta)'!$C$82="Anvil prompt",AD83,"")))))))</f>
        <v/>
      </c>
      <c r="AJ83" s="283" t="str">
        <f>IF('Paste Editor (Beta)'!$C$90="Level-up prompt",G84,IF('Paste Editor (Beta)'!$C$90="Item prompt",E84,IF('Paste Editor (Beta)'!$C$90="Modifier prompt","'"&amp;B84,IF('Paste Editor (Beta)'!$C$90="Challenge prompt",L84,IF('Paste Editor (Beta)'!$C$90="Reroll class prompt",S83,IF('Paste Editor (Beta)'!$C$90="Swap hero prompt",S83,IF('Paste Editor (Beta)'!$C$90="Anvil prompt",AD83,"")))))))</f>
        <v>Paladin</v>
      </c>
      <c r="AK83" s="283" t="str">
        <f>IF('Paste Editor (Beta)'!$C$90="Level-up prompt",G84,IF('Paste Editor (Beta)'!$C$90="Item prompt",E84,IF('Paste Editor (Beta)'!$C$90="Modifier prompt","'"&amp;B84,IF('Paste Editor (Beta)'!$C$90="Challenge prompt",E84,IF('Paste Editor (Beta)'!$C$90="Reroll class prompt",S83,IF('Paste Editor (Beta)'!$C$90="Swap hero prompt",S83,IF('Paste Editor (Beta)'!$C$90="Anvil prompt",AD83,"")))))))</f>
        <v>Paladin</v>
      </c>
    </row>
    <row r="84" spans="1:37" ht="18">
      <c r="A84" s="23" t="s">
        <v>4126</v>
      </c>
      <c r="B84" s="284" t="s">
        <v>2620</v>
      </c>
      <c r="C84" s="284" t="s">
        <v>4127</v>
      </c>
      <c r="D84" s="284" t="s">
        <v>4128</v>
      </c>
      <c r="E84" s="280" t="s">
        <v>860</v>
      </c>
      <c r="G84" s="280" t="str">
        <v>Paladin</v>
      </c>
      <c r="V84" s="89"/>
      <c r="W84" s="89"/>
      <c r="X84" s="89"/>
      <c r="Y84" s="89"/>
      <c r="Z84" s="89"/>
      <c r="AA84" s="89"/>
      <c r="AH84" s="280" t="str">
        <f>IF('Paste Editor (Beta)'!$C$82="Level-up prompt",G85,IF('Paste Editor (Beta)'!$C$82="Item prompt",E85,IF('Paste Editor (Beta)'!$C$82="Modifier prompt","'"&amp;B85,IF('Paste Editor (Beta)'!$C$82="Challenge prompt",L85,IF('Paste Editor (Beta)'!$C$82="Reroll class prompt",S84,IF('Paste Editor (Beta)'!$C$82="Swap hero prompt",S84,IF('Paste Editor (Beta)'!$C$82="Anvil prompt",AD84,"")))))))</f>
        <v/>
      </c>
      <c r="AI84" s="280" t="str">
        <f>IF('Paste Editor (Beta)'!$C$82="Level-up prompt",G85,IF('Paste Editor (Beta)'!$C$82="Item prompt",E85,IF('Paste Editor (Beta)'!$C$82="Modifier prompt","'"&amp;B85,IF('Paste Editor (Beta)'!$C$82="Challenge prompt",E85,IF('Paste Editor (Beta)'!$C$82="Reroll class prompt",S84,IF('Paste Editor (Beta)'!$C$82="Swap hero prompt",S84,IF('Paste Editor (Beta)'!$C$82="Anvil prompt",AD84,"")))))))</f>
        <v/>
      </c>
      <c r="AJ84" s="283" t="str">
        <f>IF('Paste Editor (Beta)'!$C$90="Level-up prompt",G85,IF('Paste Editor (Beta)'!$C$90="Item prompt",E85,IF('Paste Editor (Beta)'!$C$90="Modifier prompt","'"&amp;B85,IF('Paste Editor (Beta)'!$C$90="Challenge prompt",L85,IF('Paste Editor (Beta)'!$C$90="Reroll class prompt",S84,IF('Paste Editor (Beta)'!$C$90="Swap hero prompt",S84,IF('Paste Editor (Beta)'!$C$90="Anvil prompt",AD84,"")))))))</f>
        <v>Poet</v>
      </c>
      <c r="AK84" s="283" t="str">
        <f>IF('Paste Editor (Beta)'!$C$90="Level-up prompt",G85,IF('Paste Editor (Beta)'!$C$90="Item prompt",E85,IF('Paste Editor (Beta)'!$C$90="Modifier prompt","'"&amp;B85,IF('Paste Editor (Beta)'!$C$90="Challenge prompt",E85,IF('Paste Editor (Beta)'!$C$90="Reroll class prompt",S84,IF('Paste Editor (Beta)'!$C$90="Swap hero prompt",S84,IF('Paste Editor (Beta)'!$C$90="Anvil prompt",AD84,"")))))))</f>
        <v>Poet</v>
      </c>
    </row>
    <row r="85" spans="1:37" ht="18">
      <c r="A85" s="23" t="s">
        <v>4129</v>
      </c>
      <c r="B85" s="284" t="s">
        <v>2393</v>
      </c>
      <c r="C85" s="284" t="s">
        <v>4130</v>
      </c>
      <c r="D85" s="284" t="s">
        <v>4131</v>
      </c>
      <c r="E85" s="280" t="s">
        <v>828</v>
      </c>
      <c r="G85" s="280" t="str">
        <v>Poet</v>
      </c>
      <c r="V85" s="89"/>
      <c r="W85" s="89"/>
      <c r="X85" s="89"/>
      <c r="Y85" s="89"/>
      <c r="Z85" s="89"/>
      <c r="AA85" s="89"/>
      <c r="AH85" s="280" t="str">
        <f>IF('Paste Editor (Beta)'!$C$82="Level-up prompt",G86,IF('Paste Editor (Beta)'!$C$82="Item prompt",E86,IF('Paste Editor (Beta)'!$C$82="Modifier prompt","'"&amp;B86,IF('Paste Editor (Beta)'!$C$82="Challenge prompt",L86,IF('Paste Editor (Beta)'!$C$82="Reroll class prompt",S85,IF('Paste Editor (Beta)'!$C$82="Swap hero prompt",S85,IF('Paste Editor (Beta)'!$C$82="Anvil prompt",AD85,"")))))))</f>
        <v/>
      </c>
      <c r="AI85" s="280" t="str">
        <f>IF('Paste Editor (Beta)'!$C$82="Level-up prompt",G86,IF('Paste Editor (Beta)'!$C$82="Item prompt",E86,IF('Paste Editor (Beta)'!$C$82="Modifier prompt","'"&amp;B86,IF('Paste Editor (Beta)'!$C$82="Challenge prompt",E86,IF('Paste Editor (Beta)'!$C$82="Reroll class prompt",S85,IF('Paste Editor (Beta)'!$C$82="Swap hero prompt",S85,IF('Paste Editor (Beta)'!$C$82="Anvil prompt",AD85,"")))))))</f>
        <v/>
      </c>
      <c r="AJ85" s="283" t="str">
        <f>IF('Paste Editor (Beta)'!$C$90="Level-up prompt",G86,IF('Paste Editor (Beta)'!$C$90="Item prompt",E86,IF('Paste Editor (Beta)'!$C$90="Modifier prompt","'"&amp;B86,IF('Paste Editor (Beta)'!$C$90="Challenge prompt",L86,IF('Paste Editor (Beta)'!$C$90="Reroll class prompt",S85,IF('Paste Editor (Beta)'!$C$90="Swap hero prompt",S85,IF('Paste Editor (Beta)'!$C$90="Anvil prompt",AD85,"")))))))</f>
        <v>Granite</v>
      </c>
      <c r="AK85" s="283" t="str">
        <f>IF('Paste Editor (Beta)'!$C$90="Level-up prompt",G86,IF('Paste Editor (Beta)'!$C$90="Item prompt",E86,IF('Paste Editor (Beta)'!$C$90="Modifier prompt","'"&amp;B86,IF('Paste Editor (Beta)'!$C$90="Challenge prompt",E86,IF('Paste Editor (Beta)'!$C$90="Reroll class prompt",S85,IF('Paste Editor (Beta)'!$C$90="Swap hero prompt",S85,IF('Paste Editor (Beta)'!$C$90="Anvil prompt",AD85,"")))))))</f>
        <v>Granite</v>
      </c>
    </row>
    <row r="86" spans="1:37" ht="18">
      <c r="A86" s="23" t="s">
        <v>4132</v>
      </c>
      <c r="B86" s="284" t="s">
        <v>2623</v>
      </c>
      <c r="C86" s="284" t="s">
        <v>4133</v>
      </c>
      <c r="D86" s="284" t="s">
        <v>4134</v>
      </c>
      <c r="E86" s="280" t="s">
        <v>862</v>
      </c>
      <c r="G86" s="280" t="str">
        <v>Granite</v>
      </c>
      <c r="V86" s="89"/>
      <c r="W86" s="89"/>
      <c r="X86" s="89"/>
      <c r="Y86" s="89"/>
      <c r="Z86" s="89"/>
      <c r="AA86" s="89"/>
      <c r="AH86" s="280" t="str">
        <f>IF('Paste Editor (Beta)'!$C$82="Level-up prompt",G87,IF('Paste Editor (Beta)'!$C$82="Item prompt",E87,IF('Paste Editor (Beta)'!$C$82="Modifier prompt","'"&amp;B87,IF('Paste Editor (Beta)'!$C$82="Challenge prompt",L87,IF('Paste Editor (Beta)'!$C$82="Reroll class prompt",S86,IF('Paste Editor (Beta)'!$C$82="Swap hero prompt",S86,IF('Paste Editor (Beta)'!$C$82="Anvil prompt",AD86,"")))))))</f>
        <v/>
      </c>
      <c r="AI86" s="280" t="str">
        <f>IF('Paste Editor (Beta)'!$C$82="Level-up prompt",G87,IF('Paste Editor (Beta)'!$C$82="Item prompt",E87,IF('Paste Editor (Beta)'!$C$82="Modifier prompt","'"&amp;B87,IF('Paste Editor (Beta)'!$C$82="Challenge prompt",E87,IF('Paste Editor (Beta)'!$C$82="Reroll class prompt",S86,IF('Paste Editor (Beta)'!$C$82="Swap hero prompt",S86,IF('Paste Editor (Beta)'!$C$82="Anvil prompt",AD86,"")))))))</f>
        <v/>
      </c>
      <c r="AJ86" s="283" t="str">
        <f>IF('Paste Editor (Beta)'!$C$90="Level-up prompt",G87,IF('Paste Editor (Beta)'!$C$90="Item prompt",E87,IF('Paste Editor (Beta)'!$C$90="Modifier prompt","'"&amp;B87,IF('Paste Editor (Beta)'!$C$90="Challenge prompt",L87,IF('Paste Editor (Beta)'!$C$90="Reroll class prompt",S86,IF('Paste Editor (Beta)'!$C$90="Swap hero prompt",S86,IF('Paste Editor (Beta)'!$C$90="Anvil prompt",AD86,"")))))))</f>
        <v>Stalwart</v>
      </c>
      <c r="AK86" s="283" t="str">
        <f>IF('Paste Editor (Beta)'!$C$90="Level-up prompt",G87,IF('Paste Editor (Beta)'!$C$90="Item prompt",E87,IF('Paste Editor (Beta)'!$C$90="Modifier prompt","'"&amp;B87,IF('Paste Editor (Beta)'!$C$90="Challenge prompt",E87,IF('Paste Editor (Beta)'!$C$90="Reroll class prompt",S86,IF('Paste Editor (Beta)'!$C$90="Swap hero prompt",S86,IF('Paste Editor (Beta)'!$C$90="Anvil prompt",AD86,"")))))))</f>
        <v>Stalwart</v>
      </c>
    </row>
    <row r="87" spans="1:37" ht="18">
      <c r="A87" s="23" t="s">
        <v>4135</v>
      </c>
      <c r="B87" s="284" t="s">
        <v>2405</v>
      </c>
      <c r="C87" s="284" t="s">
        <v>4136</v>
      </c>
      <c r="D87" s="284" t="s">
        <v>4137</v>
      </c>
      <c r="E87" s="280" t="s">
        <v>1458</v>
      </c>
      <c r="G87" s="280" t="str">
        <v>Stalwart</v>
      </c>
      <c r="V87" s="89"/>
      <c r="W87" s="89"/>
      <c r="X87" s="89"/>
      <c r="Y87" s="89"/>
      <c r="Z87" s="89"/>
      <c r="AA87" s="89"/>
      <c r="AH87" s="280" t="str">
        <f>IF('Paste Editor (Beta)'!$C$82="Level-up prompt",G88,IF('Paste Editor (Beta)'!$C$82="Item prompt",E88,IF('Paste Editor (Beta)'!$C$82="Modifier prompt","'"&amp;B88,IF('Paste Editor (Beta)'!$C$82="Challenge prompt",L88,IF('Paste Editor (Beta)'!$C$82="Reroll class prompt",S87,IF('Paste Editor (Beta)'!$C$82="Swap hero prompt",S87,IF('Paste Editor (Beta)'!$C$82="Anvil prompt",AD87,"")))))))</f>
        <v/>
      </c>
      <c r="AI87" s="280" t="str">
        <f>IF('Paste Editor (Beta)'!$C$82="Level-up prompt",G88,IF('Paste Editor (Beta)'!$C$82="Item prompt",E88,IF('Paste Editor (Beta)'!$C$82="Modifier prompt","'"&amp;B88,IF('Paste Editor (Beta)'!$C$82="Challenge prompt",E88,IF('Paste Editor (Beta)'!$C$82="Reroll class prompt",S87,IF('Paste Editor (Beta)'!$C$82="Swap hero prompt",S87,IF('Paste Editor (Beta)'!$C$82="Anvil prompt",AD87,"")))))))</f>
        <v/>
      </c>
      <c r="AJ87" s="283" t="str">
        <f>IF('Paste Editor (Beta)'!$C$90="Level-up prompt",G88,IF('Paste Editor (Beta)'!$C$90="Item prompt",E88,IF('Paste Editor (Beta)'!$C$90="Modifier prompt","'"&amp;B88,IF('Paste Editor (Beta)'!$C$90="Challenge prompt",L88,IF('Paste Editor (Beta)'!$C$90="Reroll class prompt",S87,IF('Paste Editor (Beta)'!$C$90="Swap hero prompt",S87,IF('Paste Editor (Beta)'!$C$90="Anvil prompt",AD87,"")))))))</f>
        <v>Mimic</v>
      </c>
      <c r="AK87" s="283" t="str">
        <f>IF('Paste Editor (Beta)'!$C$90="Level-up prompt",G88,IF('Paste Editor (Beta)'!$C$90="Item prompt",E88,IF('Paste Editor (Beta)'!$C$90="Modifier prompt","'"&amp;B88,IF('Paste Editor (Beta)'!$C$90="Challenge prompt",E88,IF('Paste Editor (Beta)'!$C$90="Reroll class prompt",S87,IF('Paste Editor (Beta)'!$C$90="Swap hero prompt",S87,IF('Paste Editor (Beta)'!$C$90="Anvil prompt",AD87,"")))))))</f>
        <v>Mimic</v>
      </c>
    </row>
    <row r="88" spans="1:37" ht="18">
      <c r="A88" s="23" t="s">
        <v>4138</v>
      </c>
      <c r="B88" s="284" t="s">
        <v>2461</v>
      </c>
      <c r="C88" s="284" t="s">
        <v>4139</v>
      </c>
      <c r="D88" s="284" t="s">
        <v>4140</v>
      </c>
      <c r="E88" s="280" t="s">
        <v>1395</v>
      </c>
      <c r="G88" s="280" t="str">
        <v>Mimic</v>
      </c>
      <c r="V88" s="89"/>
      <c r="W88" s="89"/>
      <c r="X88" s="89"/>
      <c r="Y88" s="89"/>
      <c r="Z88" s="89"/>
      <c r="AA88" s="89"/>
      <c r="AH88" s="280" t="str">
        <f>IF('Paste Editor (Beta)'!$C$82="Level-up prompt",G89,IF('Paste Editor (Beta)'!$C$82="Item prompt",E89,IF('Paste Editor (Beta)'!$C$82="Modifier prompt","'"&amp;B89,IF('Paste Editor (Beta)'!$C$82="Challenge prompt",L89,IF('Paste Editor (Beta)'!$C$82="Reroll class prompt",S88,IF('Paste Editor (Beta)'!$C$82="Swap hero prompt",S88,IF('Paste Editor (Beta)'!$C$82="Anvil prompt",AD88,"")))))))</f>
        <v/>
      </c>
      <c r="AI88" s="280" t="str">
        <f>IF('Paste Editor (Beta)'!$C$82="Level-up prompt",G89,IF('Paste Editor (Beta)'!$C$82="Item prompt",E89,IF('Paste Editor (Beta)'!$C$82="Modifier prompt","'"&amp;B89,IF('Paste Editor (Beta)'!$C$82="Challenge prompt",E89,IF('Paste Editor (Beta)'!$C$82="Reroll class prompt",S88,IF('Paste Editor (Beta)'!$C$82="Swap hero prompt",S88,IF('Paste Editor (Beta)'!$C$82="Anvil prompt",AD88,"")))))))</f>
        <v/>
      </c>
      <c r="AJ88" s="283" t="str">
        <f>IF('Paste Editor (Beta)'!$C$90="Level-up prompt",G89,IF('Paste Editor (Beta)'!$C$90="Item prompt",E89,IF('Paste Editor (Beta)'!$C$90="Modifier prompt","'"&amp;B89,IF('Paste Editor (Beta)'!$C$90="Challenge prompt",L89,IF('Paste Editor (Beta)'!$C$90="Reroll class prompt",S88,IF('Paste Editor (Beta)'!$C$90="Swap hero prompt",S88,IF('Paste Editor (Beta)'!$C$90="Anvil prompt",AD88,"")))))))</f>
        <v>Doctor</v>
      </c>
      <c r="AK88" s="283" t="str">
        <f>IF('Paste Editor (Beta)'!$C$90="Level-up prompt",G89,IF('Paste Editor (Beta)'!$C$90="Item prompt",E89,IF('Paste Editor (Beta)'!$C$90="Modifier prompt","'"&amp;B89,IF('Paste Editor (Beta)'!$C$90="Challenge prompt",E89,IF('Paste Editor (Beta)'!$C$90="Reroll class prompt",S88,IF('Paste Editor (Beta)'!$C$90="Swap hero prompt",S88,IF('Paste Editor (Beta)'!$C$90="Anvil prompt",AD88,"")))))))</f>
        <v>Doctor</v>
      </c>
    </row>
    <row r="89" spans="1:37" ht="18">
      <c r="A89" s="23" t="s">
        <v>4141</v>
      </c>
      <c r="B89" s="284" t="s">
        <v>2296</v>
      </c>
      <c r="C89" s="284" t="s">
        <v>4142</v>
      </c>
      <c r="D89" s="284" t="s">
        <v>4143</v>
      </c>
      <c r="E89" s="280" t="s">
        <v>1148</v>
      </c>
      <c r="G89" s="280" t="str">
        <v>Doctor</v>
      </c>
      <c r="V89" s="89"/>
      <c r="W89" s="89"/>
      <c r="X89" s="89"/>
      <c r="Y89" s="89"/>
      <c r="Z89" s="89"/>
      <c r="AA89" s="89"/>
      <c r="AH89" s="280" t="str">
        <f>IF('Paste Editor (Beta)'!$C$82="Level-up prompt",G90,IF('Paste Editor (Beta)'!$C$82="Item prompt",E90,IF('Paste Editor (Beta)'!$C$82="Modifier prompt","'"&amp;B90,IF('Paste Editor (Beta)'!$C$82="Challenge prompt",L90,IF('Paste Editor (Beta)'!$C$82="Reroll class prompt",S89,IF('Paste Editor (Beta)'!$C$82="Swap hero prompt",S89,IF('Paste Editor (Beta)'!$C$82="Anvil prompt",AD89,"")))))))</f>
        <v/>
      </c>
      <c r="AI89" s="280" t="str">
        <f>IF('Paste Editor (Beta)'!$C$82="Level-up prompt",G90,IF('Paste Editor (Beta)'!$C$82="Item prompt",E90,IF('Paste Editor (Beta)'!$C$82="Modifier prompt","'"&amp;B90,IF('Paste Editor (Beta)'!$C$82="Challenge prompt",E90,IF('Paste Editor (Beta)'!$C$82="Reroll class prompt",S89,IF('Paste Editor (Beta)'!$C$82="Swap hero prompt",S89,IF('Paste Editor (Beta)'!$C$82="Anvil prompt",AD89,"")))))))</f>
        <v/>
      </c>
      <c r="AJ89" s="283" t="str">
        <f>IF('Paste Editor (Beta)'!$C$90="Level-up prompt",G90,IF('Paste Editor (Beta)'!$C$90="Item prompt",E90,IF('Paste Editor (Beta)'!$C$90="Modifier prompt","'"&amp;B90,IF('Paste Editor (Beta)'!$C$90="Challenge prompt",L90,IF('Paste Editor (Beta)'!$C$90="Reroll class prompt",S89,IF('Paste Editor (Beta)'!$C$90="Swap hero prompt",S89,IF('Paste Editor (Beta)'!$C$90="Anvil prompt",AD89,"")))))))</f>
        <v>Fate</v>
      </c>
      <c r="AK89" s="283" t="str">
        <f>IF('Paste Editor (Beta)'!$C$90="Level-up prompt",G90,IF('Paste Editor (Beta)'!$C$90="Item prompt",E90,IF('Paste Editor (Beta)'!$C$90="Modifier prompt","'"&amp;B90,IF('Paste Editor (Beta)'!$C$90="Challenge prompt",E90,IF('Paste Editor (Beta)'!$C$90="Reroll class prompt",S89,IF('Paste Editor (Beta)'!$C$90="Swap hero prompt",S89,IF('Paste Editor (Beta)'!$C$90="Anvil prompt",AD89,"")))))))</f>
        <v>Fate</v>
      </c>
    </row>
    <row r="90" spans="1:37" ht="18">
      <c r="A90" s="23" t="s">
        <v>4144</v>
      </c>
      <c r="B90" s="284" t="s">
        <v>2384</v>
      </c>
      <c r="C90" s="284" t="s">
        <v>4145</v>
      </c>
      <c r="D90" s="284" t="s">
        <v>4146</v>
      </c>
      <c r="E90" s="280" t="s">
        <v>1228</v>
      </c>
      <c r="G90" s="280" t="str">
        <v>Fate</v>
      </c>
      <c r="AH90" s="280" t="str">
        <f>IF('Paste Editor (Beta)'!$C$82="Level-up prompt",G91,IF('Paste Editor (Beta)'!$C$82="Item prompt",E91,IF('Paste Editor (Beta)'!$C$82="Modifier prompt","'"&amp;B91,IF('Paste Editor (Beta)'!$C$82="Challenge prompt",L91,IF('Paste Editor (Beta)'!$C$82="Reroll class prompt",S90,IF('Paste Editor (Beta)'!$C$82="Swap hero prompt",S90,IF('Paste Editor (Beta)'!$C$82="Anvil prompt",AD90,"")))))))</f>
        <v/>
      </c>
      <c r="AI90" s="280" t="str">
        <f>IF('Paste Editor (Beta)'!$C$82="Level-up prompt",G91,IF('Paste Editor (Beta)'!$C$82="Item prompt",E91,IF('Paste Editor (Beta)'!$C$82="Modifier prompt","'"&amp;B91,IF('Paste Editor (Beta)'!$C$82="Challenge prompt",E91,IF('Paste Editor (Beta)'!$C$82="Reroll class prompt",S90,IF('Paste Editor (Beta)'!$C$82="Swap hero prompt",S90,IF('Paste Editor (Beta)'!$C$82="Anvil prompt",AD90,"")))))))</f>
        <v/>
      </c>
      <c r="AJ90" s="283" t="str">
        <f>IF('Paste Editor (Beta)'!$C$90="Level-up prompt",G91,IF('Paste Editor (Beta)'!$C$90="Item prompt",E91,IF('Paste Editor (Beta)'!$C$90="Modifier prompt","'"&amp;B91,IF('Paste Editor (Beta)'!$C$90="Challenge prompt",L91,IF('Paste Editor (Beta)'!$C$90="Reroll class prompt",S90,IF('Paste Editor (Beta)'!$C$90="Swap hero prompt",S90,IF('Paste Editor (Beta)'!$C$90="Anvil prompt",AD90,"")))))))</f>
        <v>Surgeon</v>
      </c>
      <c r="AK90" s="283" t="str">
        <f>IF('Paste Editor (Beta)'!$C$90="Level-up prompt",G91,IF('Paste Editor (Beta)'!$C$90="Item prompt",E91,IF('Paste Editor (Beta)'!$C$90="Modifier prompt","'"&amp;B91,IF('Paste Editor (Beta)'!$C$90="Challenge prompt",E91,IF('Paste Editor (Beta)'!$C$90="Reroll class prompt",S90,IF('Paste Editor (Beta)'!$C$90="Swap hero prompt",S90,IF('Paste Editor (Beta)'!$C$90="Anvil prompt",AD90,"")))))))</f>
        <v>Surgeon</v>
      </c>
    </row>
    <row r="91" spans="1:37" ht="18">
      <c r="A91" s="23" t="s">
        <v>4147</v>
      </c>
      <c r="B91" s="284" t="s">
        <v>2180</v>
      </c>
      <c r="C91" s="284" t="s">
        <v>4148</v>
      </c>
      <c r="D91" s="284" t="s">
        <v>4149</v>
      </c>
      <c r="E91" s="280" t="s">
        <v>1312</v>
      </c>
      <c r="G91" s="280" t="str">
        <v>Surgeon</v>
      </c>
      <c r="AH91" s="280" t="str">
        <f>IF('Paste Editor (Beta)'!$C$82="Level-up prompt",G92,IF('Paste Editor (Beta)'!$C$82="Item prompt",E92,IF('Paste Editor (Beta)'!$C$82="Modifier prompt","'"&amp;B92,IF('Paste Editor (Beta)'!$C$82="Challenge prompt",L92,IF('Paste Editor (Beta)'!$C$82="Reroll class prompt",S91,IF('Paste Editor (Beta)'!$C$82="Swap hero prompt",S91,IF('Paste Editor (Beta)'!$C$82="Anvil prompt",AD91,"")))))))</f>
        <v/>
      </c>
      <c r="AI91" s="280" t="str">
        <f>IF('Paste Editor (Beta)'!$C$82="Level-up prompt",G92,IF('Paste Editor (Beta)'!$C$82="Item prompt",E92,IF('Paste Editor (Beta)'!$C$82="Modifier prompt","'"&amp;B92,IF('Paste Editor (Beta)'!$C$82="Challenge prompt",E92,IF('Paste Editor (Beta)'!$C$82="Reroll class prompt",S91,IF('Paste Editor (Beta)'!$C$82="Swap hero prompt",S91,IF('Paste Editor (Beta)'!$C$82="Anvil prompt",AD91,"")))))))</f>
        <v/>
      </c>
      <c r="AJ91" s="283" t="str">
        <f>IF('Paste Editor (Beta)'!$C$90="Level-up prompt",G92,IF('Paste Editor (Beta)'!$C$90="Item prompt",E92,IF('Paste Editor (Beta)'!$C$90="Modifier prompt","'"&amp;B92,IF('Paste Editor (Beta)'!$C$90="Challenge prompt",L92,IF('Paste Editor (Beta)'!$C$90="Reroll class prompt",S91,IF('Paste Editor (Beta)'!$C$90="Swap hero prompt",S91,IF('Paste Editor (Beta)'!$C$90="Anvil prompt",AD91,"")))))))</f>
        <v>Witch</v>
      </c>
      <c r="AK91" s="283" t="str">
        <f>IF('Paste Editor (Beta)'!$C$90="Level-up prompt",G92,IF('Paste Editor (Beta)'!$C$90="Item prompt",E92,IF('Paste Editor (Beta)'!$C$90="Modifier prompt","'"&amp;B92,IF('Paste Editor (Beta)'!$C$90="Challenge prompt",E92,IF('Paste Editor (Beta)'!$C$90="Reroll class prompt",S91,IF('Paste Editor (Beta)'!$C$90="Swap hero prompt",S91,IF('Paste Editor (Beta)'!$C$90="Anvil prompt",AD91,"")))))))</f>
        <v>Witch</v>
      </c>
    </row>
    <row r="92" spans="1:37" ht="18">
      <c r="A92" s="23" t="s">
        <v>4150</v>
      </c>
      <c r="B92" s="284" t="s">
        <v>2521</v>
      </c>
      <c r="C92" s="284" t="s">
        <v>4151</v>
      </c>
      <c r="D92" s="284" t="s">
        <v>4152</v>
      </c>
      <c r="E92" s="280" t="s">
        <v>1230</v>
      </c>
      <c r="G92" s="280" t="str">
        <v>Witch</v>
      </c>
      <c r="AH92" s="280" t="str">
        <f>IF('Paste Editor (Beta)'!$C$82="Level-up prompt",G93,IF('Paste Editor (Beta)'!$C$82="Item prompt",E93,IF('Paste Editor (Beta)'!$C$82="Modifier prompt","'"&amp;B93,IF('Paste Editor (Beta)'!$C$82="Challenge prompt",L93,IF('Paste Editor (Beta)'!$C$82="Reroll class prompt",S92,IF('Paste Editor (Beta)'!$C$82="Swap hero prompt",S92,IF('Paste Editor (Beta)'!$C$82="Anvil prompt",AD92,"")))))))</f>
        <v/>
      </c>
      <c r="AI92" s="280" t="str">
        <f>IF('Paste Editor (Beta)'!$C$82="Level-up prompt",G93,IF('Paste Editor (Beta)'!$C$82="Item prompt",E93,IF('Paste Editor (Beta)'!$C$82="Modifier prompt","'"&amp;B93,IF('Paste Editor (Beta)'!$C$82="Challenge prompt",E93,IF('Paste Editor (Beta)'!$C$82="Reroll class prompt",S92,IF('Paste Editor (Beta)'!$C$82="Swap hero prompt",S92,IF('Paste Editor (Beta)'!$C$82="Anvil prompt",AD92,"")))))))</f>
        <v/>
      </c>
      <c r="AJ92" s="283" t="str">
        <f>IF('Paste Editor (Beta)'!$C$90="Level-up prompt",G93,IF('Paste Editor (Beta)'!$C$90="Item prompt",E93,IF('Paste Editor (Beta)'!$C$90="Modifier prompt","'"&amp;B93,IF('Paste Editor (Beta)'!$C$90="Challenge prompt",L93,IF('Paste Editor (Beta)'!$C$90="Reroll class prompt",S92,IF('Paste Editor (Beta)'!$C$90="Swap hero prompt",S92,IF('Paste Editor (Beta)'!$C$90="Anvil prompt",AD92,"")))))))</f>
        <v>Prophet</v>
      </c>
      <c r="AK92" s="283" t="str">
        <f>IF('Paste Editor (Beta)'!$C$90="Level-up prompt",G93,IF('Paste Editor (Beta)'!$C$90="Item prompt",E93,IF('Paste Editor (Beta)'!$C$90="Modifier prompt","'"&amp;B93,IF('Paste Editor (Beta)'!$C$90="Challenge prompt",E93,IF('Paste Editor (Beta)'!$C$90="Reroll class prompt",S92,IF('Paste Editor (Beta)'!$C$90="Swap hero prompt",S92,IF('Paste Editor (Beta)'!$C$90="Anvil prompt",AD92,"")))))))</f>
        <v>Prophet</v>
      </c>
    </row>
    <row r="93" spans="1:37" ht="18">
      <c r="A93" s="23" t="s">
        <v>4153</v>
      </c>
      <c r="B93" s="284" t="s">
        <v>2284</v>
      </c>
      <c r="C93" s="284" t="s">
        <v>4154</v>
      </c>
      <c r="D93" s="284" t="s">
        <v>4155</v>
      </c>
      <c r="E93" s="280" t="s">
        <v>1565</v>
      </c>
      <c r="G93" s="280" t="str">
        <v>Prophet</v>
      </c>
      <c r="AH93" s="280" t="str">
        <f>IF('Paste Editor (Beta)'!$C$82="Level-up prompt",G94,IF('Paste Editor (Beta)'!$C$82="Item prompt",E94,IF('Paste Editor (Beta)'!$C$82="Modifier prompt","'"&amp;B94,IF('Paste Editor (Beta)'!$C$82="Challenge prompt",L94,IF('Paste Editor (Beta)'!$C$82="Reroll class prompt",S93,IF('Paste Editor (Beta)'!$C$82="Swap hero prompt",S93,IF('Paste Editor (Beta)'!$C$82="Anvil prompt",AD93,"")))))))</f>
        <v/>
      </c>
      <c r="AI93" s="280" t="str">
        <f>IF('Paste Editor (Beta)'!$C$82="Level-up prompt",G94,IF('Paste Editor (Beta)'!$C$82="Item prompt",E94,IF('Paste Editor (Beta)'!$C$82="Modifier prompt","'"&amp;B94,IF('Paste Editor (Beta)'!$C$82="Challenge prompt",E94,IF('Paste Editor (Beta)'!$C$82="Reroll class prompt",S93,IF('Paste Editor (Beta)'!$C$82="Swap hero prompt",S93,IF('Paste Editor (Beta)'!$C$82="Anvil prompt",AD93,"")))))))</f>
        <v/>
      </c>
      <c r="AJ93" s="283" t="str">
        <f>IF('Paste Editor (Beta)'!$C$90="Level-up prompt",G94,IF('Paste Editor (Beta)'!$C$90="Item prompt",E94,IF('Paste Editor (Beta)'!$C$90="Modifier prompt","'"&amp;B94,IF('Paste Editor (Beta)'!$C$90="Challenge prompt",L94,IF('Paste Editor (Beta)'!$C$90="Reroll class prompt",S93,IF('Paste Editor (Beta)'!$C$90="Swap hero prompt",S93,IF('Paste Editor (Beta)'!$C$90="Anvil prompt",AD93,"")))))))</f>
        <v>Forsaken</v>
      </c>
      <c r="AK93" s="283" t="str">
        <f>IF('Paste Editor (Beta)'!$C$90="Level-up prompt",G94,IF('Paste Editor (Beta)'!$C$90="Item prompt",E94,IF('Paste Editor (Beta)'!$C$90="Modifier prompt","'"&amp;B94,IF('Paste Editor (Beta)'!$C$90="Challenge prompt",E94,IF('Paste Editor (Beta)'!$C$90="Reroll class prompt",S93,IF('Paste Editor (Beta)'!$C$90="Swap hero prompt",S93,IF('Paste Editor (Beta)'!$C$90="Anvil prompt",AD93,"")))))))</f>
        <v>Forsaken</v>
      </c>
    </row>
    <row r="94" spans="1:37" ht="18">
      <c r="A94" s="23" t="s">
        <v>4156</v>
      </c>
      <c r="B94" s="284" t="s">
        <v>2808</v>
      </c>
      <c r="C94" s="284" t="s">
        <v>4157</v>
      </c>
      <c r="D94" s="284" t="s">
        <v>4158</v>
      </c>
      <c r="E94" s="280" t="s">
        <v>1531</v>
      </c>
      <c r="G94" s="280" t="str">
        <v>Forsaken</v>
      </c>
      <c r="AH94" s="280" t="str">
        <f>IF('Paste Editor (Beta)'!$C$82="Level-up prompt",G95,IF('Paste Editor (Beta)'!$C$82="Item prompt",E95,IF('Paste Editor (Beta)'!$C$82="Modifier prompt","'"&amp;B95,IF('Paste Editor (Beta)'!$C$82="Challenge prompt",L95,IF('Paste Editor (Beta)'!$C$82="Reroll class prompt",S94,IF('Paste Editor (Beta)'!$C$82="Swap hero prompt",S94,IF('Paste Editor (Beta)'!$C$82="Anvil prompt",AD94,"")))))))</f>
        <v/>
      </c>
      <c r="AI94" s="280" t="str">
        <f>IF('Paste Editor (Beta)'!$C$82="Level-up prompt",G95,IF('Paste Editor (Beta)'!$C$82="Item prompt",E95,IF('Paste Editor (Beta)'!$C$82="Modifier prompt","'"&amp;B95,IF('Paste Editor (Beta)'!$C$82="Challenge prompt",E95,IF('Paste Editor (Beta)'!$C$82="Reroll class prompt",S94,IF('Paste Editor (Beta)'!$C$82="Swap hero prompt",S94,IF('Paste Editor (Beta)'!$C$82="Anvil prompt",AD94,"")))))))</f>
        <v/>
      </c>
      <c r="AJ94" s="283" t="str">
        <f>IF('Paste Editor (Beta)'!$C$90="Level-up prompt",G95,IF('Paste Editor (Beta)'!$C$90="Item prompt",E95,IF('Paste Editor (Beta)'!$C$90="Modifier prompt","'"&amp;B95,IF('Paste Editor (Beta)'!$C$90="Challenge prompt",L95,IF('Paste Editor (Beta)'!$C$90="Reroll class prompt",S94,IF('Paste Editor (Beta)'!$C$90="Swap hero prompt",S94,IF('Paste Editor (Beta)'!$C$90="Anvil prompt",AD94,"")))))))</f>
        <v>Wraith</v>
      </c>
      <c r="AK94" s="283" t="str">
        <f>IF('Paste Editor (Beta)'!$C$90="Level-up prompt",G95,IF('Paste Editor (Beta)'!$C$90="Item prompt",E95,IF('Paste Editor (Beta)'!$C$90="Modifier prompt","'"&amp;B95,IF('Paste Editor (Beta)'!$C$90="Challenge prompt",E95,IF('Paste Editor (Beta)'!$C$90="Reroll class prompt",S94,IF('Paste Editor (Beta)'!$C$90="Swap hero prompt",S94,IF('Paste Editor (Beta)'!$C$90="Anvil prompt",AD94,"")))))))</f>
        <v>Wraith</v>
      </c>
    </row>
    <row r="95" spans="1:37" ht="18">
      <c r="A95" s="23" t="s">
        <v>4159</v>
      </c>
      <c r="B95" s="284" t="s">
        <v>2728</v>
      </c>
      <c r="C95" s="284" t="s">
        <v>4160</v>
      </c>
      <c r="D95" s="284" t="s">
        <v>4161</v>
      </c>
      <c r="E95" s="280" t="s">
        <v>1150</v>
      </c>
      <c r="G95" s="280" t="str">
        <v>Wraith</v>
      </c>
      <c r="AH95" s="280" t="str">
        <f>IF('Paste Editor (Beta)'!$C$82="Level-up prompt",G96,IF('Paste Editor (Beta)'!$C$82="Item prompt",E96,IF('Paste Editor (Beta)'!$C$82="Modifier prompt","'"&amp;B96,IF('Paste Editor (Beta)'!$C$82="Challenge prompt",L96,IF('Paste Editor (Beta)'!$C$82="Reroll class prompt",S95,IF('Paste Editor (Beta)'!$C$82="Swap hero prompt",S95,IF('Paste Editor (Beta)'!$C$82="Anvil prompt",AD95,"")))))))</f>
        <v/>
      </c>
      <c r="AI95" s="280" t="str">
        <f>IF('Paste Editor (Beta)'!$C$82="Level-up prompt",G96,IF('Paste Editor (Beta)'!$C$82="Item prompt",E96,IF('Paste Editor (Beta)'!$C$82="Modifier prompt","'"&amp;B96,IF('Paste Editor (Beta)'!$C$82="Challenge prompt",E96,IF('Paste Editor (Beta)'!$C$82="Reroll class prompt",S95,IF('Paste Editor (Beta)'!$C$82="Swap hero prompt",S95,IF('Paste Editor (Beta)'!$C$82="Anvil prompt",AD95,"")))))))</f>
        <v/>
      </c>
      <c r="AJ95" s="283" t="str">
        <f>IF('Paste Editor (Beta)'!$C$90="Level-up prompt",G96,IF('Paste Editor (Beta)'!$C$90="Item prompt",E96,IF('Paste Editor (Beta)'!$C$90="Modifier prompt","'"&amp;B96,IF('Paste Editor (Beta)'!$C$90="Challenge prompt",L96,IF('Paste Editor (Beta)'!$C$90="Reroll class prompt",S95,IF('Paste Editor (Beta)'!$C$90="Swap hero prompt",S95,IF('Paste Editor (Beta)'!$C$90="Anvil prompt",AD95,"")))))))</f>
        <v>Shaman</v>
      </c>
      <c r="AK95" s="283" t="str">
        <f>IF('Paste Editor (Beta)'!$C$90="Level-up prompt",G96,IF('Paste Editor (Beta)'!$C$90="Item prompt",E96,IF('Paste Editor (Beta)'!$C$90="Modifier prompt","'"&amp;B96,IF('Paste Editor (Beta)'!$C$90="Challenge prompt",E96,IF('Paste Editor (Beta)'!$C$90="Reroll class prompt",S95,IF('Paste Editor (Beta)'!$C$90="Swap hero prompt",S95,IF('Paste Editor (Beta)'!$C$90="Anvil prompt",AD95,"")))))))</f>
        <v>Shaman</v>
      </c>
    </row>
    <row r="96" spans="1:37" ht="18">
      <c r="A96" s="23" t="s">
        <v>4162</v>
      </c>
      <c r="B96" s="284" t="s">
        <v>2168</v>
      </c>
      <c r="C96" s="284" t="s">
        <v>4163</v>
      </c>
      <c r="D96" s="284" t="s">
        <v>4164</v>
      </c>
      <c r="E96" s="280" t="s">
        <v>1507</v>
      </c>
      <c r="G96" s="280" t="str">
        <v>Shaman</v>
      </c>
      <c r="AH96" s="280" t="str">
        <f>IF('Paste Editor (Beta)'!$C$82="Level-up prompt",G97,IF('Paste Editor (Beta)'!$C$82="Item prompt",E97,IF('Paste Editor (Beta)'!$C$82="Modifier prompt","'"&amp;B97,IF('Paste Editor (Beta)'!$C$82="Challenge prompt",L97,IF('Paste Editor (Beta)'!$C$82="Reroll class prompt",S96,IF('Paste Editor (Beta)'!$C$82="Swap hero prompt",S96,IF('Paste Editor (Beta)'!$C$82="Anvil prompt",AD96,"")))))))</f>
        <v/>
      </c>
      <c r="AI96" s="280" t="str">
        <f>IF('Paste Editor (Beta)'!$C$82="Level-up prompt",G97,IF('Paste Editor (Beta)'!$C$82="Item prompt",E97,IF('Paste Editor (Beta)'!$C$82="Modifier prompt","'"&amp;B97,IF('Paste Editor (Beta)'!$C$82="Challenge prompt",E97,IF('Paste Editor (Beta)'!$C$82="Reroll class prompt",S96,IF('Paste Editor (Beta)'!$C$82="Swap hero prompt",S96,IF('Paste Editor (Beta)'!$C$82="Anvil prompt",AD96,"")))))))</f>
        <v/>
      </c>
      <c r="AJ96" s="283" t="str">
        <f>IF('Paste Editor (Beta)'!$C$90="Level-up prompt",G97,IF('Paste Editor (Beta)'!$C$90="Item prompt",E97,IF('Paste Editor (Beta)'!$C$90="Modifier prompt","'"&amp;B97,IF('Paste Editor (Beta)'!$C$90="Challenge prompt",L97,IF('Paste Editor (Beta)'!$C$90="Reroll class prompt",S96,IF('Paste Editor (Beta)'!$C$90="Swap hero prompt",S96,IF('Paste Editor (Beta)'!$C$90="Anvil prompt",AD96,"")))))))</f>
        <v>Artificer</v>
      </c>
      <c r="AK96" s="283" t="str">
        <f>IF('Paste Editor (Beta)'!$C$90="Level-up prompt",G97,IF('Paste Editor (Beta)'!$C$90="Item prompt",E97,IF('Paste Editor (Beta)'!$C$90="Modifier prompt","'"&amp;B97,IF('Paste Editor (Beta)'!$C$90="Challenge prompt",E97,IF('Paste Editor (Beta)'!$C$90="Reroll class prompt",S96,IF('Paste Editor (Beta)'!$C$90="Swap hero prompt",S96,IF('Paste Editor (Beta)'!$C$90="Anvil prompt",AD96,"")))))))</f>
        <v>Artificer</v>
      </c>
    </row>
    <row r="97" spans="1:37" ht="18">
      <c r="A97" s="23" t="s">
        <v>4165</v>
      </c>
      <c r="B97" s="284" t="s">
        <v>2067</v>
      </c>
      <c r="C97" s="284" t="s">
        <v>4166</v>
      </c>
      <c r="D97" s="284" t="s">
        <v>4167</v>
      </c>
      <c r="E97" s="280" t="s">
        <v>1233</v>
      </c>
      <c r="G97" s="280" t="str">
        <v>Artificer</v>
      </c>
      <c r="AH97" s="280" t="str">
        <f>IF('Paste Editor (Beta)'!$C$82="Level-up prompt",G98,IF('Paste Editor (Beta)'!$C$82="Item prompt",E98,IF('Paste Editor (Beta)'!$C$82="Modifier prompt","'"&amp;B98,IF('Paste Editor (Beta)'!$C$82="Challenge prompt",L98,IF('Paste Editor (Beta)'!$C$82="Reroll class prompt",S97,IF('Paste Editor (Beta)'!$C$82="Swap hero prompt",S97,IF('Paste Editor (Beta)'!$C$82="Anvil prompt",AD97,"")))))))</f>
        <v/>
      </c>
      <c r="AI97" s="280" t="str">
        <f>IF('Paste Editor (Beta)'!$C$82="Level-up prompt",G98,IF('Paste Editor (Beta)'!$C$82="Item prompt",E98,IF('Paste Editor (Beta)'!$C$82="Modifier prompt","'"&amp;B98,IF('Paste Editor (Beta)'!$C$82="Challenge prompt",E98,IF('Paste Editor (Beta)'!$C$82="Reroll class prompt",S97,IF('Paste Editor (Beta)'!$C$82="Swap hero prompt",S97,IF('Paste Editor (Beta)'!$C$82="Anvil prompt",AD97,"")))))))</f>
        <v/>
      </c>
      <c r="AJ97" s="283" t="str">
        <f>IF('Paste Editor (Beta)'!$C$90="Level-up prompt",G98,IF('Paste Editor (Beta)'!$C$90="Item prompt",E98,IF('Paste Editor (Beta)'!$C$90="Modifier prompt","'"&amp;B98,IF('Paste Editor (Beta)'!$C$90="Challenge prompt",L98,IF('Paste Editor (Beta)'!$C$90="Reroll class prompt",S97,IF('Paste Editor (Beta)'!$C$90="Swap hero prompt",S97,IF('Paste Editor (Beta)'!$C$90="Anvil prompt",AD97,"")))))))</f>
        <v>Sorcerer</v>
      </c>
      <c r="AK97" s="283" t="str">
        <f>IF('Paste Editor (Beta)'!$C$90="Level-up prompt",G98,IF('Paste Editor (Beta)'!$C$90="Item prompt",E98,IF('Paste Editor (Beta)'!$C$90="Modifier prompt","'"&amp;B98,IF('Paste Editor (Beta)'!$C$90="Challenge prompt",E98,IF('Paste Editor (Beta)'!$C$90="Reroll class prompt",S97,IF('Paste Editor (Beta)'!$C$90="Swap hero prompt",S97,IF('Paste Editor (Beta)'!$C$90="Anvil prompt",AD97,"")))))))</f>
        <v>Sorcerer</v>
      </c>
    </row>
    <row r="98" spans="1:37" ht="18">
      <c r="A98" s="23" t="s">
        <v>4168</v>
      </c>
      <c r="B98" s="284" t="s">
        <v>2455</v>
      </c>
      <c r="C98" s="284" t="s">
        <v>4169</v>
      </c>
      <c r="D98" s="284" t="s">
        <v>4170</v>
      </c>
      <c r="E98" s="280" t="s">
        <v>1397</v>
      </c>
      <c r="G98" s="280" t="str">
        <v>Sorcerer</v>
      </c>
      <c r="AH98" s="280" t="str">
        <f>IF('Paste Editor (Beta)'!$C$82="Level-up prompt",G99,IF('Paste Editor (Beta)'!$C$82="Item prompt",E99,IF('Paste Editor (Beta)'!$C$82="Modifier prompt","'"&amp;B99,IF('Paste Editor (Beta)'!$C$82="Challenge prompt",L99,IF('Paste Editor (Beta)'!$C$82="Reroll class prompt",S98,IF('Paste Editor (Beta)'!$C$82="Swap hero prompt",S98,IF('Paste Editor (Beta)'!$C$82="Anvil prompt",AD98,"")))))))</f>
        <v/>
      </c>
      <c r="AI98" s="280" t="str">
        <f>IF('Paste Editor (Beta)'!$C$82="Level-up prompt",G99,IF('Paste Editor (Beta)'!$C$82="Item prompt",E99,IF('Paste Editor (Beta)'!$C$82="Modifier prompt","'"&amp;B99,IF('Paste Editor (Beta)'!$C$82="Challenge prompt",E99,IF('Paste Editor (Beta)'!$C$82="Reroll class prompt",S98,IF('Paste Editor (Beta)'!$C$82="Swap hero prompt",S98,IF('Paste Editor (Beta)'!$C$82="Anvil prompt",AD98,"")))))))</f>
        <v/>
      </c>
      <c r="AJ98" s="283" t="str">
        <f>IF('Paste Editor (Beta)'!$C$90="Level-up prompt",G99,IF('Paste Editor (Beta)'!$C$90="Item prompt",E99,IF('Paste Editor (Beta)'!$C$90="Modifier prompt","'"&amp;B99,IF('Paste Editor (Beta)'!$C$90="Challenge prompt",L99,IF('Paste Editor (Beta)'!$C$90="Reroll class prompt",S98,IF('Paste Editor (Beta)'!$C$90="Swap hero prompt",S98,IF('Paste Editor (Beta)'!$C$90="Anvil prompt",AD98,"")))))))</f>
        <v>Wizard</v>
      </c>
      <c r="AK98" s="283" t="str">
        <f>IF('Paste Editor (Beta)'!$C$90="Level-up prompt",G99,IF('Paste Editor (Beta)'!$C$90="Item prompt",E99,IF('Paste Editor (Beta)'!$C$90="Modifier prompt","'"&amp;B99,IF('Paste Editor (Beta)'!$C$90="Challenge prompt",E99,IF('Paste Editor (Beta)'!$C$90="Reroll class prompt",S98,IF('Paste Editor (Beta)'!$C$90="Swap hero prompt",S98,IF('Paste Editor (Beta)'!$C$90="Anvil prompt",AD98,"")))))))</f>
        <v>Wizard</v>
      </c>
    </row>
    <row r="99" spans="1:37" ht="18">
      <c r="A99" s="23" t="s">
        <v>4171</v>
      </c>
      <c r="B99" s="284" t="s">
        <v>2281</v>
      </c>
      <c r="C99" s="284" t="s">
        <v>4172</v>
      </c>
      <c r="D99" s="284" t="s">
        <v>4173</v>
      </c>
      <c r="E99" s="280" t="s">
        <v>1235</v>
      </c>
      <c r="G99" s="280" t="str">
        <v>Wizard</v>
      </c>
      <c r="AH99" s="280" t="str">
        <f>IF('Paste Editor (Beta)'!$C$82="Level-up prompt",G100,IF('Paste Editor (Beta)'!$C$82="Item prompt",E100,IF('Paste Editor (Beta)'!$C$82="Modifier prompt","'"&amp;B100,IF('Paste Editor (Beta)'!$C$82="Challenge prompt",L100,IF('Paste Editor (Beta)'!$C$82="Reroll class prompt",S99,IF('Paste Editor (Beta)'!$C$82="Swap hero prompt",S99,IF('Paste Editor (Beta)'!$C$82="Anvil prompt",AD99,"")))))))</f>
        <v/>
      </c>
      <c r="AI99" s="280" t="str">
        <f>IF('Paste Editor (Beta)'!$C$82="Level-up prompt",G100,IF('Paste Editor (Beta)'!$C$82="Item prompt",E100,IF('Paste Editor (Beta)'!$C$82="Modifier prompt","'"&amp;B100,IF('Paste Editor (Beta)'!$C$82="Challenge prompt",E100,IF('Paste Editor (Beta)'!$C$82="Reroll class prompt",S99,IF('Paste Editor (Beta)'!$C$82="Swap hero prompt",S99,IF('Paste Editor (Beta)'!$C$82="Anvil prompt",AD99,"")))))))</f>
        <v/>
      </c>
      <c r="AJ99" s="283" t="str">
        <f>IF('Paste Editor (Beta)'!$C$90="Level-up prompt",G100,IF('Paste Editor (Beta)'!$C$90="Item prompt",E100,IF('Paste Editor (Beta)'!$C$90="Modifier prompt","'"&amp;B100,IF('Paste Editor (Beta)'!$C$90="Challenge prompt",L100,IF('Paste Editor (Beta)'!$C$90="Reroll class prompt",S99,IF('Paste Editor (Beta)'!$C$90="Swap hero prompt",S99,IF('Paste Editor (Beta)'!$C$90="Anvil prompt",AD99,"")))))))</f>
        <v>Warlock</v>
      </c>
      <c r="AK99" s="283" t="str">
        <f>IF('Paste Editor (Beta)'!$C$90="Level-up prompt",G100,IF('Paste Editor (Beta)'!$C$90="Item prompt",E100,IF('Paste Editor (Beta)'!$C$90="Modifier prompt","'"&amp;B100,IF('Paste Editor (Beta)'!$C$90="Challenge prompt",E100,IF('Paste Editor (Beta)'!$C$90="Reroll class prompt",S99,IF('Paste Editor (Beta)'!$C$90="Swap hero prompt",S99,IF('Paste Editor (Beta)'!$C$90="Anvil prompt",AD99,"")))))))</f>
        <v>Warlock</v>
      </c>
    </row>
    <row r="100" spans="1:37" ht="18">
      <c r="A100" s="23" t="s">
        <v>4174</v>
      </c>
      <c r="B100" s="284" t="s">
        <v>2819</v>
      </c>
      <c r="C100" s="284" t="s">
        <v>4175</v>
      </c>
      <c r="D100" s="284" t="s">
        <v>4176</v>
      </c>
      <c r="E100" s="280" t="s">
        <v>1089</v>
      </c>
      <c r="G100" s="280" t="str">
        <v>Warlock</v>
      </c>
      <c r="AH100" s="280" t="str">
        <f>IF('Paste Editor (Beta)'!$C$82="Level-up prompt",G101,IF('Paste Editor (Beta)'!$C$82="Item prompt",E101,IF('Paste Editor (Beta)'!$C$82="Modifier prompt","'"&amp;B101,IF('Paste Editor (Beta)'!$C$82="Challenge prompt",L101,IF('Paste Editor (Beta)'!$C$82="Reroll class prompt",S100,IF('Paste Editor (Beta)'!$C$82="Swap hero prompt",S100,IF('Paste Editor (Beta)'!$C$82="Anvil prompt",AD100,"")))))))</f>
        <v/>
      </c>
      <c r="AI100" s="280" t="str">
        <f>IF('Paste Editor (Beta)'!$C$82="Level-up prompt",G101,IF('Paste Editor (Beta)'!$C$82="Item prompt",E101,IF('Paste Editor (Beta)'!$C$82="Modifier prompt","'"&amp;B101,IF('Paste Editor (Beta)'!$C$82="Challenge prompt",E101,IF('Paste Editor (Beta)'!$C$82="Reroll class prompt",S100,IF('Paste Editor (Beta)'!$C$82="Swap hero prompt",S100,IF('Paste Editor (Beta)'!$C$82="Anvil prompt",AD100,"")))))))</f>
        <v/>
      </c>
      <c r="AJ100" s="283" t="str">
        <f>IF('Paste Editor (Beta)'!$C$90="Level-up prompt",G101,IF('Paste Editor (Beta)'!$C$90="Item prompt",E101,IF('Paste Editor (Beta)'!$C$90="Modifier prompt","'"&amp;B101,IF('Paste Editor (Beta)'!$C$90="Challenge prompt",L101,IF('Paste Editor (Beta)'!$C$90="Reroll class prompt",S100,IF('Paste Editor (Beta)'!$C$90="Swap hero prompt",S100,IF('Paste Editor (Beta)'!$C$90="Anvil prompt",AD100,"")))))))</f>
        <v>Weaver</v>
      </c>
      <c r="AK100" s="283" t="str">
        <f>IF('Paste Editor (Beta)'!$C$90="Level-up prompt",G101,IF('Paste Editor (Beta)'!$C$90="Item prompt",E101,IF('Paste Editor (Beta)'!$C$90="Modifier prompt","'"&amp;B101,IF('Paste Editor (Beta)'!$C$90="Challenge prompt",E101,IF('Paste Editor (Beta)'!$C$90="Reroll class prompt",S100,IF('Paste Editor (Beta)'!$C$90="Swap hero prompt",S100,IF('Paste Editor (Beta)'!$C$90="Anvil prompt",AD100,"")))))))</f>
        <v>Weaver</v>
      </c>
    </row>
    <row r="101" spans="1:37" ht="18">
      <c r="A101" s="23" t="s">
        <v>4177</v>
      </c>
      <c r="B101" s="284" t="s">
        <v>2752</v>
      </c>
      <c r="C101" s="284" t="s">
        <v>4178</v>
      </c>
      <c r="D101" s="284" t="s">
        <v>4179</v>
      </c>
      <c r="E101" s="280" t="s">
        <v>1237</v>
      </c>
      <c r="G101" s="280" t="str">
        <v>Weaver</v>
      </c>
      <c r="AH101" s="280" t="str">
        <f>IF('Paste Editor (Beta)'!$C$82="Level-up prompt",G102,IF('Paste Editor (Beta)'!$C$82="Item prompt",E102,IF('Paste Editor (Beta)'!$C$82="Modifier prompt","'"&amp;B102,IF('Paste Editor (Beta)'!$C$82="Challenge prompt",L102,IF('Paste Editor (Beta)'!$C$82="Reroll class prompt",S101,IF('Paste Editor (Beta)'!$C$82="Swap hero prompt",S101,IF('Paste Editor (Beta)'!$C$82="Anvil prompt",AD101,"")))))))</f>
        <v/>
      </c>
      <c r="AI101" s="280" t="str">
        <f>IF('Paste Editor (Beta)'!$C$82="Level-up prompt",G102,IF('Paste Editor (Beta)'!$C$82="Item prompt",E102,IF('Paste Editor (Beta)'!$C$82="Modifier prompt","'"&amp;B102,IF('Paste Editor (Beta)'!$C$82="Challenge prompt",E102,IF('Paste Editor (Beta)'!$C$82="Reroll class prompt",S101,IF('Paste Editor (Beta)'!$C$82="Swap hero prompt",S101,IF('Paste Editor (Beta)'!$C$82="Anvil prompt",AD101,"")))))))</f>
        <v/>
      </c>
      <c r="AJ101" s="283" t="str">
        <f>IF('Paste Editor (Beta)'!$C$90="Level-up prompt",G102,IF('Paste Editor (Beta)'!$C$90="Item prompt",E102,IF('Paste Editor (Beta)'!$C$90="Modifier prompt","'"&amp;B102,IF('Paste Editor (Beta)'!$C$90="Challenge prompt",L102,IF('Paste Editor (Beta)'!$C$90="Reroll class prompt",S101,IF('Paste Editor (Beta)'!$C$90="Swap hero prompt",S101,IF('Paste Editor (Beta)'!$C$90="Anvil prompt",AD101,"")))))))</f>
        <v>Chronos</v>
      </c>
      <c r="AK101" s="283" t="str">
        <f>IF('Paste Editor (Beta)'!$C$90="Level-up prompt",G102,IF('Paste Editor (Beta)'!$C$90="Item prompt",E102,IF('Paste Editor (Beta)'!$C$90="Modifier prompt","'"&amp;B102,IF('Paste Editor (Beta)'!$C$90="Challenge prompt",E102,IF('Paste Editor (Beta)'!$C$90="Reroll class prompt",S101,IF('Paste Editor (Beta)'!$C$90="Swap hero prompt",S101,IF('Paste Editor (Beta)'!$C$90="Anvil prompt",AD101,"")))))))</f>
        <v>Chronos</v>
      </c>
    </row>
    <row r="102" spans="1:37" ht="18">
      <c r="A102" s="23" t="s">
        <v>4180</v>
      </c>
      <c r="B102" s="284" t="s">
        <v>2695</v>
      </c>
      <c r="C102" s="284" t="s">
        <v>4181</v>
      </c>
      <c r="D102" s="284" t="s">
        <v>4182</v>
      </c>
      <c r="E102" s="280" t="s">
        <v>1152</v>
      </c>
      <c r="G102" s="280" t="str">
        <v>Chronos</v>
      </c>
      <c r="AH102" s="280" t="str">
        <f>IF('Paste Editor (Beta)'!$C$82="Level-up prompt",G103,IF('Paste Editor (Beta)'!$C$82="Item prompt",E103,IF('Paste Editor (Beta)'!$C$82="Modifier prompt","'"&amp;B103,IF('Paste Editor (Beta)'!$C$82="Challenge prompt",L103,IF('Paste Editor (Beta)'!$C$82="Reroll class prompt",S102,IF('Paste Editor (Beta)'!$C$82="Swap hero prompt",S102,IF('Paste Editor (Beta)'!$C$82="Anvil prompt",AD102,"")))))))</f>
        <v/>
      </c>
      <c r="AI102" s="280" t="str">
        <f>IF('Paste Editor (Beta)'!$C$82="Level-up prompt",G103,IF('Paste Editor (Beta)'!$C$82="Item prompt",E103,IF('Paste Editor (Beta)'!$C$82="Modifier prompt","'"&amp;B103,IF('Paste Editor (Beta)'!$C$82="Challenge prompt",E103,IF('Paste Editor (Beta)'!$C$82="Reroll class prompt",S102,IF('Paste Editor (Beta)'!$C$82="Swap hero prompt",S102,IF('Paste Editor (Beta)'!$C$82="Anvil prompt",AD102,"")))))))</f>
        <v/>
      </c>
      <c r="AJ102" s="283" t="str">
        <f>IF('Paste Editor (Beta)'!$C$90="Level-up prompt",G103,IF('Paste Editor (Beta)'!$C$90="Item prompt",E103,IF('Paste Editor (Beta)'!$C$90="Modifier prompt","'"&amp;B103,IF('Paste Editor (Beta)'!$C$90="Challenge prompt",L103,IF('Paste Editor (Beta)'!$C$90="Reroll class prompt",S102,IF('Paste Editor (Beta)'!$C$90="Swap hero prompt",S102,IF('Paste Editor (Beta)'!$C$90="Anvil prompt",AD102,"")))))))</f>
        <v>Ace</v>
      </c>
      <c r="AK102" s="283" t="str">
        <f>IF('Paste Editor (Beta)'!$C$90="Level-up prompt",G103,IF('Paste Editor (Beta)'!$C$90="Item prompt",E103,IF('Paste Editor (Beta)'!$C$90="Modifier prompt","'"&amp;B103,IF('Paste Editor (Beta)'!$C$90="Challenge prompt",E103,IF('Paste Editor (Beta)'!$C$90="Reroll class prompt",S102,IF('Paste Editor (Beta)'!$C$90="Swap hero prompt",S102,IF('Paste Editor (Beta)'!$C$90="Anvil prompt",AD102,"")))))))</f>
        <v>Ace</v>
      </c>
    </row>
    <row r="103" spans="1:37" ht="18">
      <c r="A103" s="23" t="s">
        <v>4183</v>
      </c>
      <c r="B103" s="284" t="s">
        <v>2533</v>
      </c>
      <c r="C103" s="284" t="s">
        <v>4184</v>
      </c>
      <c r="D103" s="284" t="s">
        <v>4185</v>
      </c>
      <c r="E103" s="280" t="s">
        <v>864</v>
      </c>
      <c r="G103" s="280" t="str">
        <v>Ace</v>
      </c>
      <c r="AH103" s="280" t="str">
        <f>IF('Paste Editor (Beta)'!$C$82="Level-up prompt",G104,IF('Paste Editor (Beta)'!$C$82="Item prompt",E104,IF('Paste Editor (Beta)'!$C$82="Modifier prompt","'"&amp;B104,IF('Paste Editor (Beta)'!$C$82="Challenge prompt",L104,IF('Paste Editor (Beta)'!$C$82="Reroll class prompt",S103,IF('Paste Editor (Beta)'!$C$82="Swap hero prompt",S103,IF('Paste Editor (Beta)'!$C$82="Anvil prompt",AD103,"")))))))</f>
        <v/>
      </c>
      <c r="AI103" s="280" t="str">
        <f>IF('Paste Editor (Beta)'!$C$82="Level-up prompt",G104,IF('Paste Editor (Beta)'!$C$82="Item prompt",E104,IF('Paste Editor (Beta)'!$C$82="Modifier prompt","'"&amp;B104,IF('Paste Editor (Beta)'!$C$82="Challenge prompt",E104,IF('Paste Editor (Beta)'!$C$82="Reroll class prompt",S103,IF('Paste Editor (Beta)'!$C$82="Swap hero prompt",S103,IF('Paste Editor (Beta)'!$C$82="Anvil prompt",AD103,"")))))))</f>
        <v/>
      </c>
      <c r="AJ103" s="283" t="str">
        <f>IF('Paste Editor (Beta)'!$C$90="Level-up prompt",G104,IF('Paste Editor (Beta)'!$C$90="Item prompt",E104,IF('Paste Editor (Beta)'!$C$90="Modifier prompt","'"&amp;B104,IF('Paste Editor (Beta)'!$C$90="Challenge prompt",L104,IF('Paste Editor (Beta)'!$C$90="Reroll class prompt",S103,IF('Paste Editor (Beta)'!$C$90="Swap hero prompt",S103,IF('Paste Editor (Beta)'!$C$90="Anvil prompt",AD103,"")))))))</f>
        <v>Ghast</v>
      </c>
      <c r="AK103" s="283" t="str">
        <f>IF('Paste Editor (Beta)'!$C$90="Level-up prompt",G104,IF('Paste Editor (Beta)'!$C$90="Item prompt",E104,IF('Paste Editor (Beta)'!$C$90="Modifier prompt","'"&amp;B104,IF('Paste Editor (Beta)'!$C$90="Challenge prompt",E104,IF('Paste Editor (Beta)'!$C$90="Reroll class prompt",S103,IF('Paste Editor (Beta)'!$C$90="Swap hero prompt",S103,IF('Paste Editor (Beta)'!$C$90="Anvil prompt",AD103,"")))))))</f>
        <v>Ghast</v>
      </c>
    </row>
    <row r="104" spans="1:37" ht="18">
      <c r="A104" s="23" t="s">
        <v>4186</v>
      </c>
      <c r="B104" s="284" t="s">
        <v>2524</v>
      </c>
      <c r="C104" s="284" t="s">
        <v>4187</v>
      </c>
      <c r="D104" s="284" t="s">
        <v>4188</v>
      </c>
      <c r="E104" s="280" t="s">
        <v>1509</v>
      </c>
      <c r="G104" s="280" t="str">
        <v>Ghast</v>
      </c>
      <c r="AH104" s="280" t="str">
        <f>IF('Paste Editor (Beta)'!$C$82="Level-up prompt",G105,IF('Paste Editor (Beta)'!$C$82="Item prompt",E105,IF('Paste Editor (Beta)'!$C$82="Modifier prompt","'"&amp;B105,IF('Paste Editor (Beta)'!$C$82="Challenge prompt",L105,IF('Paste Editor (Beta)'!$C$82="Reroll class prompt",S104,IF('Paste Editor (Beta)'!$C$82="Swap hero prompt",S104,IF('Paste Editor (Beta)'!$C$82="Anvil prompt",AD104,"")))))))</f>
        <v/>
      </c>
      <c r="AI104" s="280" t="str">
        <f>IF('Paste Editor (Beta)'!$C$82="Level-up prompt",G105,IF('Paste Editor (Beta)'!$C$82="Item prompt",E105,IF('Paste Editor (Beta)'!$C$82="Modifier prompt","'"&amp;B105,IF('Paste Editor (Beta)'!$C$82="Challenge prompt",E105,IF('Paste Editor (Beta)'!$C$82="Reroll class prompt",S104,IF('Paste Editor (Beta)'!$C$82="Swap hero prompt",S104,IF('Paste Editor (Beta)'!$C$82="Anvil prompt",AD104,"")))))))</f>
        <v/>
      </c>
      <c r="AJ104" s="283" t="str">
        <f>IF('Paste Editor (Beta)'!$C$90="Level-up prompt",G105,IF('Paste Editor (Beta)'!$C$90="Item prompt",E105,IF('Paste Editor (Beta)'!$C$90="Modifier prompt","'"&amp;B105,IF('Paste Editor (Beta)'!$C$90="Challenge prompt",L105,IF('Paste Editor (Beta)'!$C$90="Reroll class prompt",S104,IF('Paste Editor (Beta)'!$C$90="Swap hero prompt",S104,IF('Paste Editor (Beta)'!$C$90="Anvil prompt",AD104,"")))))))</f>
        <v>Glitch</v>
      </c>
      <c r="AK104" s="283" t="str">
        <f>IF('Paste Editor (Beta)'!$C$90="Level-up prompt",G105,IF('Paste Editor (Beta)'!$C$90="Item prompt",E105,IF('Paste Editor (Beta)'!$C$90="Modifier prompt","'"&amp;B105,IF('Paste Editor (Beta)'!$C$90="Challenge prompt",E105,IF('Paste Editor (Beta)'!$C$90="Reroll class prompt",S104,IF('Paste Editor (Beta)'!$C$90="Swap hero prompt",S104,IF('Paste Editor (Beta)'!$C$90="Anvil prompt",AD104,"")))))))</f>
        <v>Glitch</v>
      </c>
    </row>
    <row r="105" spans="1:37" ht="18">
      <c r="A105" s="23" t="s">
        <v>4189</v>
      </c>
      <c r="B105" s="284" t="s">
        <v>2287</v>
      </c>
      <c r="C105" s="284" t="s">
        <v>4190</v>
      </c>
      <c r="D105" s="284" t="s">
        <v>4191</v>
      </c>
      <c r="E105" s="280" t="s">
        <v>1315</v>
      </c>
      <c r="G105" s="280" t="str">
        <v>Glitch</v>
      </c>
      <c r="AH105" s="280" t="str">
        <f>IF('Paste Editor (Beta)'!$C$82="Level-up prompt",G106,IF('Paste Editor (Beta)'!$C$82="Item prompt",E106,IF('Paste Editor (Beta)'!$C$82="Modifier prompt","'"&amp;B106,IF('Paste Editor (Beta)'!$C$82="Challenge prompt",L106,IF('Paste Editor (Beta)'!$C$82="Reroll class prompt",S105,IF('Paste Editor (Beta)'!$C$82="Swap hero prompt",S105,IF('Paste Editor (Beta)'!$C$82="Anvil prompt",AD105,"")))))))</f>
        <v/>
      </c>
      <c r="AI105" s="280" t="str">
        <f>IF('Paste Editor (Beta)'!$C$82="Level-up prompt",G106,IF('Paste Editor (Beta)'!$C$82="Item prompt",E106,IF('Paste Editor (Beta)'!$C$82="Modifier prompt","'"&amp;B106,IF('Paste Editor (Beta)'!$C$82="Challenge prompt",E106,IF('Paste Editor (Beta)'!$C$82="Reroll class prompt",S105,IF('Paste Editor (Beta)'!$C$82="Swap hero prompt",S105,IF('Paste Editor (Beta)'!$C$82="Anvil prompt",AD105,"")))))))</f>
        <v/>
      </c>
      <c r="AJ105" s="283">
        <f>IF('Paste Editor (Beta)'!$C$90="Level-up prompt",G106,IF('Paste Editor (Beta)'!$C$90="Item prompt",E106,IF('Paste Editor (Beta)'!$C$90="Modifier prompt","'"&amp;B106,IF('Paste Editor (Beta)'!$C$90="Challenge prompt",L106,IF('Paste Editor (Beta)'!$C$90="Reroll class prompt",S105,IF('Paste Editor (Beta)'!$C$90="Swap hero prompt",S105,IF('Paste Editor (Beta)'!$C$90="Anvil prompt",AD105,"")))))))</f>
        <v>0</v>
      </c>
      <c r="AK105" s="283">
        <f>IF('Paste Editor (Beta)'!$C$90="Level-up prompt",G106,IF('Paste Editor (Beta)'!$C$90="Item prompt",E106,IF('Paste Editor (Beta)'!$C$90="Modifier prompt","'"&amp;B106,IF('Paste Editor (Beta)'!$C$90="Challenge prompt",E106,IF('Paste Editor (Beta)'!$C$90="Reroll class prompt",S105,IF('Paste Editor (Beta)'!$C$90="Swap hero prompt",S105,IF('Paste Editor (Beta)'!$C$90="Anvil prompt",AD105,"")))))))</f>
        <v>0</v>
      </c>
    </row>
    <row r="106" spans="1:37" ht="18">
      <c r="A106" s="23" t="s">
        <v>4192</v>
      </c>
      <c r="B106" s="284" t="s">
        <v>2174</v>
      </c>
      <c r="C106" s="284" t="s">
        <v>4193</v>
      </c>
      <c r="D106" s="284" t="s">
        <v>4194</v>
      </c>
      <c r="E106" s="280" t="s">
        <v>1317</v>
      </c>
      <c r="AH106" s="280" t="str">
        <f>IF('Paste Editor (Beta)'!$C$82="Level-up prompt",G107,IF('Paste Editor (Beta)'!$C$82="Item prompt",E107,IF('Paste Editor (Beta)'!$C$82="Modifier prompt","'"&amp;B107,IF('Paste Editor (Beta)'!$C$82="Challenge prompt",L107,IF('Paste Editor (Beta)'!$C$82="Reroll class prompt",S106,IF('Paste Editor (Beta)'!$C$82="Swap hero prompt",S106,IF('Paste Editor (Beta)'!$C$82="Anvil prompt",AD106,"")))))))</f>
        <v/>
      </c>
      <c r="AI106" s="280" t="str">
        <f>IF('Paste Editor (Beta)'!$C$82="Level-up prompt",G107,IF('Paste Editor (Beta)'!$C$82="Item prompt",E107,IF('Paste Editor (Beta)'!$C$82="Modifier prompt","'"&amp;B107,IF('Paste Editor (Beta)'!$C$82="Challenge prompt",E107,IF('Paste Editor (Beta)'!$C$82="Reroll class prompt",S106,IF('Paste Editor (Beta)'!$C$82="Swap hero prompt",S106,IF('Paste Editor (Beta)'!$C$82="Anvil prompt",AD106,"")))))))</f>
        <v/>
      </c>
      <c r="AJ106" s="283">
        <f>IF('Paste Editor (Beta)'!$C$90="Level-up prompt",G107,IF('Paste Editor (Beta)'!$C$90="Item prompt",E107,IF('Paste Editor (Beta)'!$C$90="Modifier prompt","'"&amp;B107,IF('Paste Editor (Beta)'!$C$90="Challenge prompt",L107,IF('Paste Editor (Beta)'!$C$90="Reroll class prompt",S106,IF('Paste Editor (Beta)'!$C$90="Swap hero prompt",S106,IF('Paste Editor (Beta)'!$C$90="Anvil prompt",AD106,"")))))))</f>
        <v>0</v>
      </c>
      <c r="AK106" s="283">
        <f>IF('Paste Editor (Beta)'!$C$90="Level-up prompt",G107,IF('Paste Editor (Beta)'!$C$90="Item prompt",E107,IF('Paste Editor (Beta)'!$C$90="Modifier prompt","'"&amp;B107,IF('Paste Editor (Beta)'!$C$90="Challenge prompt",E107,IF('Paste Editor (Beta)'!$C$90="Reroll class prompt",S106,IF('Paste Editor (Beta)'!$C$90="Swap hero prompt",S106,IF('Paste Editor (Beta)'!$C$90="Anvil prompt",AD106,"")))))))</f>
        <v>0</v>
      </c>
    </row>
    <row r="107" spans="1:37" ht="18">
      <c r="A107" s="23" t="s">
        <v>4195</v>
      </c>
      <c r="B107" s="284" t="s">
        <v>2076</v>
      </c>
      <c r="C107" s="284" t="s">
        <v>4196</v>
      </c>
      <c r="D107" s="284" t="s">
        <v>4197</v>
      </c>
      <c r="E107" s="280" t="s">
        <v>1319</v>
      </c>
      <c r="AH107" s="280" t="str">
        <f>IF('Paste Editor (Beta)'!$C$82="Level-up prompt",G108,IF('Paste Editor (Beta)'!$C$82="Item prompt",E108,IF('Paste Editor (Beta)'!$C$82="Modifier prompt","'"&amp;B108,IF('Paste Editor (Beta)'!$C$82="Challenge prompt",L108,IF('Paste Editor (Beta)'!$C$82="Reroll class prompt",S107,IF('Paste Editor (Beta)'!$C$82="Swap hero prompt",S107,IF('Paste Editor (Beta)'!$C$82="Anvil prompt",AD107,"")))))))</f>
        <v/>
      </c>
      <c r="AI107" s="280" t="str">
        <f>IF('Paste Editor (Beta)'!$C$82="Level-up prompt",G108,IF('Paste Editor (Beta)'!$C$82="Item prompt",E108,IF('Paste Editor (Beta)'!$C$82="Modifier prompt","'"&amp;B108,IF('Paste Editor (Beta)'!$C$82="Challenge prompt",E108,IF('Paste Editor (Beta)'!$C$82="Reroll class prompt",S107,IF('Paste Editor (Beta)'!$C$82="Swap hero prompt",S107,IF('Paste Editor (Beta)'!$C$82="Anvil prompt",AD107,"")))))))</f>
        <v/>
      </c>
      <c r="AJ107" s="283">
        <f>IF('Paste Editor (Beta)'!$C$90="Level-up prompt",G108,IF('Paste Editor (Beta)'!$C$90="Item prompt",E108,IF('Paste Editor (Beta)'!$C$90="Modifier prompt","'"&amp;B108,IF('Paste Editor (Beta)'!$C$90="Challenge prompt",L108,IF('Paste Editor (Beta)'!$C$90="Reroll class prompt",S107,IF('Paste Editor (Beta)'!$C$90="Swap hero prompt",S107,IF('Paste Editor (Beta)'!$C$90="Anvil prompt",AD107,"")))))))</f>
        <v>0</v>
      </c>
      <c r="AK107" s="283">
        <f>IF('Paste Editor (Beta)'!$C$90="Level-up prompt",G108,IF('Paste Editor (Beta)'!$C$90="Item prompt",E108,IF('Paste Editor (Beta)'!$C$90="Modifier prompt","'"&amp;B108,IF('Paste Editor (Beta)'!$C$90="Challenge prompt",E108,IF('Paste Editor (Beta)'!$C$90="Reroll class prompt",S107,IF('Paste Editor (Beta)'!$C$90="Swap hero prompt",S107,IF('Paste Editor (Beta)'!$C$90="Anvil prompt",AD107,"")))))))</f>
        <v>0</v>
      </c>
    </row>
    <row r="108" spans="1:37" ht="18">
      <c r="A108" s="23" t="s">
        <v>4198</v>
      </c>
      <c r="B108" s="284" t="s">
        <v>2664</v>
      </c>
      <c r="C108" s="284" t="s">
        <v>4199</v>
      </c>
      <c r="D108" s="284" t="s">
        <v>4200</v>
      </c>
      <c r="E108" s="280" t="s">
        <v>1533</v>
      </c>
      <c r="AH108" s="280" t="str">
        <f>IF('Paste Editor (Beta)'!$C$82="Level-up prompt",G109,IF('Paste Editor (Beta)'!$C$82="Item prompt",E109,IF('Paste Editor (Beta)'!$C$82="Modifier prompt","'"&amp;B109,IF('Paste Editor (Beta)'!$C$82="Challenge prompt",L109,IF('Paste Editor (Beta)'!$C$82="Reroll class prompt",S108,IF('Paste Editor (Beta)'!$C$82="Swap hero prompt",S108,IF('Paste Editor (Beta)'!$C$82="Anvil prompt",AD108,"")))))))</f>
        <v/>
      </c>
      <c r="AI108" s="280" t="str">
        <f>IF('Paste Editor (Beta)'!$C$82="Level-up prompt",G109,IF('Paste Editor (Beta)'!$C$82="Item prompt",E109,IF('Paste Editor (Beta)'!$C$82="Modifier prompt","'"&amp;B109,IF('Paste Editor (Beta)'!$C$82="Challenge prompt",E109,IF('Paste Editor (Beta)'!$C$82="Reroll class prompt",S108,IF('Paste Editor (Beta)'!$C$82="Swap hero prompt",S108,IF('Paste Editor (Beta)'!$C$82="Anvil prompt",AD108,"")))))))</f>
        <v/>
      </c>
      <c r="AJ108" s="283">
        <f>IF('Paste Editor (Beta)'!$C$90="Level-up prompt",G109,IF('Paste Editor (Beta)'!$C$90="Item prompt",E109,IF('Paste Editor (Beta)'!$C$90="Modifier prompt","'"&amp;B109,IF('Paste Editor (Beta)'!$C$90="Challenge prompt",L109,IF('Paste Editor (Beta)'!$C$90="Reroll class prompt",S108,IF('Paste Editor (Beta)'!$C$90="Swap hero prompt",S108,IF('Paste Editor (Beta)'!$C$90="Anvil prompt",AD108,"")))))))</f>
        <v>0</v>
      </c>
      <c r="AK108" s="283">
        <f>IF('Paste Editor (Beta)'!$C$90="Level-up prompt",G109,IF('Paste Editor (Beta)'!$C$90="Item prompt",E109,IF('Paste Editor (Beta)'!$C$90="Modifier prompt","'"&amp;B109,IF('Paste Editor (Beta)'!$C$90="Challenge prompt",E109,IF('Paste Editor (Beta)'!$C$90="Reroll class prompt",S108,IF('Paste Editor (Beta)'!$C$90="Swap hero prompt",S108,IF('Paste Editor (Beta)'!$C$90="Anvil prompt",AD108,"")))))))</f>
        <v>0</v>
      </c>
    </row>
    <row r="109" spans="1:37" ht="18">
      <c r="A109" s="23" t="s">
        <v>4201</v>
      </c>
      <c r="B109" s="284" t="s">
        <v>2473</v>
      </c>
      <c r="C109" s="284" t="s">
        <v>4202</v>
      </c>
      <c r="D109" s="284" t="s">
        <v>4203</v>
      </c>
      <c r="E109" s="280" t="s">
        <v>1511</v>
      </c>
      <c r="AH109" s="280" t="str">
        <f>IF('Paste Editor (Beta)'!$C$82="Level-up prompt",G110,IF('Paste Editor (Beta)'!$C$82="Item prompt",E110,IF('Paste Editor (Beta)'!$C$82="Modifier prompt","'"&amp;B110,IF('Paste Editor (Beta)'!$C$82="Challenge prompt",L110,IF('Paste Editor (Beta)'!$C$82="Reroll class prompt",S109,IF('Paste Editor (Beta)'!$C$82="Swap hero prompt",S109,IF('Paste Editor (Beta)'!$C$82="Anvil prompt",AD109,"")))))))</f>
        <v/>
      </c>
      <c r="AI109" s="280" t="str">
        <f>IF('Paste Editor (Beta)'!$C$82="Level-up prompt",G110,IF('Paste Editor (Beta)'!$C$82="Item prompt",E110,IF('Paste Editor (Beta)'!$C$82="Modifier prompt","'"&amp;B110,IF('Paste Editor (Beta)'!$C$82="Challenge prompt",E110,IF('Paste Editor (Beta)'!$C$82="Reroll class prompt",S109,IF('Paste Editor (Beta)'!$C$82="Swap hero prompt",S109,IF('Paste Editor (Beta)'!$C$82="Anvil prompt",AD109,"")))))))</f>
        <v/>
      </c>
      <c r="AJ109" s="283">
        <f>IF('Paste Editor (Beta)'!$C$90="Level-up prompt",G110,IF('Paste Editor (Beta)'!$C$90="Item prompt",E110,IF('Paste Editor (Beta)'!$C$90="Modifier prompt","'"&amp;B110,IF('Paste Editor (Beta)'!$C$90="Challenge prompt",L110,IF('Paste Editor (Beta)'!$C$90="Reroll class prompt",S109,IF('Paste Editor (Beta)'!$C$90="Swap hero prompt",S109,IF('Paste Editor (Beta)'!$C$90="Anvil prompt",AD109,"")))))))</f>
        <v>0</v>
      </c>
      <c r="AK109" s="283">
        <f>IF('Paste Editor (Beta)'!$C$90="Level-up prompt",G110,IF('Paste Editor (Beta)'!$C$90="Item prompt",E110,IF('Paste Editor (Beta)'!$C$90="Modifier prompt","'"&amp;B110,IF('Paste Editor (Beta)'!$C$90="Challenge prompt",E110,IF('Paste Editor (Beta)'!$C$90="Reroll class prompt",S109,IF('Paste Editor (Beta)'!$C$90="Swap hero prompt",S109,IF('Paste Editor (Beta)'!$C$90="Anvil prompt",AD109,"")))))))</f>
        <v>0</v>
      </c>
    </row>
    <row r="110" spans="1:37" ht="18">
      <c r="A110" s="23" t="s">
        <v>4204</v>
      </c>
      <c r="B110" s="284" t="s">
        <v>2709</v>
      </c>
      <c r="C110" s="284" t="s">
        <v>4205</v>
      </c>
      <c r="D110" s="284" t="s">
        <v>4206</v>
      </c>
      <c r="E110" s="280" t="s">
        <v>950</v>
      </c>
      <c r="AH110" s="280" t="str">
        <f>IF('Paste Editor (Beta)'!$C$82="Level-up prompt",G111,IF('Paste Editor (Beta)'!$C$82="Item prompt",E111,IF('Paste Editor (Beta)'!$C$82="Modifier prompt","'"&amp;B111,IF('Paste Editor (Beta)'!$C$82="Challenge prompt",L111,IF('Paste Editor (Beta)'!$C$82="Reroll class prompt",S110,IF('Paste Editor (Beta)'!$C$82="Swap hero prompt",S110,IF('Paste Editor (Beta)'!$C$82="Anvil prompt",AD110,"")))))))</f>
        <v/>
      </c>
      <c r="AI110" s="280" t="str">
        <f>IF('Paste Editor (Beta)'!$C$82="Level-up prompt",G111,IF('Paste Editor (Beta)'!$C$82="Item prompt",E111,IF('Paste Editor (Beta)'!$C$82="Modifier prompt","'"&amp;B111,IF('Paste Editor (Beta)'!$C$82="Challenge prompt",E111,IF('Paste Editor (Beta)'!$C$82="Reroll class prompt",S110,IF('Paste Editor (Beta)'!$C$82="Swap hero prompt",S110,IF('Paste Editor (Beta)'!$C$82="Anvil prompt",AD110,"")))))))</f>
        <v/>
      </c>
      <c r="AJ110" s="283">
        <f>IF('Paste Editor (Beta)'!$C$90="Level-up prompt",G111,IF('Paste Editor (Beta)'!$C$90="Item prompt",E111,IF('Paste Editor (Beta)'!$C$90="Modifier prompt","'"&amp;B111,IF('Paste Editor (Beta)'!$C$90="Challenge prompt",L111,IF('Paste Editor (Beta)'!$C$90="Reroll class prompt",S110,IF('Paste Editor (Beta)'!$C$90="Swap hero prompt",S110,IF('Paste Editor (Beta)'!$C$90="Anvil prompt",AD110,"")))))))</f>
        <v>0</v>
      </c>
      <c r="AK110" s="283">
        <f>IF('Paste Editor (Beta)'!$C$90="Level-up prompt",G111,IF('Paste Editor (Beta)'!$C$90="Item prompt",E111,IF('Paste Editor (Beta)'!$C$90="Modifier prompt","'"&amp;B111,IF('Paste Editor (Beta)'!$C$90="Challenge prompt",E111,IF('Paste Editor (Beta)'!$C$90="Reroll class prompt",S110,IF('Paste Editor (Beta)'!$C$90="Swap hero prompt",S110,IF('Paste Editor (Beta)'!$C$90="Anvil prompt",AD110,"")))))))</f>
        <v>0</v>
      </c>
    </row>
    <row r="111" spans="1:37" ht="18">
      <c r="A111" s="23" t="s">
        <v>4207</v>
      </c>
      <c r="B111" s="284" t="s">
        <v>2527</v>
      </c>
      <c r="C111" s="284" t="s">
        <v>4208</v>
      </c>
      <c r="D111" s="284" t="s">
        <v>4209</v>
      </c>
      <c r="E111" s="280" t="s">
        <v>1154</v>
      </c>
      <c r="AH111" s="280" t="str">
        <f>IF('Paste Editor (Beta)'!$C$82="Level-up prompt",G112,IF('Paste Editor (Beta)'!$C$82="Item prompt",E112,IF('Paste Editor (Beta)'!$C$82="Modifier prompt","'"&amp;B112,IF('Paste Editor (Beta)'!$C$82="Challenge prompt",L112,IF('Paste Editor (Beta)'!$C$82="Reroll class prompt",S111,IF('Paste Editor (Beta)'!$C$82="Swap hero prompt",S111,IF('Paste Editor (Beta)'!$C$82="Anvil prompt",AD111,"")))))))</f>
        <v/>
      </c>
      <c r="AI111" s="280" t="str">
        <f>IF('Paste Editor (Beta)'!$C$82="Level-up prompt",G112,IF('Paste Editor (Beta)'!$C$82="Item prompt",E112,IF('Paste Editor (Beta)'!$C$82="Modifier prompt","'"&amp;B112,IF('Paste Editor (Beta)'!$C$82="Challenge prompt",E112,IF('Paste Editor (Beta)'!$C$82="Reroll class prompt",S111,IF('Paste Editor (Beta)'!$C$82="Swap hero prompt",S111,IF('Paste Editor (Beta)'!$C$82="Anvil prompt",AD111,"")))))))</f>
        <v/>
      </c>
      <c r="AJ111" s="283">
        <f>IF('Paste Editor (Beta)'!$C$90="Level-up prompt",G112,IF('Paste Editor (Beta)'!$C$90="Item prompt",E112,IF('Paste Editor (Beta)'!$C$90="Modifier prompt","'"&amp;B112,IF('Paste Editor (Beta)'!$C$90="Challenge prompt",L112,IF('Paste Editor (Beta)'!$C$90="Reroll class prompt",S111,IF('Paste Editor (Beta)'!$C$90="Swap hero prompt",S111,IF('Paste Editor (Beta)'!$C$90="Anvil prompt",AD111,"")))))))</f>
        <v>0</v>
      </c>
      <c r="AK111" s="283">
        <f>IF('Paste Editor (Beta)'!$C$90="Level-up prompt",G112,IF('Paste Editor (Beta)'!$C$90="Item prompt",E112,IF('Paste Editor (Beta)'!$C$90="Modifier prompt","'"&amp;B112,IF('Paste Editor (Beta)'!$C$90="Challenge prompt",E112,IF('Paste Editor (Beta)'!$C$90="Reroll class prompt",S111,IF('Paste Editor (Beta)'!$C$90="Swap hero prompt",S111,IF('Paste Editor (Beta)'!$C$90="Anvil prompt",AD111,"")))))))</f>
        <v>0</v>
      </c>
    </row>
    <row r="112" spans="1:37" ht="18">
      <c r="A112" s="23" t="s">
        <v>4210</v>
      </c>
      <c r="B112" s="284" t="s">
        <v>2164</v>
      </c>
      <c r="C112" s="284" t="s">
        <v>4211</v>
      </c>
      <c r="D112" s="284" t="s">
        <v>4212</v>
      </c>
      <c r="E112" s="280" t="s">
        <v>1239</v>
      </c>
      <c r="AH112" s="280" t="str">
        <f>IF('Paste Editor (Beta)'!$C$82="Level-up prompt",G113,IF('Paste Editor (Beta)'!$C$82="Item prompt",E113,IF('Paste Editor (Beta)'!$C$82="Modifier prompt","'"&amp;B113,IF('Paste Editor (Beta)'!$C$82="Challenge prompt",L113,IF('Paste Editor (Beta)'!$C$82="Reroll class prompt",S112,IF('Paste Editor (Beta)'!$C$82="Swap hero prompt",S112,IF('Paste Editor (Beta)'!$C$82="Anvil prompt",AD112,"")))))))</f>
        <v/>
      </c>
      <c r="AI112" s="280" t="str">
        <f>IF('Paste Editor (Beta)'!$C$82="Level-up prompt",G113,IF('Paste Editor (Beta)'!$C$82="Item prompt",E113,IF('Paste Editor (Beta)'!$C$82="Modifier prompt","'"&amp;B113,IF('Paste Editor (Beta)'!$C$82="Challenge prompt",E113,IF('Paste Editor (Beta)'!$C$82="Reroll class prompt",S112,IF('Paste Editor (Beta)'!$C$82="Swap hero prompt",S112,IF('Paste Editor (Beta)'!$C$82="Anvil prompt",AD112,"")))))))</f>
        <v/>
      </c>
      <c r="AJ112" s="283">
        <f>IF('Paste Editor (Beta)'!$C$90="Level-up prompt",G113,IF('Paste Editor (Beta)'!$C$90="Item prompt",E113,IF('Paste Editor (Beta)'!$C$90="Modifier prompt","'"&amp;B113,IF('Paste Editor (Beta)'!$C$90="Challenge prompt",L113,IF('Paste Editor (Beta)'!$C$90="Reroll class prompt",S112,IF('Paste Editor (Beta)'!$C$90="Swap hero prompt",S112,IF('Paste Editor (Beta)'!$C$90="Anvil prompt",AD112,"")))))))</f>
        <v>0</v>
      </c>
      <c r="AK112" s="283">
        <f>IF('Paste Editor (Beta)'!$C$90="Level-up prompt",G113,IF('Paste Editor (Beta)'!$C$90="Item prompt",E113,IF('Paste Editor (Beta)'!$C$90="Modifier prompt","'"&amp;B113,IF('Paste Editor (Beta)'!$C$90="Challenge prompt",E113,IF('Paste Editor (Beta)'!$C$90="Reroll class prompt",S112,IF('Paste Editor (Beta)'!$C$90="Swap hero prompt",S112,IF('Paste Editor (Beta)'!$C$90="Anvil prompt",AD112,"")))))))</f>
        <v>0</v>
      </c>
    </row>
    <row r="113" spans="1:37" ht="18">
      <c r="A113" s="23" t="s">
        <v>4213</v>
      </c>
      <c r="B113" s="284" t="s">
        <v>2062</v>
      </c>
      <c r="C113" s="284" t="s">
        <v>4214</v>
      </c>
      <c r="D113" s="284" t="s">
        <v>4215</v>
      </c>
      <c r="E113" s="280" t="s">
        <v>1091</v>
      </c>
      <c r="AH113" s="280" t="str">
        <f>IF('Paste Editor (Beta)'!$C$82="Level-up prompt",G114,IF('Paste Editor (Beta)'!$C$82="Item prompt",E114,IF('Paste Editor (Beta)'!$C$82="Modifier prompt","'"&amp;B114,IF('Paste Editor (Beta)'!$C$82="Challenge prompt",L114,IF('Paste Editor (Beta)'!$C$82="Reroll class prompt",S113,IF('Paste Editor (Beta)'!$C$82="Swap hero prompt",S113,IF('Paste Editor (Beta)'!$C$82="Anvil prompt",AD113,"")))))))</f>
        <v/>
      </c>
      <c r="AI113" s="280" t="str">
        <f>IF('Paste Editor (Beta)'!$C$82="Level-up prompt",G114,IF('Paste Editor (Beta)'!$C$82="Item prompt",E114,IF('Paste Editor (Beta)'!$C$82="Modifier prompt","'"&amp;B114,IF('Paste Editor (Beta)'!$C$82="Challenge prompt",E114,IF('Paste Editor (Beta)'!$C$82="Reroll class prompt",S113,IF('Paste Editor (Beta)'!$C$82="Swap hero prompt",S113,IF('Paste Editor (Beta)'!$C$82="Anvil prompt",AD113,"")))))))</f>
        <v/>
      </c>
      <c r="AJ113" s="283">
        <f>IF('Paste Editor (Beta)'!$C$90="Level-up prompt",G114,IF('Paste Editor (Beta)'!$C$90="Item prompt",E114,IF('Paste Editor (Beta)'!$C$90="Modifier prompt","'"&amp;B114,IF('Paste Editor (Beta)'!$C$90="Challenge prompt",L114,IF('Paste Editor (Beta)'!$C$90="Reroll class prompt",S113,IF('Paste Editor (Beta)'!$C$90="Swap hero prompt",S113,IF('Paste Editor (Beta)'!$C$90="Anvil prompt",AD113,"")))))))</f>
        <v>0</v>
      </c>
      <c r="AK113" s="283">
        <f>IF('Paste Editor (Beta)'!$C$90="Level-up prompt",G114,IF('Paste Editor (Beta)'!$C$90="Item prompt",E114,IF('Paste Editor (Beta)'!$C$90="Modifier prompt","'"&amp;B114,IF('Paste Editor (Beta)'!$C$90="Challenge prompt",E114,IF('Paste Editor (Beta)'!$C$90="Reroll class prompt",S113,IF('Paste Editor (Beta)'!$C$90="Swap hero prompt",S113,IF('Paste Editor (Beta)'!$C$90="Anvil prompt",AD113,"")))))))</f>
        <v>0</v>
      </c>
    </row>
    <row r="114" spans="1:37" ht="18">
      <c r="A114" s="23" t="s">
        <v>4216</v>
      </c>
      <c r="B114" s="284" t="s">
        <v>2629</v>
      </c>
      <c r="C114" s="284" t="s">
        <v>4217</v>
      </c>
      <c r="D114" s="284" t="s">
        <v>4218</v>
      </c>
      <c r="E114" s="280" t="s">
        <v>1461</v>
      </c>
      <c r="AH114" s="280" t="str">
        <f>IF('Paste Editor (Beta)'!$C$82="Level-up prompt",G115,IF('Paste Editor (Beta)'!$C$82="Item prompt",E115,IF('Paste Editor (Beta)'!$C$82="Modifier prompt","'"&amp;B115,IF('Paste Editor (Beta)'!$C$82="Challenge prompt",L115,IF('Paste Editor (Beta)'!$C$82="Reroll class prompt",S114,IF('Paste Editor (Beta)'!$C$82="Swap hero prompt",S114,IF('Paste Editor (Beta)'!$C$82="Anvil prompt",AD114,"")))))))</f>
        <v/>
      </c>
      <c r="AI114" s="280" t="str">
        <f>IF('Paste Editor (Beta)'!$C$82="Level-up prompt",G115,IF('Paste Editor (Beta)'!$C$82="Item prompt",E115,IF('Paste Editor (Beta)'!$C$82="Modifier prompt","'"&amp;B115,IF('Paste Editor (Beta)'!$C$82="Challenge prompt",E115,IF('Paste Editor (Beta)'!$C$82="Reroll class prompt",S114,IF('Paste Editor (Beta)'!$C$82="Swap hero prompt",S114,IF('Paste Editor (Beta)'!$C$82="Anvil prompt",AD114,"")))))))</f>
        <v/>
      </c>
      <c r="AJ114" s="283">
        <f>IF('Paste Editor (Beta)'!$C$90="Level-up prompt",G115,IF('Paste Editor (Beta)'!$C$90="Item prompt",E115,IF('Paste Editor (Beta)'!$C$90="Modifier prompt","'"&amp;B115,IF('Paste Editor (Beta)'!$C$90="Challenge prompt",L115,IF('Paste Editor (Beta)'!$C$90="Reroll class prompt",S114,IF('Paste Editor (Beta)'!$C$90="Swap hero prompt",S114,IF('Paste Editor (Beta)'!$C$90="Anvil prompt",AD114,"")))))))</f>
        <v>0</v>
      </c>
      <c r="AK114" s="283">
        <f>IF('Paste Editor (Beta)'!$C$90="Level-up prompt",G115,IF('Paste Editor (Beta)'!$C$90="Item prompt",E115,IF('Paste Editor (Beta)'!$C$90="Modifier prompt","'"&amp;B115,IF('Paste Editor (Beta)'!$C$90="Challenge prompt",E115,IF('Paste Editor (Beta)'!$C$90="Reroll class prompt",S114,IF('Paste Editor (Beta)'!$C$90="Swap hero prompt",S114,IF('Paste Editor (Beta)'!$C$90="Anvil prompt",AD114,"")))))))</f>
        <v>0</v>
      </c>
    </row>
    <row r="115" spans="1:37" ht="18">
      <c r="A115" s="23" t="s">
        <v>4219</v>
      </c>
      <c r="B115" s="284" t="s">
        <v>2402</v>
      </c>
      <c r="C115" s="284" t="s">
        <v>4220</v>
      </c>
      <c r="D115" s="284" t="s">
        <v>4221</v>
      </c>
      <c r="E115" s="280" t="s">
        <v>1399</v>
      </c>
      <c r="AH115" s="280" t="str">
        <f>IF('Paste Editor (Beta)'!$C$82="Level-up prompt",G116,IF('Paste Editor (Beta)'!$C$82="Item prompt",E116,IF('Paste Editor (Beta)'!$C$82="Modifier prompt","'"&amp;B116,IF('Paste Editor (Beta)'!$C$82="Challenge prompt",L116,IF('Paste Editor (Beta)'!$C$82="Reroll class prompt",S115,IF('Paste Editor (Beta)'!$C$82="Swap hero prompt",S115,IF('Paste Editor (Beta)'!$C$82="Anvil prompt",AD115,"")))))))</f>
        <v/>
      </c>
      <c r="AI115" s="280" t="str">
        <f>IF('Paste Editor (Beta)'!$C$82="Level-up prompt",G116,IF('Paste Editor (Beta)'!$C$82="Item prompt",E116,IF('Paste Editor (Beta)'!$C$82="Modifier prompt","'"&amp;B116,IF('Paste Editor (Beta)'!$C$82="Challenge prompt",E116,IF('Paste Editor (Beta)'!$C$82="Reroll class prompt",S115,IF('Paste Editor (Beta)'!$C$82="Swap hero prompt",S115,IF('Paste Editor (Beta)'!$C$82="Anvil prompt",AD115,"")))))))</f>
        <v/>
      </c>
      <c r="AJ115" s="283">
        <f>IF('Paste Editor (Beta)'!$C$90="Level-up prompt",G116,IF('Paste Editor (Beta)'!$C$90="Item prompt",E116,IF('Paste Editor (Beta)'!$C$90="Modifier prompt","'"&amp;B116,IF('Paste Editor (Beta)'!$C$90="Challenge prompt",L116,IF('Paste Editor (Beta)'!$C$90="Reroll class prompt",S115,IF('Paste Editor (Beta)'!$C$90="Swap hero prompt",S115,IF('Paste Editor (Beta)'!$C$90="Anvil prompt",AD115,"")))))))</f>
        <v>0</v>
      </c>
      <c r="AK115" s="283">
        <f>IF('Paste Editor (Beta)'!$C$90="Level-up prompt",G116,IF('Paste Editor (Beta)'!$C$90="Item prompt",E116,IF('Paste Editor (Beta)'!$C$90="Modifier prompt","'"&amp;B116,IF('Paste Editor (Beta)'!$C$90="Challenge prompt",E116,IF('Paste Editor (Beta)'!$C$90="Reroll class prompt",S115,IF('Paste Editor (Beta)'!$C$90="Swap hero prompt",S115,IF('Paste Editor (Beta)'!$C$90="Anvil prompt",AD115,"")))))))</f>
        <v>0</v>
      </c>
    </row>
    <row r="116" spans="1:37" ht="18">
      <c r="A116" s="23" t="s">
        <v>4222</v>
      </c>
      <c r="B116" s="284" t="s">
        <v>2464</v>
      </c>
      <c r="C116" s="284" t="s">
        <v>4223</v>
      </c>
      <c r="D116" s="284" t="s">
        <v>4224</v>
      </c>
      <c r="E116" s="280" t="s">
        <v>1567</v>
      </c>
      <c r="AH116" s="280" t="str">
        <f>IF('Paste Editor (Beta)'!$C$82="Level-up prompt",G117,IF('Paste Editor (Beta)'!$C$82="Item prompt",E117,IF('Paste Editor (Beta)'!$C$82="Modifier prompt","'"&amp;B117,IF('Paste Editor (Beta)'!$C$82="Challenge prompt",L117,IF('Paste Editor (Beta)'!$C$82="Reroll class prompt",S116,IF('Paste Editor (Beta)'!$C$82="Swap hero prompt",S116,IF('Paste Editor (Beta)'!$C$82="Anvil prompt",AD116,"")))))))</f>
        <v/>
      </c>
      <c r="AI116" s="280" t="str">
        <f>IF('Paste Editor (Beta)'!$C$82="Level-up prompt",G117,IF('Paste Editor (Beta)'!$C$82="Item prompt",E117,IF('Paste Editor (Beta)'!$C$82="Modifier prompt","'"&amp;B117,IF('Paste Editor (Beta)'!$C$82="Challenge prompt",E117,IF('Paste Editor (Beta)'!$C$82="Reroll class prompt",S116,IF('Paste Editor (Beta)'!$C$82="Swap hero prompt",S116,IF('Paste Editor (Beta)'!$C$82="Anvil prompt",AD116,"")))))))</f>
        <v/>
      </c>
      <c r="AJ116" s="283">
        <f>IF('Paste Editor (Beta)'!$C$90="Level-up prompt",G117,IF('Paste Editor (Beta)'!$C$90="Item prompt",E117,IF('Paste Editor (Beta)'!$C$90="Modifier prompt","'"&amp;B117,IF('Paste Editor (Beta)'!$C$90="Challenge prompt",L117,IF('Paste Editor (Beta)'!$C$90="Reroll class prompt",S116,IF('Paste Editor (Beta)'!$C$90="Swap hero prompt",S116,IF('Paste Editor (Beta)'!$C$90="Anvil prompt",AD116,"")))))))</f>
        <v>0</v>
      </c>
      <c r="AK116" s="283">
        <f>IF('Paste Editor (Beta)'!$C$90="Level-up prompt",G117,IF('Paste Editor (Beta)'!$C$90="Item prompt",E117,IF('Paste Editor (Beta)'!$C$90="Modifier prompt","'"&amp;B117,IF('Paste Editor (Beta)'!$C$90="Challenge prompt",E117,IF('Paste Editor (Beta)'!$C$90="Reroll class prompt",S116,IF('Paste Editor (Beta)'!$C$90="Swap hero prompt",S116,IF('Paste Editor (Beta)'!$C$90="Anvil prompt",AD116,"")))))))</f>
        <v>0</v>
      </c>
    </row>
    <row r="117" spans="1:37" ht="18">
      <c r="A117" s="23" t="s">
        <v>4225</v>
      </c>
      <c r="B117" s="284" t="s">
        <v>2293</v>
      </c>
      <c r="C117" s="284" t="s">
        <v>4226</v>
      </c>
      <c r="D117" s="284" t="s">
        <v>4227</v>
      </c>
      <c r="E117" s="280" t="s">
        <v>1242</v>
      </c>
      <c r="AH117" s="280" t="str">
        <f>IF('Paste Editor (Beta)'!$C$82="Level-up prompt",G118,IF('Paste Editor (Beta)'!$C$82="Item prompt",E118,IF('Paste Editor (Beta)'!$C$82="Modifier prompt","'"&amp;B118,IF('Paste Editor (Beta)'!$C$82="Challenge prompt",L118,IF('Paste Editor (Beta)'!$C$82="Reroll class prompt",S117,IF('Paste Editor (Beta)'!$C$82="Swap hero prompt",S117,IF('Paste Editor (Beta)'!$C$82="Anvil prompt",AD117,"")))))))</f>
        <v/>
      </c>
      <c r="AI117" s="280" t="str">
        <f>IF('Paste Editor (Beta)'!$C$82="Level-up prompt",G118,IF('Paste Editor (Beta)'!$C$82="Item prompt",E118,IF('Paste Editor (Beta)'!$C$82="Modifier prompt","'"&amp;B118,IF('Paste Editor (Beta)'!$C$82="Challenge prompt",E118,IF('Paste Editor (Beta)'!$C$82="Reroll class prompt",S117,IF('Paste Editor (Beta)'!$C$82="Swap hero prompt",S117,IF('Paste Editor (Beta)'!$C$82="Anvil prompt",AD117,"")))))))</f>
        <v/>
      </c>
      <c r="AJ117" s="283">
        <f>IF('Paste Editor (Beta)'!$C$90="Level-up prompt",G118,IF('Paste Editor (Beta)'!$C$90="Item prompt",E118,IF('Paste Editor (Beta)'!$C$90="Modifier prompt","'"&amp;B118,IF('Paste Editor (Beta)'!$C$90="Challenge prompt",L118,IF('Paste Editor (Beta)'!$C$90="Reroll class prompt",S117,IF('Paste Editor (Beta)'!$C$90="Swap hero prompt",S117,IF('Paste Editor (Beta)'!$C$90="Anvil prompt",AD117,"")))))))</f>
        <v>0</v>
      </c>
      <c r="AK117" s="283">
        <f>IF('Paste Editor (Beta)'!$C$90="Level-up prompt",G118,IF('Paste Editor (Beta)'!$C$90="Item prompt",E118,IF('Paste Editor (Beta)'!$C$90="Modifier prompt","'"&amp;B118,IF('Paste Editor (Beta)'!$C$90="Challenge prompt",E118,IF('Paste Editor (Beta)'!$C$90="Reroll class prompt",S117,IF('Paste Editor (Beta)'!$C$90="Swap hero prompt",S117,IF('Paste Editor (Beta)'!$C$90="Anvil prompt",AD117,"")))))))</f>
        <v>0</v>
      </c>
    </row>
    <row r="118" spans="1:37" ht="18">
      <c r="A118" s="23" t="s">
        <v>4228</v>
      </c>
      <c r="B118" s="284" t="s">
        <v>2470</v>
      </c>
      <c r="C118" s="284" t="s">
        <v>4229</v>
      </c>
      <c r="D118" s="284" t="s">
        <v>4230</v>
      </c>
      <c r="E118" s="280" t="s">
        <v>810</v>
      </c>
      <c r="AH118" s="280" t="str">
        <f>IF('Paste Editor (Beta)'!$C$82="Level-up prompt",G119,IF('Paste Editor (Beta)'!$C$82="Item prompt",E119,IF('Paste Editor (Beta)'!$C$82="Modifier prompt","'"&amp;B119,IF('Paste Editor (Beta)'!$C$82="Challenge prompt",L119,IF('Paste Editor (Beta)'!$C$82="Reroll class prompt",S118,IF('Paste Editor (Beta)'!$C$82="Swap hero prompt",S118,IF('Paste Editor (Beta)'!$C$82="Anvil prompt",AD118,"")))))))</f>
        <v/>
      </c>
      <c r="AI118" s="280" t="str">
        <f>IF('Paste Editor (Beta)'!$C$82="Level-up prompt",G119,IF('Paste Editor (Beta)'!$C$82="Item prompt",E119,IF('Paste Editor (Beta)'!$C$82="Modifier prompt","'"&amp;B119,IF('Paste Editor (Beta)'!$C$82="Challenge prompt",E119,IF('Paste Editor (Beta)'!$C$82="Reroll class prompt",S118,IF('Paste Editor (Beta)'!$C$82="Swap hero prompt",S118,IF('Paste Editor (Beta)'!$C$82="Anvil prompt",AD118,"")))))))</f>
        <v/>
      </c>
      <c r="AJ118" s="283">
        <f>IF('Paste Editor (Beta)'!$C$90="Level-up prompt",G119,IF('Paste Editor (Beta)'!$C$90="Item prompt",E119,IF('Paste Editor (Beta)'!$C$90="Modifier prompt","'"&amp;B119,IF('Paste Editor (Beta)'!$C$90="Challenge prompt",L119,IF('Paste Editor (Beta)'!$C$90="Reroll class prompt",S118,IF('Paste Editor (Beta)'!$C$90="Swap hero prompt",S118,IF('Paste Editor (Beta)'!$C$90="Anvil prompt",AD118,"")))))))</f>
        <v>0</v>
      </c>
      <c r="AK118" s="283">
        <f>IF('Paste Editor (Beta)'!$C$90="Level-up prompt",G119,IF('Paste Editor (Beta)'!$C$90="Item prompt",E119,IF('Paste Editor (Beta)'!$C$90="Modifier prompt","'"&amp;B119,IF('Paste Editor (Beta)'!$C$90="Challenge prompt",E119,IF('Paste Editor (Beta)'!$C$90="Reroll class prompt",S118,IF('Paste Editor (Beta)'!$C$90="Swap hero prompt",S118,IF('Paste Editor (Beta)'!$C$90="Anvil prompt",AD118,"")))))))</f>
        <v>0</v>
      </c>
    </row>
    <row r="119" spans="1:37" ht="18">
      <c r="A119" s="23" t="s">
        <v>4231</v>
      </c>
      <c r="B119" s="284" t="s">
        <v>2302</v>
      </c>
      <c r="C119" s="284" t="s">
        <v>4232</v>
      </c>
      <c r="D119" s="284" t="s">
        <v>4233</v>
      </c>
      <c r="E119" s="280" t="s">
        <v>866</v>
      </c>
      <c r="AH119" s="280" t="str">
        <f>IF('Paste Editor (Beta)'!$C$82="Level-up prompt",G120,IF('Paste Editor (Beta)'!$C$82="Item prompt",E120,IF('Paste Editor (Beta)'!$C$82="Modifier prompt","'"&amp;B120,IF('Paste Editor (Beta)'!$C$82="Challenge prompt",L120,IF('Paste Editor (Beta)'!$C$82="Reroll class prompt",S119,IF('Paste Editor (Beta)'!$C$82="Swap hero prompt",S119,IF('Paste Editor (Beta)'!$C$82="Anvil prompt",AD119,"")))))))</f>
        <v/>
      </c>
      <c r="AI119" s="280" t="str">
        <f>IF('Paste Editor (Beta)'!$C$82="Level-up prompt",G120,IF('Paste Editor (Beta)'!$C$82="Item prompt",E120,IF('Paste Editor (Beta)'!$C$82="Modifier prompt","'"&amp;B120,IF('Paste Editor (Beta)'!$C$82="Challenge prompt",E120,IF('Paste Editor (Beta)'!$C$82="Reroll class prompt",S119,IF('Paste Editor (Beta)'!$C$82="Swap hero prompt",S119,IF('Paste Editor (Beta)'!$C$82="Anvil prompt",AD119,"")))))))</f>
        <v/>
      </c>
      <c r="AJ119" s="283">
        <f>IF('Paste Editor (Beta)'!$C$90="Level-up prompt",G120,IF('Paste Editor (Beta)'!$C$90="Item prompt",E120,IF('Paste Editor (Beta)'!$C$90="Modifier prompt","'"&amp;B120,IF('Paste Editor (Beta)'!$C$90="Challenge prompt",L120,IF('Paste Editor (Beta)'!$C$90="Reroll class prompt",S119,IF('Paste Editor (Beta)'!$C$90="Swap hero prompt",S119,IF('Paste Editor (Beta)'!$C$90="Anvil prompt",AD119,"")))))))</f>
        <v>0</v>
      </c>
      <c r="AK119" s="283">
        <f>IF('Paste Editor (Beta)'!$C$90="Level-up prompt",G120,IF('Paste Editor (Beta)'!$C$90="Item prompt",E120,IF('Paste Editor (Beta)'!$C$90="Modifier prompt","'"&amp;B120,IF('Paste Editor (Beta)'!$C$90="Challenge prompt",E120,IF('Paste Editor (Beta)'!$C$90="Reroll class prompt",S119,IF('Paste Editor (Beta)'!$C$90="Swap hero prompt",S119,IF('Paste Editor (Beta)'!$C$90="Anvil prompt",AD119,"")))))))</f>
        <v>0</v>
      </c>
    </row>
    <row r="120" spans="1:37" ht="18">
      <c r="A120" s="23" t="s">
        <v>4234</v>
      </c>
      <c r="B120" s="284" t="s">
        <v>2278</v>
      </c>
      <c r="C120" s="284" t="s">
        <v>4235</v>
      </c>
      <c r="D120" s="284" t="s">
        <v>4236</v>
      </c>
      <c r="E120" s="280" t="s">
        <v>1514</v>
      </c>
      <c r="AH120" s="280" t="str">
        <f>IF('Paste Editor (Beta)'!$C$82="Level-up prompt",G121,IF('Paste Editor (Beta)'!$C$82="Item prompt",E121,IF('Paste Editor (Beta)'!$C$82="Modifier prompt","'"&amp;B121,IF('Paste Editor (Beta)'!$C$82="Challenge prompt",L121,IF('Paste Editor (Beta)'!$C$82="Reroll class prompt",S120,IF('Paste Editor (Beta)'!$C$82="Swap hero prompt",S120,IF('Paste Editor (Beta)'!$C$82="Anvil prompt",AD120,"")))))))</f>
        <v/>
      </c>
      <c r="AI120" s="280" t="str">
        <f>IF('Paste Editor (Beta)'!$C$82="Level-up prompt",G121,IF('Paste Editor (Beta)'!$C$82="Item prompt",E121,IF('Paste Editor (Beta)'!$C$82="Modifier prompt","'"&amp;B121,IF('Paste Editor (Beta)'!$C$82="Challenge prompt",E121,IF('Paste Editor (Beta)'!$C$82="Reroll class prompt",S120,IF('Paste Editor (Beta)'!$C$82="Swap hero prompt",S120,IF('Paste Editor (Beta)'!$C$82="Anvil prompt",AD120,"")))))))</f>
        <v/>
      </c>
      <c r="AJ120" s="283">
        <f>IF('Paste Editor (Beta)'!$C$90="Level-up prompt",G121,IF('Paste Editor (Beta)'!$C$90="Item prompt",E121,IF('Paste Editor (Beta)'!$C$90="Modifier prompt","'"&amp;B121,IF('Paste Editor (Beta)'!$C$90="Challenge prompt",L121,IF('Paste Editor (Beta)'!$C$90="Reroll class prompt",S120,IF('Paste Editor (Beta)'!$C$90="Swap hero prompt",S120,IF('Paste Editor (Beta)'!$C$90="Anvil prompt",AD120,"")))))))</f>
        <v>0</v>
      </c>
      <c r="AK120" s="283">
        <f>IF('Paste Editor (Beta)'!$C$90="Level-up prompt",G121,IF('Paste Editor (Beta)'!$C$90="Item prompt",E121,IF('Paste Editor (Beta)'!$C$90="Modifier prompt","'"&amp;B121,IF('Paste Editor (Beta)'!$C$90="Challenge prompt",E121,IF('Paste Editor (Beta)'!$C$90="Reroll class prompt",S120,IF('Paste Editor (Beta)'!$C$90="Swap hero prompt",S120,IF('Paste Editor (Beta)'!$C$90="Anvil prompt",AD120,"")))))))</f>
        <v>0</v>
      </c>
    </row>
    <row r="121" spans="1:37" ht="18">
      <c r="A121" s="23" t="s">
        <v>4237</v>
      </c>
      <c r="B121" s="284" t="s">
        <v>2073</v>
      </c>
      <c r="C121" s="284" t="s">
        <v>4238</v>
      </c>
      <c r="D121" s="284" t="s">
        <v>4239</v>
      </c>
      <c r="E121" s="280" t="s">
        <v>1244</v>
      </c>
      <c r="AH121" s="280" t="str">
        <f>IF('Paste Editor (Beta)'!$C$82="Level-up prompt",G122,IF('Paste Editor (Beta)'!$C$82="Item prompt",E122,IF('Paste Editor (Beta)'!$C$82="Modifier prompt","'"&amp;B122,IF('Paste Editor (Beta)'!$C$82="Challenge prompt",L122,IF('Paste Editor (Beta)'!$C$82="Reroll class prompt",S121,IF('Paste Editor (Beta)'!$C$82="Swap hero prompt",S121,IF('Paste Editor (Beta)'!$C$82="Anvil prompt",AD121,"")))))))</f>
        <v/>
      </c>
      <c r="AI121" s="280" t="str">
        <f>IF('Paste Editor (Beta)'!$C$82="Level-up prompt",G122,IF('Paste Editor (Beta)'!$C$82="Item prompt",E122,IF('Paste Editor (Beta)'!$C$82="Modifier prompt","'"&amp;B122,IF('Paste Editor (Beta)'!$C$82="Challenge prompt",E122,IF('Paste Editor (Beta)'!$C$82="Reroll class prompt",S121,IF('Paste Editor (Beta)'!$C$82="Swap hero prompt",S121,IF('Paste Editor (Beta)'!$C$82="Anvil prompt",AD121,"")))))))</f>
        <v/>
      </c>
      <c r="AJ121" s="283">
        <f>IF('Paste Editor (Beta)'!$C$90="Level-up prompt",G122,IF('Paste Editor (Beta)'!$C$90="Item prompt",E122,IF('Paste Editor (Beta)'!$C$90="Modifier prompt","'"&amp;B122,IF('Paste Editor (Beta)'!$C$90="Challenge prompt",L122,IF('Paste Editor (Beta)'!$C$90="Reroll class prompt",S121,IF('Paste Editor (Beta)'!$C$90="Swap hero prompt",S121,IF('Paste Editor (Beta)'!$C$90="Anvil prompt",AD121,"")))))))</f>
        <v>0</v>
      </c>
      <c r="AK121" s="283">
        <f>IF('Paste Editor (Beta)'!$C$90="Level-up prompt",G122,IF('Paste Editor (Beta)'!$C$90="Item prompt",E122,IF('Paste Editor (Beta)'!$C$90="Modifier prompt","'"&amp;B122,IF('Paste Editor (Beta)'!$C$90="Challenge prompt",E122,IF('Paste Editor (Beta)'!$C$90="Reroll class prompt",S121,IF('Paste Editor (Beta)'!$C$90="Swap hero prompt",S121,IF('Paste Editor (Beta)'!$C$90="Anvil prompt",AD121,"")))))))</f>
        <v>0</v>
      </c>
    </row>
    <row r="122" spans="1:37" ht="18">
      <c r="A122" s="23" t="s">
        <v>4240</v>
      </c>
      <c r="B122" s="284" t="s">
        <v>2783</v>
      </c>
      <c r="C122" s="284" t="s">
        <v>4241</v>
      </c>
      <c r="D122" s="284" t="s">
        <v>4242</v>
      </c>
      <c r="E122" s="280" t="s">
        <v>1560</v>
      </c>
      <c r="AH122" s="280" t="str">
        <f>IF('Paste Editor (Beta)'!$C$82="Level-up prompt",G123,IF('Paste Editor (Beta)'!$C$82="Item prompt",E123,IF('Paste Editor (Beta)'!$C$82="Modifier prompt","'"&amp;B123,IF('Paste Editor (Beta)'!$C$82="Challenge prompt",L123,IF('Paste Editor (Beta)'!$C$82="Reroll class prompt",S122,IF('Paste Editor (Beta)'!$C$82="Swap hero prompt",S122,IF('Paste Editor (Beta)'!$C$82="Anvil prompt",AD122,"")))))))</f>
        <v/>
      </c>
      <c r="AI122" s="280" t="str">
        <f>IF('Paste Editor (Beta)'!$C$82="Level-up prompt",G123,IF('Paste Editor (Beta)'!$C$82="Item prompt",E123,IF('Paste Editor (Beta)'!$C$82="Modifier prompt","'"&amp;B123,IF('Paste Editor (Beta)'!$C$82="Challenge prompt",E123,IF('Paste Editor (Beta)'!$C$82="Reroll class prompt",S122,IF('Paste Editor (Beta)'!$C$82="Swap hero prompt",S122,IF('Paste Editor (Beta)'!$C$82="Anvil prompt",AD122,"")))))))</f>
        <v/>
      </c>
      <c r="AJ122" s="283">
        <f>IF('Paste Editor (Beta)'!$C$90="Level-up prompt",G123,IF('Paste Editor (Beta)'!$C$90="Item prompt",E123,IF('Paste Editor (Beta)'!$C$90="Modifier prompt","'"&amp;B123,IF('Paste Editor (Beta)'!$C$90="Challenge prompt",L123,IF('Paste Editor (Beta)'!$C$90="Reroll class prompt",S122,IF('Paste Editor (Beta)'!$C$90="Swap hero prompt",S122,IF('Paste Editor (Beta)'!$C$90="Anvil prompt",AD122,"")))))))</f>
        <v>0</v>
      </c>
      <c r="AK122" s="283">
        <f>IF('Paste Editor (Beta)'!$C$90="Level-up prompt",G123,IF('Paste Editor (Beta)'!$C$90="Item prompt",E123,IF('Paste Editor (Beta)'!$C$90="Modifier prompt","'"&amp;B123,IF('Paste Editor (Beta)'!$C$90="Challenge prompt",E123,IF('Paste Editor (Beta)'!$C$90="Reroll class prompt",S122,IF('Paste Editor (Beta)'!$C$90="Swap hero prompt",S122,IF('Paste Editor (Beta)'!$C$90="Anvil prompt",AD122,"")))))))</f>
        <v>0</v>
      </c>
    </row>
    <row r="123" spans="1:37" ht="18">
      <c r="A123" s="23" t="s">
        <v>4243</v>
      </c>
      <c r="B123" s="284" t="s">
        <v>2676</v>
      </c>
      <c r="C123" s="284" t="s">
        <v>4244</v>
      </c>
      <c r="D123" s="284" t="s">
        <v>4245</v>
      </c>
      <c r="E123" s="280" t="s">
        <v>1463</v>
      </c>
      <c r="AH123" s="280" t="str">
        <f>IF('Paste Editor (Beta)'!$C$82="Level-up prompt",G124,IF('Paste Editor (Beta)'!$C$82="Item prompt",E124,IF('Paste Editor (Beta)'!$C$82="Modifier prompt","'"&amp;B124,IF('Paste Editor (Beta)'!$C$82="Challenge prompt",L124,IF('Paste Editor (Beta)'!$C$82="Reroll class prompt",S123,IF('Paste Editor (Beta)'!$C$82="Swap hero prompt",S123,IF('Paste Editor (Beta)'!$C$82="Anvil prompt",AD123,"")))))))</f>
        <v/>
      </c>
      <c r="AI123" s="280" t="str">
        <f>IF('Paste Editor (Beta)'!$C$82="Level-up prompt",G124,IF('Paste Editor (Beta)'!$C$82="Item prompt",E124,IF('Paste Editor (Beta)'!$C$82="Modifier prompt","'"&amp;B124,IF('Paste Editor (Beta)'!$C$82="Challenge prompt",E124,IF('Paste Editor (Beta)'!$C$82="Reroll class prompt",S123,IF('Paste Editor (Beta)'!$C$82="Swap hero prompt",S123,IF('Paste Editor (Beta)'!$C$82="Anvil prompt",AD123,"")))))))</f>
        <v/>
      </c>
      <c r="AJ123" s="283">
        <f>IF('Paste Editor (Beta)'!$C$90="Level-up prompt",G124,IF('Paste Editor (Beta)'!$C$90="Item prompt",E124,IF('Paste Editor (Beta)'!$C$90="Modifier prompt","'"&amp;B124,IF('Paste Editor (Beta)'!$C$90="Challenge prompt",L124,IF('Paste Editor (Beta)'!$C$90="Reroll class prompt",S123,IF('Paste Editor (Beta)'!$C$90="Swap hero prompt",S123,IF('Paste Editor (Beta)'!$C$90="Anvil prompt",AD123,"")))))))</f>
        <v>0</v>
      </c>
      <c r="AK123" s="283">
        <f>IF('Paste Editor (Beta)'!$C$90="Level-up prompt",G124,IF('Paste Editor (Beta)'!$C$90="Item prompt",E124,IF('Paste Editor (Beta)'!$C$90="Modifier prompt","'"&amp;B124,IF('Paste Editor (Beta)'!$C$90="Challenge prompt",E124,IF('Paste Editor (Beta)'!$C$90="Reroll class prompt",S123,IF('Paste Editor (Beta)'!$C$90="Swap hero prompt",S123,IF('Paste Editor (Beta)'!$C$90="Anvil prompt",AD123,"")))))))</f>
        <v>0</v>
      </c>
    </row>
    <row r="124" spans="1:37" ht="18">
      <c r="A124" s="23" t="s">
        <v>4246</v>
      </c>
      <c r="B124" s="284" t="s">
        <v>2467</v>
      </c>
      <c r="C124" s="284" t="s">
        <v>4247</v>
      </c>
      <c r="D124" s="284" t="s">
        <v>4248</v>
      </c>
      <c r="E124" s="280" t="s">
        <v>1246</v>
      </c>
      <c r="AH124" s="280" t="str">
        <f>IF('Paste Editor (Beta)'!$C$82="Level-up prompt",G125,IF('Paste Editor (Beta)'!$C$82="Item prompt",E125,IF('Paste Editor (Beta)'!$C$82="Modifier prompt","'"&amp;B125,IF('Paste Editor (Beta)'!$C$82="Challenge prompt",L125,IF('Paste Editor (Beta)'!$C$82="Reroll class prompt",S124,IF('Paste Editor (Beta)'!$C$82="Swap hero prompt",S124,IF('Paste Editor (Beta)'!$C$82="Anvil prompt",AD124,"")))))))</f>
        <v/>
      </c>
      <c r="AI124" s="280" t="str">
        <f>IF('Paste Editor (Beta)'!$C$82="Level-up prompt",G125,IF('Paste Editor (Beta)'!$C$82="Item prompt",E125,IF('Paste Editor (Beta)'!$C$82="Modifier prompt","'"&amp;B125,IF('Paste Editor (Beta)'!$C$82="Challenge prompt",E125,IF('Paste Editor (Beta)'!$C$82="Reroll class prompt",S124,IF('Paste Editor (Beta)'!$C$82="Swap hero prompt",S124,IF('Paste Editor (Beta)'!$C$82="Anvil prompt",AD124,"")))))))</f>
        <v/>
      </c>
      <c r="AJ124" s="283">
        <f>IF('Paste Editor (Beta)'!$C$90="Level-up prompt",G125,IF('Paste Editor (Beta)'!$C$90="Item prompt",E125,IF('Paste Editor (Beta)'!$C$90="Modifier prompt","'"&amp;B125,IF('Paste Editor (Beta)'!$C$90="Challenge prompt",L125,IF('Paste Editor (Beta)'!$C$90="Reroll class prompt",S124,IF('Paste Editor (Beta)'!$C$90="Swap hero prompt",S124,IF('Paste Editor (Beta)'!$C$90="Anvil prompt",AD124,"")))))))</f>
        <v>0</v>
      </c>
      <c r="AK124" s="283">
        <f>IF('Paste Editor (Beta)'!$C$90="Level-up prompt",G125,IF('Paste Editor (Beta)'!$C$90="Item prompt",E125,IF('Paste Editor (Beta)'!$C$90="Modifier prompt","'"&amp;B125,IF('Paste Editor (Beta)'!$C$90="Challenge prompt",E125,IF('Paste Editor (Beta)'!$C$90="Reroll class prompt",S124,IF('Paste Editor (Beta)'!$C$90="Swap hero prompt",S124,IF('Paste Editor (Beta)'!$C$90="Anvil prompt",AD124,"")))))))</f>
        <v>0</v>
      </c>
    </row>
    <row r="125" spans="1:37" ht="18">
      <c r="A125" s="23" t="s">
        <v>4249</v>
      </c>
      <c r="B125" s="284" t="s">
        <v>2290</v>
      </c>
      <c r="C125" s="284" t="s">
        <v>4250</v>
      </c>
      <c r="D125" s="284" t="s">
        <v>4251</v>
      </c>
      <c r="E125" s="280" t="s">
        <v>1093</v>
      </c>
      <c r="AH125" s="280" t="str">
        <f>IF('Paste Editor (Beta)'!$C$82="Level-up prompt",G126,IF('Paste Editor (Beta)'!$C$82="Item prompt",E126,IF('Paste Editor (Beta)'!$C$82="Modifier prompt","'"&amp;B126,IF('Paste Editor (Beta)'!$C$82="Challenge prompt",L126,IF('Paste Editor (Beta)'!$C$82="Reroll class prompt",S125,IF('Paste Editor (Beta)'!$C$82="Swap hero prompt",S125,IF('Paste Editor (Beta)'!$C$82="Anvil prompt",AD125,"")))))))</f>
        <v/>
      </c>
      <c r="AI125" s="280" t="str">
        <f>IF('Paste Editor (Beta)'!$C$82="Level-up prompt",G126,IF('Paste Editor (Beta)'!$C$82="Item prompt",E126,IF('Paste Editor (Beta)'!$C$82="Modifier prompt","'"&amp;B126,IF('Paste Editor (Beta)'!$C$82="Challenge prompt",E126,IF('Paste Editor (Beta)'!$C$82="Reroll class prompt",S125,IF('Paste Editor (Beta)'!$C$82="Swap hero prompt",S125,IF('Paste Editor (Beta)'!$C$82="Anvil prompt",AD125,"")))))))</f>
        <v/>
      </c>
      <c r="AJ125" s="283">
        <f>IF('Paste Editor (Beta)'!$C$90="Level-up prompt",G126,IF('Paste Editor (Beta)'!$C$90="Item prompt",E126,IF('Paste Editor (Beta)'!$C$90="Modifier prompt","'"&amp;B126,IF('Paste Editor (Beta)'!$C$90="Challenge prompt",L126,IF('Paste Editor (Beta)'!$C$90="Reroll class prompt",S125,IF('Paste Editor (Beta)'!$C$90="Swap hero prompt",S125,IF('Paste Editor (Beta)'!$C$90="Anvil prompt",AD125,"")))))))</f>
        <v>0</v>
      </c>
      <c r="AK125" s="283">
        <f>IF('Paste Editor (Beta)'!$C$90="Level-up prompt",G126,IF('Paste Editor (Beta)'!$C$90="Item prompt",E126,IF('Paste Editor (Beta)'!$C$90="Modifier prompt","'"&amp;B126,IF('Paste Editor (Beta)'!$C$90="Challenge prompt",E126,IF('Paste Editor (Beta)'!$C$90="Reroll class prompt",S125,IF('Paste Editor (Beta)'!$C$90="Swap hero prompt",S125,IF('Paste Editor (Beta)'!$C$90="Anvil prompt",AD125,"")))))))</f>
        <v>0</v>
      </c>
    </row>
    <row r="126" spans="1:37" ht="18">
      <c r="A126" s="23" t="s">
        <v>4252</v>
      </c>
      <c r="B126" s="284" t="s">
        <v>2510</v>
      </c>
      <c r="C126" s="284" t="s">
        <v>4253</v>
      </c>
      <c r="D126" s="284" t="s">
        <v>4254</v>
      </c>
      <c r="E126" s="280" t="s">
        <v>868</v>
      </c>
      <c r="AH126" s="280" t="str">
        <f>IF('Paste Editor (Beta)'!$C$82="Level-up prompt",G127,IF('Paste Editor (Beta)'!$C$82="Item prompt",E127,IF('Paste Editor (Beta)'!$C$82="Modifier prompt","'"&amp;B127,IF('Paste Editor (Beta)'!$C$82="Challenge prompt",L127,IF('Paste Editor (Beta)'!$C$82="Reroll class prompt",S126,IF('Paste Editor (Beta)'!$C$82="Swap hero prompt",S126,IF('Paste Editor (Beta)'!$C$82="Anvil prompt",AD126,"")))))))</f>
        <v/>
      </c>
      <c r="AI126" s="280" t="str">
        <f>IF('Paste Editor (Beta)'!$C$82="Level-up prompt",G127,IF('Paste Editor (Beta)'!$C$82="Item prompt",E127,IF('Paste Editor (Beta)'!$C$82="Modifier prompt","'"&amp;B127,IF('Paste Editor (Beta)'!$C$82="Challenge prompt",E127,IF('Paste Editor (Beta)'!$C$82="Reroll class prompt",S126,IF('Paste Editor (Beta)'!$C$82="Swap hero prompt",S126,IF('Paste Editor (Beta)'!$C$82="Anvil prompt",AD126,"")))))))</f>
        <v/>
      </c>
      <c r="AJ126" s="283">
        <f>IF('Paste Editor (Beta)'!$C$90="Level-up prompt",G127,IF('Paste Editor (Beta)'!$C$90="Item prompt",E127,IF('Paste Editor (Beta)'!$C$90="Modifier prompt","'"&amp;B127,IF('Paste Editor (Beta)'!$C$90="Challenge prompt",L127,IF('Paste Editor (Beta)'!$C$90="Reroll class prompt",S126,IF('Paste Editor (Beta)'!$C$90="Swap hero prompt",S126,IF('Paste Editor (Beta)'!$C$90="Anvil prompt",AD126,"")))))))</f>
        <v>0</v>
      </c>
      <c r="AK126" s="283">
        <f>IF('Paste Editor (Beta)'!$C$90="Level-up prompt",G127,IF('Paste Editor (Beta)'!$C$90="Item prompt",E127,IF('Paste Editor (Beta)'!$C$90="Modifier prompt","'"&amp;B127,IF('Paste Editor (Beta)'!$C$90="Challenge prompt",E127,IF('Paste Editor (Beta)'!$C$90="Reroll class prompt",S126,IF('Paste Editor (Beta)'!$C$90="Swap hero prompt",S126,IF('Paste Editor (Beta)'!$C$90="Anvil prompt",AD126,"")))))))</f>
        <v>0</v>
      </c>
    </row>
    <row r="127" spans="1:37" ht="18">
      <c r="A127" s="23" t="s">
        <v>4255</v>
      </c>
      <c r="B127" s="284" t="s">
        <v>2299</v>
      </c>
      <c r="C127" s="284" t="s">
        <v>4256</v>
      </c>
      <c r="D127" s="284" t="s">
        <v>4257</v>
      </c>
      <c r="E127" s="280" t="s">
        <v>1535</v>
      </c>
      <c r="AH127" s="280" t="str">
        <f>IF('Paste Editor (Beta)'!$C$82="Level-up prompt",G128,IF('Paste Editor (Beta)'!$C$82="Item prompt",E128,IF('Paste Editor (Beta)'!$C$82="Modifier prompt","'"&amp;B128,IF('Paste Editor (Beta)'!$C$82="Challenge prompt",L128,IF('Paste Editor (Beta)'!$C$82="Reroll class prompt",S127,IF('Paste Editor (Beta)'!$C$82="Swap hero prompt",S127,IF('Paste Editor (Beta)'!$C$82="Anvil prompt",AD127,"")))))))</f>
        <v/>
      </c>
      <c r="AI127" s="280" t="str">
        <f>IF('Paste Editor (Beta)'!$C$82="Level-up prompt",G128,IF('Paste Editor (Beta)'!$C$82="Item prompt",E128,IF('Paste Editor (Beta)'!$C$82="Modifier prompt","'"&amp;B128,IF('Paste Editor (Beta)'!$C$82="Challenge prompt",E128,IF('Paste Editor (Beta)'!$C$82="Reroll class prompt",S127,IF('Paste Editor (Beta)'!$C$82="Swap hero prompt",S127,IF('Paste Editor (Beta)'!$C$82="Anvil prompt",AD127,"")))))))</f>
        <v/>
      </c>
      <c r="AJ127" s="283">
        <f>IF('Paste Editor (Beta)'!$C$90="Level-up prompt",G128,IF('Paste Editor (Beta)'!$C$90="Item prompt",E128,IF('Paste Editor (Beta)'!$C$90="Modifier prompt","'"&amp;B128,IF('Paste Editor (Beta)'!$C$90="Challenge prompt",L128,IF('Paste Editor (Beta)'!$C$90="Reroll class prompt",S127,IF('Paste Editor (Beta)'!$C$90="Swap hero prompt",S127,IF('Paste Editor (Beta)'!$C$90="Anvil prompt",AD127,"")))))))</f>
        <v>0</v>
      </c>
      <c r="AK127" s="283">
        <f>IF('Paste Editor (Beta)'!$C$90="Level-up prompt",G128,IF('Paste Editor (Beta)'!$C$90="Item prompt",E128,IF('Paste Editor (Beta)'!$C$90="Modifier prompt","'"&amp;B128,IF('Paste Editor (Beta)'!$C$90="Challenge prompt",E128,IF('Paste Editor (Beta)'!$C$90="Reroll class prompt",S127,IF('Paste Editor (Beta)'!$C$90="Swap hero prompt",S127,IF('Paste Editor (Beta)'!$C$90="Anvil prompt",AD127,"")))))))</f>
        <v>0</v>
      </c>
    </row>
    <row r="128" spans="1:37" ht="18">
      <c r="A128" s="23" t="s">
        <v>4258</v>
      </c>
      <c r="B128" s="284" t="s">
        <v>2769</v>
      </c>
      <c r="C128" s="284" t="s">
        <v>4259</v>
      </c>
      <c r="D128" s="284" t="s">
        <v>4260</v>
      </c>
      <c r="E128" s="280" t="s">
        <v>1248</v>
      </c>
      <c r="AH128" s="280" t="str">
        <f>IF('Paste Editor (Beta)'!$C$82="Level-up prompt",G129,IF('Paste Editor (Beta)'!$C$82="Item prompt",E129,IF('Paste Editor (Beta)'!$C$82="Modifier prompt","'"&amp;B129,IF('Paste Editor (Beta)'!$C$82="Challenge prompt",L129,IF('Paste Editor (Beta)'!$C$82="Reroll class prompt",S128,IF('Paste Editor (Beta)'!$C$82="Swap hero prompt",S128,IF('Paste Editor (Beta)'!$C$82="Anvil prompt",AD128,"")))))))</f>
        <v/>
      </c>
      <c r="AI128" s="280" t="str">
        <f>IF('Paste Editor (Beta)'!$C$82="Level-up prompt",G129,IF('Paste Editor (Beta)'!$C$82="Item prompt",E129,IF('Paste Editor (Beta)'!$C$82="Modifier prompt","'"&amp;B129,IF('Paste Editor (Beta)'!$C$82="Challenge prompt",E129,IF('Paste Editor (Beta)'!$C$82="Reroll class prompt",S128,IF('Paste Editor (Beta)'!$C$82="Swap hero prompt",S128,IF('Paste Editor (Beta)'!$C$82="Anvil prompt",AD128,"")))))))</f>
        <v/>
      </c>
      <c r="AJ128" s="283">
        <f>IF('Paste Editor (Beta)'!$C$90="Level-up prompt",G129,IF('Paste Editor (Beta)'!$C$90="Item prompt",E129,IF('Paste Editor (Beta)'!$C$90="Modifier prompt","'"&amp;B129,IF('Paste Editor (Beta)'!$C$90="Challenge prompt",L129,IF('Paste Editor (Beta)'!$C$90="Reroll class prompt",S128,IF('Paste Editor (Beta)'!$C$90="Swap hero prompt",S128,IF('Paste Editor (Beta)'!$C$90="Anvil prompt",AD128,"")))))))</f>
        <v>0</v>
      </c>
      <c r="AK128" s="283">
        <f>IF('Paste Editor (Beta)'!$C$90="Level-up prompt",G129,IF('Paste Editor (Beta)'!$C$90="Item prompt",E129,IF('Paste Editor (Beta)'!$C$90="Modifier prompt","'"&amp;B129,IF('Paste Editor (Beta)'!$C$90="Challenge prompt",E129,IF('Paste Editor (Beta)'!$C$90="Reroll class prompt",S128,IF('Paste Editor (Beta)'!$C$90="Swap hero prompt",S128,IF('Paste Editor (Beta)'!$C$90="Anvil prompt",AD128,"")))))))</f>
        <v>0</v>
      </c>
    </row>
    <row r="129" spans="1:37" ht="18">
      <c r="A129" s="23" t="s">
        <v>4261</v>
      </c>
      <c r="B129" s="284" t="s">
        <v>2670</v>
      </c>
      <c r="C129" s="284" t="s">
        <v>4262</v>
      </c>
      <c r="D129" s="284" t="s">
        <v>4263</v>
      </c>
      <c r="E129" s="280" t="s">
        <v>1569</v>
      </c>
      <c r="AH129" s="280" t="str">
        <f>IF('Paste Editor (Beta)'!$C$82="Level-up prompt",G130,IF('Paste Editor (Beta)'!$C$82="Item prompt",E130,IF('Paste Editor (Beta)'!$C$82="Modifier prompt","'"&amp;B130,IF('Paste Editor (Beta)'!$C$82="Challenge prompt",L130,IF('Paste Editor (Beta)'!$C$82="Reroll class prompt",S129,IF('Paste Editor (Beta)'!$C$82="Swap hero prompt",S129,IF('Paste Editor (Beta)'!$C$82="Anvil prompt",AD129,"")))))))</f>
        <v/>
      </c>
      <c r="AI129" s="280" t="str">
        <f>IF('Paste Editor (Beta)'!$C$82="Level-up prompt",G130,IF('Paste Editor (Beta)'!$C$82="Item prompt",E130,IF('Paste Editor (Beta)'!$C$82="Modifier prompt","'"&amp;B130,IF('Paste Editor (Beta)'!$C$82="Challenge prompt",E130,IF('Paste Editor (Beta)'!$C$82="Reroll class prompt",S129,IF('Paste Editor (Beta)'!$C$82="Swap hero prompt",S129,IF('Paste Editor (Beta)'!$C$82="Anvil prompt",AD129,"")))))))</f>
        <v/>
      </c>
      <c r="AJ129" s="283">
        <f>IF('Paste Editor (Beta)'!$C$90="Level-up prompt",G130,IF('Paste Editor (Beta)'!$C$90="Item prompt",E130,IF('Paste Editor (Beta)'!$C$90="Modifier prompt","'"&amp;B130,IF('Paste Editor (Beta)'!$C$90="Challenge prompt",L130,IF('Paste Editor (Beta)'!$C$90="Reroll class prompt",S129,IF('Paste Editor (Beta)'!$C$90="Swap hero prompt",S129,IF('Paste Editor (Beta)'!$C$90="Anvil prompt",AD129,"")))))))</f>
        <v>0</v>
      </c>
      <c r="AK129" s="283">
        <f>IF('Paste Editor (Beta)'!$C$90="Level-up prompt",G130,IF('Paste Editor (Beta)'!$C$90="Item prompt",E130,IF('Paste Editor (Beta)'!$C$90="Modifier prompt","'"&amp;B130,IF('Paste Editor (Beta)'!$C$90="Challenge prompt",E130,IF('Paste Editor (Beta)'!$C$90="Reroll class prompt",S129,IF('Paste Editor (Beta)'!$C$90="Swap hero prompt",S129,IF('Paste Editor (Beta)'!$C$90="Anvil prompt",AD129,"")))))))</f>
        <v>0</v>
      </c>
    </row>
    <row r="130" spans="1:37" ht="18">
      <c r="A130" s="23" t="s">
        <v>4264</v>
      </c>
      <c r="B130" s="284" t="s">
        <v>2667</v>
      </c>
      <c r="C130" s="284" t="s">
        <v>4265</v>
      </c>
      <c r="D130" s="284" t="s">
        <v>4266</v>
      </c>
      <c r="E130" s="280" t="s">
        <v>870</v>
      </c>
      <c r="AH130" s="280" t="str">
        <f>IF('Paste Editor (Beta)'!$C$82="Level-up prompt",G131,IF('Paste Editor (Beta)'!$C$82="Item prompt",E131,IF('Paste Editor (Beta)'!$C$82="Modifier prompt","'"&amp;B131,IF('Paste Editor (Beta)'!$C$82="Challenge prompt",L131,IF('Paste Editor (Beta)'!$C$82="Reroll class prompt",S130,IF('Paste Editor (Beta)'!$C$82="Swap hero prompt",S130,IF('Paste Editor (Beta)'!$C$82="Anvil prompt",AD130,"")))))))</f>
        <v/>
      </c>
      <c r="AI130" s="280" t="str">
        <f>IF('Paste Editor (Beta)'!$C$82="Level-up prompt",G131,IF('Paste Editor (Beta)'!$C$82="Item prompt",E131,IF('Paste Editor (Beta)'!$C$82="Modifier prompt","'"&amp;B131,IF('Paste Editor (Beta)'!$C$82="Challenge prompt",E131,IF('Paste Editor (Beta)'!$C$82="Reroll class prompt",S130,IF('Paste Editor (Beta)'!$C$82="Swap hero prompt",S130,IF('Paste Editor (Beta)'!$C$82="Anvil prompt",AD130,"")))))))</f>
        <v/>
      </c>
      <c r="AJ130" s="283">
        <f>IF('Paste Editor (Beta)'!$C$90="Level-up prompt",G131,IF('Paste Editor (Beta)'!$C$90="Item prompt",E131,IF('Paste Editor (Beta)'!$C$90="Modifier prompt","'"&amp;B131,IF('Paste Editor (Beta)'!$C$90="Challenge prompt",L131,IF('Paste Editor (Beta)'!$C$90="Reroll class prompt",S130,IF('Paste Editor (Beta)'!$C$90="Swap hero prompt",S130,IF('Paste Editor (Beta)'!$C$90="Anvil prompt",AD130,"")))))))</f>
        <v>0</v>
      </c>
      <c r="AK130" s="283">
        <f>IF('Paste Editor (Beta)'!$C$90="Level-up prompt",G131,IF('Paste Editor (Beta)'!$C$90="Item prompt",E131,IF('Paste Editor (Beta)'!$C$90="Modifier prompt","'"&amp;B131,IF('Paste Editor (Beta)'!$C$90="Challenge prompt",E131,IF('Paste Editor (Beta)'!$C$90="Reroll class prompt",S130,IF('Paste Editor (Beta)'!$C$90="Swap hero prompt",S130,IF('Paste Editor (Beta)'!$C$90="Anvil prompt",AD130,"")))))))</f>
        <v>0</v>
      </c>
    </row>
    <row r="131" spans="1:37" ht="18">
      <c r="A131" s="23" t="s">
        <v>4267</v>
      </c>
      <c r="B131" s="284" t="s">
        <v>2479</v>
      </c>
      <c r="C131" s="284" t="s">
        <v>4268</v>
      </c>
      <c r="D131" s="284" t="s">
        <v>4269</v>
      </c>
      <c r="E131" s="280" t="s">
        <v>1014</v>
      </c>
      <c r="AH131" s="280" t="str">
        <f>IF('Paste Editor (Beta)'!$C$82="Level-up prompt",G132,IF('Paste Editor (Beta)'!$C$82="Item prompt",E132,IF('Paste Editor (Beta)'!$C$82="Modifier prompt","'"&amp;B132,IF('Paste Editor (Beta)'!$C$82="Challenge prompt",L132,IF('Paste Editor (Beta)'!$C$82="Reroll class prompt",S131,IF('Paste Editor (Beta)'!$C$82="Swap hero prompt",S131,IF('Paste Editor (Beta)'!$C$82="Anvil prompt",AD131,"")))))))</f>
        <v/>
      </c>
      <c r="AI131" s="280" t="str">
        <f>IF('Paste Editor (Beta)'!$C$82="Level-up prompt",G132,IF('Paste Editor (Beta)'!$C$82="Item prompt",E132,IF('Paste Editor (Beta)'!$C$82="Modifier prompt","'"&amp;B132,IF('Paste Editor (Beta)'!$C$82="Challenge prompt",E132,IF('Paste Editor (Beta)'!$C$82="Reroll class prompt",S131,IF('Paste Editor (Beta)'!$C$82="Swap hero prompt",S131,IF('Paste Editor (Beta)'!$C$82="Anvil prompt",AD131,"")))))))</f>
        <v/>
      </c>
      <c r="AJ131" s="283">
        <f>IF('Paste Editor (Beta)'!$C$90="Level-up prompt",G132,IF('Paste Editor (Beta)'!$C$90="Item prompt",E132,IF('Paste Editor (Beta)'!$C$90="Modifier prompt","'"&amp;B132,IF('Paste Editor (Beta)'!$C$90="Challenge prompt",L132,IF('Paste Editor (Beta)'!$C$90="Reroll class prompt",S131,IF('Paste Editor (Beta)'!$C$90="Swap hero prompt",S131,IF('Paste Editor (Beta)'!$C$90="Anvil prompt",AD131,"")))))))</f>
        <v>0</v>
      </c>
      <c r="AK131" s="283">
        <f>IF('Paste Editor (Beta)'!$C$90="Level-up prompt",G132,IF('Paste Editor (Beta)'!$C$90="Item prompt",E132,IF('Paste Editor (Beta)'!$C$90="Modifier prompt","'"&amp;B132,IF('Paste Editor (Beta)'!$C$90="Challenge prompt",E132,IF('Paste Editor (Beta)'!$C$90="Reroll class prompt",S131,IF('Paste Editor (Beta)'!$C$90="Swap hero prompt",S131,IF('Paste Editor (Beta)'!$C$90="Anvil prompt",AD131,"")))))))</f>
        <v>0</v>
      </c>
    </row>
    <row r="132" spans="1:37" ht="18">
      <c r="A132" s="23" t="s">
        <v>4270</v>
      </c>
      <c r="B132" s="284" t="s">
        <v>2390</v>
      </c>
      <c r="C132" s="284" t="s">
        <v>4271</v>
      </c>
      <c r="D132" s="284" t="s">
        <v>4272</v>
      </c>
      <c r="E132" s="280" t="s">
        <v>1156</v>
      </c>
      <c r="AH132" s="280" t="str">
        <f>IF('Paste Editor (Beta)'!$C$82="Level-up prompt",G133,IF('Paste Editor (Beta)'!$C$82="Item prompt",E133,IF('Paste Editor (Beta)'!$C$82="Modifier prompt","'"&amp;B133,IF('Paste Editor (Beta)'!$C$82="Challenge prompt",L133,IF('Paste Editor (Beta)'!$C$82="Reroll class prompt",S132,IF('Paste Editor (Beta)'!$C$82="Swap hero prompt",S132,IF('Paste Editor (Beta)'!$C$82="Anvil prompt",AD132,"")))))))</f>
        <v/>
      </c>
      <c r="AI132" s="280" t="str">
        <f>IF('Paste Editor (Beta)'!$C$82="Level-up prompt",G133,IF('Paste Editor (Beta)'!$C$82="Item prompt",E133,IF('Paste Editor (Beta)'!$C$82="Modifier prompt","'"&amp;B133,IF('Paste Editor (Beta)'!$C$82="Challenge prompt",E133,IF('Paste Editor (Beta)'!$C$82="Reroll class prompt",S132,IF('Paste Editor (Beta)'!$C$82="Swap hero prompt",S132,IF('Paste Editor (Beta)'!$C$82="Anvil prompt",AD132,"")))))))</f>
        <v/>
      </c>
      <c r="AJ132" s="283">
        <f>IF('Paste Editor (Beta)'!$C$90="Level-up prompt",G133,IF('Paste Editor (Beta)'!$C$90="Item prompt",E133,IF('Paste Editor (Beta)'!$C$90="Modifier prompt","'"&amp;B133,IF('Paste Editor (Beta)'!$C$90="Challenge prompt",L133,IF('Paste Editor (Beta)'!$C$90="Reroll class prompt",S132,IF('Paste Editor (Beta)'!$C$90="Swap hero prompt",S132,IF('Paste Editor (Beta)'!$C$90="Anvil prompt",AD132,"")))))))</f>
        <v>0</v>
      </c>
      <c r="AK132" s="283">
        <f>IF('Paste Editor (Beta)'!$C$90="Level-up prompt",G133,IF('Paste Editor (Beta)'!$C$90="Item prompt",E133,IF('Paste Editor (Beta)'!$C$90="Modifier prompt","'"&amp;B133,IF('Paste Editor (Beta)'!$C$90="Challenge prompt",E133,IF('Paste Editor (Beta)'!$C$90="Reroll class prompt",S132,IF('Paste Editor (Beta)'!$C$90="Swap hero prompt",S132,IF('Paste Editor (Beta)'!$C$90="Anvil prompt",AD132,"")))))))</f>
        <v>0</v>
      </c>
    </row>
    <row r="133" spans="1:37" ht="18">
      <c r="A133" s="23" t="s">
        <v>4273</v>
      </c>
      <c r="B133" s="284" t="s">
        <v>2177</v>
      </c>
      <c r="C133" s="284" t="s">
        <v>4274</v>
      </c>
      <c r="D133" s="284" t="s">
        <v>4275</v>
      </c>
      <c r="E133" s="280" t="s">
        <v>872</v>
      </c>
      <c r="AH133" s="280" t="str">
        <f>IF('Paste Editor (Beta)'!$C$82="Level-up prompt",G134,IF('Paste Editor (Beta)'!$C$82="Item prompt",E134,IF('Paste Editor (Beta)'!$C$82="Modifier prompt","'"&amp;B134,IF('Paste Editor (Beta)'!$C$82="Challenge prompt",L134,IF('Paste Editor (Beta)'!$C$82="Reroll class prompt",S133,IF('Paste Editor (Beta)'!$C$82="Swap hero prompt",S133,IF('Paste Editor (Beta)'!$C$82="Anvil prompt",AD133,"")))))))</f>
        <v/>
      </c>
      <c r="AI133" s="280" t="str">
        <f>IF('Paste Editor (Beta)'!$C$82="Level-up prompt",G134,IF('Paste Editor (Beta)'!$C$82="Item prompt",E134,IF('Paste Editor (Beta)'!$C$82="Modifier prompt","'"&amp;B134,IF('Paste Editor (Beta)'!$C$82="Challenge prompt",E134,IF('Paste Editor (Beta)'!$C$82="Reroll class prompt",S133,IF('Paste Editor (Beta)'!$C$82="Swap hero prompt",S133,IF('Paste Editor (Beta)'!$C$82="Anvil prompt",AD133,"")))))))</f>
        <v/>
      </c>
      <c r="AJ133" s="283">
        <f>IF('Paste Editor (Beta)'!$C$90="Level-up prompt",G134,IF('Paste Editor (Beta)'!$C$90="Item prompt",E134,IF('Paste Editor (Beta)'!$C$90="Modifier prompt","'"&amp;B134,IF('Paste Editor (Beta)'!$C$90="Challenge prompt",L134,IF('Paste Editor (Beta)'!$C$90="Reroll class prompt",S133,IF('Paste Editor (Beta)'!$C$90="Swap hero prompt",S133,IF('Paste Editor (Beta)'!$C$90="Anvil prompt",AD133,"")))))))</f>
        <v>0</v>
      </c>
      <c r="AK133" s="283">
        <f>IF('Paste Editor (Beta)'!$C$90="Level-up prompt",G134,IF('Paste Editor (Beta)'!$C$90="Item prompt",E134,IF('Paste Editor (Beta)'!$C$90="Modifier prompt","'"&amp;B134,IF('Paste Editor (Beta)'!$C$90="Challenge prompt",E134,IF('Paste Editor (Beta)'!$C$90="Reroll class prompt",S133,IF('Paste Editor (Beta)'!$C$90="Swap hero prompt",S133,IF('Paste Editor (Beta)'!$C$90="Anvil prompt",AD133,"")))))))</f>
        <v>0</v>
      </c>
    </row>
    <row r="134" spans="1:37" ht="18">
      <c r="A134" s="23" t="s">
        <v>4276</v>
      </c>
      <c r="B134" s="284" t="s">
        <v>2632</v>
      </c>
      <c r="C134" s="284" t="s">
        <v>4277</v>
      </c>
      <c r="D134" s="284" t="s">
        <v>4278</v>
      </c>
      <c r="E134" s="280" t="s">
        <v>1016</v>
      </c>
      <c r="AH134" s="280" t="str">
        <f>IF('Paste Editor (Beta)'!$C$82="Level-up prompt",G135,IF('Paste Editor (Beta)'!$C$82="Item prompt",E135,IF('Paste Editor (Beta)'!$C$82="Modifier prompt","'"&amp;B135,IF('Paste Editor (Beta)'!$C$82="Challenge prompt",L135,IF('Paste Editor (Beta)'!$C$82="Reroll class prompt",S134,IF('Paste Editor (Beta)'!$C$82="Swap hero prompt",S134,IF('Paste Editor (Beta)'!$C$82="Anvil prompt",AD134,"")))))))</f>
        <v/>
      </c>
      <c r="AI134" s="280" t="str">
        <f>IF('Paste Editor (Beta)'!$C$82="Level-up prompt",G135,IF('Paste Editor (Beta)'!$C$82="Item prompt",E135,IF('Paste Editor (Beta)'!$C$82="Modifier prompt","'"&amp;B135,IF('Paste Editor (Beta)'!$C$82="Challenge prompt",E135,IF('Paste Editor (Beta)'!$C$82="Reroll class prompt",S134,IF('Paste Editor (Beta)'!$C$82="Swap hero prompt",S134,IF('Paste Editor (Beta)'!$C$82="Anvil prompt",AD134,"")))))))</f>
        <v/>
      </c>
      <c r="AJ134" s="283">
        <f>IF('Paste Editor (Beta)'!$C$90="Level-up prompt",G135,IF('Paste Editor (Beta)'!$C$90="Item prompt",E135,IF('Paste Editor (Beta)'!$C$90="Modifier prompt","'"&amp;B135,IF('Paste Editor (Beta)'!$C$90="Challenge prompt",L135,IF('Paste Editor (Beta)'!$C$90="Reroll class prompt",S134,IF('Paste Editor (Beta)'!$C$90="Swap hero prompt",S134,IF('Paste Editor (Beta)'!$C$90="Anvil prompt",AD134,"")))))))</f>
        <v>0</v>
      </c>
      <c r="AK134" s="283">
        <f>IF('Paste Editor (Beta)'!$C$90="Level-up prompt",G135,IF('Paste Editor (Beta)'!$C$90="Item prompt",E135,IF('Paste Editor (Beta)'!$C$90="Modifier prompt","'"&amp;B135,IF('Paste Editor (Beta)'!$C$90="Challenge prompt",E135,IF('Paste Editor (Beta)'!$C$90="Reroll class prompt",S134,IF('Paste Editor (Beta)'!$C$90="Swap hero prompt",S134,IF('Paste Editor (Beta)'!$C$90="Anvil prompt",AD134,"")))))))</f>
        <v>0</v>
      </c>
    </row>
    <row r="135" spans="1:37" ht="18">
      <c r="A135" s="23" t="s">
        <v>4279</v>
      </c>
      <c r="B135" s="284" t="s">
        <v>2399</v>
      </c>
      <c r="C135" s="284" t="s">
        <v>4280</v>
      </c>
      <c r="D135" s="284" t="s">
        <v>4281</v>
      </c>
      <c r="E135" s="280" t="s">
        <v>1018</v>
      </c>
      <c r="AH135" s="280" t="str">
        <f>IF('Paste Editor (Beta)'!$C$82="Level-up prompt",G136,IF('Paste Editor (Beta)'!$C$82="Item prompt",E136,IF('Paste Editor (Beta)'!$C$82="Modifier prompt","'"&amp;B136,IF('Paste Editor (Beta)'!$C$82="Challenge prompt",L136,IF('Paste Editor (Beta)'!$C$82="Reroll class prompt",S135,IF('Paste Editor (Beta)'!$C$82="Swap hero prompt",S135,IF('Paste Editor (Beta)'!$C$82="Anvil prompt",AD135,"")))))))</f>
        <v/>
      </c>
      <c r="AI135" s="280" t="str">
        <f>IF('Paste Editor (Beta)'!$C$82="Level-up prompt",G136,IF('Paste Editor (Beta)'!$C$82="Item prompt",E136,IF('Paste Editor (Beta)'!$C$82="Modifier prompt","'"&amp;B136,IF('Paste Editor (Beta)'!$C$82="Challenge prompt",E136,IF('Paste Editor (Beta)'!$C$82="Reroll class prompt",S135,IF('Paste Editor (Beta)'!$C$82="Swap hero prompt",S135,IF('Paste Editor (Beta)'!$C$82="Anvil prompt",AD135,"")))))))</f>
        <v/>
      </c>
      <c r="AJ135" s="283">
        <f>IF('Paste Editor (Beta)'!$C$90="Level-up prompt",G136,IF('Paste Editor (Beta)'!$C$90="Item prompt",E136,IF('Paste Editor (Beta)'!$C$90="Modifier prompt","'"&amp;B136,IF('Paste Editor (Beta)'!$C$90="Challenge prompt",L136,IF('Paste Editor (Beta)'!$C$90="Reroll class prompt",S135,IF('Paste Editor (Beta)'!$C$90="Swap hero prompt",S135,IF('Paste Editor (Beta)'!$C$90="Anvil prompt",AD135,"")))))))</f>
        <v>0</v>
      </c>
      <c r="AK135" s="283">
        <f>IF('Paste Editor (Beta)'!$C$90="Level-up prompt",G136,IF('Paste Editor (Beta)'!$C$90="Item prompt",E136,IF('Paste Editor (Beta)'!$C$90="Modifier prompt","'"&amp;B136,IF('Paste Editor (Beta)'!$C$90="Challenge prompt",E136,IF('Paste Editor (Beta)'!$C$90="Reroll class prompt",S135,IF('Paste Editor (Beta)'!$C$90="Swap hero prompt",S135,IF('Paste Editor (Beta)'!$C$90="Anvil prompt",AD135,"")))))))</f>
        <v>0</v>
      </c>
    </row>
    <row r="136" spans="1:37" ht="18">
      <c r="A136" s="23" t="s">
        <v>4282</v>
      </c>
      <c r="B136" s="284" t="s">
        <v>2387</v>
      </c>
      <c r="C136" s="284" t="s">
        <v>4283</v>
      </c>
      <c r="D136" s="284" t="s">
        <v>4284</v>
      </c>
      <c r="E136" s="280" t="s">
        <v>1401</v>
      </c>
      <c r="AH136" s="280" t="str">
        <f>IF('Paste Editor (Beta)'!$C$82="Level-up prompt",G137,IF('Paste Editor (Beta)'!$C$82="Item prompt",E137,IF('Paste Editor (Beta)'!$C$82="Modifier prompt","'"&amp;B137,IF('Paste Editor (Beta)'!$C$82="Challenge prompt",L137,IF('Paste Editor (Beta)'!$C$82="Reroll class prompt",S136,IF('Paste Editor (Beta)'!$C$82="Swap hero prompt",S136,IF('Paste Editor (Beta)'!$C$82="Anvil prompt",AD136,"")))))))</f>
        <v/>
      </c>
      <c r="AI136" s="280" t="str">
        <f>IF('Paste Editor (Beta)'!$C$82="Level-up prompt",G137,IF('Paste Editor (Beta)'!$C$82="Item prompt",E137,IF('Paste Editor (Beta)'!$C$82="Modifier prompt","'"&amp;B137,IF('Paste Editor (Beta)'!$C$82="Challenge prompt",E137,IF('Paste Editor (Beta)'!$C$82="Reroll class prompt",S136,IF('Paste Editor (Beta)'!$C$82="Swap hero prompt",S136,IF('Paste Editor (Beta)'!$C$82="Anvil prompt",AD136,"")))))))</f>
        <v/>
      </c>
      <c r="AJ136" s="283">
        <f>IF('Paste Editor (Beta)'!$C$90="Level-up prompt",G137,IF('Paste Editor (Beta)'!$C$90="Item prompt",E137,IF('Paste Editor (Beta)'!$C$90="Modifier prompt","'"&amp;B137,IF('Paste Editor (Beta)'!$C$90="Challenge prompt",L137,IF('Paste Editor (Beta)'!$C$90="Reroll class prompt",S136,IF('Paste Editor (Beta)'!$C$90="Swap hero prompt",S136,IF('Paste Editor (Beta)'!$C$90="Anvil prompt",AD136,"")))))))</f>
        <v>0</v>
      </c>
      <c r="AK136" s="283">
        <f>IF('Paste Editor (Beta)'!$C$90="Level-up prompt",G137,IF('Paste Editor (Beta)'!$C$90="Item prompt",E137,IF('Paste Editor (Beta)'!$C$90="Modifier prompt","'"&amp;B137,IF('Paste Editor (Beta)'!$C$90="Challenge prompt",E137,IF('Paste Editor (Beta)'!$C$90="Reroll class prompt",S136,IF('Paste Editor (Beta)'!$C$90="Swap hero prompt",S136,IF('Paste Editor (Beta)'!$C$90="Anvil prompt",AD136,"")))))))</f>
        <v>0</v>
      </c>
    </row>
    <row r="137" spans="1:37" ht="18">
      <c r="A137" s="23" t="s">
        <v>4285</v>
      </c>
      <c r="B137" s="284" t="s">
        <v>2183</v>
      </c>
      <c r="C137" s="284" t="s">
        <v>4286</v>
      </c>
      <c r="D137" s="284" t="s">
        <v>4287</v>
      </c>
      <c r="E137" s="280" t="s">
        <v>874</v>
      </c>
      <c r="AH137" s="280" t="str">
        <f>IF('Paste Editor (Beta)'!$C$82="Level-up prompt",G138,IF('Paste Editor (Beta)'!$C$82="Item prompt",E138,IF('Paste Editor (Beta)'!$C$82="Modifier prompt","'"&amp;B138,IF('Paste Editor (Beta)'!$C$82="Challenge prompt",L138,IF('Paste Editor (Beta)'!$C$82="Reroll class prompt",S137,IF('Paste Editor (Beta)'!$C$82="Swap hero prompt",S137,IF('Paste Editor (Beta)'!$C$82="Anvil prompt",AD137,"")))))))</f>
        <v/>
      </c>
      <c r="AI137" s="280" t="str">
        <f>IF('Paste Editor (Beta)'!$C$82="Level-up prompt",G138,IF('Paste Editor (Beta)'!$C$82="Item prompt",E138,IF('Paste Editor (Beta)'!$C$82="Modifier prompt","'"&amp;B138,IF('Paste Editor (Beta)'!$C$82="Challenge prompt",E138,IF('Paste Editor (Beta)'!$C$82="Reroll class prompt",S137,IF('Paste Editor (Beta)'!$C$82="Swap hero prompt",S137,IF('Paste Editor (Beta)'!$C$82="Anvil prompt",AD137,"")))))))</f>
        <v/>
      </c>
      <c r="AJ137" s="283">
        <f>IF('Paste Editor (Beta)'!$C$90="Level-up prompt",G138,IF('Paste Editor (Beta)'!$C$90="Item prompt",E138,IF('Paste Editor (Beta)'!$C$90="Modifier prompt","'"&amp;B138,IF('Paste Editor (Beta)'!$C$90="Challenge prompt",L138,IF('Paste Editor (Beta)'!$C$90="Reroll class prompt",S137,IF('Paste Editor (Beta)'!$C$90="Swap hero prompt",S137,IF('Paste Editor (Beta)'!$C$90="Anvil prompt",AD137,"")))))))</f>
        <v>0</v>
      </c>
      <c r="AK137" s="283">
        <f>IF('Paste Editor (Beta)'!$C$90="Level-up prompt",G138,IF('Paste Editor (Beta)'!$C$90="Item prompt",E138,IF('Paste Editor (Beta)'!$C$90="Modifier prompt","'"&amp;B138,IF('Paste Editor (Beta)'!$C$90="Challenge prompt",E138,IF('Paste Editor (Beta)'!$C$90="Reroll class prompt",S137,IF('Paste Editor (Beta)'!$C$90="Swap hero prompt",S137,IF('Paste Editor (Beta)'!$C$90="Anvil prompt",AD137,"")))))))</f>
        <v>0</v>
      </c>
    </row>
    <row r="138" spans="1:37" ht="18">
      <c r="A138" s="23" t="s">
        <v>4288</v>
      </c>
      <c r="B138" s="284" t="s">
        <v>2725</v>
      </c>
      <c r="C138" s="284" t="s">
        <v>4289</v>
      </c>
      <c r="D138" s="284" t="s">
        <v>4290</v>
      </c>
      <c r="E138" s="280" t="s">
        <v>953</v>
      </c>
      <c r="AH138" s="280" t="str">
        <f>IF('Paste Editor (Beta)'!$C$82="Level-up prompt",G139,IF('Paste Editor (Beta)'!$C$82="Item prompt",E139,IF('Paste Editor (Beta)'!$C$82="Modifier prompt","'"&amp;B139,IF('Paste Editor (Beta)'!$C$82="Challenge prompt",L139,IF('Paste Editor (Beta)'!$C$82="Reroll class prompt",S138,IF('Paste Editor (Beta)'!$C$82="Swap hero prompt",S138,IF('Paste Editor (Beta)'!$C$82="Anvil prompt",AD138,"")))))))</f>
        <v/>
      </c>
      <c r="AI138" s="280" t="str">
        <f>IF('Paste Editor (Beta)'!$C$82="Level-up prompt",G139,IF('Paste Editor (Beta)'!$C$82="Item prompt",E139,IF('Paste Editor (Beta)'!$C$82="Modifier prompt","'"&amp;B139,IF('Paste Editor (Beta)'!$C$82="Challenge prompt",E139,IF('Paste Editor (Beta)'!$C$82="Reroll class prompt",S138,IF('Paste Editor (Beta)'!$C$82="Swap hero prompt",S138,IF('Paste Editor (Beta)'!$C$82="Anvil prompt",AD138,"")))))))</f>
        <v/>
      </c>
      <c r="AJ138" s="283">
        <f>IF('Paste Editor (Beta)'!$C$90="Level-up prompt",G139,IF('Paste Editor (Beta)'!$C$90="Item prompt",E139,IF('Paste Editor (Beta)'!$C$90="Modifier prompt","'"&amp;B139,IF('Paste Editor (Beta)'!$C$90="Challenge prompt",L139,IF('Paste Editor (Beta)'!$C$90="Reroll class prompt",S138,IF('Paste Editor (Beta)'!$C$90="Swap hero prompt",S138,IF('Paste Editor (Beta)'!$C$90="Anvil prompt",AD138,"")))))))</f>
        <v>0</v>
      </c>
      <c r="AK138" s="283">
        <f>IF('Paste Editor (Beta)'!$C$90="Level-up prompt",G139,IF('Paste Editor (Beta)'!$C$90="Item prompt",E139,IF('Paste Editor (Beta)'!$C$90="Modifier prompt","'"&amp;B139,IF('Paste Editor (Beta)'!$C$90="Challenge prompt",E139,IF('Paste Editor (Beta)'!$C$90="Reroll class prompt",S138,IF('Paste Editor (Beta)'!$C$90="Swap hero prompt",S138,IF('Paste Editor (Beta)'!$C$90="Anvil prompt",AD138,"")))))))</f>
        <v>0</v>
      </c>
    </row>
    <row r="139" spans="1:37" ht="18">
      <c r="A139" s="23" t="s">
        <v>4291</v>
      </c>
      <c r="B139" s="284" t="s">
        <v>2592</v>
      </c>
      <c r="C139" s="284" t="s">
        <v>4292</v>
      </c>
      <c r="D139" s="284" t="s">
        <v>4293</v>
      </c>
      <c r="E139" s="280" t="s">
        <v>1020</v>
      </c>
      <c r="AH139" s="280" t="str">
        <f>IF('Paste Editor (Beta)'!$C$82="Level-up prompt",G140,IF('Paste Editor (Beta)'!$C$82="Item prompt",E140,IF('Paste Editor (Beta)'!$C$82="Modifier prompt","'"&amp;B140,IF('Paste Editor (Beta)'!$C$82="Challenge prompt",L140,IF('Paste Editor (Beta)'!$C$82="Reroll class prompt",S139,IF('Paste Editor (Beta)'!$C$82="Swap hero prompt",S139,IF('Paste Editor (Beta)'!$C$82="Anvil prompt",AD139,"")))))))</f>
        <v/>
      </c>
      <c r="AI139" s="280" t="str">
        <f>IF('Paste Editor (Beta)'!$C$82="Level-up prompt",G140,IF('Paste Editor (Beta)'!$C$82="Item prompt",E140,IF('Paste Editor (Beta)'!$C$82="Modifier prompt","'"&amp;B140,IF('Paste Editor (Beta)'!$C$82="Challenge prompt",E140,IF('Paste Editor (Beta)'!$C$82="Reroll class prompt",S139,IF('Paste Editor (Beta)'!$C$82="Swap hero prompt",S139,IF('Paste Editor (Beta)'!$C$82="Anvil prompt",AD139,"")))))))</f>
        <v/>
      </c>
      <c r="AJ139" s="283">
        <f>IF('Paste Editor (Beta)'!$C$90="Level-up prompt",G140,IF('Paste Editor (Beta)'!$C$90="Item prompt",E140,IF('Paste Editor (Beta)'!$C$90="Modifier prompt","'"&amp;B140,IF('Paste Editor (Beta)'!$C$90="Challenge prompt",L140,IF('Paste Editor (Beta)'!$C$90="Reroll class prompt",S139,IF('Paste Editor (Beta)'!$C$90="Swap hero prompt",S139,IF('Paste Editor (Beta)'!$C$90="Anvil prompt",AD139,"")))))))</f>
        <v>0</v>
      </c>
      <c r="AK139" s="283">
        <f>IF('Paste Editor (Beta)'!$C$90="Level-up prompt",G140,IF('Paste Editor (Beta)'!$C$90="Item prompt",E140,IF('Paste Editor (Beta)'!$C$90="Modifier prompt","'"&amp;B140,IF('Paste Editor (Beta)'!$C$90="Challenge prompt",E140,IF('Paste Editor (Beta)'!$C$90="Reroll class prompt",S139,IF('Paste Editor (Beta)'!$C$90="Swap hero prompt",S139,IF('Paste Editor (Beta)'!$C$90="Anvil prompt",AD139,"")))))))</f>
        <v>0</v>
      </c>
    </row>
    <row r="140" spans="1:37" ht="18">
      <c r="A140" s="23" t="s">
        <v>4294</v>
      </c>
      <c r="B140" s="284" t="s">
        <v>2626</v>
      </c>
      <c r="C140" s="284" t="s">
        <v>4295</v>
      </c>
      <c r="D140" s="284" t="s">
        <v>4296</v>
      </c>
      <c r="E140" s="280" t="s">
        <v>1023</v>
      </c>
      <c r="AH140" s="280" t="str">
        <f>IF('Paste Editor (Beta)'!$C$82="Level-up prompt",G141,IF('Paste Editor (Beta)'!$C$82="Item prompt",E141,IF('Paste Editor (Beta)'!$C$82="Modifier prompt","'"&amp;B141,IF('Paste Editor (Beta)'!$C$82="Challenge prompt",L141,IF('Paste Editor (Beta)'!$C$82="Reroll class prompt",S140,IF('Paste Editor (Beta)'!$C$82="Swap hero prompt",S140,IF('Paste Editor (Beta)'!$C$82="Anvil prompt",AD140,"")))))))</f>
        <v/>
      </c>
      <c r="AI140" s="280" t="str">
        <f>IF('Paste Editor (Beta)'!$C$82="Level-up prompt",G141,IF('Paste Editor (Beta)'!$C$82="Item prompt",E141,IF('Paste Editor (Beta)'!$C$82="Modifier prompt","'"&amp;B141,IF('Paste Editor (Beta)'!$C$82="Challenge prompt",E141,IF('Paste Editor (Beta)'!$C$82="Reroll class prompt",S140,IF('Paste Editor (Beta)'!$C$82="Swap hero prompt",S140,IF('Paste Editor (Beta)'!$C$82="Anvil prompt",AD140,"")))))))</f>
        <v/>
      </c>
      <c r="AJ140" s="283">
        <f>IF('Paste Editor (Beta)'!$C$90="Level-up prompt",G141,IF('Paste Editor (Beta)'!$C$90="Item prompt",E141,IF('Paste Editor (Beta)'!$C$90="Modifier prompt","'"&amp;B141,IF('Paste Editor (Beta)'!$C$90="Challenge prompt",L141,IF('Paste Editor (Beta)'!$C$90="Reroll class prompt",S140,IF('Paste Editor (Beta)'!$C$90="Swap hero prompt",S140,IF('Paste Editor (Beta)'!$C$90="Anvil prompt",AD140,"")))))))</f>
        <v>0</v>
      </c>
      <c r="AK140" s="283">
        <f>IF('Paste Editor (Beta)'!$C$90="Level-up prompt",G141,IF('Paste Editor (Beta)'!$C$90="Item prompt",E141,IF('Paste Editor (Beta)'!$C$90="Modifier prompt","'"&amp;B141,IF('Paste Editor (Beta)'!$C$90="Challenge prompt",E141,IF('Paste Editor (Beta)'!$C$90="Reroll class prompt",S140,IF('Paste Editor (Beta)'!$C$90="Swap hero prompt",S140,IF('Paste Editor (Beta)'!$C$90="Anvil prompt",AD140,"")))))))</f>
        <v>0</v>
      </c>
    </row>
    <row r="141" spans="1:37" ht="18">
      <c r="A141" s="23" t="s">
        <v>4297</v>
      </c>
      <c r="B141" s="284" t="s">
        <v>2396</v>
      </c>
      <c r="C141" s="284" t="s">
        <v>4298</v>
      </c>
      <c r="D141" s="284" t="s">
        <v>4299</v>
      </c>
      <c r="E141" s="280" t="s">
        <v>876</v>
      </c>
      <c r="AH141" s="280" t="str">
        <f>IF('Paste Editor (Beta)'!$C$82="Level-up prompt",G142,IF('Paste Editor (Beta)'!$C$82="Item prompt",E142,IF('Paste Editor (Beta)'!$C$82="Modifier prompt","'"&amp;B142,IF('Paste Editor (Beta)'!$C$82="Challenge prompt",L142,IF('Paste Editor (Beta)'!$C$82="Reroll class prompt",S141,IF('Paste Editor (Beta)'!$C$82="Swap hero prompt",S141,IF('Paste Editor (Beta)'!$C$82="Anvil prompt",AD141,"")))))))</f>
        <v/>
      </c>
      <c r="AI141" s="280" t="str">
        <f>IF('Paste Editor (Beta)'!$C$82="Level-up prompt",G142,IF('Paste Editor (Beta)'!$C$82="Item prompt",E142,IF('Paste Editor (Beta)'!$C$82="Modifier prompt","'"&amp;B142,IF('Paste Editor (Beta)'!$C$82="Challenge prompt",E142,IF('Paste Editor (Beta)'!$C$82="Reroll class prompt",S141,IF('Paste Editor (Beta)'!$C$82="Swap hero prompt",S141,IF('Paste Editor (Beta)'!$C$82="Anvil prompt",AD141,"")))))))</f>
        <v/>
      </c>
      <c r="AJ141" s="283">
        <f>IF('Paste Editor (Beta)'!$C$90="Level-up prompt",G142,IF('Paste Editor (Beta)'!$C$90="Item prompt",E142,IF('Paste Editor (Beta)'!$C$90="Modifier prompt","'"&amp;B142,IF('Paste Editor (Beta)'!$C$90="Challenge prompt",L142,IF('Paste Editor (Beta)'!$C$90="Reroll class prompt",S141,IF('Paste Editor (Beta)'!$C$90="Swap hero prompt",S141,IF('Paste Editor (Beta)'!$C$90="Anvil prompt",AD141,"")))))))</f>
        <v>0</v>
      </c>
      <c r="AK141" s="283">
        <f>IF('Paste Editor (Beta)'!$C$90="Level-up prompt",G142,IF('Paste Editor (Beta)'!$C$90="Item prompt",E142,IF('Paste Editor (Beta)'!$C$90="Modifier prompt","'"&amp;B142,IF('Paste Editor (Beta)'!$C$90="Challenge prompt",E142,IF('Paste Editor (Beta)'!$C$90="Reroll class prompt",S141,IF('Paste Editor (Beta)'!$C$90="Swap hero prompt",S141,IF('Paste Editor (Beta)'!$C$90="Anvil prompt",AD141,"")))))))</f>
        <v>0</v>
      </c>
    </row>
    <row r="142" spans="1:37" ht="18">
      <c r="A142" s="23" t="s">
        <v>4300</v>
      </c>
      <c r="B142" s="284" t="s">
        <v>2005</v>
      </c>
      <c r="C142" s="284" t="s">
        <v>2005</v>
      </c>
      <c r="D142" s="284" t="s">
        <v>2005</v>
      </c>
      <c r="E142" s="280" t="s">
        <v>1026</v>
      </c>
      <c r="AH142" s="280" t="str">
        <f>IF('Paste Editor (Beta)'!$C$82="Level-up prompt",G143,IF('Paste Editor (Beta)'!$C$82="Item prompt",E143,IF('Paste Editor (Beta)'!$C$82="Modifier prompt","'"&amp;B143,IF('Paste Editor (Beta)'!$C$82="Challenge prompt",L143,IF('Paste Editor (Beta)'!$C$82="Reroll class prompt",S142,IF('Paste Editor (Beta)'!$C$82="Swap hero prompt",S142,IF('Paste Editor (Beta)'!$C$82="Anvil prompt",AD142,"")))))))</f>
        <v/>
      </c>
      <c r="AI142" s="280" t="str">
        <f>IF('Paste Editor (Beta)'!$C$82="Level-up prompt",G143,IF('Paste Editor (Beta)'!$C$82="Item prompt",E143,IF('Paste Editor (Beta)'!$C$82="Modifier prompt","'"&amp;B143,IF('Paste Editor (Beta)'!$C$82="Challenge prompt",E143,IF('Paste Editor (Beta)'!$C$82="Reroll class prompt",S142,IF('Paste Editor (Beta)'!$C$82="Swap hero prompt",S142,IF('Paste Editor (Beta)'!$C$82="Anvil prompt",AD142,"")))))))</f>
        <v/>
      </c>
      <c r="AJ142" s="283">
        <f>IF('Paste Editor (Beta)'!$C$90="Level-up prompt",G143,IF('Paste Editor (Beta)'!$C$90="Item prompt",E143,IF('Paste Editor (Beta)'!$C$90="Modifier prompt","'"&amp;B143,IF('Paste Editor (Beta)'!$C$90="Challenge prompt",L143,IF('Paste Editor (Beta)'!$C$90="Reroll class prompt",S142,IF('Paste Editor (Beta)'!$C$90="Swap hero prompt",S142,IF('Paste Editor (Beta)'!$C$90="Anvil prompt",AD142,"")))))))</f>
        <v>0</v>
      </c>
      <c r="AK142" s="283">
        <f>IF('Paste Editor (Beta)'!$C$90="Level-up prompt",G143,IF('Paste Editor (Beta)'!$C$90="Item prompt",E143,IF('Paste Editor (Beta)'!$C$90="Modifier prompt","'"&amp;B143,IF('Paste Editor (Beta)'!$C$90="Challenge prompt",E143,IF('Paste Editor (Beta)'!$C$90="Reroll class prompt",S142,IF('Paste Editor (Beta)'!$C$90="Swap hero prompt",S142,IF('Paste Editor (Beta)'!$C$90="Anvil prompt",AD142,"")))))))</f>
        <v>0</v>
      </c>
    </row>
    <row r="143" spans="1:37" ht="18">
      <c r="A143" s="23" t="s">
        <v>4301</v>
      </c>
      <c r="B143" s="284" t="s">
        <v>2571</v>
      </c>
      <c r="C143" s="284" t="s">
        <v>2571</v>
      </c>
      <c r="D143" s="284" t="s">
        <v>2571</v>
      </c>
      <c r="E143" s="280" t="s">
        <v>1465</v>
      </c>
      <c r="AH143" s="280" t="str">
        <f>IF('Paste Editor (Beta)'!$C$82="Level-up prompt",G144,IF('Paste Editor (Beta)'!$C$82="Item prompt",E144,IF('Paste Editor (Beta)'!$C$82="Modifier prompt","'"&amp;B144,IF('Paste Editor (Beta)'!$C$82="Challenge prompt",L144,IF('Paste Editor (Beta)'!$C$82="Reroll class prompt",S143,IF('Paste Editor (Beta)'!$C$82="Swap hero prompt",S143,IF('Paste Editor (Beta)'!$C$82="Anvil prompt",AD143,"")))))))</f>
        <v/>
      </c>
      <c r="AI143" s="280" t="str">
        <f>IF('Paste Editor (Beta)'!$C$82="Level-up prompt",G144,IF('Paste Editor (Beta)'!$C$82="Item prompt",E144,IF('Paste Editor (Beta)'!$C$82="Modifier prompt","'"&amp;B144,IF('Paste Editor (Beta)'!$C$82="Challenge prompt",E144,IF('Paste Editor (Beta)'!$C$82="Reroll class prompt",S143,IF('Paste Editor (Beta)'!$C$82="Swap hero prompt",S143,IF('Paste Editor (Beta)'!$C$82="Anvil prompt",AD143,"")))))))</f>
        <v/>
      </c>
      <c r="AJ143" s="283">
        <f>IF('Paste Editor (Beta)'!$C$90="Level-up prompt",G144,IF('Paste Editor (Beta)'!$C$90="Item prompt",E144,IF('Paste Editor (Beta)'!$C$90="Modifier prompt","'"&amp;B144,IF('Paste Editor (Beta)'!$C$90="Challenge prompt",L144,IF('Paste Editor (Beta)'!$C$90="Reroll class prompt",S143,IF('Paste Editor (Beta)'!$C$90="Swap hero prompt",S143,IF('Paste Editor (Beta)'!$C$90="Anvil prompt",AD143,"")))))))</f>
        <v>0</v>
      </c>
      <c r="AK143" s="283">
        <f>IF('Paste Editor (Beta)'!$C$90="Level-up prompt",G144,IF('Paste Editor (Beta)'!$C$90="Item prompt",E144,IF('Paste Editor (Beta)'!$C$90="Modifier prompt","'"&amp;B144,IF('Paste Editor (Beta)'!$C$90="Challenge prompt",E144,IF('Paste Editor (Beta)'!$C$90="Reroll class prompt",S143,IF('Paste Editor (Beta)'!$C$90="Swap hero prompt",S143,IF('Paste Editor (Beta)'!$C$90="Anvil prompt",AD143,"")))))))</f>
        <v>0</v>
      </c>
    </row>
    <row r="144" spans="1:37" ht="18">
      <c r="A144" s="23" t="s">
        <v>4302</v>
      </c>
      <c r="B144" s="284" t="s">
        <v>2045</v>
      </c>
      <c r="C144" s="284" t="s">
        <v>2045</v>
      </c>
      <c r="D144" s="284" t="s">
        <v>2045</v>
      </c>
      <c r="E144" s="280" t="s">
        <v>1322</v>
      </c>
      <c r="AH144" s="280" t="str">
        <f>IF('Paste Editor (Beta)'!$C$82="Level-up prompt",G145,IF('Paste Editor (Beta)'!$C$82="Item prompt",E145,IF('Paste Editor (Beta)'!$C$82="Modifier prompt","'"&amp;B145,IF('Paste Editor (Beta)'!$C$82="Challenge prompt",L145,IF('Paste Editor (Beta)'!$C$82="Reroll class prompt",S144,IF('Paste Editor (Beta)'!$C$82="Swap hero prompt",S144,IF('Paste Editor (Beta)'!$C$82="Anvil prompt",AD144,"")))))))</f>
        <v/>
      </c>
      <c r="AI144" s="280" t="str">
        <f>IF('Paste Editor (Beta)'!$C$82="Level-up prompt",G145,IF('Paste Editor (Beta)'!$C$82="Item prompt",E145,IF('Paste Editor (Beta)'!$C$82="Modifier prompt","'"&amp;B145,IF('Paste Editor (Beta)'!$C$82="Challenge prompt",E145,IF('Paste Editor (Beta)'!$C$82="Reroll class prompt",S144,IF('Paste Editor (Beta)'!$C$82="Swap hero prompt",S144,IF('Paste Editor (Beta)'!$C$82="Anvil prompt",AD144,"")))))))</f>
        <v/>
      </c>
      <c r="AJ144" s="283">
        <f>IF('Paste Editor (Beta)'!$C$90="Level-up prompt",G145,IF('Paste Editor (Beta)'!$C$90="Item prompt",E145,IF('Paste Editor (Beta)'!$C$90="Modifier prompt","'"&amp;B145,IF('Paste Editor (Beta)'!$C$90="Challenge prompt",L145,IF('Paste Editor (Beta)'!$C$90="Reroll class prompt",S144,IF('Paste Editor (Beta)'!$C$90="Swap hero prompt",S144,IF('Paste Editor (Beta)'!$C$90="Anvil prompt",AD144,"")))))))</f>
        <v>0</v>
      </c>
      <c r="AK144" s="283">
        <f>IF('Paste Editor (Beta)'!$C$90="Level-up prompt",G145,IF('Paste Editor (Beta)'!$C$90="Item prompt",E145,IF('Paste Editor (Beta)'!$C$90="Modifier prompt","'"&amp;B145,IF('Paste Editor (Beta)'!$C$90="Challenge prompt",E145,IF('Paste Editor (Beta)'!$C$90="Reroll class prompt",S144,IF('Paste Editor (Beta)'!$C$90="Swap hero prompt",S144,IF('Paste Editor (Beta)'!$C$90="Anvil prompt",AD144,"")))))))</f>
        <v>0</v>
      </c>
    </row>
    <row r="145" spans="1:37" ht="18">
      <c r="A145" s="23" t="s">
        <v>4303</v>
      </c>
      <c r="B145" s="284" t="s">
        <v>1969</v>
      </c>
      <c r="C145" s="284" t="s">
        <v>1969</v>
      </c>
      <c r="D145" s="284" t="s">
        <v>1969</v>
      </c>
      <c r="E145" s="280" t="s">
        <v>1095</v>
      </c>
      <c r="AH145" s="280" t="str">
        <f>IF('Paste Editor (Beta)'!$C$82="Level-up prompt",G146,IF('Paste Editor (Beta)'!$C$82="Item prompt",E146,IF('Paste Editor (Beta)'!$C$82="Modifier prompt","'"&amp;B146,IF('Paste Editor (Beta)'!$C$82="Challenge prompt",L146,IF('Paste Editor (Beta)'!$C$82="Reroll class prompt",S145,IF('Paste Editor (Beta)'!$C$82="Swap hero prompt",S145,IF('Paste Editor (Beta)'!$C$82="Anvil prompt",AD145,"")))))))</f>
        <v/>
      </c>
      <c r="AI145" s="280" t="str">
        <f>IF('Paste Editor (Beta)'!$C$82="Level-up prompt",G146,IF('Paste Editor (Beta)'!$C$82="Item prompt",E146,IF('Paste Editor (Beta)'!$C$82="Modifier prompt","'"&amp;B146,IF('Paste Editor (Beta)'!$C$82="Challenge prompt",E146,IF('Paste Editor (Beta)'!$C$82="Reroll class prompt",S145,IF('Paste Editor (Beta)'!$C$82="Swap hero prompt",S145,IF('Paste Editor (Beta)'!$C$82="Anvil prompt",AD145,"")))))))</f>
        <v/>
      </c>
      <c r="AJ145" s="283">
        <f>IF('Paste Editor (Beta)'!$C$90="Level-up prompt",G146,IF('Paste Editor (Beta)'!$C$90="Item prompt",E146,IF('Paste Editor (Beta)'!$C$90="Modifier prompt","'"&amp;B146,IF('Paste Editor (Beta)'!$C$90="Challenge prompt",L146,IF('Paste Editor (Beta)'!$C$90="Reroll class prompt",S145,IF('Paste Editor (Beta)'!$C$90="Swap hero prompt",S145,IF('Paste Editor (Beta)'!$C$90="Anvil prompt",AD145,"")))))))</f>
        <v>0</v>
      </c>
      <c r="AK145" s="283">
        <f>IF('Paste Editor (Beta)'!$C$90="Level-up prompt",G146,IF('Paste Editor (Beta)'!$C$90="Item prompt",E146,IF('Paste Editor (Beta)'!$C$90="Modifier prompt","'"&amp;B146,IF('Paste Editor (Beta)'!$C$90="Challenge prompt",E146,IF('Paste Editor (Beta)'!$C$90="Reroll class prompt",S145,IF('Paste Editor (Beta)'!$C$90="Swap hero prompt",S145,IF('Paste Editor (Beta)'!$C$90="Anvil prompt",AD145,"")))))))</f>
        <v>0</v>
      </c>
    </row>
    <row r="146" spans="1:37" ht="18">
      <c r="A146" s="23" t="s">
        <v>4304</v>
      </c>
      <c r="B146" s="284" t="s">
        <v>1971</v>
      </c>
      <c r="C146" s="284" t="s">
        <v>1971</v>
      </c>
      <c r="D146" s="284" t="s">
        <v>1971</v>
      </c>
      <c r="E146" s="280" t="s">
        <v>956</v>
      </c>
      <c r="AH146" s="280" t="str">
        <f>IF('Paste Editor (Beta)'!$C$82="Level-up prompt",G147,IF('Paste Editor (Beta)'!$C$82="Item prompt",E147,IF('Paste Editor (Beta)'!$C$82="Modifier prompt","'"&amp;B147,IF('Paste Editor (Beta)'!$C$82="Challenge prompt",L147,IF('Paste Editor (Beta)'!$C$82="Reroll class prompt",S146,IF('Paste Editor (Beta)'!$C$82="Swap hero prompt",S146,IF('Paste Editor (Beta)'!$C$82="Anvil prompt",AD146,"")))))))</f>
        <v/>
      </c>
      <c r="AI146" s="280" t="str">
        <f>IF('Paste Editor (Beta)'!$C$82="Level-up prompt",G147,IF('Paste Editor (Beta)'!$C$82="Item prompt",E147,IF('Paste Editor (Beta)'!$C$82="Modifier prompt","'"&amp;B147,IF('Paste Editor (Beta)'!$C$82="Challenge prompt",E147,IF('Paste Editor (Beta)'!$C$82="Reroll class prompt",S146,IF('Paste Editor (Beta)'!$C$82="Swap hero prompt",S146,IF('Paste Editor (Beta)'!$C$82="Anvil prompt",AD146,"")))))))</f>
        <v/>
      </c>
      <c r="AJ146" s="283">
        <f>IF('Paste Editor (Beta)'!$C$90="Level-up prompt",G147,IF('Paste Editor (Beta)'!$C$90="Item prompt",E147,IF('Paste Editor (Beta)'!$C$90="Modifier prompt","'"&amp;B147,IF('Paste Editor (Beta)'!$C$90="Challenge prompt",L147,IF('Paste Editor (Beta)'!$C$90="Reroll class prompt",S146,IF('Paste Editor (Beta)'!$C$90="Swap hero prompt",S146,IF('Paste Editor (Beta)'!$C$90="Anvil prompt",AD146,"")))))))</f>
        <v>0</v>
      </c>
      <c r="AK146" s="283">
        <f>IF('Paste Editor (Beta)'!$C$90="Level-up prompt",G147,IF('Paste Editor (Beta)'!$C$90="Item prompt",E147,IF('Paste Editor (Beta)'!$C$90="Modifier prompt","'"&amp;B147,IF('Paste Editor (Beta)'!$C$90="Challenge prompt",E147,IF('Paste Editor (Beta)'!$C$90="Reroll class prompt",S146,IF('Paste Editor (Beta)'!$C$90="Swap hero prompt",S146,IF('Paste Editor (Beta)'!$C$90="Anvil prompt",AD146,"")))))))</f>
        <v>0</v>
      </c>
    </row>
    <row r="147" spans="1:37" ht="18">
      <c r="A147" s="23" t="s">
        <v>4305</v>
      </c>
      <c r="B147" s="284" t="s">
        <v>2112</v>
      </c>
      <c r="C147" s="284" t="s">
        <v>2112</v>
      </c>
      <c r="D147" s="284" t="s">
        <v>2112</v>
      </c>
      <c r="E147" s="280" t="s">
        <v>1324</v>
      </c>
      <c r="AH147" s="280" t="str">
        <f>IF('Paste Editor (Beta)'!$C$82="Level-up prompt",G148,IF('Paste Editor (Beta)'!$C$82="Item prompt",E148,IF('Paste Editor (Beta)'!$C$82="Modifier prompt","'"&amp;B148,IF('Paste Editor (Beta)'!$C$82="Challenge prompt",L148,IF('Paste Editor (Beta)'!$C$82="Reroll class prompt",S147,IF('Paste Editor (Beta)'!$C$82="Swap hero prompt",S147,IF('Paste Editor (Beta)'!$C$82="Anvil prompt",AD147,"")))))))</f>
        <v/>
      </c>
      <c r="AI147" s="280" t="str">
        <f>IF('Paste Editor (Beta)'!$C$82="Level-up prompt",G148,IF('Paste Editor (Beta)'!$C$82="Item prompt",E148,IF('Paste Editor (Beta)'!$C$82="Modifier prompt","'"&amp;B148,IF('Paste Editor (Beta)'!$C$82="Challenge prompt",E148,IF('Paste Editor (Beta)'!$C$82="Reroll class prompt",S147,IF('Paste Editor (Beta)'!$C$82="Swap hero prompt",S147,IF('Paste Editor (Beta)'!$C$82="Anvil prompt",AD147,"")))))))</f>
        <v/>
      </c>
      <c r="AJ147" s="283">
        <f>IF('Paste Editor (Beta)'!$C$90="Level-up prompt",G148,IF('Paste Editor (Beta)'!$C$90="Item prompt",E148,IF('Paste Editor (Beta)'!$C$90="Modifier prompt","'"&amp;B148,IF('Paste Editor (Beta)'!$C$90="Challenge prompt",L148,IF('Paste Editor (Beta)'!$C$90="Reroll class prompt",S147,IF('Paste Editor (Beta)'!$C$90="Swap hero prompt",S147,IF('Paste Editor (Beta)'!$C$90="Anvil prompt",AD147,"")))))))</f>
        <v>0</v>
      </c>
      <c r="AK147" s="283">
        <f>IF('Paste Editor (Beta)'!$C$90="Level-up prompt",G148,IF('Paste Editor (Beta)'!$C$90="Item prompt",E148,IF('Paste Editor (Beta)'!$C$90="Modifier prompt","'"&amp;B148,IF('Paste Editor (Beta)'!$C$90="Challenge prompt",E148,IF('Paste Editor (Beta)'!$C$90="Reroll class prompt",S147,IF('Paste Editor (Beta)'!$C$90="Swap hero prompt",S147,IF('Paste Editor (Beta)'!$C$90="Anvil prompt",AD147,"")))))))</f>
        <v>0</v>
      </c>
    </row>
    <row r="148" spans="1:37" ht="18">
      <c r="A148" s="23" t="s">
        <v>4306</v>
      </c>
      <c r="B148" s="284" t="s">
        <v>2214</v>
      </c>
      <c r="C148" s="284" t="s">
        <v>2214</v>
      </c>
      <c r="D148" s="284" t="s">
        <v>2214</v>
      </c>
      <c r="E148" s="280" t="s">
        <v>1326</v>
      </c>
      <c r="AH148" s="280" t="str">
        <f>IF('Paste Editor (Beta)'!$C$82="Level-up prompt",G149,IF('Paste Editor (Beta)'!$C$82="Item prompt",E149,IF('Paste Editor (Beta)'!$C$82="Modifier prompt","'"&amp;B149,IF('Paste Editor (Beta)'!$C$82="Challenge prompt",L149,IF('Paste Editor (Beta)'!$C$82="Reroll class prompt",S148,IF('Paste Editor (Beta)'!$C$82="Swap hero prompt",S148,IF('Paste Editor (Beta)'!$C$82="Anvil prompt",AD148,"")))))))</f>
        <v/>
      </c>
      <c r="AI148" s="280" t="str">
        <f>IF('Paste Editor (Beta)'!$C$82="Level-up prompt",G149,IF('Paste Editor (Beta)'!$C$82="Item prompt",E149,IF('Paste Editor (Beta)'!$C$82="Modifier prompt","'"&amp;B149,IF('Paste Editor (Beta)'!$C$82="Challenge prompt",E149,IF('Paste Editor (Beta)'!$C$82="Reroll class prompt",S148,IF('Paste Editor (Beta)'!$C$82="Swap hero prompt",S148,IF('Paste Editor (Beta)'!$C$82="Anvil prompt",AD148,"")))))))</f>
        <v/>
      </c>
      <c r="AJ148" s="283">
        <f>IF('Paste Editor (Beta)'!$C$90="Level-up prompt",G149,IF('Paste Editor (Beta)'!$C$90="Item prompt",E149,IF('Paste Editor (Beta)'!$C$90="Modifier prompt","'"&amp;B149,IF('Paste Editor (Beta)'!$C$90="Challenge prompt",L149,IF('Paste Editor (Beta)'!$C$90="Reroll class prompt",S148,IF('Paste Editor (Beta)'!$C$90="Swap hero prompt",S148,IF('Paste Editor (Beta)'!$C$90="Anvil prompt",AD148,"")))))))</f>
        <v>0</v>
      </c>
      <c r="AK148" s="283">
        <f>IF('Paste Editor (Beta)'!$C$90="Level-up prompt",G149,IF('Paste Editor (Beta)'!$C$90="Item prompt",E149,IF('Paste Editor (Beta)'!$C$90="Modifier prompt","'"&amp;B149,IF('Paste Editor (Beta)'!$C$90="Challenge prompt",E149,IF('Paste Editor (Beta)'!$C$90="Reroll class prompt",S148,IF('Paste Editor (Beta)'!$C$90="Swap hero prompt",S148,IF('Paste Editor (Beta)'!$C$90="Anvil prompt",AD148,"")))))))</f>
        <v>0</v>
      </c>
    </row>
    <row r="149" spans="1:37" ht="18">
      <c r="A149" s="23" t="s">
        <v>4307</v>
      </c>
      <c r="B149" s="284" t="s">
        <v>2330</v>
      </c>
      <c r="C149" s="284" t="s">
        <v>2330</v>
      </c>
      <c r="D149" s="284" t="s">
        <v>2330</v>
      </c>
      <c r="E149" s="280" t="s">
        <v>1516</v>
      </c>
      <c r="AH149" s="280" t="str">
        <f>IF('Paste Editor (Beta)'!$C$82="Level-up prompt",G150,IF('Paste Editor (Beta)'!$C$82="Item prompt",E150,IF('Paste Editor (Beta)'!$C$82="Modifier prompt","'"&amp;B150,IF('Paste Editor (Beta)'!$C$82="Challenge prompt",L150,IF('Paste Editor (Beta)'!$C$82="Reroll class prompt",S149,IF('Paste Editor (Beta)'!$C$82="Swap hero prompt",S149,IF('Paste Editor (Beta)'!$C$82="Anvil prompt",AD149,"")))))))</f>
        <v/>
      </c>
      <c r="AI149" s="280" t="str">
        <f>IF('Paste Editor (Beta)'!$C$82="Level-up prompt",G150,IF('Paste Editor (Beta)'!$C$82="Item prompt",E150,IF('Paste Editor (Beta)'!$C$82="Modifier prompt","'"&amp;B150,IF('Paste Editor (Beta)'!$C$82="Challenge prompt",E150,IF('Paste Editor (Beta)'!$C$82="Reroll class prompt",S149,IF('Paste Editor (Beta)'!$C$82="Swap hero prompt",S149,IF('Paste Editor (Beta)'!$C$82="Anvil prompt",AD149,"")))))))</f>
        <v/>
      </c>
      <c r="AJ149" s="283">
        <f>IF('Paste Editor (Beta)'!$C$90="Level-up prompt",G150,IF('Paste Editor (Beta)'!$C$90="Item prompt",E150,IF('Paste Editor (Beta)'!$C$90="Modifier prompt","'"&amp;B150,IF('Paste Editor (Beta)'!$C$90="Challenge prompt",L150,IF('Paste Editor (Beta)'!$C$90="Reroll class prompt",S149,IF('Paste Editor (Beta)'!$C$90="Swap hero prompt",S149,IF('Paste Editor (Beta)'!$C$90="Anvil prompt",AD149,"")))))))</f>
        <v>0</v>
      </c>
      <c r="AK149" s="283">
        <f>IF('Paste Editor (Beta)'!$C$90="Level-up prompt",G150,IF('Paste Editor (Beta)'!$C$90="Item prompt",E150,IF('Paste Editor (Beta)'!$C$90="Modifier prompt","'"&amp;B150,IF('Paste Editor (Beta)'!$C$90="Challenge prompt",E150,IF('Paste Editor (Beta)'!$C$90="Reroll class prompt",S149,IF('Paste Editor (Beta)'!$C$90="Swap hero prompt",S149,IF('Paste Editor (Beta)'!$C$90="Anvil prompt",AD149,"")))))))</f>
        <v>0</v>
      </c>
    </row>
    <row r="150" spans="1:37" ht="18">
      <c r="A150" s="23" t="s">
        <v>4308</v>
      </c>
      <c r="B150" s="284" t="s">
        <v>2017</v>
      </c>
      <c r="C150" s="284" t="s">
        <v>2017</v>
      </c>
      <c r="D150" s="284" t="s">
        <v>2017</v>
      </c>
      <c r="E150" s="280" t="s">
        <v>1562</v>
      </c>
      <c r="AH150" s="280" t="str">
        <f>IF('Paste Editor (Beta)'!$C$82="Level-up prompt",G151,IF('Paste Editor (Beta)'!$C$82="Item prompt",E151,IF('Paste Editor (Beta)'!$C$82="Modifier prompt","'"&amp;B151,IF('Paste Editor (Beta)'!$C$82="Challenge prompt",L151,IF('Paste Editor (Beta)'!$C$82="Reroll class prompt",S150,IF('Paste Editor (Beta)'!$C$82="Swap hero prompt",S150,IF('Paste Editor (Beta)'!$C$82="Anvil prompt",AD150,"")))))))</f>
        <v/>
      </c>
      <c r="AI150" s="280" t="str">
        <f>IF('Paste Editor (Beta)'!$C$82="Level-up prompt",G151,IF('Paste Editor (Beta)'!$C$82="Item prompt",E151,IF('Paste Editor (Beta)'!$C$82="Modifier prompt","'"&amp;B151,IF('Paste Editor (Beta)'!$C$82="Challenge prompt",E151,IF('Paste Editor (Beta)'!$C$82="Reroll class prompt",S150,IF('Paste Editor (Beta)'!$C$82="Swap hero prompt",S150,IF('Paste Editor (Beta)'!$C$82="Anvil prompt",AD150,"")))))))</f>
        <v/>
      </c>
      <c r="AJ150" s="283">
        <f>IF('Paste Editor (Beta)'!$C$90="Level-up prompt",G151,IF('Paste Editor (Beta)'!$C$90="Item prompt",E151,IF('Paste Editor (Beta)'!$C$90="Modifier prompt","'"&amp;B151,IF('Paste Editor (Beta)'!$C$90="Challenge prompt",L151,IF('Paste Editor (Beta)'!$C$90="Reroll class prompt",S150,IF('Paste Editor (Beta)'!$C$90="Swap hero prompt",S150,IF('Paste Editor (Beta)'!$C$90="Anvil prompt",AD150,"")))))))</f>
        <v>0</v>
      </c>
      <c r="AK150" s="283">
        <f>IF('Paste Editor (Beta)'!$C$90="Level-up prompt",G151,IF('Paste Editor (Beta)'!$C$90="Item prompt",E151,IF('Paste Editor (Beta)'!$C$90="Modifier prompt","'"&amp;B151,IF('Paste Editor (Beta)'!$C$90="Challenge prompt",E151,IF('Paste Editor (Beta)'!$C$90="Reroll class prompt",S150,IF('Paste Editor (Beta)'!$C$90="Swap hero prompt",S150,IF('Paste Editor (Beta)'!$C$90="Anvil prompt",AD150,"")))))))</f>
        <v>0</v>
      </c>
    </row>
    <row r="151" spans="1:37" ht="18">
      <c r="A151" s="23" t="s">
        <v>4309</v>
      </c>
      <c r="B151" s="284" t="s">
        <v>2444</v>
      </c>
      <c r="C151" s="284" t="s">
        <v>2444</v>
      </c>
      <c r="D151" s="284" t="s">
        <v>2444</v>
      </c>
      <c r="E151" s="280" t="s">
        <v>1028</v>
      </c>
      <c r="AH151" s="280" t="str">
        <f>IF('Paste Editor (Beta)'!$C$82="Level-up prompt",G152,IF('Paste Editor (Beta)'!$C$82="Item prompt",E152,IF('Paste Editor (Beta)'!$C$82="Modifier prompt","'"&amp;B152,IF('Paste Editor (Beta)'!$C$82="Challenge prompt",L152,IF('Paste Editor (Beta)'!$C$82="Reroll class prompt",S151,IF('Paste Editor (Beta)'!$C$82="Swap hero prompt",S151,IF('Paste Editor (Beta)'!$C$82="Anvil prompt",AD151,"")))))))</f>
        <v/>
      </c>
      <c r="AI151" s="280" t="str">
        <f>IF('Paste Editor (Beta)'!$C$82="Level-up prompt",G152,IF('Paste Editor (Beta)'!$C$82="Item prompt",E152,IF('Paste Editor (Beta)'!$C$82="Modifier prompt","'"&amp;B152,IF('Paste Editor (Beta)'!$C$82="Challenge prompt",E152,IF('Paste Editor (Beta)'!$C$82="Reroll class prompt",S151,IF('Paste Editor (Beta)'!$C$82="Swap hero prompt",S151,IF('Paste Editor (Beta)'!$C$82="Anvil prompt",AD151,"")))))))</f>
        <v/>
      </c>
      <c r="AJ151" s="283">
        <f>IF('Paste Editor (Beta)'!$C$90="Level-up prompt",G152,IF('Paste Editor (Beta)'!$C$90="Item prompt",E152,IF('Paste Editor (Beta)'!$C$90="Modifier prompt","'"&amp;B152,IF('Paste Editor (Beta)'!$C$90="Challenge prompt",L152,IF('Paste Editor (Beta)'!$C$90="Reroll class prompt",S151,IF('Paste Editor (Beta)'!$C$90="Swap hero prompt",S151,IF('Paste Editor (Beta)'!$C$90="Anvil prompt",AD151,"")))))))</f>
        <v>0</v>
      </c>
      <c r="AK151" s="283">
        <f>IF('Paste Editor (Beta)'!$C$90="Level-up prompt",G152,IF('Paste Editor (Beta)'!$C$90="Item prompt",E152,IF('Paste Editor (Beta)'!$C$90="Modifier prompt","'"&amp;B152,IF('Paste Editor (Beta)'!$C$90="Challenge prompt",E152,IF('Paste Editor (Beta)'!$C$90="Reroll class prompt",S151,IF('Paste Editor (Beta)'!$C$90="Swap hero prompt",S151,IF('Paste Editor (Beta)'!$C$90="Anvil prompt",AD151,"")))))))</f>
        <v>0</v>
      </c>
    </row>
    <row r="152" spans="1:37" ht="18">
      <c r="A152" s="23" t="s">
        <v>4310</v>
      </c>
      <c r="B152" s="284" t="s">
        <v>3103</v>
      </c>
      <c r="C152" s="284" t="s">
        <v>3103</v>
      </c>
      <c r="D152" s="284" t="s">
        <v>3103</v>
      </c>
      <c r="E152" s="280" t="s">
        <v>879</v>
      </c>
      <c r="AH152" s="280" t="str">
        <f>IF('Paste Editor (Beta)'!$C$82="Level-up prompt",G153,IF('Paste Editor (Beta)'!$C$82="Item prompt",E153,IF('Paste Editor (Beta)'!$C$82="Modifier prompt","'"&amp;B153,IF('Paste Editor (Beta)'!$C$82="Challenge prompt",L153,IF('Paste Editor (Beta)'!$C$82="Reroll class prompt",S152,IF('Paste Editor (Beta)'!$C$82="Swap hero prompt",S152,IF('Paste Editor (Beta)'!$C$82="Anvil prompt",AD152,"")))))))</f>
        <v/>
      </c>
      <c r="AI152" s="280" t="str">
        <f>IF('Paste Editor (Beta)'!$C$82="Level-up prompt",G153,IF('Paste Editor (Beta)'!$C$82="Item prompt",E153,IF('Paste Editor (Beta)'!$C$82="Modifier prompt","'"&amp;B153,IF('Paste Editor (Beta)'!$C$82="Challenge prompt",E153,IF('Paste Editor (Beta)'!$C$82="Reroll class prompt",S152,IF('Paste Editor (Beta)'!$C$82="Swap hero prompt",S152,IF('Paste Editor (Beta)'!$C$82="Anvil prompt",AD152,"")))))))</f>
        <v/>
      </c>
      <c r="AJ152" s="283">
        <f>IF('Paste Editor (Beta)'!$C$90="Level-up prompt",G153,IF('Paste Editor (Beta)'!$C$90="Item prompt",E153,IF('Paste Editor (Beta)'!$C$90="Modifier prompt","'"&amp;B153,IF('Paste Editor (Beta)'!$C$90="Challenge prompt",L153,IF('Paste Editor (Beta)'!$C$90="Reroll class prompt",S152,IF('Paste Editor (Beta)'!$C$90="Swap hero prompt",S152,IF('Paste Editor (Beta)'!$C$90="Anvil prompt",AD152,"")))))))</f>
        <v>0</v>
      </c>
      <c r="AK152" s="283">
        <f>IF('Paste Editor (Beta)'!$C$90="Level-up prompt",G153,IF('Paste Editor (Beta)'!$C$90="Item prompt",E153,IF('Paste Editor (Beta)'!$C$90="Modifier prompt","'"&amp;B153,IF('Paste Editor (Beta)'!$C$90="Challenge prompt",E153,IF('Paste Editor (Beta)'!$C$90="Reroll class prompt",S152,IF('Paste Editor (Beta)'!$C$90="Swap hero prompt",S152,IF('Paste Editor (Beta)'!$C$90="Anvil prompt",AD152,"")))))))</f>
        <v>0</v>
      </c>
    </row>
    <row r="153" spans="1:37" ht="18">
      <c r="A153" s="23" t="s">
        <v>4311</v>
      </c>
      <c r="B153" s="284" t="s">
        <v>2369</v>
      </c>
      <c r="C153" s="284" t="s">
        <v>2369</v>
      </c>
      <c r="D153" s="284" t="s">
        <v>2369</v>
      </c>
      <c r="E153" s="280" t="s">
        <v>1467</v>
      </c>
      <c r="AH153" s="280" t="str">
        <f>IF('Paste Editor (Beta)'!$C$82="Level-up prompt",G154,IF('Paste Editor (Beta)'!$C$82="Item prompt",E154,IF('Paste Editor (Beta)'!$C$82="Modifier prompt","'"&amp;B154,IF('Paste Editor (Beta)'!$C$82="Challenge prompt",L154,IF('Paste Editor (Beta)'!$C$82="Reroll class prompt",S153,IF('Paste Editor (Beta)'!$C$82="Swap hero prompt",S153,IF('Paste Editor (Beta)'!$C$82="Anvil prompt",AD153,"")))))))</f>
        <v/>
      </c>
      <c r="AI153" s="280" t="str">
        <f>IF('Paste Editor (Beta)'!$C$82="Level-up prompt",G154,IF('Paste Editor (Beta)'!$C$82="Item prompt",E154,IF('Paste Editor (Beta)'!$C$82="Modifier prompt","'"&amp;B154,IF('Paste Editor (Beta)'!$C$82="Challenge prompt",E154,IF('Paste Editor (Beta)'!$C$82="Reroll class prompt",S153,IF('Paste Editor (Beta)'!$C$82="Swap hero prompt",S153,IF('Paste Editor (Beta)'!$C$82="Anvil prompt",AD153,"")))))))</f>
        <v/>
      </c>
      <c r="AJ153" s="283">
        <f>IF('Paste Editor (Beta)'!$C$90="Level-up prompt",G154,IF('Paste Editor (Beta)'!$C$90="Item prompt",E154,IF('Paste Editor (Beta)'!$C$90="Modifier prompt","'"&amp;B154,IF('Paste Editor (Beta)'!$C$90="Challenge prompt",L154,IF('Paste Editor (Beta)'!$C$90="Reroll class prompt",S153,IF('Paste Editor (Beta)'!$C$90="Swap hero prompt",S153,IF('Paste Editor (Beta)'!$C$90="Anvil prompt",AD153,"")))))))</f>
        <v>0</v>
      </c>
      <c r="AK153" s="283">
        <f>IF('Paste Editor (Beta)'!$C$90="Level-up prompt",G154,IF('Paste Editor (Beta)'!$C$90="Item prompt",E154,IF('Paste Editor (Beta)'!$C$90="Modifier prompt","'"&amp;B154,IF('Paste Editor (Beta)'!$C$90="Challenge prompt",E154,IF('Paste Editor (Beta)'!$C$90="Reroll class prompt",S153,IF('Paste Editor (Beta)'!$C$90="Swap hero prompt",S153,IF('Paste Editor (Beta)'!$C$90="Anvil prompt",AD153,"")))))))</f>
        <v>0</v>
      </c>
    </row>
    <row r="154" spans="1:37" ht="18">
      <c r="A154" s="23" t="s">
        <v>4312</v>
      </c>
      <c r="B154" s="284" t="s">
        <v>2987</v>
      </c>
      <c r="C154" s="284" t="s">
        <v>2987</v>
      </c>
      <c r="D154" s="284" t="s">
        <v>2987</v>
      </c>
      <c r="E154" s="280" t="s">
        <v>830</v>
      </c>
      <c r="AH154" s="280" t="str">
        <f>IF('Paste Editor (Beta)'!$C$82="Level-up prompt",G155,IF('Paste Editor (Beta)'!$C$82="Item prompt",E155,IF('Paste Editor (Beta)'!$C$82="Modifier prompt","'"&amp;B155,IF('Paste Editor (Beta)'!$C$82="Challenge prompt",L155,IF('Paste Editor (Beta)'!$C$82="Reroll class prompt",S154,IF('Paste Editor (Beta)'!$C$82="Swap hero prompt",S154,IF('Paste Editor (Beta)'!$C$82="Anvil prompt",AD154,"")))))))</f>
        <v/>
      </c>
      <c r="AI154" s="280" t="str">
        <f>IF('Paste Editor (Beta)'!$C$82="Level-up prompt",G155,IF('Paste Editor (Beta)'!$C$82="Item prompt",E155,IF('Paste Editor (Beta)'!$C$82="Modifier prompt","'"&amp;B155,IF('Paste Editor (Beta)'!$C$82="Challenge prompt",E155,IF('Paste Editor (Beta)'!$C$82="Reroll class prompt",S154,IF('Paste Editor (Beta)'!$C$82="Swap hero prompt",S154,IF('Paste Editor (Beta)'!$C$82="Anvil prompt",AD154,"")))))))</f>
        <v/>
      </c>
      <c r="AJ154" s="283">
        <f>IF('Paste Editor (Beta)'!$C$90="Level-up prompt",G155,IF('Paste Editor (Beta)'!$C$90="Item prompt",E155,IF('Paste Editor (Beta)'!$C$90="Modifier prompt","'"&amp;B155,IF('Paste Editor (Beta)'!$C$90="Challenge prompt",L155,IF('Paste Editor (Beta)'!$C$90="Reroll class prompt",S154,IF('Paste Editor (Beta)'!$C$90="Swap hero prompt",S154,IF('Paste Editor (Beta)'!$C$90="Anvil prompt",AD154,"")))))))</f>
        <v>0</v>
      </c>
      <c r="AK154" s="283">
        <f>IF('Paste Editor (Beta)'!$C$90="Level-up prompt",G155,IF('Paste Editor (Beta)'!$C$90="Item prompt",E155,IF('Paste Editor (Beta)'!$C$90="Modifier prompt","'"&amp;B155,IF('Paste Editor (Beta)'!$C$90="Challenge prompt",E155,IF('Paste Editor (Beta)'!$C$90="Reroll class prompt",S154,IF('Paste Editor (Beta)'!$C$90="Swap hero prompt",S154,IF('Paste Editor (Beta)'!$C$90="Anvil prompt",AD154,"")))))))</f>
        <v>0</v>
      </c>
    </row>
    <row r="155" spans="1:37" ht="18">
      <c r="A155" s="23" t="s">
        <v>4313</v>
      </c>
      <c r="B155" s="284" t="s">
        <v>3039</v>
      </c>
      <c r="C155" s="284" t="s">
        <v>3039</v>
      </c>
      <c r="D155" s="284" t="s">
        <v>3039</v>
      </c>
      <c r="E155" s="280" t="s">
        <v>1158</v>
      </c>
      <c r="AH155" s="280" t="str">
        <f>IF('Paste Editor (Beta)'!$C$82="Level-up prompt",G156,IF('Paste Editor (Beta)'!$C$82="Item prompt",E156,IF('Paste Editor (Beta)'!$C$82="Modifier prompt","'"&amp;B156,IF('Paste Editor (Beta)'!$C$82="Challenge prompt",L156,IF('Paste Editor (Beta)'!$C$82="Reroll class prompt",S155,IF('Paste Editor (Beta)'!$C$82="Swap hero prompt",S155,IF('Paste Editor (Beta)'!$C$82="Anvil prompt",AD155,"")))))))</f>
        <v/>
      </c>
      <c r="AI155" s="280" t="str">
        <f>IF('Paste Editor (Beta)'!$C$82="Level-up prompt",G156,IF('Paste Editor (Beta)'!$C$82="Item prompt",E156,IF('Paste Editor (Beta)'!$C$82="Modifier prompt","'"&amp;B156,IF('Paste Editor (Beta)'!$C$82="Challenge prompt",E156,IF('Paste Editor (Beta)'!$C$82="Reroll class prompt",S155,IF('Paste Editor (Beta)'!$C$82="Swap hero prompt",S155,IF('Paste Editor (Beta)'!$C$82="Anvil prompt",AD155,"")))))))</f>
        <v/>
      </c>
      <c r="AJ155" s="283">
        <f>IF('Paste Editor (Beta)'!$C$90="Level-up prompt",G156,IF('Paste Editor (Beta)'!$C$90="Item prompt",E156,IF('Paste Editor (Beta)'!$C$90="Modifier prompt","'"&amp;B156,IF('Paste Editor (Beta)'!$C$90="Challenge prompt",L156,IF('Paste Editor (Beta)'!$C$90="Reroll class prompt",S155,IF('Paste Editor (Beta)'!$C$90="Swap hero prompt",S155,IF('Paste Editor (Beta)'!$C$90="Anvil prompt",AD155,"")))))))</f>
        <v>0</v>
      </c>
      <c r="AK155" s="283">
        <f>IF('Paste Editor (Beta)'!$C$90="Level-up prompt",G156,IF('Paste Editor (Beta)'!$C$90="Item prompt",E156,IF('Paste Editor (Beta)'!$C$90="Modifier prompt","'"&amp;B156,IF('Paste Editor (Beta)'!$C$90="Challenge prompt",E156,IF('Paste Editor (Beta)'!$C$90="Reroll class prompt",S155,IF('Paste Editor (Beta)'!$C$90="Swap hero prompt",S155,IF('Paste Editor (Beta)'!$C$90="Anvil prompt",AD155,"")))))))</f>
        <v>0</v>
      </c>
    </row>
    <row r="156" spans="1:37" ht="18">
      <c r="A156" s="23" t="s">
        <v>4314</v>
      </c>
      <c r="B156" s="284" t="s">
        <v>2051</v>
      </c>
      <c r="C156" s="284" t="s">
        <v>2051</v>
      </c>
      <c r="D156" s="284" t="s">
        <v>2051</v>
      </c>
      <c r="E156" s="280" t="s">
        <v>959</v>
      </c>
      <c r="AH156" s="280" t="str">
        <f>IF('Paste Editor (Beta)'!$C$82="Level-up prompt",G157,IF('Paste Editor (Beta)'!$C$82="Item prompt",E157,IF('Paste Editor (Beta)'!$C$82="Modifier prompt","'"&amp;B157,IF('Paste Editor (Beta)'!$C$82="Challenge prompt",L157,IF('Paste Editor (Beta)'!$C$82="Reroll class prompt",S156,IF('Paste Editor (Beta)'!$C$82="Swap hero prompt",S156,IF('Paste Editor (Beta)'!$C$82="Anvil prompt",AD156,"")))))))</f>
        <v/>
      </c>
      <c r="AI156" s="280" t="str">
        <f>IF('Paste Editor (Beta)'!$C$82="Level-up prompt",G157,IF('Paste Editor (Beta)'!$C$82="Item prompt",E157,IF('Paste Editor (Beta)'!$C$82="Modifier prompt","'"&amp;B157,IF('Paste Editor (Beta)'!$C$82="Challenge prompt",E157,IF('Paste Editor (Beta)'!$C$82="Reroll class prompt",S156,IF('Paste Editor (Beta)'!$C$82="Swap hero prompt",S156,IF('Paste Editor (Beta)'!$C$82="Anvil prompt",AD156,"")))))))</f>
        <v/>
      </c>
      <c r="AJ156" s="283">
        <f>IF('Paste Editor (Beta)'!$C$90="Level-up prompt",G157,IF('Paste Editor (Beta)'!$C$90="Item prompt",E157,IF('Paste Editor (Beta)'!$C$90="Modifier prompt","'"&amp;B157,IF('Paste Editor (Beta)'!$C$90="Challenge prompt",L157,IF('Paste Editor (Beta)'!$C$90="Reroll class prompt",S156,IF('Paste Editor (Beta)'!$C$90="Swap hero prompt",S156,IF('Paste Editor (Beta)'!$C$90="Anvil prompt",AD156,"")))))))</f>
        <v>0</v>
      </c>
      <c r="AK156" s="283">
        <f>IF('Paste Editor (Beta)'!$C$90="Level-up prompt",G157,IF('Paste Editor (Beta)'!$C$90="Item prompt",E157,IF('Paste Editor (Beta)'!$C$90="Modifier prompt","'"&amp;B157,IF('Paste Editor (Beta)'!$C$90="Challenge prompt",E157,IF('Paste Editor (Beta)'!$C$90="Reroll class prompt",S156,IF('Paste Editor (Beta)'!$C$90="Swap hero prompt",S156,IF('Paste Editor (Beta)'!$C$90="Anvil prompt",AD156,"")))))))</f>
        <v>0</v>
      </c>
    </row>
    <row r="157" spans="1:37" ht="18">
      <c r="A157" s="23" t="s">
        <v>4315</v>
      </c>
      <c r="B157" s="284" t="s">
        <v>2007</v>
      </c>
      <c r="C157" s="284" t="s">
        <v>2007</v>
      </c>
      <c r="D157" s="284" t="s">
        <v>2007</v>
      </c>
      <c r="E157" s="280" t="s">
        <v>1250</v>
      </c>
      <c r="AH157" s="280" t="str">
        <f>IF('Paste Editor (Beta)'!$C$82="Level-up prompt",G158,IF('Paste Editor (Beta)'!$C$82="Item prompt",E158,IF('Paste Editor (Beta)'!$C$82="Modifier prompt","'"&amp;B158,IF('Paste Editor (Beta)'!$C$82="Challenge prompt",L158,IF('Paste Editor (Beta)'!$C$82="Reroll class prompt",S157,IF('Paste Editor (Beta)'!$C$82="Swap hero prompt",S157,IF('Paste Editor (Beta)'!$C$82="Anvil prompt",AD157,"")))))))</f>
        <v/>
      </c>
      <c r="AI157" s="280" t="str">
        <f>IF('Paste Editor (Beta)'!$C$82="Level-up prompt",G158,IF('Paste Editor (Beta)'!$C$82="Item prompt",E158,IF('Paste Editor (Beta)'!$C$82="Modifier prompt","'"&amp;B158,IF('Paste Editor (Beta)'!$C$82="Challenge prompt",E158,IF('Paste Editor (Beta)'!$C$82="Reroll class prompt",S157,IF('Paste Editor (Beta)'!$C$82="Swap hero prompt",S157,IF('Paste Editor (Beta)'!$C$82="Anvil prompt",AD157,"")))))))</f>
        <v/>
      </c>
      <c r="AJ157" s="283">
        <f>IF('Paste Editor (Beta)'!$C$90="Level-up prompt",G158,IF('Paste Editor (Beta)'!$C$90="Item prompt",E158,IF('Paste Editor (Beta)'!$C$90="Modifier prompt","'"&amp;B158,IF('Paste Editor (Beta)'!$C$90="Challenge prompt",L158,IF('Paste Editor (Beta)'!$C$90="Reroll class prompt",S157,IF('Paste Editor (Beta)'!$C$90="Swap hero prompt",S157,IF('Paste Editor (Beta)'!$C$90="Anvil prompt",AD157,"")))))))</f>
        <v>0</v>
      </c>
      <c r="AK157" s="283">
        <f>IF('Paste Editor (Beta)'!$C$90="Level-up prompt",G158,IF('Paste Editor (Beta)'!$C$90="Item prompt",E158,IF('Paste Editor (Beta)'!$C$90="Modifier prompt","'"&amp;B158,IF('Paste Editor (Beta)'!$C$90="Challenge prompt",E158,IF('Paste Editor (Beta)'!$C$90="Reroll class prompt",S157,IF('Paste Editor (Beta)'!$C$90="Swap hero prompt",S157,IF('Paste Editor (Beta)'!$C$90="Anvil prompt",AD157,"")))))))</f>
        <v>0</v>
      </c>
    </row>
    <row r="158" spans="1:37" ht="18">
      <c r="A158" s="23" t="s">
        <v>4316</v>
      </c>
      <c r="B158" s="284" t="s">
        <v>2944</v>
      </c>
      <c r="C158" s="284" t="s">
        <v>2944</v>
      </c>
      <c r="D158" s="284" t="s">
        <v>2944</v>
      </c>
      <c r="E158" s="280" t="s">
        <v>1518</v>
      </c>
      <c r="AH158" s="280" t="str">
        <f>IF('Paste Editor (Beta)'!$C$82="Level-up prompt",G159,IF('Paste Editor (Beta)'!$C$82="Item prompt",E159,IF('Paste Editor (Beta)'!$C$82="Modifier prompt","'"&amp;B159,IF('Paste Editor (Beta)'!$C$82="Challenge prompt",L159,IF('Paste Editor (Beta)'!$C$82="Reroll class prompt",S158,IF('Paste Editor (Beta)'!$C$82="Swap hero prompt",S158,IF('Paste Editor (Beta)'!$C$82="Anvil prompt",AD158,"")))))))</f>
        <v/>
      </c>
      <c r="AI158" s="280" t="str">
        <f>IF('Paste Editor (Beta)'!$C$82="Level-up prompt",G159,IF('Paste Editor (Beta)'!$C$82="Item prompt",E159,IF('Paste Editor (Beta)'!$C$82="Modifier prompt","'"&amp;B159,IF('Paste Editor (Beta)'!$C$82="Challenge prompt",E159,IF('Paste Editor (Beta)'!$C$82="Reroll class prompt",S158,IF('Paste Editor (Beta)'!$C$82="Swap hero prompt",S158,IF('Paste Editor (Beta)'!$C$82="Anvil prompt",AD158,"")))))))</f>
        <v/>
      </c>
      <c r="AJ158" s="283">
        <f>IF('Paste Editor (Beta)'!$C$90="Level-up prompt",G159,IF('Paste Editor (Beta)'!$C$90="Item prompt",E159,IF('Paste Editor (Beta)'!$C$90="Modifier prompt","'"&amp;B159,IF('Paste Editor (Beta)'!$C$90="Challenge prompt",L159,IF('Paste Editor (Beta)'!$C$90="Reroll class prompt",S158,IF('Paste Editor (Beta)'!$C$90="Swap hero prompt",S158,IF('Paste Editor (Beta)'!$C$90="Anvil prompt",AD158,"")))))))</f>
        <v>0</v>
      </c>
      <c r="AK158" s="283">
        <f>IF('Paste Editor (Beta)'!$C$90="Level-up prompt",G159,IF('Paste Editor (Beta)'!$C$90="Item prompt",E159,IF('Paste Editor (Beta)'!$C$90="Modifier prompt","'"&amp;B159,IF('Paste Editor (Beta)'!$C$90="Challenge prompt",E159,IF('Paste Editor (Beta)'!$C$90="Reroll class prompt",S158,IF('Paste Editor (Beta)'!$C$90="Swap hero prompt",S158,IF('Paste Editor (Beta)'!$C$90="Anvil prompt",AD158,"")))))))</f>
        <v>0</v>
      </c>
    </row>
    <row r="159" spans="1:37" ht="18">
      <c r="A159" s="23" t="s">
        <v>4317</v>
      </c>
      <c r="B159" s="284" t="s">
        <v>2946</v>
      </c>
      <c r="C159" s="284" t="s">
        <v>2946</v>
      </c>
      <c r="D159" s="284" t="s">
        <v>2946</v>
      </c>
      <c r="E159" s="280" t="s">
        <v>881</v>
      </c>
      <c r="AH159" s="280" t="str">
        <f>IF('Paste Editor (Beta)'!$C$82="Level-up prompt",G160,IF('Paste Editor (Beta)'!$C$82="Item prompt",E160,IF('Paste Editor (Beta)'!$C$82="Modifier prompt","'"&amp;B160,IF('Paste Editor (Beta)'!$C$82="Challenge prompt",L160,IF('Paste Editor (Beta)'!$C$82="Reroll class prompt",S159,IF('Paste Editor (Beta)'!$C$82="Swap hero prompt",S159,IF('Paste Editor (Beta)'!$C$82="Anvil prompt",AD159,"")))))))</f>
        <v/>
      </c>
      <c r="AI159" s="280" t="str">
        <f>IF('Paste Editor (Beta)'!$C$82="Level-up prompt",G160,IF('Paste Editor (Beta)'!$C$82="Item prompt",E160,IF('Paste Editor (Beta)'!$C$82="Modifier prompt","'"&amp;B160,IF('Paste Editor (Beta)'!$C$82="Challenge prompt",E160,IF('Paste Editor (Beta)'!$C$82="Reroll class prompt",S159,IF('Paste Editor (Beta)'!$C$82="Swap hero prompt",S159,IF('Paste Editor (Beta)'!$C$82="Anvil prompt",AD159,"")))))))</f>
        <v/>
      </c>
      <c r="AJ159" s="283">
        <f>IF('Paste Editor (Beta)'!$C$90="Level-up prompt",G160,IF('Paste Editor (Beta)'!$C$90="Item prompt",E160,IF('Paste Editor (Beta)'!$C$90="Modifier prompt","'"&amp;B160,IF('Paste Editor (Beta)'!$C$90="Challenge prompt",L160,IF('Paste Editor (Beta)'!$C$90="Reroll class prompt",S159,IF('Paste Editor (Beta)'!$C$90="Swap hero prompt",S159,IF('Paste Editor (Beta)'!$C$90="Anvil prompt",AD159,"")))))))</f>
        <v>0</v>
      </c>
      <c r="AK159" s="283">
        <f>IF('Paste Editor (Beta)'!$C$90="Level-up prompt",G160,IF('Paste Editor (Beta)'!$C$90="Item prompt",E160,IF('Paste Editor (Beta)'!$C$90="Modifier prompt","'"&amp;B160,IF('Paste Editor (Beta)'!$C$90="Challenge prompt",E160,IF('Paste Editor (Beta)'!$C$90="Reroll class prompt",S159,IF('Paste Editor (Beta)'!$C$90="Swap hero prompt",S159,IF('Paste Editor (Beta)'!$C$90="Anvil prompt",AD159,"")))))))</f>
        <v>0</v>
      </c>
    </row>
    <row r="160" spans="1:37" ht="18">
      <c r="A160" s="23" t="s">
        <v>4318</v>
      </c>
      <c r="B160" s="284" t="s">
        <v>2767</v>
      </c>
      <c r="C160" s="284" t="s">
        <v>2767</v>
      </c>
      <c r="D160" s="284" t="s">
        <v>2767</v>
      </c>
      <c r="E160" s="280" t="s">
        <v>1160</v>
      </c>
      <c r="AH160" s="280" t="str">
        <f>IF('Paste Editor (Beta)'!$C$82="Level-up prompt",G161,IF('Paste Editor (Beta)'!$C$82="Item prompt",E161,IF('Paste Editor (Beta)'!$C$82="Modifier prompt","'"&amp;B161,IF('Paste Editor (Beta)'!$C$82="Challenge prompt",L161,IF('Paste Editor (Beta)'!$C$82="Reroll class prompt",S160,IF('Paste Editor (Beta)'!$C$82="Swap hero prompt",S160,IF('Paste Editor (Beta)'!$C$82="Anvil prompt",AD160,"")))))))</f>
        <v/>
      </c>
      <c r="AI160" s="280" t="str">
        <f>IF('Paste Editor (Beta)'!$C$82="Level-up prompt",G161,IF('Paste Editor (Beta)'!$C$82="Item prompt",E161,IF('Paste Editor (Beta)'!$C$82="Modifier prompt","'"&amp;B161,IF('Paste Editor (Beta)'!$C$82="Challenge prompt",E161,IF('Paste Editor (Beta)'!$C$82="Reroll class prompt",S160,IF('Paste Editor (Beta)'!$C$82="Swap hero prompt",S160,IF('Paste Editor (Beta)'!$C$82="Anvil prompt",AD160,"")))))))</f>
        <v/>
      </c>
      <c r="AJ160" s="283">
        <f>IF('Paste Editor (Beta)'!$C$90="Level-up prompt",G161,IF('Paste Editor (Beta)'!$C$90="Item prompt",E161,IF('Paste Editor (Beta)'!$C$90="Modifier prompt","'"&amp;B161,IF('Paste Editor (Beta)'!$C$90="Challenge prompt",L161,IF('Paste Editor (Beta)'!$C$90="Reroll class prompt",S160,IF('Paste Editor (Beta)'!$C$90="Swap hero prompt",S160,IF('Paste Editor (Beta)'!$C$90="Anvil prompt",AD160,"")))))))</f>
        <v>0</v>
      </c>
      <c r="AK160" s="283">
        <f>IF('Paste Editor (Beta)'!$C$90="Level-up prompt",G161,IF('Paste Editor (Beta)'!$C$90="Item prompt",E161,IF('Paste Editor (Beta)'!$C$90="Modifier prompt","'"&amp;B161,IF('Paste Editor (Beta)'!$C$90="Challenge prompt",E161,IF('Paste Editor (Beta)'!$C$90="Reroll class prompt",S160,IF('Paste Editor (Beta)'!$C$90="Swap hero prompt",S160,IF('Paste Editor (Beta)'!$C$90="Anvil prompt",AD160,"")))))))</f>
        <v>0</v>
      </c>
    </row>
    <row r="161" spans="1:37" ht="18">
      <c r="A161" s="23" t="s">
        <v>4319</v>
      </c>
      <c r="B161" s="284" t="s">
        <v>2249</v>
      </c>
      <c r="C161" s="284" t="s">
        <v>2249</v>
      </c>
      <c r="D161" s="284" t="s">
        <v>2249</v>
      </c>
      <c r="E161" s="280" t="s">
        <v>1520</v>
      </c>
      <c r="AH161" s="280" t="str">
        <f>IF('Paste Editor (Beta)'!$C$82="Level-up prompt",G162,IF('Paste Editor (Beta)'!$C$82="Item prompt",E162,IF('Paste Editor (Beta)'!$C$82="Modifier prompt","'"&amp;B162,IF('Paste Editor (Beta)'!$C$82="Challenge prompt",L162,IF('Paste Editor (Beta)'!$C$82="Reroll class prompt",S161,IF('Paste Editor (Beta)'!$C$82="Swap hero prompt",S161,IF('Paste Editor (Beta)'!$C$82="Anvil prompt",AD161,"")))))))</f>
        <v/>
      </c>
      <c r="AI161" s="280" t="str">
        <f>IF('Paste Editor (Beta)'!$C$82="Level-up prompt",G162,IF('Paste Editor (Beta)'!$C$82="Item prompt",E162,IF('Paste Editor (Beta)'!$C$82="Modifier prompt","'"&amp;B162,IF('Paste Editor (Beta)'!$C$82="Challenge prompt",E162,IF('Paste Editor (Beta)'!$C$82="Reroll class prompt",S161,IF('Paste Editor (Beta)'!$C$82="Swap hero prompt",S161,IF('Paste Editor (Beta)'!$C$82="Anvil prompt",AD161,"")))))))</f>
        <v/>
      </c>
      <c r="AJ161" s="283">
        <f>IF('Paste Editor (Beta)'!$C$90="Level-up prompt",G162,IF('Paste Editor (Beta)'!$C$90="Item prompt",E162,IF('Paste Editor (Beta)'!$C$90="Modifier prompt","'"&amp;B162,IF('Paste Editor (Beta)'!$C$90="Challenge prompt",L162,IF('Paste Editor (Beta)'!$C$90="Reroll class prompt",S161,IF('Paste Editor (Beta)'!$C$90="Swap hero prompt",S161,IF('Paste Editor (Beta)'!$C$90="Anvil prompt",AD161,"")))))))</f>
        <v>0</v>
      </c>
      <c r="AK161" s="283">
        <f>IF('Paste Editor (Beta)'!$C$90="Level-up prompt",G162,IF('Paste Editor (Beta)'!$C$90="Item prompt",E162,IF('Paste Editor (Beta)'!$C$90="Modifier prompt","'"&amp;B162,IF('Paste Editor (Beta)'!$C$90="Challenge prompt",E162,IF('Paste Editor (Beta)'!$C$90="Reroll class prompt",S161,IF('Paste Editor (Beta)'!$C$90="Swap hero prompt",S161,IF('Paste Editor (Beta)'!$C$90="Anvil prompt",AD161,"")))))))</f>
        <v>0</v>
      </c>
    </row>
    <row r="162" spans="1:37" ht="18">
      <c r="A162" s="23" t="s">
        <v>4320</v>
      </c>
      <c r="B162" s="284" t="s">
        <v>2567</v>
      </c>
      <c r="C162" s="284" t="s">
        <v>2567</v>
      </c>
      <c r="D162" s="284" t="s">
        <v>2567</v>
      </c>
      <c r="E162" s="280" t="s">
        <v>1328</v>
      </c>
      <c r="AH162" s="280" t="str">
        <f>IF('Paste Editor (Beta)'!$C$82="Level-up prompt",G163,IF('Paste Editor (Beta)'!$C$82="Item prompt",E163,IF('Paste Editor (Beta)'!$C$82="Modifier prompt","'"&amp;B163,IF('Paste Editor (Beta)'!$C$82="Challenge prompt",L163,IF('Paste Editor (Beta)'!$C$82="Reroll class prompt",S162,IF('Paste Editor (Beta)'!$C$82="Swap hero prompt",S162,IF('Paste Editor (Beta)'!$C$82="Anvil prompt",AD162,"")))))))</f>
        <v/>
      </c>
      <c r="AI162" s="280" t="str">
        <f>IF('Paste Editor (Beta)'!$C$82="Level-up prompt",G163,IF('Paste Editor (Beta)'!$C$82="Item prompt",E163,IF('Paste Editor (Beta)'!$C$82="Modifier prompt","'"&amp;B163,IF('Paste Editor (Beta)'!$C$82="Challenge prompt",E163,IF('Paste Editor (Beta)'!$C$82="Reroll class prompt",S162,IF('Paste Editor (Beta)'!$C$82="Swap hero prompt",S162,IF('Paste Editor (Beta)'!$C$82="Anvil prompt",AD162,"")))))))</f>
        <v/>
      </c>
      <c r="AJ162" s="283">
        <f>IF('Paste Editor (Beta)'!$C$90="Level-up prompt",G163,IF('Paste Editor (Beta)'!$C$90="Item prompt",E163,IF('Paste Editor (Beta)'!$C$90="Modifier prompt","'"&amp;B163,IF('Paste Editor (Beta)'!$C$90="Challenge prompt",L163,IF('Paste Editor (Beta)'!$C$90="Reroll class prompt",S162,IF('Paste Editor (Beta)'!$C$90="Swap hero prompt",S162,IF('Paste Editor (Beta)'!$C$90="Anvil prompt",AD162,"")))))))</f>
        <v>0</v>
      </c>
      <c r="AK162" s="283">
        <f>IF('Paste Editor (Beta)'!$C$90="Level-up prompt",G163,IF('Paste Editor (Beta)'!$C$90="Item prompt",E163,IF('Paste Editor (Beta)'!$C$90="Modifier prompt","'"&amp;B163,IF('Paste Editor (Beta)'!$C$90="Challenge prompt",E163,IF('Paste Editor (Beta)'!$C$90="Reroll class prompt",S162,IF('Paste Editor (Beta)'!$C$90="Swap hero prompt",S162,IF('Paste Editor (Beta)'!$C$90="Anvil prompt",AD162,"")))))))</f>
        <v>0</v>
      </c>
    </row>
    <row r="163" spans="1:37" ht="18">
      <c r="A163" s="23" t="s">
        <v>4321</v>
      </c>
      <c r="B163" s="284" t="s">
        <v>1999</v>
      </c>
      <c r="C163" s="284" t="s">
        <v>1999</v>
      </c>
      <c r="D163" s="284" t="s">
        <v>1999</v>
      </c>
      <c r="E163" s="280" t="s">
        <v>1548</v>
      </c>
      <c r="AH163" s="280" t="str">
        <f>IF('Paste Editor (Beta)'!$C$82="Level-up prompt",G164,IF('Paste Editor (Beta)'!$C$82="Item prompt",E164,IF('Paste Editor (Beta)'!$C$82="Modifier prompt","'"&amp;B164,IF('Paste Editor (Beta)'!$C$82="Challenge prompt",L164,IF('Paste Editor (Beta)'!$C$82="Reroll class prompt",S163,IF('Paste Editor (Beta)'!$C$82="Swap hero prompt",S163,IF('Paste Editor (Beta)'!$C$82="Anvil prompt",AD163,"")))))))</f>
        <v/>
      </c>
      <c r="AI163" s="280" t="str">
        <f>IF('Paste Editor (Beta)'!$C$82="Level-up prompt",G164,IF('Paste Editor (Beta)'!$C$82="Item prompt",E164,IF('Paste Editor (Beta)'!$C$82="Modifier prompt","'"&amp;B164,IF('Paste Editor (Beta)'!$C$82="Challenge prompt",E164,IF('Paste Editor (Beta)'!$C$82="Reroll class prompt",S163,IF('Paste Editor (Beta)'!$C$82="Swap hero prompt",S163,IF('Paste Editor (Beta)'!$C$82="Anvil prompt",AD163,"")))))))</f>
        <v/>
      </c>
      <c r="AJ163" s="283">
        <f>IF('Paste Editor (Beta)'!$C$90="Level-up prompt",G164,IF('Paste Editor (Beta)'!$C$90="Item prompt",E164,IF('Paste Editor (Beta)'!$C$90="Modifier prompt","'"&amp;B164,IF('Paste Editor (Beta)'!$C$90="Challenge prompt",L164,IF('Paste Editor (Beta)'!$C$90="Reroll class prompt",S163,IF('Paste Editor (Beta)'!$C$90="Swap hero prompt",S163,IF('Paste Editor (Beta)'!$C$90="Anvil prompt",AD163,"")))))))</f>
        <v>0</v>
      </c>
      <c r="AK163" s="283">
        <f>IF('Paste Editor (Beta)'!$C$90="Level-up prompt",G164,IF('Paste Editor (Beta)'!$C$90="Item prompt",E164,IF('Paste Editor (Beta)'!$C$90="Modifier prompt","'"&amp;B164,IF('Paste Editor (Beta)'!$C$90="Challenge prompt",E164,IF('Paste Editor (Beta)'!$C$90="Reroll class prompt",S163,IF('Paste Editor (Beta)'!$C$90="Swap hero prompt",S163,IF('Paste Editor (Beta)'!$C$90="Anvil prompt",AD163,"")))))))</f>
        <v>0</v>
      </c>
    </row>
    <row r="164" spans="1:37" ht="18">
      <c r="A164" s="23" t="s">
        <v>4322</v>
      </c>
      <c r="B164" s="284" t="s">
        <v>2001</v>
      </c>
      <c r="C164" s="284" t="s">
        <v>2001</v>
      </c>
      <c r="D164" s="284" t="s">
        <v>2001</v>
      </c>
      <c r="E164" s="280" t="s">
        <v>1403</v>
      </c>
      <c r="AH164" s="280" t="str">
        <f>IF('Paste Editor (Beta)'!$C$82="Level-up prompt",G165,IF('Paste Editor (Beta)'!$C$82="Item prompt",E165,IF('Paste Editor (Beta)'!$C$82="Modifier prompt","'"&amp;B165,IF('Paste Editor (Beta)'!$C$82="Challenge prompt",L165,IF('Paste Editor (Beta)'!$C$82="Reroll class prompt",S164,IF('Paste Editor (Beta)'!$C$82="Swap hero prompt",S164,IF('Paste Editor (Beta)'!$C$82="Anvil prompt",AD164,"")))))))</f>
        <v/>
      </c>
      <c r="AI164" s="280" t="str">
        <f>IF('Paste Editor (Beta)'!$C$82="Level-up prompt",G165,IF('Paste Editor (Beta)'!$C$82="Item prompt",E165,IF('Paste Editor (Beta)'!$C$82="Modifier prompt","'"&amp;B165,IF('Paste Editor (Beta)'!$C$82="Challenge prompt",E165,IF('Paste Editor (Beta)'!$C$82="Reroll class prompt",S164,IF('Paste Editor (Beta)'!$C$82="Swap hero prompt",S164,IF('Paste Editor (Beta)'!$C$82="Anvil prompt",AD164,"")))))))</f>
        <v/>
      </c>
      <c r="AJ164" s="283">
        <f>IF('Paste Editor (Beta)'!$C$90="Level-up prompt",G165,IF('Paste Editor (Beta)'!$C$90="Item prompt",E165,IF('Paste Editor (Beta)'!$C$90="Modifier prompt","'"&amp;B165,IF('Paste Editor (Beta)'!$C$90="Challenge prompt",L165,IF('Paste Editor (Beta)'!$C$90="Reroll class prompt",S164,IF('Paste Editor (Beta)'!$C$90="Swap hero prompt",S164,IF('Paste Editor (Beta)'!$C$90="Anvil prompt",AD164,"")))))))</f>
        <v>0</v>
      </c>
      <c r="AK164" s="283">
        <f>IF('Paste Editor (Beta)'!$C$90="Level-up prompt",G165,IF('Paste Editor (Beta)'!$C$90="Item prompt",E165,IF('Paste Editor (Beta)'!$C$90="Modifier prompt","'"&amp;B165,IF('Paste Editor (Beta)'!$C$90="Challenge prompt",E165,IF('Paste Editor (Beta)'!$C$90="Reroll class prompt",S164,IF('Paste Editor (Beta)'!$C$90="Swap hero prompt",S164,IF('Paste Editor (Beta)'!$C$90="Anvil prompt",AD164,"")))))))</f>
        <v>0</v>
      </c>
    </row>
    <row r="165" spans="1:37" ht="18">
      <c r="A165" s="23" t="s">
        <v>4323</v>
      </c>
      <c r="B165" s="284" t="s">
        <v>2130</v>
      </c>
      <c r="C165" s="284" t="s">
        <v>2130</v>
      </c>
      <c r="D165" s="284" t="s">
        <v>2130</v>
      </c>
      <c r="E165" s="280" t="s">
        <v>1097</v>
      </c>
      <c r="AH165" s="280" t="str">
        <f>IF('Paste Editor (Beta)'!$C$82="Level-up prompt",G166,IF('Paste Editor (Beta)'!$C$82="Item prompt",E166,IF('Paste Editor (Beta)'!$C$82="Modifier prompt","'"&amp;B166,IF('Paste Editor (Beta)'!$C$82="Challenge prompt",L166,IF('Paste Editor (Beta)'!$C$82="Reroll class prompt",S165,IF('Paste Editor (Beta)'!$C$82="Swap hero prompt",S165,IF('Paste Editor (Beta)'!$C$82="Anvil prompt",AD165,"")))))))</f>
        <v/>
      </c>
      <c r="AI165" s="280" t="str">
        <f>IF('Paste Editor (Beta)'!$C$82="Level-up prompt",G166,IF('Paste Editor (Beta)'!$C$82="Item prompt",E166,IF('Paste Editor (Beta)'!$C$82="Modifier prompt","'"&amp;B166,IF('Paste Editor (Beta)'!$C$82="Challenge prompt",E166,IF('Paste Editor (Beta)'!$C$82="Reroll class prompt",S165,IF('Paste Editor (Beta)'!$C$82="Swap hero prompt",S165,IF('Paste Editor (Beta)'!$C$82="Anvil prompt",AD165,"")))))))</f>
        <v/>
      </c>
      <c r="AJ165" s="283">
        <f>IF('Paste Editor (Beta)'!$C$90="Level-up prompt",G166,IF('Paste Editor (Beta)'!$C$90="Item prompt",E166,IF('Paste Editor (Beta)'!$C$90="Modifier prompt","'"&amp;B166,IF('Paste Editor (Beta)'!$C$90="Challenge prompt",L166,IF('Paste Editor (Beta)'!$C$90="Reroll class prompt",S165,IF('Paste Editor (Beta)'!$C$90="Swap hero prompt",S165,IF('Paste Editor (Beta)'!$C$90="Anvil prompt",AD165,"")))))))</f>
        <v>0</v>
      </c>
      <c r="AK165" s="283">
        <f>IF('Paste Editor (Beta)'!$C$90="Level-up prompt",G166,IF('Paste Editor (Beta)'!$C$90="Item prompt",E166,IF('Paste Editor (Beta)'!$C$90="Modifier prompt","'"&amp;B166,IF('Paste Editor (Beta)'!$C$90="Challenge prompt",E166,IF('Paste Editor (Beta)'!$C$90="Reroll class prompt",S165,IF('Paste Editor (Beta)'!$C$90="Swap hero prompt",S165,IF('Paste Editor (Beta)'!$C$90="Anvil prompt",AD165,"")))))))</f>
        <v>0</v>
      </c>
    </row>
    <row r="166" spans="1:37" ht="18">
      <c r="A166" s="23" t="s">
        <v>4324</v>
      </c>
      <c r="B166" s="284" t="s">
        <v>2874</v>
      </c>
      <c r="C166" s="284" t="s">
        <v>2874</v>
      </c>
      <c r="D166" s="284" t="s">
        <v>2874</v>
      </c>
      <c r="E166" s="280" t="s">
        <v>1252</v>
      </c>
      <c r="AH166" s="280" t="str">
        <f>IF('Paste Editor (Beta)'!$C$82="Level-up prompt",G167,IF('Paste Editor (Beta)'!$C$82="Item prompt",E167,IF('Paste Editor (Beta)'!$C$82="Modifier prompt","'"&amp;B167,IF('Paste Editor (Beta)'!$C$82="Challenge prompt",L167,IF('Paste Editor (Beta)'!$C$82="Reroll class prompt",S166,IF('Paste Editor (Beta)'!$C$82="Swap hero prompt",S166,IF('Paste Editor (Beta)'!$C$82="Anvil prompt",AD166,"")))))))</f>
        <v/>
      </c>
      <c r="AI166" s="280" t="str">
        <f>IF('Paste Editor (Beta)'!$C$82="Level-up prompt",G167,IF('Paste Editor (Beta)'!$C$82="Item prompt",E167,IF('Paste Editor (Beta)'!$C$82="Modifier prompt","'"&amp;B167,IF('Paste Editor (Beta)'!$C$82="Challenge prompt",E167,IF('Paste Editor (Beta)'!$C$82="Reroll class prompt",S166,IF('Paste Editor (Beta)'!$C$82="Swap hero prompt",S166,IF('Paste Editor (Beta)'!$C$82="Anvil prompt",AD166,"")))))))</f>
        <v/>
      </c>
      <c r="AJ166" s="283">
        <f>IF('Paste Editor (Beta)'!$C$90="Level-up prompt",G167,IF('Paste Editor (Beta)'!$C$90="Item prompt",E167,IF('Paste Editor (Beta)'!$C$90="Modifier prompt","'"&amp;B167,IF('Paste Editor (Beta)'!$C$90="Challenge prompt",L167,IF('Paste Editor (Beta)'!$C$90="Reroll class prompt",S166,IF('Paste Editor (Beta)'!$C$90="Swap hero prompt",S166,IF('Paste Editor (Beta)'!$C$90="Anvil prompt",AD166,"")))))))</f>
        <v>0</v>
      </c>
      <c r="AK166" s="283">
        <f>IF('Paste Editor (Beta)'!$C$90="Level-up prompt",G167,IF('Paste Editor (Beta)'!$C$90="Item prompt",E167,IF('Paste Editor (Beta)'!$C$90="Modifier prompt","'"&amp;B167,IF('Paste Editor (Beta)'!$C$90="Challenge prompt",E167,IF('Paste Editor (Beta)'!$C$90="Reroll class prompt",S166,IF('Paste Editor (Beta)'!$C$90="Swap hero prompt",S166,IF('Paste Editor (Beta)'!$C$90="Anvil prompt",AD166,"")))))))</f>
        <v>0</v>
      </c>
    </row>
    <row r="167" spans="1:37" ht="18">
      <c r="A167" s="23" t="s">
        <v>4325</v>
      </c>
      <c r="B167" s="284" t="s">
        <v>2953</v>
      </c>
      <c r="C167" s="284" t="s">
        <v>2953</v>
      </c>
      <c r="D167" s="284" t="s">
        <v>2953</v>
      </c>
      <c r="E167" s="280" t="s">
        <v>1571</v>
      </c>
      <c r="AH167" s="280" t="str">
        <f>IF('Paste Editor (Beta)'!$C$82="Level-up prompt",G168,IF('Paste Editor (Beta)'!$C$82="Item prompt",E168,IF('Paste Editor (Beta)'!$C$82="Modifier prompt","'"&amp;B168,IF('Paste Editor (Beta)'!$C$82="Challenge prompt",L168,IF('Paste Editor (Beta)'!$C$82="Reroll class prompt",S167,IF('Paste Editor (Beta)'!$C$82="Swap hero prompt",S167,IF('Paste Editor (Beta)'!$C$82="Anvil prompt",AD167,"")))))))</f>
        <v/>
      </c>
      <c r="AI167" s="280" t="str">
        <f>IF('Paste Editor (Beta)'!$C$82="Level-up prompt",G168,IF('Paste Editor (Beta)'!$C$82="Item prompt",E168,IF('Paste Editor (Beta)'!$C$82="Modifier prompt","'"&amp;B168,IF('Paste Editor (Beta)'!$C$82="Challenge prompt",E168,IF('Paste Editor (Beta)'!$C$82="Reroll class prompt",S167,IF('Paste Editor (Beta)'!$C$82="Swap hero prompt",S167,IF('Paste Editor (Beta)'!$C$82="Anvil prompt",AD167,"")))))))</f>
        <v/>
      </c>
      <c r="AJ167" s="283">
        <f>IF('Paste Editor (Beta)'!$C$90="Level-up prompt",G168,IF('Paste Editor (Beta)'!$C$90="Item prompt",E168,IF('Paste Editor (Beta)'!$C$90="Modifier prompt","'"&amp;B168,IF('Paste Editor (Beta)'!$C$90="Challenge prompt",L168,IF('Paste Editor (Beta)'!$C$90="Reroll class prompt",S167,IF('Paste Editor (Beta)'!$C$90="Swap hero prompt",S167,IF('Paste Editor (Beta)'!$C$90="Anvil prompt",AD167,"")))))))</f>
        <v>0</v>
      </c>
      <c r="AK167" s="283">
        <f>IF('Paste Editor (Beta)'!$C$90="Level-up prompt",G168,IF('Paste Editor (Beta)'!$C$90="Item prompt",E168,IF('Paste Editor (Beta)'!$C$90="Modifier prompt","'"&amp;B168,IF('Paste Editor (Beta)'!$C$90="Challenge prompt",E168,IF('Paste Editor (Beta)'!$C$90="Reroll class prompt",S167,IF('Paste Editor (Beta)'!$C$90="Swap hero prompt",S167,IF('Paste Editor (Beta)'!$C$90="Anvil prompt",AD167,"")))))))</f>
        <v>0</v>
      </c>
    </row>
    <row r="168" spans="1:37" ht="18">
      <c r="A168" s="23" t="s">
        <v>4326</v>
      </c>
      <c r="B168" s="284" t="s">
        <v>2450</v>
      </c>
      <c r="C168" s="284" t="s">
        <v>2450</v>
      </c>
      <c r="D168" s="284" t="s">
        <v>2450</v>
      </c>
      <c r="E168" s="280" t="s">
        <v>1030</v>
      </c>
      <c r="AH168" s="280" t="str">
        <f>IF('Paste Editor (Beta)'!$C$82="Level-up prompt",G169,IF('Paste Editor (Beta)'!$C$82="Item prompt",E169,IF('Paste Editor (Beta)'!$C$82="Modifier prompt","'"&amp;B169,IF('Paste Editor (Beta)'!$C$82="Challenge prompt",L169,IF('Paste Editor (Beta)'!$C$82="Reroll class prompt",S168,IF('Paste Editor (Beta)'!$C$82="Swap hero prompt",S168,IF('Paste Editor (Beta)'!$C$82="Anvil prompt",AD168,"")))))))</f>
        <v/>
      </c>
      <c r="AI168" s="280" t="str">
        <f>IF('Paste Editor (Beta)'!$C$82="Level-up prompt",G169,IF('Paste Editor (Beta)'!$C$82="Item prompt",E169,IF('Paste Editor (Beta)'!$C$82="Modifier prompt","'"&amp;B169,IF('Paste Editor (Beta)'!$C$82="Challenge prompt",E169,IF('Paste Editor (Beta)'!$C$82="Reroll class prompt",S168,IF('Paste Editor (Beta)'!$C$82="Swap hero prompt",S168,IF('Paste Editor (Beta)'!$C$82="Anvil prompt",AD168,"")))))))</f>
        <v/>
      </c>
      <c r="AJ168" s="283">
        <f>IF('Paste Editor (Beta)'!$C$90="Level-up prompt",G169,IF('Paste Editor (Beta)'!$C$90="Item prompt",E169,IF('Paste Editor (Beta)'!$C$90="Modifier prompt","'"&amp;B169,IF('Paste Editor (Beta)'!$C$90="Challenge prompt",L169,IF('Paste Editor (Beta)'!$C$90="Reroll class prompt",S168,IF('Paste Editor (Beta)'!$C$90="Swap hero prompt",S168,IF('Paste Editor (Beta)'!$C$90="Anvil prompt",AD168,"")))))))</f>
        <v>0</v>
      </c>
      <c r="AK168" s="283">
        <f>IF('Paste Editor (Beta)'!$C$90="Level-up prompt",G169,IF('Paste Editor (Beta)'!$C$90="Item prompt",E169,IF('Paste Editor (Beta)'!$C$90="Modifier prompt","'"&amp;B169,IF('Paste Editor (Beta)'!$C$90="Challenge prompt",E169,IF('Paste Editor (Beta)'!$C$90="Reroll class prompt",S168,IF('Paste Editor (Beta)'!$C$90="Swap hero prompt",S168,IF('Paste Editor (Beta)'!$C$90="Anvil prompt",AD168,"")))))))</f>
        <v>0</v>
      </c>
    </row>
    <row r="169" spans="1:37" ht="18">
      <c r="A169" s="23" t="s">
        <v>4327</v>
      </c>
      <c r="B169" s="284" t="s">
        <v>2691</v>
      </c>
      <c r="C169" s="284" t="s">
        <v>2691</v>
      </c>
      <c r="D169" s="284" t="s">
        <v>2691</v>
      </c>
      <c r="E169" s="280" t="s">
        <v>1331</v>
      </c>
      <c r="AH169" s="280" t="str">
        <f>IF('Paste Editor (Beta)'!$C$82="Level-up prompt",G170,IF('Paste Editor (Beta)'!$C$82="Item prompt",E170,IF('Paste Editor (Beta)'!$C$82="Modifier prompt","'"&amp;B170,IF('Paste Editor (Beta)'!$C$82="Challenge prompt",L170,IF('Paste Editor (Beta)'!$C$82="Reroll class prompt",S169,IF('Paste Editor (Beta)'!$C$82="Swap hero prompt",S169,IF('Paste Editor (Beta)'!$C$82="Anvil prompt",AD169,"")))))))</f>
        <v/>
      </c>
      <c r="AI169" s="280" t="str">
        <f>IF('Paste Editor (Beta)'!$C$82="Level-up prompt",G170,IF('Paste Editor (Beta)'!$C$82="Item prompt",E170,IF('Paste Editor (Beta)'!$C$82="Modifier prompt","'"&amp;B170,IF('Paste Editor (Beta)'!$C$82="Challenge prompt",E170,IF('Paste Editor (Beta)'!$C$82="Reroll class prompt",S169,IF('Paste Editor (Beta)'!$C$82="Swap hero prompt",S169,IF('Paste Editor (Beta)'!$C$82="Anvil prompt",AD169,"")))))))</f>
        <v/>
      </c>
      <c r="AJ169" s="283">
        <f>IF('Paste Editor (Beta)'!$C$90="Level-up prompt",G170,IF('Paste Editor (Beta)'!$C$90="Item prompt",E170,IF('Paste Editor (Beta)'!$C$90="Modifier prompt","'"&amp;B170,IF('Paste Editor (Beta)'!$C$90="Challenge prompt",L170,IF('Paste Editor (Beta)'!$C$90="Reroll class prompt",S169,IF('Paste Editor (Beta)'!$C$90="Swap hero prompt",S169,IF('Paste Editor (Beta)'!$C$90="Anvil prompt",AD169,"")))))))</f>
        <v>0</v>
      </c>
      <c r="AK169" s="283">
        <f>IF('Paste Editor (Beta)'!$C$90="Level-up prompt",G170,IF('Paste Editor (Beta)'!$C$90="Item prompt",E170,IF('Paste Editor (Beta)'!$C$90="Modifier prompt","'"&amp;B170,IF('Paste Editor (Beta)'!$C$90="Challenge prompt",E170,IF('Paste Editor (Beta)'!$C$90="Reroll class prompt",S169,IF('Paste Editor (Beta)'!$C$90="Swap hero prompt",S169,IF('Paste Editor (Beta)'!$C$90="Anvil prompt",AD169,"")))))))</f>
        <v>0</v>
      </c>
    </row>
    <row r="170" spans="1:37" ht="18">
      <c r="A170" s="23" t="s">
        <v>4328</v>
      </c>
      <c r="B170" s="284" t="s">
        <v>2735</v>
      </c>
      <c r="C170" s="284" t="s">
        <v>2735</v>
      </c>
      <c r="D170" s="284" t="s">
        <v>2735</v>
      </c>
      <c r="E170" s="280" t="s">
        <v>961</v>
      </c>
      <c r="AH170" s="280" t="str">
        <f>IF('Paste Editor (Beta)'!$C$82="Level-up prompt",G171,IF('Paste Editor (Beta)'!$C$82="Item prompt",E171,IF('Paste Editor (Beta)'!$C$82="Modifier prompt","'"&amp;B171,IF('Paste Editor (Beta)'!$C$82="Challenge prompt",L171,IF('Paste Editor (Beta)'!$C$82="Reroll class prompt",S170,IF('Paste Editor (Beta)'!$C$82="Swap hero prompt",S170,IF('Paste Editor (Beta)'!$C$82="Anvil prompt",AD170,"")))))))</f>
        <v/>
      </c>
      <c r="AI170" s="280" t="str">
        <f>IF('Paste Editor (Beta)'!$C$82="Level-up prompt",G171,IF('Paste Editor (Beta)'!$C$82="Item prompt",E171,IF('Paste Editor (Beta)'!$C$82="Modifier prompt","'"&amp;B171,IF('Paste Editor (Beta)'!$C$82="Challenge prompt",E171,IF('Paste Editor (Beta)'!$C$82="Reroll class prompt",S170,IF('Paste Editor (Beta)'!$C$82="Swap hero prompt",S170,IF('Paste Editor (Beta)'!$C$82="Anvil prompt",AD170,"")))))))</f>
        <v/>
      </c>
      <c r="AJ170" s="283">
        <f>IF('Paste Editor (Beta)'!$C$90="Level-up prompt",G171,IF('Paste Editor (Beta)'!$C$90="Item prompt",E171,IF('Paste Editor (Beta)'!$C$90="Modifier prompt","'"&amp;B171,IF('Paste Editor (Beta)'!$C$90="Challenge prompt",L171,IF('Paste Editor (Beta)'!$C$90="Reroll class prompt",S170,IF('Paste Editor (Beta)'!$C$90="Swap hero prompt",S170,IF('Paste Editor (Beta)'!$C$90="Anvil prompt",AD170,"")))))))</f>
        <v>0</v>
      </c>
      <c r="AK170" s="283">
        <f>IF('Paste Editor (Beta)'!$C$90="Level-up prompt",G171,IF('Paste Editor (Beta)'!$C$90="Item prompt",E171,IF('Paste Editor (Beta)'!$C$90="Modifier prompt","'"&amp;B171,IF('Paste Editor (Beta)'!$C$90="Challenge prompt",E171,IF('Paste Editor (Beta)'!$C$90="Reroll class prompt",S170,IF('Paste Editor (Beta)'!$C$90="Swap hero prompt",S170,IF('Paste Editor (Beta)'!$C$90="Anvil prompt",AD170,"")))))))</f>
        <v>0</v>
      </c>
    </row>
    <row r="171" spans="1:37" ht="18">
      <c r="A171" s="23" t="s">
        <v>4329</v>
      </c>
      <c r="B171" s="284" t="s">
        <v>2765</v>
      </c>
      <c r="C171" s="284" t="s">
        <v>2765</v>
      </c>
      <c r="D171" s="284" t="s">
        <v>2765</v>
      </c>
      <c r="E171" s="280" t="s">
        <v>1333</v>
      </c>
      <c r="AH171" s="280" t="str">
        <f>IF('Paste Editor (Beta)'!$C$82="Level-up prompt",G172,IF('Paste Editor (Beta)'!$C$82="Item prompt",E172,IF('Paste Editor (Beta)'!$C$82="Modifier prompt","'"&amp;B172,IF('Paste Editor (Beta)'!$C$82="Challenge prompt",L172,IF('Paste Editor (Beta)'!$C$82="Reroll class prompt",S171,IF('Paste Editor (Beta)'!$C$82="Swap hero prompt",S171,IF('Paste Editor (Beta)'!$C$82="Anvil prompt",AD171,"")))))))</f>
        <v/>
      </c>
      <c r="AI171" s="280" t="str">
        <f>IF('Paste Editor (Beta)'!$C$82="Level-up prompt",G172,IF('Paste Editor (Beta)'!$C$82="Item prompt",E172,IF('Paste Editor (Beta)'!$C$82="Modifier prompt","'"&amp;B172,IF('Paste Editor (Beta)'!$C$82="Challenge prompt",E172,IF('Paste Editor (Beta)'!$C$82="Reroll class prompt",S171,IF('Paste Editor (Beta)'!$C$82="Swap hero prompt",S171,IF('Paste Editor (Beta)'!$C$82="Anvil prompt",AD171,"")))))))</f>
        <v/>
      </c>
      <c r="AJ171" s="283">
        <f>IF('Paste Editor (Beta)'!$C$90="Level-up prompt",G172,IF('Paste Editor (Beta)'!$C$90="Item prompt",E172,IF('Paste Editor (Beta)'!$C$90="Modifier prompt","'"&amp;B172,IF('Paste Editor (Beta)'!$C$90="Challenge prompt",L172,IF('Paste Editor (Beta)'!$C$90="Reroll class prompt",S171,IF('Paste Editor (Beta)'!$C$90="Swap hero prompt",S171,IF('Paste Editor (Beta)'!$C$90="Anvil prompt",AD171,"")))))))</f>
        <v>0</v>
      </c>
      <c r="AK171" s="283">
        <f>IF('Paste Editor (Beta)'!$C$90="Level-up prompt",G172,IF('Paste Editor (Beta)'!$C$90="Item prompt",E172,IF('Paste Editor (Beta)'!$C$90="Modifier prompt","'"&amp;B172,IF('Paste Editor (Beta)'!$C$90="Challenge prompt",E172,IF('Paste Editor (Beta)'!$C$90="Reroll class prompt",S171,IF('Paste Editor (Beta)'!$C$90="Swap hero prompt",S171,IF('Paste Editor (Beta)'!$C$90="Anvil prompt",AD171,"")))))))</f>
        <v>0</v>
      </c>
    </row>
    <row r="172" spans="1:37" ht="18">
      <c r="A172" s="23" t="s">
        <v>4330</v>
      </c>
      <c r="B172" s="284" t="s">
        <v>2977</v>
      </c>
      <c r="C172" s="284" t="s">
        <v>2977</v>
      </c>
      <c r="D172" s="284" t="s">
        <v>2977</v>
      </c>
      <c r="E172" s="280" t="s">
        <v>1523</v>
      </c>
      <c r="AH172" s="280" t="str">
        <f>IF('Paste Editor (Beta)'!$C$82="Level-up prompt",G173,IF('Paste Editor (Beta)'!$C$82="Item prompt",E173,IF('Paste Editor (Beta)'!$C$82="Modifier prompt","'"&amp;B173,IF('Paste Editor (Beta)'!$C$82="Challenge prompt",L173,IF('Paste Editor (Beta)'!$C$82="Reroll class prompt",S172,IF('Paste Editor (Beta)'!$C$82="Swap hero prompt",S172,IF('Paste Editor (Beta)'!$C$82="Anvil prompt",AD172,"")))))))</f>
        <v/>
      </c>
      <c r="AI172" s="280" t="str">
        <f>IF('Paste Editor (Beta)'!$C$82="Level-up prompt",G173,IF('Paste Editor (Beta)'!$C$82="Item prompt",E173,IF('Paste Editor (Beta)'!$C$82="Modifier prompt","'"&amp;B173,IF('Paste Editor (Beta)'!$C$82="Challenge prompt",E173,IF('Paste Editor (Beta)'!$C$82="Reroll class prompt",S172,IF('Paste Editor (Beta)'!$C$82="Swap hero prompt",S172,IF('Paste Editor (Beta)'!$C$82="Anvil prompt",AD172,"")))))))</f>
        <v/>
      </c>
      <c r="AJ172" s="283">
        <f>IF('Paste Editor (Beta)'!$C$90="Level-up prompt",G173,IF('Paste Editor (Beta)'!$C$90="Item prompt",E173,IF('Paste Editor (Beta)'!$C$90="Modifier prompt","'"&amp;B173,IF('Paste Editor (Beta)'!$C$90="Challenge prompt",L173,IF('Paste Editor (Beta)'!$C$90="Reroll class prompt",S172,IF('Paste Editor (Beta)'!$C$90="Swap hero prompt",S172,IF('Paste Editor (Beta)'!$C$90="Anvil prompt",AD172,"")))))))</f>
        <v>0</v>
      </c>
      <c r="AK172" s="283">
        <f>IF('Paste Editor (Beta)'!$C$90="Level-up prompt",G173,IF('Paste Editor (Beta)'!$C$90="Item prompt",E173,IF('Paste Editor (Beta)'!$C$90="Modifier prompt","'"&amp;B173,IF('Paste Editor (Beta)'!$C$90="Challenge prompt",E173,IF('Paste Editor (Beta)'!$C$90="Reroll class prompt",S172,IF('Paste Editor (Beta)'!$C$90="Swap hero prompt",S172,IF('Paste Editor (Beta)'!$C$90="Anvil prompt",AD172,"")))))))</f>
        <v>0</v>
      </c>
    </row>
    <row r="173" spans="1:37" ht="18">
      <c r="A173" s="23" t="s">
        <v>4331</v>
      </c>
      <c r="B173" s="284" t="s">
        <v>2919</v>
      </c>
      <c r="C173" s="284" t="s">
        <v>2919</v>
      </c>
      <c r="D173" s="284" t="s">
        <v>2919</v>
      </c>
      <c r="E173" s="280" t="s">
        <v>1032</v>
      </c>
      <c r="AH173" s="280" t="str">
        <f>IF('Paste Editor (Beta)'!$C$82="Level-up prompt",G174,IF('Paste Editor (Beta)'!$C$82="Item prompt",E174,IF('Paste Editor (Beta)'!$C$82="Modifier prompt","'"&amp;B174,IF('Paste Editor (Beta)'!$C$82="Challenge prompt",L174,IF('Paste Editor (Beta)'!$C$82="Reroll class prompt",S173,IF('Paste Editor (Beta)'!$C$82="Swap hero prompt",S173,IF('Paste Editor (Beta)'!$C$82="Anvil prompt",AD173,"")))))))</f>
        <v/>
      </c>
      <c r="AI173" s="280" t="str">
        <f>IF('Paste Editor (Beta)'!$C$82="Level-up prompt",G174,IF('Paste Editor (Beta)'!$C$82="Item prompt",E174,IF('Paste Editor (Beta)'!$C$82="Modifier prompt","'"&amp;B174,IF('Paste Editor (Beta)'!$C$82="Challenge prompt",E174,IF('Paste Editor (Beta)'!$C$82="Reroll class prompt",S173,IF('Paste Editor (Beta)'!$C$82="Swap hero prompt",S173,IF('Paste Editor (Beta)'!$C$82="Anvil prompt",AD173,"")))))))</f>
        <v/>
      </c>
      <c r="AJ173" s="283">
        <f>IF('Paste Editor (Beta)'!$C$90="Level-up prompt",G174,IF('Paste Editor (Beta)'!$C$90="Item prompt",E174,IF('Paste Editor (Beta)'!$C$90="Modifier prompt","'"&amp;B174,IF('Paste Editor (Beta)'!$C$90="Challenge prompt",L174,IF('Paste Editor (Beta)'!$C$90="Reroll class prompt",S173,IF('Paste Editor (Beta)'!$C$90="Swap hero prompt",S173,IF('Paste Editor (Beta)'!$C$90="Anvil prompt",AD173,"")))))))</f>
        <v>0</v>
      </c>
      <c r="AK173" s="283">
        <f>IF('Paste Editor (Beta)'!$C$90="Level-up prompt",G174,IF('Paste Editor (Beta)'!$C$90="Item prompt",E174,IF('Paste Editor (Beta)'!$C$90="Modifier prompt","'"&amp;B174,IF('Paste Editor (Beta)'!$C$90="Challenge prompt",E174,IF('Paste Editor (Beta)'!$C$90="Reroll class prompt",S173,IF('Paste Editor (Beta)'!$C$90="Swap hero prompt",S173,IF('Paste Editor (Beta)'!$C$90="Anvil prompt",AD173,"")))))))</f>
        <v>0</v>
      </c>
    </row>
    <row r="174" spans="1:37" ht="18">
      <c r="A174" s="23" t="s">
        <v>4332</v>
      </c>
      <c r="B174" s="284" t="s">
        <v>3035</v>
      </c>
      <c r="C174" s="284" t="s">
        <v>3035</v>
      </c>
      <c r="D174" s="284" t="s">
        <v>3035</v>
      </c>
      <c r="E174" s="280" t="s">
        <v>1406</v>
      </c>
      <c r="AH174" s="280" t="str">
        <f>IF('Paste Editor (Beta)'!$C$82="Level-up prompt",G175,IF('Paste Editor (Beta)'!$C$82="Item prompt",E175,IF('Paste Editor (Beta)'!$C$82="Modifier prompt","'"&amp;B175,IF('Paste Editor (Beta)'!$C$82="Challenge prompt",L175,IF('Paste Editor (Beta)'!$C$82="Reroll class prompt",S174,IF('Paste Editor (Beta)'!$C$82="Swap hero prompt",S174,IF('Paste Editor (Beta)'!$C$82="Anvil prompt",AD174,"")))))))</f>
        <v/>
      </c>
      <c r="AI174" s="280" t="str">
        <f>IF('Paste Editor (Beta)'!$C$82="Level-up prompt",G175,IF('Paste Editor (Beta)'!$C$82="Item prompt",E175,IF('Paste Editor (Beta)'!$C$82="Modifier prompt","'"&amp;B175,IF('Paste Editor (Beta)'!$C$82="Challenge prompt",E175,IF('Paste Editor (Beta)'!$C$82="Reroll class prompt",S174,IF('Paste Editor (Beta)'!$C$82="Swap hero prompt",S174,IF('Paste Editor (Beta)'!$C$82="Anvil prompt",AD174,"")))))))</f>
        <v/>
      </c>
      <c r="AJ174" s="283">
        <f>IF('Paste Editor (Beta)'!$C$90="Level-up prompt",G175,IF('Paste Editor (Beta)'!$C$90="Item prompt",E175,IF('Paste Editor (Beta)'!$C$90="Modifier prompt","'"&amp;B175,IF('Paste Editor (Beta)'!$C$90="Challenge prompt",L175,IF('Paste Editor (Beta)'!$C$90="Reroll class prompt",S174,IF('Paste Editor (Beta)'!$C$90="Swap hero prompt",S174,IF('Paste Editor (Beta)'!$C$90="Anvil prompt",AD174,"")))))))</f>
        <v>0</v>
      </c>
      <c r="AK174" s="283">
        <f>IF('Paste Editor (Beta)'!$C$90="Level-up prompt",G175,IF('Paste Editor (Beta)'!$C$90="Item prompt",E175,IF('Paste Editor (Beta)'!$C$90="Modifier prompt","'"&amp;B175,IF('Paste Editor (Beta)'!$C$90="Challenge prompt",E175,IF('Paste Editor (Beta)'!$C$90="Reroll class prompt",S174,IF('Paste Editor (Beta)'!$C$90="Swap hero prompt",S174,IF('Paste Editor (Beta)'!$C$90="Anvil prompt",AD174,"")))))))</f>
        <v>0</v>
      </c>
    </row>
    <row r="175" spans="1:37" ht="18">
      <c r="A175" s="23" t="s">
        <v>4333</v>
      </c>
      <c r="B175" s="284" t="s">
        <v>2504</v>
      </c>
      <c r="C175" s="284" t="s">
        <v>2504</v>
      </c>
      <c r="D175" s="284" t="s">
        <v>2504</v>
      </c>
      <c r="E175" s="280" t="s">
        <v>1099</v>
      </c>
      <c r="AH175" s="280" t="str">
        <f>IF('Paste Editor (Beta)'!$C$82="Level-up prompt",G176,IF('Paste Editor (Beta)'!$C$82="Item prompt",E176,IF('Paste Editor (Beta)'!$C$82="Modifier prompt","'"&amp;B176,IF('Paste Editor (Beta)'!$C$82="Challenge prompt",L176,IF('Paste Editor (Beta)'!$C$82="Reroll class prompt",S175,IF('Paste Editor (Beta)'!$C$82="Swap hero prompt",S175,IF('Paste Editor (Beta)'!$C$82="Anvil prompt",AD175,"")))))))</f>
        <v/>
      </c>
      <c r="AI175" s="280" t="str">
        <f>IF('Paste Editor (Beta)'!$C$82="Level-up prompt",G176,IF('Paste Editor (Beta)'!$C$82="Item prompt",E176,IF('Paste Editor (Beta)'!$C$82="Modifier prompt","'"&amp;B176,IF('Paste Editor (Beta)'!$C$82="Challenge prompt",E176,IF('Paste Editor (Beta)'!$C$82="Reroll class prompt",S175,IF('Paste Editor (Beta)'!$C$82="Swap hero prompt",S175,IF('Paste Editor (Beta)'!$C$82="Anvil prompt",AD175,"")))))))</f>
        <v/>
      </c>
      <c r="AJ175" s="283">
        <f>IF('Paste Editor (Beta)'!$C$90="Level-up prompt",G176,IF('Paste Editor (Beta)'!$C$90="Item prompt",E176,IF('Paste Editor (Beta)'!$C$90="Modifier prompt","'"&amp;B176,IF('Paste Editor (Beta)'!$C$90="Challenge prompt",L176,IF('Paste Editor (Beta)'!$C$90="Reroll class prompt",S175,IF('Paste Editor (Beta)'!$C$90="Swap hero prompt",S175,IF('Paste Editor (Beta)'!$C$90="Anvil prompt",AD175,"")))))))</f>
        <v>0</v>
      </c>
      <c r="AK175" s="283">
        <f>IF('Paste Editor (Beta)'!$C$90="Level-up prompt",G176,IF('Paste Editor (Beta)'!$C$90="Item prompt",E176,IF('Paste Editor (Beta)'!$C$90="Modifier prompt","'"&amp;B176,IF('Paste Editor (Beta)'!$C$90="Challenge prompt",E176,IF('Paste Editor (Beta)'!$C$90="Reroll class prompt",S175,IF('Paste Editor (Beta)'!$C$90="Swap hero prompt",S175,IF('Paste Editor (Beta)'!$C$90="Anvil prompt",AD175,"")))))))</f>
        <v>0</v>
      </c>
    </row>
    <row r="176" spans="1:37" ht="18">
      <c r="A176" s="23" t="s">
        <v>4334</v>
      </c>
      <c r="B176" s="284" t="s">
        <v>2616</v>
      </c>
      <c r="C176" s="284" t="s">
        <v>2616</v>
      </c>
      <c r="D176" s="284" t="s">
        <v>2616</v>
      </c>
      <c r="E176" s="280" t="s">
        <v>1469</v>
      </c>
      <c r="AH176" s="280" t="str">
        <f>IF('Paste Editor (Beta)'!$C$82="Level-up prompt",G177,IF('Paste Editor (Beta)'!$C$82="Item prompt",E177,IF('Paste Editor (Beta)'!$C$82="Modifier prompt","'"&amp;B177,IF('Paste Editor (Beta)'!$C$82="Challenge prompt",L177,IF('Paste Editor (Beta)'!$C$82="Reroll class prompt",S176,IF('Paste Editor (Beta)'!$C$82="Swap hero prompt",S176,IF('Paste Editor (Beta)'!$C$82="Anvil prompt",AD176,"")))))))</f>
        <v/>
      </c>
      <c r="AI176" s="280" t="str">
        <f>IF('Paste Editor (Beta)'!$C$82="Level-up prompt",G177,IF('Paste Editor (Beta)'!$C$82="Item prompt",E177,IF('Paste Editor (Beta)'!$C$82="Modifier prompt","'"&amp;B177,IF('Paste Editor (Beta)'!$C$82="Challenge prompt",E177,IF('Paste Editor (Beta)'!$C$82="Reroll class prompt",S176,IF('Paste Editor (Beta)'!$C$82="Swap hero prompt",S176,IF('Paste Editor (Beta)'!$C$82="Anvil prompt",AD176,"")))))))</f>
        <v/>
      </c>
      <c r="AJ176" s="283">
        <f>IF('Paste Editor (Beta)'!$C$90="Level-up prompt",G177,IF('Paste Editor (Beta)'!$C$90="Item prompt",E177,IF('Paste Editor (Beta)'!$C$90="Modifier prompt","'"&amp;B177,IF('Paste Editor (Beta)'!$C$90="Challenge prompt",L177,IF('Paste Editor (Beta)'!$C$90="Reroll class prompt",S176,IF('Paste Editor (Beta)'!$C$90="Swap hero prompt",S176,IF('Paste Editor (Beta)'!$C$90="Anvil prompt",AD176,"")))))))</f>
        <v>0</v>
      </c>
      <c r="AK176" s="283">
        <f>IF('Paste Editor (Beta)'!$C$90="Level-up prompt",G177,IF('Paste Editor (Beta)'!$C$90="Item prompt",E177,IF('Paste Editor (Beta)'!$C$90="Modifier prompt","'"&amp;B177,IF('Paste Editor (Beta)'!$C$90="Challenge prompt",E177,IF('Paste Editor (Beta)'!$C$90="Reroll class prompt",S176,IF('Paste Editor (Beta)'!$C$90="Swap hero prompt",S176,IF('Paste Editor (Beta)'!$C$90="Anvil prompt",AD176,"")))))))</f>
        <v>0</v>
      </c>
    </row>
    <row r="177" spans="1:37" ht="18">
      <c r="A177" s="23" t="s">
        <v>4335</v>
      </c>
      <c r="B177" s="284" t="s">
        <v>2010</v>
      </c>
      <c r="C177" s="284" t="s">
        <v>2010</v>
      </c>
      <c r="D177" s="284" t="s">
        <v>2010</v>
      </c>
      <c r="E177" s="280" t="s">
        <v>1162</v>
      </c>
      <c r="AH177" s="280" t="str">
        <f>IF('Paste Editor (Beta)'!$C$82="Level-up prompt",G178,IF('Paste Editor (Beta)'!$C$82="Item prompt",E178,IF('Paste Editor (Beta)'!$C$82="Modifier prompt","'"&amp;B178,IF('Paste Editor (Beta)'!$C$82="Challenge prompt",L178,IF('Paste Editor (Beta)'!$C$82="Reroll class prompt",S177,IF('Paste Editor (Beta)'!$C$82="Swap hero prompt",S177,IF('Paste Editor (Beta)'!$C$82="Anvil prompt",AD177,"")))))))</f>
        <v/>
      </c>
      <c r="AI177" s="280" t="str">
        <f>IF('Paste Editor (Beta)'!$C$82="Level-up prompt",G178,IF('Paste Editor (Beta)'!$C$82="Item prompt",E178,IF('Paste Editor (Beta)'!$C$82="Modifier prompt","'"&amp;B178,IF('Paste Editor (Beta)'!$C$82="Challenge prompt",E178,IF('Paste Editor (Beta)'!$C$82="Reroll class prompt",S177,IF('Paste Editor (Beta)'!$C$82="Swap hero prompt",S177,IF('Paste Editor (Beta)'!$C$82="Anvil prompt",AD177,"")))))))</f>
        <v/>
      </c>
      <c r="AJ177" s="283">
        <f>IF('Paste Editor (Beta)'!$C$90="Level-up prompt",G178,IF('Paste Editor (Beta)'!$C$90="Item prompt",E178,IF('Paste Editor (Beta)'!$C$90="Modifier prompt","'"&amp;B178,IF('Paste Editor (Beta)'!$C$90="Challenge prompt",L178,IF('Paste Editor (Beta)'!$C$90="Reroll class prompt",S177,IF('Paste Editor (Beta)'!$C$90="Swap hero prompt",S177,IF('Paste Editor (Beta)'!$C$90="Anvil prompt",AD177,"")))))))</f>
        <v>0</v>
      </c>
      <c r="AK177" s="283">
        <f>IF('Paste Editor (Beta)'!$C$90="Level-up prompt",G178,IF('Paste Editor (Beta)'!$C$90="Item prompt",E178,IF('Paste Editor (Beta)'!$C$90="Modifier prompt","'"&amp;B178,IF('Paste Editor (Beta)'!$C$90="Challenge prompt",E178,IF('Paste Editor (Beta)'!$C$90="Reroll class prompt",S177,IF('Paste Editor (Beta)'!$C$90="Swap hero prompt",S177,IF('Paste Editor (Beta)'!$C$90="Anvil prompt",AD177,"")))))))</f>
        <v>0</v>
      </c>
    </row>
    <row r="178" spans="1:37" ht="18">
      <c r="A178" s="23" t="s">
        <v>4336</v>
      </c>
      <c r="B178" s="284" t="s">
        <v>2949</v>
      </c>
      <c r="C178" s="284" t="s">
        <v>2949</v>
      </c>
      <c r="D178" s="284" t="s">
        <v>2949</v>
      </c>
      <c r="E178" s="280" t="s">
        <v>1335</v>
      </c>
      <c r="AH178" s="280" t="str">
        <f>IF('Paste Editor (Beta)'!$C$82="Level-up prompt",G179,IF('Paste Editor (Beta)'!$C$82="Item prompt",E179,IF('Paste Editor (Beta)'!$C$82="Modifier prompt","'"&amp;B179,IF('Paste Editor (Beta)'!$C$82="Challenge prompt",L179,IF('Paste Editor (Beta)'!$C$82="Reroll class prompt",S178,IF('Paste Editor (Beta)'!$C$82="Swap hero prompt",S178,IF('Paste Editor (Beta)'!$C$82="Anvil prompt",AD178,"")))))))</f>
        <v/>
      </c>
      <c r="AI178" s="280" t="str">
        <f>IF('Paste Editor (Beta)'!$C$82="Level-up prompt",G179,IF('Paste Editor (Beta)'!$C$82="Item prompt",E179,IF('Paste Editor (Beta)'!$C$82="Modifier prompt","'"&amp;B179,IF('Paste Editor (Beta)'!$C$82="Challenge prompt",E179,IF('Paste Editor (Beta)'!$C$82="Reroll class prompt",S178,IF('Paste Editor (Beta)'!$C$82="Swap hero prompt",S178,IF('Paste Editor (Beta)'!$C$82="Anvil prompt",AD178,"")))))))</f>
        <v/>
      </c>
      <c r="AJ178" s="283">
        <f>IF('Paste Editor (Beta)'!$C$90="Level-up prompt",G179,IF('Paste Editor (Beta)'!$C$90="Item prompt",E179,IF('Paste Editor (Beta)'!$C$90="Modifier prompt","'"&amp;B179,IF('Paste Editor (Beta)'!$C$90="Challenge prompt",L179,IF('Paste Editor (Beta)'!$C$90="Reroll class prompt",S178,IF('Paste Editor (Beta)'!$C$90="Swap hero prompt",S178,IF('Paste Editor (Beta)'!$C$90="Anvil prompt",AD178,"")))))))</f>
        <v>0</v>
      </c>
      <c r="AK178" s="283">
        <f>IF('Paste Editor (Beta)'!$C$90="Level-up prompt",G179,IF('Paste Editor (Beta)'!$C$90="Item prompt",E179,IF('Paste Editor (Beta)'!$C$90="Modifier prompt","'"&amp;B179,IF('Paste Editor (Beta)'!$C$90="Challenge prompt",E179,IF('Paste Editor (Beta)'!$C$90="Reroll class prompt",S178,IF('Paste Editor (Beta)'!$C$90="Swap hero prompt",S178,IF('Paste Editor (Beta)'!$C$90="Anvil prompt",AD178,"")))))))</f>
        <v>0</v>
      </c>
    </row>
    <row r="179" spans="1:37" ht="18">
      <c r="A179" s="23" t="s">
        <v>4337</v>
      </c>
      <c r="B179" s="284" t="s">
        <v>2448</v>
      </c>
      <c r="C179" s="284" t="s">
        <v>2448</v>
      </c>
      <c r="D179" s="284" t="s">
        <v>2448</v>
      </c>
      <c r="E179" s="280" t="s">
        <v>964</v>
      </c>
      <c r="AH179" s="280" t="str">
        <f>IF('Paste Editor (Beta)'!$C$82="Level-up prompt",G180,IF('Paste Editor (Beta)'!$C$82="Item prompt",E180,IF('Paste Editor (Beta)'!$C$82="Modifier prompt","'"&amp;B180,IF('Paste Editor (Beta)'!$C$82="Challenge prompt",L180,IF('Paste Editor (Beta)'!$C$82="Reroll class prompt",S179,IF('Paste Editor (Beta)'!$C$82="Swap hero prompt",S179,IF('Paste Editor (Beta)'!$C$82="Anvil prompt",AD179,"")))))))</f>
        <v/>
      </c>
      <c r="AI179" s="280" t="str">
        <f>IF('Paste Editor (Beta)'!$C$82="Level-up prompt",G180,IF('Paste Editor (Beta)'!$C$82="Item prompt",E180,IF('Paste Editor (Beta)'!$C$82="Modifier prompt","'"&amp;B180,IF('Paste Editor (Beta)'!$C$82="Challenge prompt",E180,IF('Paste Editor (Beta)'!$C$82="Reroll class prompt",S179,IF('Paste Editor (Beta)'!$C$82="Swap hero prompt",S179,IF('Paste Editor (Beta)'!$C$82="Anvil prompt",AD179,"")))))))</f>
        <v/>
      </c>
      <c r="AJ179" s="283">
        <f>IF('Paste Editor (Beta)'!$C$90="Level-up prompt",G180,IF('Paste Editor (Beta)'!$C$90="Item prompt",E180,IF('Paste Editor (Beta)'!$C$90="Modifier prompt","'"&amp;B180,IF('Paste Editor (Beta)'!$C$90="Challenge prompt",L180,IF('Paste Editor (Beta)'!$C$90="Reroll class prompt",S179,IF('Paste Editor (Beta)'!$C$90="Swap hero prompt",S179,IF('Paste Editor (Beta)'!$C$90="Anvil prompt",AD179,"")))))))</f>
        <v>0</v>
      </c>
      <c r="AK179" s="283">
        <f>IF('Paste Editor (Beta)'!$C$90="Level-up prompt",G180,IF('Paste Editor (Beta)'!$C$90="Item prompt",E180,IF('Paste Editor (Beta)'!$C$90="Modifier prompt","'"&amp;B180,IF('Paste Editor (Beta)'!$C$90="Challenge prompt",E180,IF('Paste Editor (Beta)'!$C$90="Reroll class prompt",S179,IF('Paste Editor (Beta)'!$C$90="Swap hero prompt",S179,IF('Paste Editor (Beta)'!$C$90="Anvil prompt",AD179,"")))))))</f>
        <v>0</v>
      </c>
    </row>
    <row r="180" spans="1:37" ht="18">
      <c r="A180" s="23" t="s">
        <v>4338</v>
      </c>
      <c r="B180" s="284" t="s">
        <v>2991</v>
      </c>
      <c r="C180" s="284" t="s">
        <v>2991</v>
      </c>
      <c r="D180" s="284" t="s">
        <v>2991</v>
      </c>
      <c r="E180" s="280" t="s">
        <v>1254</v>
      </c>
      <c r="AH180" s="280" t="str">
        <f>IF('Paste Editor (Beta)'!$C$82="Level-up prompt",G181,IF('Paste Editor (Beta)'!$C$82="Item prompt",E181,IF('Paste Editor (Beta)'!$C$82="Modifier prompt","'"&amp;B181,IF('Paste Editor (Beta)'!$C$82="Challenge prompt",L181,IF('Paste Editor (Beta)'!$C$82="Reroll class prompt",S180,IF('Paste Editor (Beta)'!$C$82="Swap hero prompt",S180,IF('Paste Editor (Beta)'!$C$82="Anvil prompt",AD180,"")))))))</f>
        <v/>
      </c>
      <c r="AI180" s="280" t="str">
        <f>IF('Paste Editor (Beta)'!$C$82="Level-up prompt",G181,IF('Paste Editor (Beta)'!$C$82="Item prompt",E181,IF('Paste Editor (Beta)'!$C$82="Modifier prompt","'"&amp;B181,IF('Paste Editor (Beta)'!$C$82="Challenge prompt",E181,IF('Paste Editor (Beta)'!$C$82="Reroll class prompt",S180,IF('Paste Editor (Beta)'!$C$82="Swap hero prompt",S180,IF('Paste Editor (Beta)'!$C$82="Anvil prompt",AD180,"")))))))</f>
        <v/>
      </c>
      <c r="AJ180" s="283">
        <f>IF('Paste Editor (Beta)'!$C$90="Level-up prompt",G181,IF('Paste Editor (Beta)'!$C$90="Item prompt",E181,IF('Paste Editor (Beta)'!$C$90="Modifier prompt","'"&amp;B181,IF('Paste Editor (Beta)'!$C$90="Challenge prompt",L181,IF('Paste Editor (Beta)'!$C$90="Reroll class prompt",S180,IF('Paste Editor (Beta)'!$C$90="Swap hero prompt",S180,IF('Paste Editor (Beta)'!$C$90="Anvil prompt",AD180,"")))))))</f>
        <v>0</v>
      </c>
      <c r="AK180" s="283">
        <f>IF('Paste Editor (Beta)'!$C$90="Level-up prompt",G181,IF('Paste Editor (Beta)'!$C$90="Item prompt",E181,IF('Paste Editor (Beta)'!$C$90="Modifier prompt","'"&amp;B181,IF('Paste Editor (Beta)'!$C$90="Challenge prompt",E181,IF('Paste Editor (Beta)'!$C$90="Reroll class prompt",S180,IF('Paste Editor (Beta)'!$C$90="Swap hero prompt",S180,IF('Paste Editor (Beta)'!$C$90="Anvil prompt",AD180,"")))))))</f>
        <v>0</v>
      </c>
    </row>
    <row r="181" spans="1:37" ht="18">
      <c r="A181" s="23" t="s">
        <v>4339</v>
      </c>
      <c r="B181" s="284" t="s">
        <v>2731</v>
      </c>
      <c r="C181" s="284" t="s">
        <v>2731</v>
      </c>
      <c r="D181" s="284" t="s">
        <v>2731</v>
      </c>
      <c r="E181" s="280" t="s">
        <v>1101</v>
      </c>
      <c r="AH181" s="280" t="str">
        <f>IF('Paste Editor (Beta)'!$C$82="Level-up prompt",G182,IF('Paste Editor (Beta)'!$C$82="Item prompt",E182,IF('Paste Editor (Beta)'!$C$82="Modifier prompt","'"&amp;B182,IF('Paste Editor (Beta)'!$C$82="Challenge prompt",L182,IF('Paste Editor (Beta)'!$C$82="Reroll class prompt",S181,IF('Paste Editor (Beta)'!$C$82="Swap hero prompt",S181,IF('Paste Editor (Beta)'!$C$82="Anvil prompt",AD181,"")))))))</f>
        <v/>
      </c>
      <c r="AI181" s="280" t="str">
        <f>IF('Paste Editor (Beta)'!$C$82="Level-up prompt",G182,IF('Paste Editor (Beta)'!$C$82="Item prompt",E182,IF('Paste Editor (Beta)'!$C$82="Modifier prompt","'"&amp;B182,IF('Paste Editor (Beta)'!$C$82="Challenge prompt",E182,IF('Paste Editor (Beta)'!$C$82="Reroll class prompt",S181,IF('Paste Editor (Beta)'!$C$82="Swap hero prompt",S181,IF('Paste Editor (Beta)'!$C$82="Anvil prompt",AD181,"")))))))</f>
        <v/>
      </c>
      <c r="AJ181" s="283">
        <f>IF('Paste Editor (Beta)'!$C$90="Level-up prompt",G182,IF('Paste Editor (Beta)'!$C$90="Item prompt",E182,IF('Paste Editor (Beta)'!$C$90="Modifier prompt","'"&amp;B182,IF('Paste Editor (Beta)'!$C$90="Challenge prompt",L182,IF('Paste Editor (Beta)'!$C$90="Reroll class prompt",S181,IF('Paste Editor (Beta)'!$C$90="Swap hero prompt",S181,IF('Paste Editor (Beta)'!$C$90="Anvil prompt",AD181,"")))))))</f>
        <v>0</v>
      </c>
      <c r="AK181" s="283">
        <f>IF('Paste Editor (Beta)'!$C$90="Level-up prompt",G182,IF('Paste Editor (Beta)'!$C$90="Item prompt",E182,IF('Paste Editor (Beta)'!$C$90="Modifier prompt","'"&amp;B182,IF('Paste Editor (Beta)'!$C$90="Challenge prompt",E182,IF('Paste Editor (Beta)'!$C$90="Reroll class prompt",S181,IF('Paste Editor (Beta)'!$C$90="Swap hero prompt",S181,IF('Paste Editor (Beta)'!$C$90="Anvil prompt",AD181,"")))))))</f>
        <v>0</v>
      </c>
    </row>
    <row r="182" spans="1:37" ht="18">
      <c r="A182" s="23" t="s">
        <v>4340</v>
      </c>
      <c r="B182" s="284" t="s">
        <v>2132</v>
      </c>
      <c r="C182" s="284" t="s">
        <v>2132</v>
      </c>
      <c r="D182" s="284" t="s">
        <v>2132</v>
      </c>
      <c r="E182" s="280" t="s">
        <v>832</v>
      </c>
      <c r="AH182" s="280" t="str">
        <f>IF('Paste Editor (Beta)'!$C$82="Level-up prompt",G183,IF('Paste Editor (Beta)'!$C$82="Item prompt",E183,IF('Paste Editor (Beta)'!$C$82="Modifier prompt","'"&amp;B183,IF('Paste Editor (Beta)'!$C$82="Challenge prompt",L183,IF('Paste Editor (Beta)'!$C$82="Reroll class prompt",S182,IF('Paste Editor (Beta)'!$C$82="Swap hero prompt",S182,IF('Paste Editor (Beta)'!$C$82="Anvil prompt",AD182,"")))))))</f>
        <v/>
      </c>
      <c r="AI182" s="280" t="str">
        <f>IF('Paste Editor (Beta)'!$C$82="Level-up prompt",G183,IF('Paste Editor (Beta)'!$C$82="Item prompt",E183,IF('Paste Editor (Beta)'!$C$82="Modifier prompt","'"&amp;B183,IF('Paste Editor (Beta)'!$C$82="Challenge prompt",E183,IF('Paste Editor (Beta)'!$C$82="Reroll class prompt",S182,IF('Paste Editor (Beta)'!$C$82="Swap hero prompt",S182,IF('Paste Editor (Beta)'!$C$82="Anvil prompt",AD182,"")))))))</f>
        <v/>
      </c>
      <c r="AJ182" s="283">
        <f>IF('Paste Editor (Beta)'!$C$90="Level-up prompt",G183,IF('Paste Editor (Beta)'!$C$90="Item prompt",E183,IF('Paste Editor (Beta)'!$C$90="Modifier prompt","'"&amp;B183,IF('Paste Editor (Beta)'!$C$90="Challenge prompt",L183,IF('Paste Editor (Beta)'!$C$90="Reroll class prompt",S182,IF('Paste Editor (Beta)'!$C$90="Swap hero prompt",S182,IF('Paste Editor (Beta)'!$C$90="Anvil prompt",AD182,"")))))))</f>
        <v>0</v>
      </c>
      <c r="AK182" s="283">
        <f>IF('Paste Editor (Beta)'!$C$90="Level-up prompt",G183,IF('Paste Editor (Beta)'!$C$90="Item prompt",E183,IF('Paste Editor (Beta)'!$C$90="Modifier prompt","'"&amp;B183,IF('Paste Editor (Beta)'!$C$90="Challenge prompt",E183,IF('Paste Editor (Beta)'!$C$90="Reroll class prompt",S182,IF('Paste Editor (Beta)'!$C$90="Swap hero prompt",S182,IF('Paste Editor (Beta)'!$C$90="Anvil prompt",AD182,"")))))))</f>
        <v>0</v>
      </c>
    </row>
    <row r="183" spans="1:37" ht="18">
      <c r="A183" s="23" t="s">
        <v>4341</v>
      </c>
      <c r="B183" s="284" t="s">
        <v>2498</v>
      </c>
      <c r="C183" s="284" t="s">
        <v>2498</v>
      </c>
      <c r="D183" s="284" t="s">
        <v>2498</v>
      </c>
      <c r="E183" s="280" t="s">
        <v>1337</v>
      </c>
      <c r="AH183" s="280" t="str">
        <f>IF('Paste Editor (Beta)'!$C$82="Level-up prompt",G184,IF('Paste Editor (Beta)'!$C$82="Item prompt",E184,IF('Paste Editor (Beta)'!$C$82="Modifier prompt","'"&amp;B184,IF('Paste Editor (Beta)'!$C$82="Challenge prompt",L184,IF('Paste Editor (Beta)'!$C$82="Reroll class prompt",S183,IF('Paste Editor (Beta)'!$C$82="Swap hero prompt",S183,IF('Paste Editor (Beta)'!$C$82="Anvil prompt",AD183,"")))))))</f>
        <v/>
      </c>
      <c r="AI183" s="280" t="str">
        <f>IF('Paste Editor (Beta)'!$C$82="Level-up prompt",G184,IF('Paste Editor (Beta)'!$C$82="Item prompt",E184,IF('Paste Editor (Beta)'!$C$82="Modifier prompt","'"&amp;B184,IF('Paste Editor (Beta)'!$C$82="Challenge prompt",E184,IF('Paste Editor (Beta)'!$C$82="Reroll class prompt",S183,IF('Paste Editor (Beta)'!$C$82="Swap hero prompt",S183,IF('Paste Editor (Beta)'!$C$82="Anvil prompt",AD183,"")))))))</f>
        <v/>
      </c>
      <c r="AJ183" s="283">
        <f>IF('Paste Editor (Beta)'!$C$90="Level-up prompt",G184,IF('Paste Editor (Beta)'!$C$90="Item prompt",E184,IF('Paste Editor (Beta)'!$C$90="Modifier prompt","'"&amp;B184,IF('Paste Editor (Beta)'!$C$90="Challenge prompt",L184,IF('Paste Editor (Beta)'!$C$90="Reroll class prompt",S183,IF('Paste Editor (Beta)'!$C$90="Swap hero prompt",S183,IF('Paste Editor (Beta)'!$C$90="Anvil prompt",AD183,"")))))))</f>
        <v>0</v>
      </c>
      <c r="AK183" s="283">
        <f>IF('Paste Editor (Beta)'!$C$90="Level-up prompt",G184,IF('Paste Editor (Beta)'!$C$90="Item prompt",E184,IF('Paste Editor (Beta)'!$C$90="Modifier prompt","'"&amp;B184,IF('Paste Editor (Beta)'!$C$90="Challenge prompt",E184,IF('Paste Editor (Beta)'!$C$90="Reroll class prompt",S183,IF('Paste Editor (Beta)'!$C$90="Swap hero prompt",S183,IF('Paste Editor (Beta)'!$C$90="Anvil prompt",AD183,"")))))))</f>
        <v>0</v>
      </c>
    </row>
    <row r="184" spans="1:37" ht="18">
      <c r="A184" s="23" t="s">
        <v>4342</v>
      </c>
      <c r="B184" s="284" t="s">
        <v>2355</v>
      </c>
      <c r="C184" s="284" t="s">
        <v>2355</v>
      </c>
      <c r="D184" s="284" t="s">
        <v>2355</v>
      </c>
      <c r="E184" s="280" t="s">
        <v>1034</v>
      </c>
      <c r="AH184" s="280" t="str">
        <f>IF('Paste Editor (Beta)'!$C$82="Level-up prompt",G185,IF('Paste Editor (Beta)'!$C$82="Item prompt",E185,IF('Paste Editor (Beta)'!$C$82="Modifier prompt","'"&amp;B185,IF('Paste Editor (Beta)'!$C$82="Challenge prompt",L185,IF('Paste Editor (Beta)'!$C$82="Reroll class prompt",S184,IF('Paste Editor (Beta)'!$C$82="Swap hero prompt",S184,IF('Paste Editor (Beta)'!$C$82="Anvil prompt",AD184,"")))))))</f>
        <v/>
      </c>
      <c r="AI184" s="280" t="str">
        <f>IF('Paste Editor (Beta)'!$C$82="Level-up prompt",G185,IF('Paste Editor (Beta)'!$C$82="Item prompt",E185,IF('Paste Editor (Beta)'!$C$82="Modifier prompt","'"&amp;B185,IF('Paste Editor (Beta)'!$C$82="Challenge prompt",E185,IF('Paste Editor (Beta)'!$C$82="Reroll class prompt",S184,IF('Paste Editor (Beta)'!$C$82="Swap hero prompt",S184,IF('Paste Editor (Beta)'!$C$82="Anvil prompt",AD184,"")))))))</f>
        <v/>
      </c>
      <c r="AJ184" s="283">
        <f>IF('Paste Editor (Beta)'!$C$90="Level-up prompt",G185,IF('Paste Editor (Beta)'!$C$90="Item prompt",E185,IF('Paste Editor (Beta)'!$C$90="Modifier prompt","'"&amp;B185,IF('Paste Editor (Beta)'!$C$90="Challenge prompt",L185,IF('Paste Editor (Beta)'!$C$90="Reroll class prompt",S184,IF('Paste Editor (Beta)'!$C$90="Swap hero prompt",S184,IF('Paste Editor (Beta)'!$C$90="Anvil prompt",AD184,"")))))))</f>
        <v>0</v>
      </c>
      <c r="AK184" s="283">
        <f>IF('Paste Editor (Beta)'!$C$90="Level-up prompt",G185,IF('Paste Editor (Beta)'!$C$90="Item prompt",E185,IF('Paste Editor (Beta)'!$C$90="Modifier prompt","'"&amp;B185,IF('Paste Editor (Beta)'!$C$90="Challenge prompt",E185,IF('Paste Editor (Beta)'!$C$90="Reroll class prompt",S184,IF('Paste Editor (Beta)'!$C$90="Swap hero prompt",S184,IF('Paste Editor (Beta)'!$C$90="Anvil prompt",AD184,"")))))))</f>
        <v>0</v>
      </c>
    </row>
    <row r="185" spans="1:37" ht="18">
      <c r="A185" s="23" t="s">
        <v>4343</v>
      </c>
      <c r="B185" s="284" t="s">
        <v>2718</v>
      </c>
      <c r="C185" s="284" t="s">
        <v>2718</v>
      </c>
      <c r="D185" s="284" t="s">
        <v>2718</v>
      </c>
      <c r="E185" s="280" t="s">
        <v>967</v>
      </c>
      <c r="AH185" s="280" t="str">
        <f>IF('Paste Editor (Beta)'!$C$82="Level-up prompt",G186,IF('Paste Editor (Beta)'!$C$82="Item prompt",E186,IF('Paste Editor (Beta)'!$C$82="Modifier prompt","'"&amp;B186,IF('Paste Editor (Beta)'!$C$82="Challenge prompt",L186,IF('Paste Editor (Beta)'!$C$82="Reroll class prompt",S185,IF('Paste Editor (Beta)'!$C$82="Swap hero prompt",S185,IF('Paste Editor (Beta)'!$C$82="Anvil prompt",AD185,"")))))))</f>
        <v/>
      </c>
      <c r="AI185" s="280" t="str">
        <f>IF('Paste Editor (Beta)'!$C$82="Level-up prompt",G186,IF('Paste Editor (Beta)'!$C$82="Item prompt",E186,IF('Paste Editor (Beta)'!$C$82="Modifier prompt","'"&amp;B186,IF('Paste Editor (Beta)'!$C$82="Challenge prompt",E186,IF('Paste Editor (Beta)'!$C$82="Reroll class prompt",S185,IF('Paste Editor (Beta)'!$C$82="Swap hero prompt",S185,IF('Paste Editor (Beta)'!$C$82="Anvil prompt",AD185,"")))))))</f>
        <v/>
      </c>
      <c r="AJ185" s="283">
        <f>IF('Paste Editor (Beta)'!$C$90="Level-up prompt",G186,IF('Paste Editor (Beta)'!$C$90="Item prompt",E186,IF('Paste Editor (Beta)'!$C$90="Modifier prompt","'"&amp;B186,IF('Paste Editor (Beta)'!$C$90="Challenge prompt",L186,IF('Paste Editor (Beta)'!$C$90="Reroll class prompt",S185,IF('Paste Editor (Beta)'!$C$90="Swap hero prompt",S185,IF('Paste Editor (Beta)'!$C$90="Anvil prompt",AD185,"")))))))</f>
        <v>0</v>
      </c>
      <c r="AK185" s="283">
        <f>IF('Paste Editor (Beta)'!$C$90="Level-up prompt",G186,IF('Paste Editor (Beta)'!$C$90="Item prompt",E186,IF('Paste Editor (Beta)'!$C$90="Modifier prompt","'"&amp;B186,IF('Paste Editor (Beta)'!$C$90="Challenge prompt",E186,IF('Paste Editor (Beta)'!$C$90="Reroll class prompt",S185,IF('Paste Editor (Beta)'!$C$90="Swap hero prompt",S185,IF('Paste Editor (Beta)'!$C$90="Anvil prompt",AD185,"")))))))</f>
        <v>0</v>
      </c>
    </row>
    <row r="186" spans="1:37" ht="18">
      <c r="A186" s="23" t="s">
        <v>4344</v>
      </c>
      <c r="B186" s="284" t="s">
        <v>2353</v>
      </c>
      <c r="C186" s="284" t="s">
        <v>2353</v>
      </c>
      <c r="D186" s="284" t="s">
        <v>2353</v>
      </c>
      <c r="E186" s="280" t="s">
        <v>1339</v>
      </c>
      <c r="AH186" s="280" t="str">
        <f>IF('Paste Editor (Beta)'!$C$82="Level-up prompt",G187,IF('Paste Editor (Beta)'!$C$82="Item prompt",E187,IF('Paste Editor (Beta)'!$C$82="Modifier prompt","'"&amp;B187,IF('Paste Editor (Beta)'!$C$82="Challenge prompt",L187,IF('Paste Editor (Beta)'!$C$82="Reroll class prompt",S186,IF('Paste Editor (Beta)'!$C$82="Swap hero prompt",S186,IF('Paste Editor (Beta)'!$C$82="Anvil prompt",AD186,"")))))))</f>
        <v/>
      </c>
      <c r="AI186" s="280" t="str">
        <f>IF('Paste Editor (Beta)'!$C$82="Level-up prompt",G187,IF('Paste Editor (Beta)'!$C$82="Item prompt",E187,IF('Paste Editor (Beta)'!$C$82="Modifier prompt","'"&amp;B187,IF('Paste Editor (Beta)'!$C$82="Challenge prompt",E187,IF('Paste Editor (Beta)'!$C$82="Reroll class prompt",S186,IF('Paste Editor (Beta)'!$C$82="Swap hero prompt",S186,IF('Paste Editor (Beta)'!$C$82="Anvil prompt",AD186,"")))))))</f>
        <v/>
      </c>
      <c r="AJ186" s="283">
        <f>IF('Paste Editor (Beta)'!$C$90="Level-up prompt",G187,IF('Paste Editor (Beta)'!$C$90="Item prompt",E187,IF('Paste Editor (Beta)'!$C$90="Modifier prompt","'"&amp;B187,IF('Paste Editor (Beta)'!$C$90="Challenge prompt",L187,IF('Paste Editor (Beta)'!$C$90="Reroll class prompt",S186,IF('Paste Editor (Beta)'!$C$90="Swap hero prompt",S186,IF('Paste Editor (Beta)'!$C$90="Anvil prompt",AD186,"")))))))</f>
        <v>0</v>
      </c>
      <c r="AK186" s="283">
        <f>IF('Paste Editor (Beta)'!$C$90="Level-up prompt",G187,IF('Paste Editor (Beta)'!$C$90="Item prompt",E187,IF('Paste Editor (Beta)'!$C$90="Modifier prompt","'"&amp;B187,IF('Paste Editor (Beta)'!$C$90="Challenge prompt",E187,IF('Paste Editor (Beta)'!$C$90="Reroll class prompt",S186,IF('Paste Editor (Beta)'!$C$90="Swap hero prompt",S186,IF('Paste Editor (Beta)'!$C$90="Anvil prompt",AD186,"")))))))</f>
        <v>0</v>
      </c>
    </row>
    <row r="187" spans="1:37" ht="18">
      <c r="A187" s="23" t="s">
        <v>4345</v>
      </c>
      <c r="B187" s="284" t="s">
        <v>2351</v>
      </c>
      <c r="C187" s="284" t="s">
        <v>2351</v>
      </c>
      <c r="D187" s="284" t="s">
        <v>2351</v>
      </c>
      <c r="E187" s="280" t="s">
        <v>1165</v>
      </c>
      <c r="AH187" s="280" t="str">
        <f>IF('Paste Editor (Beta)'!$C$82="Level-up prompt",G188,IF('Paste Editor (Beta)'!$C$82="Item prompt",E188,IF('Paste Editor (Beta)'!$C$82="Modifier prompt","'"&amp;B188,IF('Paste Editor (Beta)'!$C$82="Challenge prompt",L188,IF('Paste Editor (Beta)'!$C$82="Reroll class prompt",S187,IF('Paste Editor (Beta)'!$C$82="Swap hero prompt",S187,IF('Paste Editor (Beta)'!$C$82="Anvil prompt",AD187,"")))))))</f>
        <v/>
      </c>
      <c r="AI187" s="280" t="str">
        <f>IF('Paste Editor (Beta)'!$C$82="Level-up prompt",G188,IF('Paste Editor (Beta)'!$C$82="Item prompt",E188,IF('Paste Editor (Beta)'!$C$82="Modifier prompt","'"&amp;B188,IF('Paste Editor (Beta)'!$C$82="Challenge prompt",E188,IF('Paste Editor (Beta)'!$C$82="Reroll class prompt",S187,IF('Paste Editor (Beta)'!$C$82="Swap hero prompt",S187,IF('Paste Editor (Beta)'!$C$82="Anvil prompt",AD187,"")))))))</f>
        <v/>
      </c>
      <c r="AJ187" s="283">
        <f>IF('Paste Editor (Beta)'!$C$90="Level-up prompt",G188,IF('Paste Editor (Beta)'!$C$90="Item prompt",E188,IF('Paste Editor (Beta)'!$C$90="Modifier prompt","'"&amp;B188,IF('Paste Editor (Beta)'!$C$90="Challenge prompt",L188,IF('Paste Editor (Beta)'!$C$90="Reroll class prompt",S187,IF('Paste Editor (Beta)'!$C$90="Swap hero prompt",S187,IF('Paste Editor (Beta)'!$C$90="Anvil prompt",AD187,"")))))))</f>
        <v>0</v>
      </c>
      <c r="AK187" s="283">
        <f>IF('Paste Editor (Beta)'!$C$90="Level-up prompt",G188,IF('Paste Editor (Beta)'!$C$90="Item prompt",E188,IF('Paste Editor (Beta)'!$C$90="Modifier prompt","'"&amp;B188,IF('Paste Editor (Beta)'!$C$90="Challenge prompt",E188,IF('Paste Editor (Beta)'!$C$90="Reroll class prompt",S187,IF('Paste Editor (Beta)'!$C$90="Swap hero prompt",S187,IF('Paste Editor (Beta)'!$C$90="Anvil prompt",AD187,"")))))))</f>
        <v>0</v>
      </c>
    </row>
    <row r="188" spans="1:37" ht="18">
      <c r="A188" s="23" t="s">
        <v>4346</v>
      </c>
      <c r="B188" s="284" t="s">
        <v>2612</v>
      </c>
      <c r="C188" s="284" t="s">
        <v>2612</v>
      </c>
      <c r="D188" s="284" t="s">
        <v>2612</v>
      </c>
      <c r="E188" s="280" t="s">
        <v>1103</v>
      </c>
      <c r="AH188" s="280" t="str">
        <f>IF('Paste Editor (Beta)'!$C$82="Level-up prompt",G189,IF('Paste Editor (Beta)'!$C$82="Item prompt",E189,IF('Paste Editor (Beta)'!$C$82="Modifier prompt","'"&amp;B189,IF('Paste Editor (Beta)'!$C$82="Challenge prompt",L189,IF('Paste Editor (Beta)'!$C$82="Reroll class prompt",S188,IF('Paste Editor (Beta)'!$C$82="Swap hero prompt",S188,IF('Paste Editor (Beta)'!$C$82="Anvil prompt",AD188,"")))))))</f>
        <v/>
      </c>
      <c r="AI188" s="280" t="str">
        <f>IF('Paste Editor (Beta)'!$C$82="Level-up prompt",G189,IF('Paste Editor (Beta)'!$C$82="Item prompt",E189,IF('Paste Editor (Beta)'!$C$82="Modifier prompt","'"&amp;B189,IF('Paste Editor (Beta)'!$C$82="Challenge prompt",E189,IF('Paste Editor (Beta)'!$C$82="Reroll class prompt",S188,IF('Paste Editor (Beta)'!$C$82="Swap hero prompt",S188,IF('Paste Editor (Beta)'!$C$82="Anvil prompt",AD188,"")))))))</f>
        <v/>
      </c>
      <c r="AJ188" s="283">
        <f>IF('Paste Editor (Beta)'!$C$90="Level-up prompt",G189,IF('Paste Editor (Beta)'!$C$90="Item prompt",E189,IF('Paste Editor (Beta)'!$C$90="Modifier prompt","'"&amp;B189,IF('Paste Editor (Beta)'!$C$90="Challenge prompt",L189,IF('Paste Editor (Beta)'!$C$90="Reroll class prompt",S188,IF('Paste Editor (Beta)'!$C$90="Swap hero prompt",S188,IF('Paste Editor (Beta)'!$C$90="Anvil prompt",AD188,"")))))))</f>
        <v>0</v>
      </c>
      <c r="AK188" s="283">
        <f>IF('Paste Editor (Beta)'!$C$90="Level-up prompt",G189,IF('Paste Editor (Beta)'!$C$90="Item prompt",E189,IF('Paste Editor (Beta)'!$C$90="Modifier prompt","'"&amp;B189,IF('Paste Editor (Beta)'!$C$90="Challenge prompt",E189,IF('Paste Editor (Beta)'!$C$90="Reroll class prompt",S188,IF('Paste Editor (Beta)'!$C$90="Swap hero prompt",S188,IF('Paste Editor (Beta)'!$C$90="Anvil prompt",AD188,"")))))))</f>
        <v>0</v>
      </c>
    </row>
    <row r="189" spans="1:37" ht="18">
      <c r="A189" s="23" t="s">
        <v>4347</v>
      </c>
      <c r="B189" s="284" t="s">
        <v>2716</v>
      </c>
      <c r="C189" s="284" t="s">
        <v>2716</v>
      </c>
      <c r="D189" s="284" t="s">
        <v>2716</v>
      </c>
      <c r="E189" s="280" t="s">
        <v>1168</v>
      </c>
      <c r="AH189" s="280" t="str">
        <f>IF('Paste Editor (Beta)'!$C$82="Level-up prompt",G190,IF('Paste Editor (Beta)'!$C$82="Item prompt",E190,IF('Paste Editor (Beta)'!$C$82="Modifier prompt","'"&amp;B190,IF('Paste Editor (Beta)'!$C$82="Challenge prompt",L190,IF('Paste Editor (Beta)'!$C$82="Reroll class prompt",S189,IF('Paste Editor (Beta)'!$C$82="Swap hero prompt",S189,IF('Paste Editor (Beta)'!$C$82="Anvil prompt",AD189,"")))))))</f>
        <v/>
      </c>
      <c r="AI189" s="280" t="str">
        <f>IF('Paste Editor (Beta)'!$C$82="Level-up prompt",G190,IF('Paste Editor (Beta)'!$C$82="Item prompt",E190,IF('Paste Editor (Beta)'!$C$82="Modifier prompt","'"&amp;B190,IF('Paste Editor (Beta)'!$C$82="Challenge prompt",E190,IF('Paste Editor (Beta)'!$C$82="Reroll class prompt",S189,IF('Paste Editor (Beta)'!$C$82="Swap hero prompt",S189,IF('Paste Editor (Beta)'!$C$82="Anvil prompt",AD189,"")))))))</f>
        <v/>
      </c>
      <c r="AJ189" s="283">
        <f>IF('Paste Editor (Beta)'!$C$90="Level-up prompt",G190,IF('Paste Editor (Beta)'!$C$90="Item prompt",E190,IF('Paste Editor (Beta)'!$C$90="Modifier prompt","'"&amp;B190,IF('Paste Editor (Beta)'!$C$90="Challenge prompt",L190,IF('Paste Editor (Beta)'!$C$90="Reroll class prompt",S189,IF('Paste Editor (Beta)'!$C$90="Swap hero prompt",S189,IF('Paste Editor (Beta)'!$C$90="Anvil prompt",AD189,"")))))))</f>
        <v>0</v>
      </c>
      <c r="AK189" s="283">
        <f>IF('Paste Editor (Beta)'!$C$90="Level-up prompt",G190,IF('Paste Editor (Beta)'!$C$90="Item prompt",E190,IF('Paste Editor (Beta)'!$C$90="Modifier prompt","'"&amp;B190,IF('Paste Editor (Beta)'!$C$90="Challenge prompt",E190,IF('Paste Editor (Beta)'!$C$90="Reroll class prompt",S189,IF('Paste Editor (Beta)'!$C$90="Swap hero prompt",S189,IF('Paste Editor (Beta)'!$C$90="Anvil prompt",AD189,"")))))))</f>
        <v>0</v>
      </c>
    </row>
    <row r="190" spans="1:37" ht="18">
      <c r="A190" s="23" t="s">
        <v>4348</v>
      </c>
      <c r="B190" s="284" t="s">
        <v>2025</v>
      </c>
      <c r="C190" s="284" t="s">
        <v>2025</v>
      </c>
      <c r="D190" s="284" t="s">
        <v>2025</v>
      </c>
      <c r="E190" s="280" t="s">
        <v>1106</v>
      </c>
      <c r="AH190" s="280" t="str">
        <f>IF('Paste Editor (Beta)'!$C$82="Level-up prompt",G191,IF('Paste Editor (Beta)'!$C$82="Item prompt",E191,IF('Paste Editor (Beta)'!$C$82="Modifier prompt","'"&amp;B191,IF('Paste Editor (Beta)'!$C$82="Challenge prompt",L191,IF('Paste Editor (Beta)'!$C$82="Reroll class prompt",S190,IF('Paste Editor (Beta)'!$C$82="Swap hero prompt",S190,IF('Paste Editor (Beta)'!$C$82="Anvil prompt",AD190,"")))))))</f>
        <v/>
      </c>
      <c r="AI190" s="280" t="str">
        <f>IF('Paste Editor (Beta)'!$C$82="Level-up prompt",G191,IF('Paste Editor (Beta)'!$C$82="Item prompt",E191,IF('Paste Editor (Beta)'!$C$82="Modifier prompt","'"&amp;B191,IF('Paste Editor (Beta)'!$C$82="Challenge prompt",E191,IF('Paste Editor (Beta)'!$C$82="Reroll class prompt",S190,IF('Paste Editor (Beta)'!$C$82="Swap hero prompt",S190,IF('Paste Editor (Beta)'!$C$82="Anvil prompt",AD190,"")))))))</f>
        <v/>
      </c>
      <c r="AJ190" s="283">
        <f>IF('Paste Editor (Beta)'!$C$90="Level-up prompt",G191,IF('Paste Editor (Beta)'!$C$90="Item prompt",E191,IF('Paste Editor (Beta)'!$C$90="Modifier prompt","'"&amp;B191,IF('Paste Editor (Beta)'!$C$90="Challenge prompt",L191,IF('Paste Editor (Beta)'!$C$90="Reroll class prompt",S190,IF('Paste Editor (Beta)'!$C$90="Swap hero prompt",S190,IF('Paste Editor (Beta)'!$C$90="Anvil prompt",AD190,"")))))))</f>
        <v>0</v>
      </c>
      <c r="AK190" s="283">
        <f>IF('Paste Editor (Beta)'!$C$90="Level-up prompt",G191,IF('Paste Editor (Beta)'!$C$90="Item prompt",E191,IF('Paste Editor (Beta)'!$C$90="Modifier prompt","'"&amp;B191,IF('Paste Editor (Beta)'!$C$90="Challenge prompt",E191,IF('Paste Editor (Beta)'!$C$90="Reroll class prompt",S190,IF('Paste Editor (Beta)'!$C$90="Swap hero prompt",S190,IF('Paste Editor (Beta)'!$C$90="Anvil prompt",AD190,"")))))))</f>
        <v>0</v>
      </c>
    </row>
    <row r="191" spans="1:37" ht="18">
      <c r="A191" s="23" t="s">
        <v>4349</v>
      </c>
      <c r="B191" s="284" t="s">
        <v>2027</v>
      </c>
      <c r="C191" s="284" t="s">
        <v>2027</v>
      </c>
      <c r="D191" s="284" t="s">
        <v>2027</v>
      </c>
      <c r="E191" s="280" t="s">
        <v>1036</v>
      </c>
      <c r="AH191" s="280" t="str">
        <f>IF('Paste Editor (Beta)'!$C$82="Level-up prompt",G192,IF('Paste Editor (Beta)'!$C$82="Item prompt",E192,IF('Paste Editor (Beta)'!$C$82="Modifier prompt","'"&amp;B192,IF('Paste Editor (Beta)'!$C$82="Challenge prompt",L192,IF('Paste Editor (Beta)'!$C$82="Reroll class prompt",S191,IF('Paste Editor (Beta)'!$C$82="Swap hero prompt",S191,IF('Paste Editor (Beta)'!$C$82="Anvil prompt",AD191,"")))))))</f>
        <v/>
      </c>
      <c r="AI191" s="280" t="str">
        <f>IF('Paste Editor (Beta)'!$C$82="Level-up prompt",G192,IF('Paste Editor (Beta)'!$C$82="Item prompt",E192,IF('Paste Editor (Beta)'!$C$82="Modifier prompt","'"&amp;B192,IF('Paste Editor (Beta)'!$C$82="Challenge prompt",E192,IF('Paste Editor (Beta)'!$C$82="Reroll class prompt",S191,IF('Paste Editor (Beta)'!$C$82="Swap hero prompt",S191,IF('Paste Editor (Beta)'!$C$82="Anvil prompt",AD191,"")))))))</f>
        <v/>
      </c>
      <c r="AJ191" s="283">
        <f>IF('Paste Editor (Beta)'!$C$90="Level-up prompt",G192,IF('Paste Editor (Beta)'!$C$90="Item prompt",E192,IF('Paste Editor (Beta)'!$C$90="Modifier prompt","'"&amp;B192,IF('Paste Editor (Beta)'!$C$90="Challenge prompt",L192,IF('Paste Editor (Beta)'!$C$90="Reroll class prompt",S191,IF('Paste Editor (Beta)'!$C$90="Swap hero prompt",S191,IF('Paste Editor (Beta)'!$C$90="Anvil prompt",AD191,"")))))))</f>
        <v>0</v>
      </c>
      <c r="AK191" s="283">
        <f>IF('Paste Editor (Beta)'!$C$90="Level-up prompt",G192,IF('Paste Editor (Beta)'!$C$90="Item prompt",E192,IF('Paste Editor (Beta)'!$C$90="Modifier prompt","'"&amp;B192,IF('Paste Editor (Beta)'!$C$90="Challenge prompt",E192,IF('Paste Editor (Beta)'!$C$90="Reroll class prompt",S191,IF('Paste Editor (Beta)'!$C$90="Swap hero prompt",S191,IF('Paste Editor (Beta)'!$C$90="Anvil prompt",AD191,"")))))))</f>
        <v>0</v>
      </c>
    </row>
    <row r="192" spans="1:37" ht="18">
      <c r="A192" s="23" t="s">
        <v>4350</v>
      </c>
      <c r="B192" s="284" t="s">
        <v>2921</v>
      </c>
      <c r="C192" s="284" t="s">
        <v>2921</v>
      </c>
      <c r="D192" s="284" t="s">
        <v>2921</v>
      </c>
      <c r="E192" s="280" t="s">
        <v>1038</v>
      </c>
      <c r="AH192" s="280" t="str">
        <f>IF('Paste Editor (Beta)'!$C$82="Level-up prompt",G193,IF('Paste Editor (Beta)'!$C$82="Item prompt",E193,IF('Paste Editor (Beta)'!$C$82="Modifier prompt","'"&amp;B193,IF('Paste Editor (Beta)'!$C$82="Challenge prompt",L193,IF('Paste Editor (Beta)'!$C$82="Reroll class prompt",S192,IF('Paste Editor (Beta)'!$C$82="Swap hero prompt",S192,IF('Paste Editor (Beta)'!$C$82="Anvil prompt",AD192,"")))))))</f>
        <v/>
      </c>
      <c r="AI192" s="280" t="str">
        <f>IF('Paste Editor (Beta)'!$C$82="Level-up prompt",G193,IF('Paste Editor (Beta)'!$C$82="Item prompt",E193,IF('Paste Editor (Beta)'!$C$82="Modifier prompt","'"&amp;B193,IF('Paste Editor (Beta)'!$C$82="Challenge prompt",E193,IF('Paste Editor (Beta)'!$C$82="Reroll class prompt",S192,IF('Paste Editor (Beta)'!$C$82="Swap hero prompt",S192,IF('Paste Editor (Beta)'!$C$82="Anvil prompt",AD192,"")))))))</f>
        <v/>
      </c>
      <c r="AJ192" s="283">
        <f>IF('Paste Editor (Beta)'!$C$90="Level-up prompt",G193,IF('Paste Editor (Beta)'!$C$90="Item prompt",E193,IF('Paste Editor (Beta)'!$C$90="Modifier prompt","'"&amp;B193,IF('Paste Editor (Beta)'!$C$90="Challenge prompt",L193,IF('Paste Editor (Beta)'!$C$90="Reroll class prompt",S192,IF('Paste Editor (Beta)'!$C$90="Swap hero prompt",S192,IF('Paste Editor (Beta)'!$C$90="Anvil prompt",AD192,"")))))))</f>
        <v>0</v>
      </c>
      <c r="AK192" s="283">
        <f>IF('Paste Editor (Beta)'!$C$90="Level-up prompt",G193,IF('Paste Editor (Beta)'!$C$90="Item prompt",E193,IF('Paste Editor (Beta)'!$C$90="Modifier prompt","'"&amp;B193,IF('Paste Editor (Beta)'!$C$90="Challenge prompt",E193,IF('Paste Editor (Beta)'!$C$90="Reroll class prompt",S192,IF('Paste Editor (Beta)'!$C$90="Swap hero prompt",S192,IF('Paste Editor (Beta)'!$C$90="Anvil prompt",AD192,"")))))))</f>
        <v>0</v>
      </c>
    </row>
    <row r="193" spans="2:37" ht="17.25">
      <c r="B193" s="284" t="s">
        <v>2265</v>
      </c>
      <c r="C193" s="284" t="s">
        <v>2265</v>
      </c>
      <c r="D193" s="284" t="s">
        <v>2265</v>
      </c>
      <c r="E193" s="280" t="s">
        <v>1170</v>
      </c>
      <c r="AH193" s="280" t="str">
        <f>IF('Paste Editor (Beta)'!$C$82="Level-up prompt",G194,IF('Paste Editor (Beta)'!$C$82="Item prompt",E194,IF('Paste Editor (Beta)'!$C$82="Modifier prompt","'"&amp;B194,IF('Paste Editor (Beta)'!$C$82="Challenge prompt",L194,IF('Paste Editor (Beta)'!$C$82="Reroll class prompt",S193,IF('Paste Editor (Beta)'!$C$82="Swap hero prompt",S193,IF('Paste Editor (Beta)'!$C$82="Anvil prompt",AD193,"")))))))</f>
        <v/>
      </c>
      <c r="AI193" s="280" t="str">
        <f>IF('Paste Editor (Beta)'!$C$82="Level-up prompt",G194,IF('Paste Editor (Beta)'!$C$82="Item prompt",E194,IF('Paste Editor (Beta)'!$C$82="Modifier prompt","'"&amp;B194,IF('Paste Editor (Beta)'!$C$82="Challenge prompt",E194,IF('Paste Editor (Beta)'!$C$82="Reroll class prompt",S193,IF('Paste Editor (Beta)'!$C$82="Swap hero prompt",S193,IF('Paste Editor (Beta)'!$C$82="Anvil prompt",AD193,"")))))))</f>
        <v/>
      </c>
      <c r="AJ193" s="283">
        <f>IF('Paste Editor (Beta)'!$C$90="Level-up prompt",G194,IF('Paste Editor (Beta)'!$C$90="Item prompt",E194,IF('Paste Editor (Beta)'!$C$90="Modifier prompt","'"&amp;B194,IF('Paste Editor (Beta)'!$C$90="Challenge prompt",L194,IF('Paste Editor (Beta)'!$C$90="Reroll class prompt",S193,IF('Paste Editor (Beta)'!$C$90="Swap hero prompt",S193,IF('Paste Editor (Beta)'!$C$90="Anvil prompt",AD193,"")))))))</f>
        <v>0</v>
      </c>
      <c r="AK193" s="283">
        <f>IF('Paste Editor (Beta)'!$C$90="Level-up prompt",G194,IF('Paste Editor (Beta)'!$C$90="Item prompt",E194,IF('Paste Editor (Beta)'!$C$90="Modifier prompt","'"&amp;B194,IF('Paste Editor (Beta)'!$C$90="Challenge prompt",E194,IF('Paste Editor (Beta)'!$C$90="Reroll class prompt",S193,IF('Paste Editor (Beta)'!$C$90="Swap hero prompt",S193,IF('Paste Editor (Beta)'!$C$90="Anvil prompt",AD193,"")))))))</f>
        <v>0</v>
      </c>
    </row>
    <row r="194" spans="2:37" ht="17.25">
      <c r="B194" s="284" t="s">
        <v>2055</v>
      </c>
      <c r="C194" s="284" t="s">
        <v>2055</v>
      </c>
      <c r="D194" s="284" t="s">
        <v>2055</v>
      </c>
      <c r="E194" s="280" t="s">
        <v>1109</v>
      </c>
      <c r="AH194" s="280" t="str">
        <f>IF('Paste Editor (Beta)'!$C$82="Level-up prompt",G195,IF('Paste Editor (Beta)'!$C$82="Item prompt",E195,IF('Paste Editor (Beta)'!$C$82="Modifier prompt","'"&amp;B195,IF('Paste Editor (Beta)'!$C$82="Challenge prompt",L195,IF('Paste Editor (Beta)'!$C$82="Reroll class prompt",S194,IF('Paste Editor (Beta)'!$C$82="Swap hero prompt",S194,IF('Paste Editor (Beta)'!$C$82="Anvil prompt",AD194,"")))))))</f>
        <v/>
      </c>
      <c r="AI194" s="280" t="str">
        <f>IF('Paste Editor (Beta)'!$C$82="Level-up prompt",G195,IF('Paste Editor (Beta)'!$C$82="Item prompt",E195,IF('Paste Editor (Beta)'!$C$82="Modifier prompt","'"&amp;B195,IF('Paste Editor (Beta)'!$C$82="Challenge prompt",E195,IF('Paste Editor (Beta)'!$C$82="Reroll class prompt",S194,IF('Paste Editor (Beta)'!$C$82="Swap hero prompt",S194,IF('Paste Editor (Beta)'!$C$82="Anvil prompt",AD194,"")))))))</f>
        <v/>
      </c>
      <c r="AJ194" s="283">
        <f>IF('Paste Editor (Beta)'!$C$90="Level-up prompt",G195,IF('Paste Editor (Beta)'!$C$90="Item prompt",E195,IF('Paste Editor (Beta)'!$C$90="Modifier prompt","'"&amp;B195,IF('Paste Editor (Beta)'!$C$90="Challenge prompt",L195,IF('Paste Editor (Beta)'!$C$90="Reroll class prompt",S194,IF('Paste Editor (Beta)'!$C$90="Swap hero prompt",S194,IF('Paste Editor (Beta)'!$C$90="Anvil prompt",AD194,"")))))))</f>
        <v>0</v>
      </c>
      <c r="AK194" s="283">
        <f>IF('Paste Editor (Beta)'!$C$90="Level-up prompt",G195,IF('Paste Editor (Beta)'!$C$90="Item prompt",E195,IF('Paste Editor (Beta)'!$C$90="Modifier prompt","'"&amp;B195,IF('Paste Editor (Beta)'!$C$90="Challenge prompt",E195,IF('Paste Editor (Beta)'!$C$90="Reroll class prompt",S194,IF('Paste Editor (Beta)'!$C$90="Swap hero prompt",S194,IF('Paste Editor (Beta)'!$C$90="Anvil prompt",AD194,"")))))))</f>
        <v>0</v>
      </c>
    </row>
    <row r="195" spans="2:37" ht="17.25">
      <c r="B195" s="284" t="s">
        <v>2057</v>
      </c>
      <c r="C195" s="284" t="s">
        <v>2057</v>
      </c>
      <c r="D195" s="284" t="s">
        <v>2057</v>
      </c>
      <c r="E195" s="280" t="s">
        <v>1172</v>
      </c>
      <c r="AH195" s="280" t="str">
        <f>IF('Paste Editor (Beta)'!$C$82="Level-up prompt",G196,IF('Paste Editor (Beta)'!$C$82="Item prompt",E196,IF('Paste Editor (Beta)'!$C$82="Modifier prompt","'"&amp;B196,IF('Paste Editor (Beta)'!$C$82="Challenge prompt",L196,IF('Paste Editor (Beta)'!$C$82="Reroll class prompt",S195,IF('Paste Editor (Beta)'!$C$82="Swap hero prompt",S195,IF('Paste Editor (Beta)'!$C$82="Anvil prompt",AD195,"")))))))</f>
        <v/>
      </c>
      <c r="AI195" s="280" t="str">
        <f>IF('Paste Editor (Beta)'!$C$82="Level-up prompt",G196,IF('Paste Editor (Beta)'!$C$82="Item prompt",E196,IF('Paste Editor (Beta)'!$C$82="Modifier prompt","'"&amp;B196,IF('Paste Editor (Beta)'!$C$82="Challenge prompt",E196,IF('Paste Editor (Beta)'!$C$82="Reroll class prompt",S195,IF('Paste Editor (Beta)'!$C$82="Swap hero prompt",S195,IF('Paste Editor (Beta)'!$C$82="Anvil prompt",AD195,"")))))))</f>
        <v/>
      </c>
      <c r="AJ195" s="283">
        <f>IF('Paste Editor (Beta)'!$C$90="Level-up prompt",G196,IF('Paste Editor (Beta)'!$C$90="Item prompt",E196,IF('Paste Editor (Beta)'!$C$90="Modifier prompt","'"&amp;B196,IF('Paste Editor (Beta)'!$C$90="Challenge prompt",L196,IF('Paste Editor (Beta)'!$C$90="Reroll class prompt",S195,IF('Paste Editor (Beta)'!$C$90="Swap hero prompt",S195,IF('Paste Editor (Beta)'!$C$90="Anvil prompt",AD195,"")))))))</f>
        <v>0</v>
      </c>
      <c r="AK195" s="283">
        <f>IF('Paste Editor (Beta)'!$C$90="Level-up prompt",G196,IF('Paste Editor (Beta)'!$C$90="Item prompt",E196,IF('Paste Editor (Beta)'!$C$90="Modifier prompt","'"&amp;B196,IF('Paste Editor (Beta)'!$C$90="Challenge prompt",E196,IF('Paste Editor (Beta)'!$C$90="Reroll class prompt",S195,IF('Paste Editor (Beta)'!$C$90="Swap hero prompt",S195,IF('Paste Editor (Beta)'!$C$90="Anvil prompt",AD195,"")))))))</f>
        <v>0</v>
      </c>
    </row>
    <row r="196" spans="2:37" ht="17.25">
      <c r="B196" s="284" t="s">
        <v>2158</v>
      </c>
      <c r="C196" s="284" t="s">
        <v>2158</v>
      </c>
      <c r="D196" s="284" t="s">
        <v>2158</v>
      </c>
      <c r="E196" s="280" t="s">
        <v>1174</v>
      </c>
      <c r="AH196" s="280" t="str">
        <f>IF('Paste Editor (Beta)'!$C$82="Level-up prompt",G197,IF('Paste Editor (Beta)'!$C$82="Item prompt",E197,IF('Paste Editor (Beta)'!$C$82="Modifier prompt","'"&amp;B197,IF('Paste Editor (Beta)'!$C$82="Challenge prompt",L197,IF('Paste Editor (Beta)'!$C$82="Reroll class prompt",S196,IF('Paste Editor (Beta)'!$C$82="Swap hero prompt",S196,IF('Paste Editor (Beta)'!$C$82="Anvil prompt",AD196,"")))))))</f>
        <v/>
      </c>
      <c r="AI196" s="280" t="str">
        <f>IF('Paste Editor (Beta)'!$C$82="Level-up prompt",G197,IF('Paste Editor (Beta)'!$C$82="Item prompt",E197,IF('Paste Editor (Beta)'!$C$82="Modifier prompt","'"&amp;B197,IF('Paste Editor (Beta)'!$C$82="Challenge prompt",E197,IF('Paste Editor (Beta)'!$C$82="Reroll class prompt",S196,IF('Paste Editor (Beta)'!$C$82="Swap hero prompt",S196,IF('Paste Editor (Beta)'!$C$82="Anvil prompt",AD196,"")))))))</f>
        <v/>
      </c>
      <c r="AJ196" s="283">
        <f>IF('Paste Editor (Beta)'!$C$90="Level-up prompt",G197,IF('Paste Editor (Beta)'!$C$90="Item prompt",E197,IF('Paste Editor (Beta)'!$C$90="Modifier prompt","'"&amp;B197,IF('Paste Editor (Beta)'!$C$90="Challenge prompt",L197,IF('Paste Editor (Beta)'!$C$90="Reroll class prompt",S196,IF('Paste Editor (Beta)'!$C$90="Swap hero prompt",S196,IF('Paste Editor (Beta)'!$C$90="Anvil prompt",AD196,"")))))))</f>
        <v>0</v>
      </c>
      <c r="AK196" s="283">
        <f>IF('Paste Editor (Beta)'!$C$90="Level-up prompt",G197,IF('Paste Editor (Beta)'!$C$90="Item prompt",E197,IF('Paste Editor (Beta)'!$C$90="Modifier prompt","'"&amp;B197,IF('Paste Editor (Beta)'!$C$90="Challenge prompt",E197,IF('Paste Editor (Beta)'!$C$90="Reroll class prompt",S196,IF('Paste Editor (Beta)'!$C$90="Swap hero prompt",S196,IF('Paste Editor (Beta)'!$C$90="Anvil prompt",AD196,"")))))))</f>
        <v>0</v>
      </c>
    </row>
    <row r="197" spans="2:37" ht="17.25">
      <c r="B197" s="284" t="s">
        <v>2270</v>
      </c>
      <c r="C197" s="284" t="s">
        <v>2270</v>
      </c>
      <c r="D197" s="284" t="s">
        <v>2270</v>
      </c>
      <c r="E197" s="280" t="s">
        <v>1176</v>
      </c>
      <c r="AH197" s="280" t="str">
        <f>IF('Paste Editor (Beta)'!$C$82="Level-up prompt",G198,IF('Paste Editor (Beta)'!$C$82="Item prompt",E198,IF('Paste Editor (Beta)'!$C$82="Modifier prompt","'"&amp;B198,IF('Paste Editor (Beta)'!$C$82="Challenge prompt",L198,IF('Paste Editor (Beta)'!$C$82="Reroll class prompt",S197,IF('Paste Editor (Beta)'!$C$82="Swap hero prompt",S197,IF('Paste Editor (Beta)'!$C$82="Anvil prompt",AD197,"")))))))</f>
        <v/>
      </c>
      <c r="AI197" s="280" t="str">
        <f>IF('Paste Editor (Beta)'!$C$82="Level-up prompt",G198,IF('Paste Editor (Beta)'!$C$82="Item prompt",E198,IF('Paste Editor (Beta)'!$C$82="Modifier prompt","'"&amp;B198,IF('Paste Editor (Beta)'!$C$82="Challenge prompt",E198,IF('Paste Editor (Beta)'!$C$82="Reroll class prompt",S197,IF('Paste Editor (Beta)'!$C$82="Swap hero prompt",S197,IF('Paste Editor (Beta)'!$C$82="Anvil prompt",AD197,"")))))))</f>
        <v/>
      </c>
      <c r="AJ197" s="283">
        <f>IF('Paste Editor (Beta)'!$C$90="Level-up prompt",G198,IF('Paste Editor (Beta)'!$C$90="Item prompt",E198,IF('Paste Editor (Beta)'!$C$90="Modifier prompt","'"&amp;B198,IF('Paste Editor (Beta)'!$C$90="Challenge prompt",L198,IF('Paste Editor (Beta)'!$C$90="Reroll class prompt",S197,IF('Paste Editor (Beta)'!$C$90="Swap hero prompt",S197,IF('Paste Editor (Beta)'!$C$90="Anvil prompt",AD197,"")))))))</f>
        <v>0</v>
      </c>
      <c r="AK197" s="283">
        <f>IF('Paste Editor (Beta)'!$C$90="Level-up prompt",G198,IF('Paste Editor (Beta)'!$C$90="Item prompt",E198,IF('Paste Editor (Beta)'!$C$90="Modifier prompt","'"&amp;B198,IF('Paste Editor (Beta)'!$C$90="Challenge prompt",E198,IF('Paste Editor (Beta)'!$C$90="Reroll class prompt",S197,IF('Paste Editor (Beta)'!$C$90="Swap hero prompt",S197,IF('Paste Editor (Beta)'!$C$90="Anvil prompt",AD197,"")))))))</f>
        <v>0</v>
      </c>
    </row>
    <row r="198" spans="2:37" ht="17.25">
      <c r="B198" s="284" t="s">
        <v>2506</v>
      </c>
      <c r="C198" s="284" t="s">
        <v>2506</v>
      </c>
      <c r="D198" s="284" t="s">
        <v>2506</v>
      </c>
      <c r="E198" s="280" t="s">
        <v>1040</v>
      </c>
      <c r="AH198" s="280" t="str">
        <f>IF('Paste Editor (Beta)'!$C$82="Level-up prompt",G199,IF('Paste Editor (Beta)'!$C$82="Item prompt",E199,IF('Paste Editor (Beta)'!$C$82="Modifier prompt","'"&amp;B199,IF('Paste Editor (Beta)'!$C$82="Challenge prompt",L199,IF('Paste Editor (Beta)'!$C$82="Reroll class prompt",S198,IF('Paste Editor (Beta)'!$C$82="Swap hero prompt",S198,IF('Paste Editor (Beta)'!$C$82="Anvil prompt",AD198,"")))))))</f>
        <v/>
      </c>
      <c r="AI198" s="280" t="str">
        <f>IF('Paste Editor (Beta)'!$C$82="Level-up prompt",G199,IF('Paste Editor (Beta)'!$C$82="Item prompt",E199,IF('Paste Editor (Beta)'!$C$82="Modifier prompt","'"&amp;B199,IF('Paste Editor (Beta)'!$C$82="Challenge prompt",E199,IF('Paste Editor (Beta)'!$C$82="Reroll class prompt",S198,IF('Paste Editor (Beta)'!$C$82="Swap hero prompt",S198,IF('Paste Editor (Beta)'!$C$82="Anvil prompt",AD198,"")))))))</f>
        <v/>
      </c>
      <c r="AJ198" s="283">
        <f>IF('Paste Editor (Beta)'!$C$90="Level-up prompt",G199,IF('Paste Editor (Beta)'!$C$90="Item prompt",E199,IF('Paste Editor (Beta)'!$C$90="Modifier prompt","'"&amp;B199,IF('Paste Editor (Beta)'!$C$90="Challenge prompt",L199,IF('Paste Editor (Beta)'!$C$90="Reroll class prompt",S198,IF('Paste Editor (Beta)'!$C$90="Swap hero prompt",S198,IF('Paste Editor (Beta)'!$C$90="Anvil prompt",AD198,"")))))))</f>
        <v>0</v>
      </c>
      <c r="AK198" s="283">
        <f>IF('Paste Editor (Beta)'!$C$90="Level-up prompt",G199,IF('Paste Editor (Beta)'!$C$90="Item prompt",E199,IF('Paste Editor (Beta)'!$C$90="Modifier prompt","'"&amp;B199,IF('Paste Editor (Beta)'!$C$90="Challenge prompt",E199,IF('Paste Editor (Beta)'!$C$90="Reroll class prompt",S198,IF('Paste Editor (Beta)'!$C$90="Swap hero prompt",S198,IF('Paste Editor (Beta)'!$C$90="Anvil prompt",AD198,"")))))))</f>
        <v>0</v>
      </c>
    </row>
    <row r="199" spans="2:37" ht="17.25">
      <c r="B199" s="284" t="s">
        <v>2618</v>
      </c>
      <c r="C199" s="284" t="s">
        <v>2618</v>
      </c>
      <c r="D199" s="284" t="s">
        <v>2618</v>
      </c>
      <c r="E199" s="280" t="s">
        <v>834</v>
      </c>
      <c r="AH199" s="280" t="str">
        <f>IF('Paste Editor (Beta)'!$C$82="Level-up prompt",G200,IF('Paste Editor (Beta)'!$C$82="Item prompt",E200,IF('Paste Editor (Beta)'!$C$82="Modifier prompt","'"&amp;B200,IF('Paste Editor (Beta)'!$C$82="Challenge prompt",L200,IF('Paste Editor (Beta)'!$C$82="Reroll class prompt",S199,IF('Paste Editor (Beta)'!$C$82="Swap hero prompt",S199,IF('Paste Editor (Beta)'!$C$82="Anvil prompt",AD199,"")))))))</f>
        <v/>
      </c>
      <c r="AI199" s="280" t="str">
        <f>IF('Paste Editor (Beta)'!$C$82="Level-up prompt",G200,IF('Paste Editor (Beta)'!$C$82="Item prompt",E200,IF('Paste Editor (Beta)'!$C$82="Modifier prompt","'"&amp;B200,IF('Paste Editor (Beta)'!$C$82="Challenge prompt",E200,IF('Paste Editor (Beta)'!$C$82="Reroll class prompt",S199,IF('Paste Editor (Beta)'!$C$82="Swap hero prompt",S199,IF('Paste Editor (Beta)'!$C$82="Anvil prompt",AD199,"")))))))</f>
        <v/>
      </c>
      <c r="AJ199" s="283">
        <f>IF('Paste Editor (Beta)'!$C$90="Level-up prompt",G200,IF('Paste Editor (Beta)'!$C$90="Item prompt",E200,IF('Paste Editor (Beta)'!$C$90="Modifier prompt","'"&amp;B200,IF('Paste Editor (Beta)'!$C$90="Challenge prompt",L200,IF('Paste Editor (Beta)'!$C$90="Reroll class prompt",S199,IF('Paste Editor (Beta)'!$C$90="Swap hero prompt",S199,IF('Paste Editor (Beta)'!$C$90="Anvil prompt",AD199,"")))))))</f>
        <v>0</v>
      </c>
      <c r="AK199" s="283">
        <f>IF('Paste Editor (Beta)'!$C$90="Level-up prompt",G200,IF('Paste Editor (Beta)'!$C$90="Item prompt",E200,IF('Paste Editor (Beta)'!$C$90="Modifier prompt","'"&amp;B200,IF('Paste Editor (Beta)'!$C$90="Challenge prompt",E200,IF('Paste Editor (Beta)'!$C$90="Reroll class prompt",S199,IF('Paste Editor (Beta)'!$C$90="Swap hero prompt",S199,IF('Paste Editor (Beta)'!$C$90="Anvil prompt",AD199,"")))))))</f>
        <v>0</v>
      </c>
    </row>
    <row r="200" spans="2:37" ht="17.25">
      <c r="B200" s="284" t="s">
        <v>2737</v>
      </c>
      <c r="C200" s="284" t="s">
        <v>2737</v>
      </c>
      <c r="D200" s="284" t="s">
        <v>2737</v>
      </c>
      <c r="E200" s="280" t="s">
        <v>1408</v>
      </c>
      <c r="AH200" s="280" t="str">
        <f>IF('Paste Editor (Beta)'!$C$82="Level-up prompt",G201,IF('Paste Editor (Beta)'!$C$82="Item prompt",E201,IF('Paste Editor (Beta)'!$C$82="Modifier prompt","'"&amp;B201,IF('Paste Editor (Beta)'!$C$82="Challenge prompt",L201,IF('Paste Editor (Beta)'!$C$82="Reroll class prompt",S200,IF('Paste Editor (Beta)'!$C$82="Swap hero prompt",S200,IF('Paste Editor (Beta)'!$C$82="Anvil prompt",AD200,"")))))))</f>
        <v/>
      </c>
      <c r="AI200" s="280" t="str">
        <f>IF('Paste Editor (Beta)'!$C$82="Level-up prompt",G201,IF('Paste Editor (Beta)'!$C$82="Item prompt",E201,IF('Paste Editor (Beta)'!$C$82="Modifier prompt","'"&amp;B201,IF('Paste Editor (Beta)'!$C$82="Challenge prompt",E201,IF('Paste Editor (Beta)'!$C$82="Reroll class prompt",S200,IF('Paste Editor (Beta)'!$C$82="Swap hero prompt",S200,IF('Paste Editor (Beta)'!$C$82="Anvil prompt",AD200,"")))))))</f>
        <v/>
      </c>
      <c r="AJ200" s="283">
        <f>IF('Paste Editor (Beta)'!$C$90="Level-up prompt",G201,IF('Paste Editor (Beta)'!$C$90="Item prompt",E201,IF('Paste Editor (Beta)'!$C$90="Modifier prompt","'"&amp;B201,IF('Paste Editor (Beta)'!$C$90="Challenge prompt",L201,IF('Paste Editor (Beta)'!$C$90="Reroll class prompt",S200,IF('Paste Editor (Beta)'!$C$90="Swap hero prompt",S200,IF('Paste Editor (Beta)'!$C$90="Anvil prompt",AD200,"")))))))</f>
        <v>0</v>
      </c>
      <c r="AK200" s="283">
        <f>IF('Paste Editor (Beta)'!$C$90="Level-up prompt",G201,IF('Paste Editor (Beta)'!$C$90="Item prompt",E201,IF('Paste Editor (Beta)'!$C$90="Modifier prompt","'"&amp;B201,IF('Paste Editor (Beta)'!$C$90="Challenge prompt",E201,IF('Paste Editor (Beta)'!$C$90="Reroll class prompt",S200,IF('Paste Editor (Beta)'!$C$90="Swap hero prompt",S200,IF('Paste Editor (Beta)'!$C$90="Anvil prompt",AD200,"")))))))</f>
        <v>0</v>
      </c>
    </row>
    <row r="201" spans="2:37" ht="17.25">
      <c r="B201" s="284" t="s">
        <v>2832</v>
      </c>
      <c r="C201" s="284" t="s">
        <v>2832</v>
      </c>
      <c r="D201" s="284" t="s">
        <v>2832</v>
      </c>
      <c r="E201" s="280" t="s">
        <v>1179</v>
      </c>
      <c r="AH201" s="280" t="str">
        <f>IF('Paste Editor (Beta)'!$C$82="Level-up prompt",G202,IF('Paste Editor (Beta)'!$C$82="Item prompt",E202,IF('Paste Editor (Beta)'!$C$82="Modifier prompt","'"&amp;B202,IF('Paste Editor (Beta)'!$C$82="Challenge prompt",L202,IF('Paste Editor (Beta)'!$C$82="Reroll class prompt",S201,IF('Paste Editor (Beta)'!$C$82="Swap hero prompt",S201,IF('Paste Editor (Beta)'!$C$82="Anvil prompt",AD201,"")))))))</f>
        <v/>
      </c>
      <c r="AI201" s="280" t="str">
        <f>IF('Paste Editor (Beta)'!$C$82="Level-up prompt",G202,IF('Paste Editor (Beta)'!$C$82="Item prompt",E202,IF('Paste Editor (Beta)'!$C$82="Modifier prompt","'"&amp;B202,IF('Paste Editor (Beta)'!$C$82="Challenge prompt",E202,IF('Paste Editor (Beta)'!$C$82="Reroll class prompt",S201,IF('Paste Editor (Beta)'!$C$82="Swap hero prompt",S201,IF('Paste Editor (Beta)'!$C$82="Anvil prompt",AD201,"")))))))</f>
        <v/>
      </c>
      <c r="AJ201" s="283">
        <f>IF('Paste Editor (Beta)'!$C$90="Level-up prompt",G202,IF('Paste Editor (Beta)'!$C$90="Item prompt",E202,IF('Paste Editor (Beta)'!$C$90="Modifier prompt","'"&amp;B202,IF('Paste Editor (Beta)'!$C$90="Challenge prompt",L202,IF('Paste Editor (Beta)'!$C$90="Reroll class prompt",S201,IF('Paste Editor (Beta)'!$C$90="Swap hero prompt",S201,IF('Paste Editor (Beta)'!$C$90="Anvil prompt",AD201,"")))))))</f>
        <v>0</v>
      </c>
      <c r="AK201" s="283">
        <f>IF('Paste Editor (Beta)'!$C$90="Level-up prompt",G202,IF('Paste Editor (Beta)'!$C$90="Item prompt",E202,IF('Paste Editor (Beta)'!$C$90="Modifier prompt","'"&amp;B202,IF('Paste Editor (Beta)'!$C$90="Challenge prompt",E202,IF('Paste Editor (Beta)'!$C$90="Reroll class prompt",S201,IF('Paste Editor (Beta)'!$C$90="Swap hero prompt",S201,IF('Paste Editor (Beta)'!$C$90="Anvil prompt",AD201,"")))))))</f>
        <v>0</v>
      </c>
    </row>
    <row r="202" spans="2:37" ht="17.25">
      <c r="B202" s="284" t="s">
        <v>2806</v>
      </c>
      <c r="C202" s="284" t="s">
        <v>2806</v>
      </c>
      <c r="D202" s="284" t="s">
        <v>2806</v>
      </c>
      <c r="E202" s="280" t="s">
        <v>1471</v>
      </c>
      <c r="AH202" s="280" t="str">
        <f>IF('Paste Editor (Beta)'!$C$82="Level-up prompt",G203,IF('Paste Editor (Beta)'!$C$82="Item prompt",E203,IF('Paste Editor (Beta)'!$C$82="Modifier prompt","'"&amp;B203,IF('Paste Editor (Beta)'!$C$82="Challenge prompt",L203,IF('Paste Editor (Beta)'!$C$82="Reroll class prompt",S202,IF('Paste Editor (Beta)'!$C$82="Swap hero prompt",S202,IF('Paste Editor (Beta)'!$C$82="Anvil prompt",AD202,"")))))))</f>
        <v/>
      </c>
      <c r="AI202" s="280" t="str">
        <f>IF('Paste Editor (Beta)'!$C$82="Level-up prompt",G203,IF('Paste Editor (Beta)'!$C$82="Item prompt",E203,IF('Paste Editor (Beta)'!$C$82="Modifier prompt","'"&amp;B203,IF('Paste Editor (Beta)'!$C$82="Challenge prompt",E203,IF('Paste Editor (Beta)'!$C$82="Reroll class prompt",S202,IF('Paste Editor (Beta)'!$C$82="Swap hero prompt",S202,IF('Paste Editor (Beta)'!$C$82="Anvil prompt",AD202,"")))))))</f>
        <v/>
      </c>
      <c r="AJ202" s="283">
        <f>IF('Paste Editor (Beta)'!$C$90="Level-up prompt",G203,IF('Paste Editor (Beta)'!$C$90="Item prompt",E203,IF('Paste Editor (Beta)'!$C$90="Modifier prompt","'"&amp;B203,IF('Paste Editor (Beta)'!$C$90="Challenge prompt",L203,IF('Paste Editor (Beta)'!$C$90="Reroll class prompt",S202,IF('Paste Editor (Beta)'!$C$90="Swap hero prompt",S202,IF('Paste Editor (Beta)'!$C$90="Anvil prompt",AD202,"")))))))</f>
        <v>0</v>
      </c>
      <c r="AK202" s="283">
        <f>IF('Paste Editor (Beta)'!$C$90="Level-up prompt",G203,IF('Paste Editor (Beta)'!$C$90="Item prompt",E203,IF('Paste Editor (Beta)'!$C$90="Modifier prompt","'"&amp;B203,IF('Paste Editor (Beta)'!$C$90="Challenge prompt",E203,IF('Paste Editor (Beta)'!$C$90="Reroll class prompt",S202,IF('Paste Editor (Beta)'!$C$90="Swap hero prompt",S202,IF('Paste Editor (Beta)'!$C$90="Anvil prompt",AD202,"")))))))</f>
        <v>0</v>
      </c>
    </row>
    <row r="203" spans="2:37" ht="17.25">
      <c r="B203" s="284" t="s">
        <v>3018</v>
      </c>
      <c r="C203" s="284" t="s">
        <v>3810</v>
      </c>
      <c r="D203" s="284" t="s">
        <v>4351</v>
      </c>
      <c r="E203" s="280" t="s">
        <v>1537</v>
      </c>
      <c r="AH203" s="280" t="str">
        <f>IF('Paste Editor (Beta)'!$C$82="Level-up prompt",G204,IF('Paste Editor (Beta)'!$C$82="Item prompt",E204,IF('Paste Editor (Beta)'!$C$82="Modifier prompt","'"&amp;B204,IF('Paste Editor (Beta)'!$C$82="Challenge prompt",L204,IF('Paste Editor (Beta)'!$C$82="Reroll class prompt",S203,IF('Paste Editor (Beta)'!$C$82="Swap hero prompt",S203,IF('Paste Editor (Beta)'!$C$82="Anvil prompt",AD203,"")))))))</f>
        <v/>
      </c>
      <c r="AI203" s="280" t="str">
        <f>IF('Paste Editor (Beta)'!$C$82="Level-up prompt",G204,IF('Paste Editor (Beta)'!$C$82="Item prompt",E204,IF('Paste Editor (Beta)'!$C$82="Modifier prompt","'"&amp;B204,IF('Paste Editor (Beta)'!$C$82="Challenge prompt",E204,IF('Paste Editor (Beta)'!$C$82="Reroll class prompt",S203,IF('Paste Editor (Beta)'!$C$82="Swap hero prompt",S203,IF('Paste Editor (Beta)'!$C$82="Anvil prompt",AD203,"")))))))</f>
        <v/>
      </c>
      <c r="AJ203" s="283">
        <f>IF('Paste Editor (Beta)'!$C$90="Level-up prompt",G204,IF('Paste Editor (Beta)'!$C$90="Item prompt",E204,IF('Paste Editor (Beta)'!$C$90="Modifier prompt","'"&amp;B204,IF('Paste Editor (Beta)'!$C$90="Challenge prompt",L204,IF('Paste Editor (Beta)'!$C$90="Reroll class prompt",S203,IF('Paste Editor (Beta)'!$C$90="Swap hero prompt",S203,IF('Paste Editor (Beta)'!$C$90="Anvil prompt",AD203,"")))))))</f>
        <v>0</v>
      </c>
      <c r="AK203" s="283">
        <f>IF('Paste Editor (Beta)'!$C$90="Level-up prompt",G204,IF('Paste Editor (Beta)'!$C$90="Item prompt",E204,IF('Paste Editor (Beta)'!$C$90="Modifier prompt","'"&amp;B204,IF('Paste Editor (Beta)'!$C$90="Challenge prompt",E204,IF('Paste Editor (Beta)'!$C$90="Reroll class prompt",S203,IF('Paste Editor (Beta)'!$C$90="Swap hero prompt",S203,IF('Paste Editor (Beta)'!$C$90="Anvil prompt",AD203,"")))))))</f>
        <v>0</v>
      </c>
    </row>
    <row r="204" spans="2:37" ht="17.25">
      <c r="B204" s="284" t="s">
        <v>2761</v>
      </c>
      <c r="C204" s="284" t="s">
        <v>2761</v>
      </c>
      <c r="D204" s="284" t="s">
        <v>2761</v>
      </c>
      <c r="E204" s="280" t="s">
        <v>1256</v>
      </c>
      <c r="AH204" s="280" t="str">
        <f>IF('Paste Editor (Beta)'!$C$82="Level-up prompt",G205,IF('Paste Editor (Beta)'!$C$82="Item prompt",E205,IF('Paste Editor (Beta)'!$C$82="Modifier prompt","'"&amp;B205,IF('Paste Editor (Beta)'!$C$82="Challenge prompt",L205,IF('Paste Editor (Beta)'!$C$82="Reroll class prompt",S204,IF('Paste Editor (Beta)'!$C$82="Swap hero prompt",S204,IF('Paste Editor (Beta)'!$C$82="Anvil prompt",AD204,"")))))))</f>
        <v/>
      </c>
      <c r="AI204" s="280" t="str">
        <f>IF('Paste Editor (Beta)'!$C$82="Level-up prompt",G205,IF('Paste Editor (Beta)'!$C$82="Item prompt",E205,IF('Paste Editor (Beta)'!$C$82="Modifier prompt","'"&amp;B205,IF('Paste Editor (Beta)'!$C$82="Challenge prompt",E205,IF('Paste Editor (Beta)'!$C$82="Reroll class prompt",S204,IF('Paste Editor (Beta)'!$C$82="Swap hero prompt",S204,IF('Paste Editor (Beta)'!$C$82="Anvil prompt",AD204,"")))))))</f>
        <v/>
      </c>
      <c r="AJ204" s="283">
        <f>IF('Paste Editor (Beta)'!$C$90="Level-up prompt",G205,IF('Paste Editor (Beta)'!$C$90="Item prompt",E205,IF('Paste Editor (Beta)'!$C$90="Modifier prompt","'"&amp;B205,IF('Paste Editor (Beta)'!$C$90="Challenge prompt",L205,IF('Paste Editor (Beta)'!$C$90="Reroll class prompt",S204,IF('Paste Editor (Beta)'!$C$90="Swap hero prompt",S204,IF('Paste Editor (Beta)'!$C$90="Anvil prompt",AD204,"")))))))</f>
        <v>0</v>
      </c>
      <c r="AK204" s="283">
        <f>IF('Paste Editor (Beta)'!$C$90="Level-up prompt",G205,IF('Paste Editor (Beta)'!$C$90="Item prompt",E205,IF('Paste Editor (Beta)'!$C$90="Modifier prompt","'"&amp;B205,IF('Paste Editor (Beta)'!$C$90="Challenge prompt",E205,IF('Paste Editor (Beta)'!$C$90="Reroll class prompt",S204,IF('Paste Editor (Beta)'!$C$90="Swap hero prompt",S204,IF('Paste Editor (Beta)'!$C$90="Anvil prompt",AD204,"")))))))</f>
        <v>0</v>
      </c>
    </row>
    <row r="205" spans="2:37" ht="17.25">
      <c r="B205" s="284" t="s">
        <v>2931</v>
      </c>
      <c r="C205" s="284" t="s">
        <v>2931</v>
      </c>
      <c r="D205" s="284" t="s">
        <v>2931</v>
      </c>
      <c r="E205" s="280" t="s">
        <v>836</v>
      </c>
      <c r="AH205" s="280" t="str">
        <f>IF('Paste Editor (Beta)'!$C$82="Level-up prompt",G206,IF('Paste Editor (Beta)'!$C$82="Item prompt",E206,IF('Paste Editor (Beta)'!$C$82="Modifier prompt","'"&amp;B206,IF('Paste Editor (Beta)'!$C$82="Challenge prompt",L206,IF('Paste Editor (Beta)'!$C$82="Reroll class prompt",S205,IF('Paste Editor (Beta)'!$C$82="Swap hero prompt",S205,IF('Paste Editor (Beta)'!$C$82="Anvil prompt",AD205,"")))))))</f>
        <v/>
      </c>
      <c r="AI205" s="280" t="str">
        <f>IF('Paste Editor (Beta)'!$C$82="Level-up prompt",G206,IF('Paste Editor (Beta)'!$C$82="Item prompt",E206,IF('Paste Editor (Beta)'!$C$82="Modifier prompt","'"&amp;B206,IF('Paste Editor (Beta)'!$C$82="Challenge prompt",E206,IF('Paste Editor (Beta)'!$C$82="Reroll class prompt",S205,IF('Paste Editor (Beta)'!$C$82="Swap hero prompt",S205,IF('Paste Editor (Beta)'!$C$82="Anvil prompt",AD205,"")))))))</f>
        <v/>
      </c>
      <c r="AJ205" s="283">
        <f>IF('Paste Editor (Beta)'!$C$90="Level-up prompt",G206,IF('Paste Editor (Beta)'!$C$90="Item prompt",E206,IF('Paste Editor (Beta)'!$C$90="Modifier prompt","'"&amp;B206,IF('Paste Editor (Beta)'!$C$90="Challenge prompt",L206,IF('Paste Editor (Beta)'!$C$90="Reroll class prompt",S205,IF('Paste Editor (Beta)'!$C$90="Swap hero prompt",S205,IF('Paste Editor (Beta)'!$C$90="Anvil prompt",AD205,"")))))))</f>
        <v>0</v>
      </c>
      <c r="AK205" s="283">
        <f>IF('Paste Editor (Beta)'!$C$90="Level-up prompt",G206,IF('Paste Editor (Beta)'!$C$90="Item prompt",E206,IF('Paste Editor (Beta)'!$C$90="Modifier prompt","'"&amp;B206,IF('Paste Editor (Beta)'!$C$90="Challenge prompt",E206,IF('Paste Editor (Beta)'!$C$90="Reroll class prompt",S205,IF('Paste Editor (Beta)'!$C$90="Swap hero prompt",S205,IF('Paste Editor (Beta)'!$C$90="Anvil prompt",AD205,"")))))))</f>
        <v>0</v>
      </c>
    </row>
    <row r="206" spans="2:37" ht="17.25">
      <c r="B206" s="284" t="s">
        <v>3008</v>
      </c>
      <c r="C206" s="284" t="s">
        <v>3008</v>
      </c>
      <c r="D206" s="284" t="s">
        <v>3008</v>
      </c>
      <c r="E206" s="280" t="s">
        <v>1410</v>
      </c>
      <c r="AH206" s="280" t="str">
        <f>IF('Paste Editor (Beta)'!$C$82="Level-up prompt",G207,IF('Paste Editor (Beta)'!$C$82="Item prompt",E207,IF('Paste Editor (Beta)'!$C$82="Modifier prompt","'"&amp;B207,IF('Paste Editor (Beta)'!$C$82="Challenge prompt",L207,IF('Paste Editor (Beta)'!$C$82="Reroll class prompt",S206,IF('Paste Editor (Beta)'!$C$82="Swap hero prompt",S206,IF('Paste Editor (Beta)'!$C$82="Anvil prompt",AD206,"")))))))</f>
        <v/>
      </c>
      <c r="AI206" s="280" t="str">
        <f>IF('Paste Editor (Beta)'!$C$82="Level-up prompt",G207,IF('Paste Editor (Beta)'!$C$82="Item prompt",E207,IF('Paste Editor (Beta)'!$C$82="Modifier prompt","'"&amp;B207,IF('Paste Editor (Beta)'!$C$82="Challenge prompt",E207,IF('Paste Editor (Beta)'!$C$82="Reroll class prompt",S206,IF('Paste Editor (Beta)'!$C$82="Swap hero prompt",S206,IF('Paste Editor (Beta)'!$C$82="Anvil prompt",AD206,"")))))))</f>
        <v/>
      </c>
      <c r="AJ206" s="283">
        <f>IF('Paste Editor (Beta)'!$C$90="Level-up prompt",G207,IF('Paste Editor (Beta)'!$C$90="Item prompt",E207,IF('Paste Editor (Beta)'!$C$90="Modifier prompt","'"&amp;B207,IF('Paste Editor (Beta)'!$C$90="Challenge prompt",L207,IF('Paste Editor (Beta)'!$C$90="Reroll class prompt",S206,IF('Paste Editor (Beta)'!$C$90="Swap hero prompt",S206,IF('Paste Editor (Beta)'!$C$90="Anvil prompt",AD206,"")))))))</f>
        <v>0</v>
      </c>
      <c r="AK206" s="283">
        <f>IF('Paste Editor (Beta)'!$C$90="Level-up prompt",G207,IF('Paste Editor (Beta)'!$C$90="Item prompt",E207,IF('Paste Editor (Beta)'!$C$90="Modifier prompt","'"&amp;B207,IF('Paste Editor (Beta)'!$C$90="Challenge prompt",E207,IF('Paste Editor (Beta)'!$C$90="Reroll class prompt",S206,IF('Paste Editor (Beta)'!$C$90="Swap hero prompt",S206,IF('Paste Editor (Beta)'!$C$90="Anvil prompt",AD206,"")))))))</f>
        <v>0</v>
      </c>
    </row>
    <row r="207" spans="2:37" ht="17.25">
      <c r="B207" s="284" t="s">
        <v>2935</v>
      </c>
      <c r="C207" s="284" t="s">
        <v>2935</v>
      </c>
      <c r="D207" s="284" t="s">
        <v>2935</v>
      </c>
      <c r="E207" s="280" t="s">
        <v>1181</v>
      </c>
      <c r="AH207" s="280" t="str">
        <f>IF('Paste Editor (Beta)'!$C$82="Level-up prompt",G208,IF('Paste Editor (Beta)'!$C$82="Item prompt",E208,IF('Paste Editor (Beta)'!$C$82="Modifier prompt","'"&amp;B208,IF('Paste Editor (Beta)'!$C$82="Challenge prompt",L208,IF('Paste Editor (Beta)'!$C$82="Reroll class prompt",S207,IF('Paste Editor (Beta)'!$C$82="Swap hero prompt",S207,IF('Paste Editor (Beta)'!$C$82="Anvil prompt",AD207,"")))))))</f>
        <v/>
      </c>
      <c r="AI207" s="280" t="str">
        <f>IF('Paste Editor (Beta)'!$C$82="Level-up prompt",G208,IF('Paste Editor (Beta)'!$C$82="Item prompt",E208,IF('Paste Editor (Beta)'!$C$82="Modifier prompt","'"&amp;B208,IF('Paste Editor (Beta)'!$C$82="Challenge prompt",E208,IF('Paste Editor (Beta)'!$C$82="Reroll class prompt",S207,IF('Paste Editor (Beta)'!$C$82="Swap hero prompt",S207,IF('Paste Editor (Beta)'!$C$82="Anvil prompt",AD207,"")))))))</f>
        <v/>
      </c>
      <c r="AJ207" s="283">
        <f>IF('Paste Editor (Beta)'!$C$90="Level-up prompt",G208,IF('Paste Editor (Beta)'!$C$90="Item prompt",E208,IF('Paste Editor (Beta)'!$C$90="Modifier prompt","'"&amp;B208,IF('Paste Editor (Beta)'!$C$90="Challenge prompt",L208,IF('Paste Editor (Beta)'!$C$90="Reroll class prompt",S207,IF('Paste Editor (Beta)'!$C$90="Swap hero prompt",S207,IF('Paste Editor (Beta)'!$C$90="Anvil prompt",AD207,"")))))))</f>
        <v>0</v>
      </c>
      <c r="AK207" s="283">
        <f>IF('Paste Editor (Beta)'!$C$90="Level-up prompt",G208,IF('Paste Editor (Beta)'!$C$90="Item prompt",E208,IF('Paste Editor (Beta)'!$C$90="Modifier prompt","'"&amp;B208,IF('Paste Editor (Beta)'!$C$90="Challenge prompt",E208,IF('Paste Editor (Beta)'!$C$90="Reroll class prompt",S207,IF('Paste Editor (Beta)'!$C$90="Swap hero prompt",S207,IF('Paste Editor (Beta)'!$C$90="Anvil prompt",AD207,"")))))))</f>
        <v>0</v>
      </c>
    </row>
    <row r="208" spans="2:37" ht="17.25">
      <c r="B208" s="284" t="s">
        <v>2357</v>
      </c>
      <c r="C208" s="284" t="s">
        <v>2357</v>
      </c>
      <c r="D208" s="284" t="s">
        <v>2357</v>
      </c>
      <c r="E208" s="280" t="s">
        <v>1341</v>
      </c>
      <c r="AH208" s="280" t="str">
        <f>IF('Paste Editor (Beta)'!$C$82="Level-up prompt",G209,IF('Paste Editor (Beta)'!$C$82="Item prompt",E209,IF('Paste Editor (Beta)'!$C$82="Modifier prompt","'"&amp;B209,IF('Paste Editor (Beta)'!$C$82="Challenge prompt",L209,IF('Paste Editor (Beta)'!$C$82="Reroll class prompt",S208,IF('Paste Editor (Beta)'!$C$82="Swap hero prompt",S208,IF('Paste Editor (Beta)'!$C$82="Anvil prompt",AD208,"")))))))</f>
        <v/>
      </c>
      <c r="AI208" s="280" t="str">
        <f>IF('Paste Editor (Beta)'!$C$82="Level-up prompt",G209,IF('Paste Editor (Beta)'!$C$82="Item prompt",E209,IF('Paste Editor (Beta)'!$C$82="Modifier prompt","'"&amp;B209,IF('Paste Editor (Beta)'!$C$82="Challenge prompt",E209,IF('Paste Editor (Beta)'!$C$82="Reroll class prompt",S208,IF('Paste Editor (Beta)'!$C$82="Swap hero prompt",S208,IF('Paste Editor (Beta)'!$C$82="Anvil prompt",AD208,"")))))))</f>
        <v/>
      </c>
      <c r="AJ208" s="283">
        <f>IF('Paste Editor (Beta)'!$C$90="Level-up prompt",G209,IF('Paste Editor (Beta)'!$C$90="Item prompt",E209,IF('Paste Editor (Beta)'!$C$90="Modifier prompt","'"&amp;B209,IF('Paste Editor (Beta)'!$C$90="Challenge prompt",L209,IF('Paste Editor (Beta)'!$C$90="Reroll class prompt",S208,IF('Paste Editor (Beta)'!$C$90="Swap hero prompt",S208,IF('Paste Editor (Beta)'!$C$90="Anvil prompt",AD208,"")))))))</f>
        <v>0</v>
      </c>
      <c r="AK208" s="283">
        <f>IF('Paste Editor (Beta)'!$C$90="Level-up prompt",G209,IF('Paste Editor (Beta)'!$C$90="Item prompt",E209,IF('Paste Editor (Beta)'!$C$90="Modifier prompt","'"&amp;B209,IF('Paste Editor (Beta)'!$C$90="Challenge prompt",E209,IF('Paste Editor (Beta)'!$C$90="Reroll class prompt",S208,IF('Paste Editor (Beta)'!$C$90="Swap hero prompt",S208,IF('Paste Editor (Beta)'!$C$90="Anvil prompt",AD208,"")))))))</f>
        <v>0</v>
      </c>
    </row>
    <row r="209" spans="2:37" ht="17.25">
      <c r="B209" s="284" t="s">
        <v>3091</v>
      </c>
      <c r="C209" s="284" t="s">
        <v>3091</v>
      </c>
      <c r="D209" s="284" t="s">
        <v>3091</v>
      </c>
      <c r="E209" s="280" t="s">
        <v>1343</v>
      </c>
      <c r="AH209" s="280" t="str">
        <f>IF('Paste Editor (Beta)'!$C$82="Level-up prompt",G210,IF('Paste Editor (Beta)'!$C$82="Item prompt",E210,IF('Paste Editor (Beta)'!$C$82="Modifier prompt","'"&amp;B210,IF('Paste Editor (Beta)'!$C$82="Challenge prompt",L210,IF('Paste Editor (Beta)'!$C$82="Reroll class prompt",S209,IF('Paste Editor (Beta)'!$C$82="Swap hero prompt",S209,IF('Paste Editor (Beta)'!$C$82="Anvil prompt",AD209,"")))))))</f>
        <v/>
      </c>
      <c r="AI209" s="280" t="str">
        <f>IF('Paste Editor (Beta)'!$C$82="Level-up prompt",G210,IF('Paste Editor (Beta)'!$C$82="Item prompt",E210,IF('Paste Editor (Beta)'!$C$82="Modifier prompt","'"&amp;B210,IF('Paste Editor (Beta)'!$C$82="Challenge prompt",E210,IF('Paste Editor (Beta)'!$C$82="Reroll class prompt",S209,IF('Paste Editor (Beta)'!$C$82="Swap hero prompt",S209,IF('Paste Editor (Beta)'!$C$82="Anvil prompt",AD209,"")))))))</f>
        <v/>
      </c>
      <c r="AJ209" s="283">
        <f>IF('Paste Editor (Beta)'!$C$90="Level-up prompt",G210,IF('Paste Editor (Beta)'!$C$90="Item prompt",E210,IF('Paste Editor (Beta)'!$C$90="Modifier prompt","'"&amp;B210,IF('Paste Editor (Beta)'!$C$90="Challenge prompt",L210,IF('Paste Editor (Beta)'!$C$90="Reroll class prompt",S209,IF('Paste Editor (Beta)'!$C$90="Swap hero prompt",S209,IF('Paste Editor (Beta)'!$C$90="Anvil prompt",AD209,"")))))))</f>
        <v>0</v>
      </c>
      <c r="AK209" s="283">
        <f>IF('Paste Editor (Beta)'!$C$90="Level-up prompt",G210,IF('Paste Editor (Beta)'!$C$90="Item prompt",E210,IF('Paste Editor (Beta)'!$C$90="Modifier prompt","'"&amp;B210,IF('Paste Editor (Beta)'!$C$90="Challenge prompt",E210,IF('Paste Editor (Beta)'!$C$90="Reroll class prompt",S209,IF('Paste Editor (Beta)'!$C$90="Swap hero prompt",S209,IF('Paste Editor (Beta)'!$C$90="Anvil prompt",AD209,"")))))))</f>
        <v>0</v>
      </c>
    </row>
    <row r="210" spans="2:37" ht="17.25">
      <c r="B210" s="284" t="s">
        <v>1982</v>
      </c>
      <c r="C210" s="284" t="s">
        <v>1982</v>
      </c>
      <c r="D210" s="284" t="s">
        <v>1982</v>
      </c>
      <c r="E210" s="280" t="s">
        <v>1412</v>
      </c>
      <c r="AH210" s="280" t="str">
        <f>IF('Paste Editor (Beta)'!$C$82="Level-up prompt",G211,IF('Paste Editor (Beta)'!$C$82="Item prompt",E211,IF('Paste Editor (Beta)'!$C$82="Modifier prompt","'"&amp;B211,IF('Paste Editor (Beta)'!$C$82="Challenge prompt",L211,IF('Paste Editor (Beta)'!$C$82="Reroll class prompt",S210,IF('Paste Editor (Beta)'!$C$82="Swap hero prompt",S210,IF('Paste Editor (Beta)'!$C$82="Anvil prompt",AD210,"")))))))</f>
        <v/>
      </c>
      <c r="AI210" s="280" t="str">
        <f>IF('Paste Editor (Beta)'!$C$82="Level-up prompt",G211,IF('Paste Editor (Beta)'!$C$82="Item prompt",E211,IF('Paste Editor (Beta)'!$C$82="Modifier prompt","'"&amp;B211,IF('Paste Editor (Beta)'!$C$82="Challenge prompt",E211,IF('Paste Editor (Beta)'!$C$82="Reroll class prompt",S210,IF('Paste Editor (Beta)'!$C$82="Swap hero prompt",S210,IF('Paste Editor (Beta)'!$C$82="Anvil prompt",AD210,"")))))))</f>
        <v/>
      </c>
      <c r="AJ210" s="283">
        <f>IF('Paste Editor (Beta)'!$C$90="Level-up prompt",G211,IF('Paste Editor (Beta)'!$C$90="Item prompt",E211,IF('Paste Editor (Beta)'!$C$90="Modifier prompt","'"&amp;B211,IF('Paste Editor (Beta)'!$C$90="Challenge prompt",L211,IF('Paste Editor (Beta)'!$C$90="Reroll class prompt",S210,IF('Paste Editor (Beta)'!$C$90="Swap hero prompt",S210,IF('Paste Editor (Beta)'!$C$90="Anvil prompt",AD210,"")))))))</f>
        <v>0</v>
      </c>
      <c r="AK210" s="283">
        <f>IF('Paste Editor (Beta)'!$C$90="Level-up prompt",G211,IF('Paste Editor (Beta)'!$C$90="Item prompt",E211,IF('Paste Editor (Beta)'!$C$90="Modifier prompt","'"&amp;B211,IF('Paste Editor (Beta)'!$C$90="Challenge prompt",E211,IF('Paste Editor (Beta)'!$C$90="Reroll class prompt",S210,IF('Paste Editor (Beta)'!$C$90="Swap hero prompt",S210,IF('Paste Editor (Beta)'!$C$90="Anvil prompt",AD210,"")))))))</f>
        <v>0</v>
      </c>
    </row>
    <row r="211" spans="2:37" ht="17.25">
      <c r="B211" s="284" t="s">
        <v>1984</v>
      </c>
      <c r="C211" s="284" t="s">
        <v>1984</v>
      </c>
      <c r="D211" s="284" t="s">
        <v>1984</v>
      </c>
      <c r="E211" s="280" t="s">
        <v>1473</v>
      </c>
      <c r="AH211" s="280" t="str">
        <f>IF('Paste Editor (Beta)'!$C$82="Level-up prompt",G212,IF('Paste Editor (Beta)'!$C$82="Item prompt",E212,IF('Paste Editor (Beta)'!$C$82="Modifier prompt","'"&amp;B212,IF('Paste Editor (Beta)'!$C$82="Challenge prompt",L212,IF('Paste Editor (Beta)'!$C$82="Reroll class prompt",S211,IF('Paste Editor (Beta)'!$C$82="Swap hero prompt",S211,IF('Paste Editor (Beta)'!$C$82="Anvil prompt",AD211,"")))))))</f>
        <v/>
      </c>
      <c r="AI211" s="280" t="str">
        <f>IF('Paste Editor (Beta)'!$C$82="Level-up prompt",G212,IF('Paste Editor (Beta)'!$C$82="Item prompt",E212,IF('Paste Editor (Beta)'!$C$82="Modifier prompt","'"&amp;B212,IF('Paste Editor (Beta)'!$C$82="Challenge prompt",E212,IF('Paste Editor (Beta)'!$C$82="Reroll class prompt",S211,IF('Paste Editor (Beta)'!$C$82="Swap hero prompt",S211,IF('Paste Editor (Beta)'!$C$82="Anvil prompt",AD211,"")))))))</f>
        <v/>
      </c>
      <c r="AJ211" s="283">
        <f>IF('Paste Editor (Beta)'!$C$90="Level-up prompt",G212,IF('Paste Editor (Beta)'!$C$90="Item prompt",E212,IF('Paste Editor (Beta)'!$C$90="Modifier prompt","'"&amp;B212,IF('Paste Editor (Beta)'!$C$90="Challenge prompt",L212,IF('Paste Editor (Beta)'!$C$90="Reroll class prompt",S211,IF('Paste Editor (Beta)'!$C$90="Swap hero prompt",S211,IF('Paste Editor (Beta)'!$C$90="Anvil prompt",AD211,"")))))))</f>
        <v>0</v>
      </c>
      <c r="AK211" s="283">
        <f>IF('Paste Editor (Beta)'!$C$90="Level-up prompt",G212,IF('Paste Editor (Beta)'!$C$90="Item prompt",E212,IF('Paste Editor (Beta)'!$C$90="Modifier prompt","'"&amp;B212,IF('Paste Editor (Beta)'!$C$90="Challenge prompt",E212,IF('Paste Editor (Beta)'!$C$90="Reroll class prompt",S211,IF('Paste Editor (Beta)'!$C$90="Swap hero prompt",S211,IF('Paste Editor (Beta)'!$C$90="Anvil prompt",AD211,"")))))))</f>
        <v>0</v>
      </c>
    </row>
    <row r="212" spans="2:37" ht="17.25">
      <c r="B212" s="284" t="s">
        <v>2120</v>
      </c>
      <c r="C212" s="284" t="s">
        <v>2120</v>
      </c>
      <c r="D212" s="284" t="s">
        <v>2120</v>
      </c>
      <c r="E212" s="280" t="s">
        <v>1258</v>
      </c>
      <c r="AH212" s="280" t="str">
        <f>IF('Paste Editor (Beta)'!$C$82="Level-up prompt",G213,IF('Paste Editor (Beta)'!$C$82="Item prompt",E213,IF('Paste Editor (Beta)'!$C$82="Modifier prompt","'"&amp;B213,IF('Paste Editor (Beta)'!$C$82="Challenge prompt",L213,IF('Paste Editor (Beta)'!$C$82="Reroll class prompt",S212,IF('Paste Editor (Beta)'!$C$82="Swap hero prompt",S212,IF('Paste Editor (Beta)'!$C$82="Anvil prompt",AD212,"")))))))</f>
        <v/>
      </c>
      <c r="AI212" s="280" t="str">
        <f>IF('Paste Editor (Beta)'!$C$82="Level-up prompt",G213,IF('Paste Editor (Beta)'!$C$82="Item prompt",E213,IF('Paste Editor (Beta)'!$C$82="Modifier prompt","'"&amp;B213,IF('Paste Editor (Beta)'!$C$82="Challenge prompt",E213,IF('Paste Editor (Beta)'!$C$82="Reroll class prompt",S212,IF('Paste Editor (Beta)'!$C$82="Swap hero prompt",S212,IF('Paste Editor (Beta)'!$C$82="Anvil prompt",AD212,"")))))))</f>
        <v/>
      </c>
      <c r="AJ212" s="283">
        <f>IF('Paste Editor (Beta)'!$C$90="Level-up prompt",G213,IF('Paste Editor (Beta)'!$C$90="Item prompt",E213,IF('Paste Editor (Beta)'!$C$90="Modifier prompt","'"&amp;B213,IF('Paste Editor (Beta)'!$C$90="Challenge prompt",L213,IF('Paste Editor (Beta)'!$C$90="Reroll class prompt",S212,IF('Paste Editor (Beta)'!$C$90="Swap hero prompt",S212,IF('Paste Editor (Beta)'!$C$90="Anvil prompt",AD212,"")))))))</f>
        <v>0</v>
      </c>
      <c r="AK212" s="283">
        <f>IF('Paste Editor (Beta)'!$C$90="Level-up prompt",G213,IF('Paste Editor (Beta)'!$C$90="Item prompt",E213,IF('Paste Editor (Beta)'!$C$90="Modifier prompt","'"&amp;B213,IF('Paste Editor (Beta)'!$C$90="Challenge prompt",E213,IF('Paste Editor (Beta)'!$C$90="Reroll class prompt",S212,IF('Paste Editor (Beta)'!$C$90="Swap hero prompt",S212,IF('Paste Editor (Beta)'!$C$90="Anvil prompt",AD212,"")))))))</f>
        <v>0</v>
      </c>
    </row>
    <row r="213" spans="2:37" ht="17.25">
      <c r="B213" s="284" t="s">
        <v>2222</v>
      </c>
      <c r="C213" s="284" t="s">
        <v>2222</v>
      </c>
      <c r="D213" s="284" t="s">
        <v>2222</v>
      </c>
      <c r="E213" s="280" t="s">
        <v>1042</v>
      </c>
      <c r="AH213" s="280" t="str">
        <f>IF('Paste Editor (Beta)'!$C$82="Level-up prompt",G214,IF('Paste Editor (Beta)'!$C$82="Item prompt",E214,IF('Paste Editor (Beta)'!$C$82="Modifier prompt","'"&amp;B214,IF('Paste Editor (Beta)'!$C$82="Challenge prompt",L214,IF('Paste Editor (Beta)'!$C$82="Reroll class prompt",S213,IF('Paste Editor (Beta)'!$C$82="Swap hero prompt",S213,IF('Paste Editor (Beta)'!$C$82="Anvil prompt",AD213,"")))))))</f>
        <v/>
      </c>
      <c r="AI213" s="280" t="str">
        <f>IF('Paste Editor (Beta)'!$C$82="Level-up prompt",G214,IF('Paste Editor (Beta)'!$C$82="Item prompt",E214,IF('Paste Editor (Beta)'!$C$82="Modifier prompt","'"&amp;B214,IF('Paste Editor (Beta)'!$C$82="Challenge prompt",E214,IF('Paste Editor (Beta)'!$C$82="Reroll class prompt",S213,IF('Paste Editor (Beta)'!$C$82="Swap hero prompt",S213,IF('Paste Editor (Beta)'!$C$82="Anvil prompt",AD213,"")))))))</f>
        <v/>
      </c>
      <c r="AJ213" s="283">
        <f>IF('Paste Editor (Beta)'!$C$90="Level-up prompt",G214,IF('Paste Editor (Beta)'!$C$90="Item prompt",E214,IF('Paste Editor (Beta)'!$C$90="Modifier prompt","'"&amp;B214,IF('Paste Editor (Beta)'!$C$90="Challenge prompt",L214,IF('Paste Editor (Beta)'!$C$90="Reroll class prompt",S213,IF('Paste Editor (Beta)'!$C$90="Swap hero prompt",S213,IF('Paste Editor (Beta)'!$C$90="Anvil prompt",AD213,"")))))))</f>
        <v>0</v>
      </c>
      <c r="AK213" s="283">
        <f>IF('Paste Editor (Beta)'!$C$90="Level-up prompt",G214,IF('Paste Editor (Beta)'!$C$90="Item prompt",E214,IF('Paste Editor (Beta)'!$C$90="Modifier prompt","'"&amp;B214,IF('Paste Editor (Beta)'!$C$90="Challenge prompt",E214,IF('Paste Editor (Beta)'!$C$90="Reroll class prompt",S213,IF('Paste Editor (Beta)'!$C$90="Swap hero prompt",S213,IF('Paste Editor (Beta)'!$C$90="Anvil prompt",AD213,"")))))))</f>
        <v>0</v>
      </c>
    </row>
    <row r="214" spans="2:37" ht="17.25">
      <c r="B214" s="284" t="s">
        <v>2146</v>
      </c>
      <c r="C214" s="284" t="s">
        <v>2146</v>
      </c>
      <c r="D214" s="284" t="s">
        <v>2146</v>
      </c>
      <c r="E214" s="280" t="s">
        <v>1261</v>
      </c>
      <c r="AH214" s="280" t="str">
        <f>IF('Paste Editor (Beta)'!$C$82="Level-up prompt",G215,IF('Paste Editor (Beta)'!$C$82="Item prompt",E215,IF('Paste Editor (Beta)'!$C$82="Modifier prompt","'"&amp;B215,IF('Paste Editor (Beta)'!$C$82="Challenge prompt",L215,IF('Paste Editor (Beta)'!$C$82="Reroll class prompt",S214,IF('Paste Editor (Beta)'!$C$82="Swap hero prompt",S214,IF('Paste Editor (Beta)'!$C$82="Anvil prompt",AD214,"")))))))</f>
        <v/>
      </c>
      <c r="AI214" s="280" t="str">
        <f>IF('Paste Editor (Beta)'!$C$82="Level-up prompt",G215,IF('Paste Editor (Beta)'!$C$82="Item prompt",E215,IF('Paste Editor (Beta)'!$C$82="Modifier prompt","'"&amp;B215,IF('Paste Editor (Beta)'!$C$82="Challenge prompt",E215,IF('Paste Editor (Beta)'!$C$82="Reroll class prompt",S214,IF('Paste Editor (Beta)'!$C$82="Swap hero prompt",S214,IF('Paste Editor (Beta)'!$C$82="Anvil prompt",AD214,"")))))))</f>
        <v/>
      </c>
      <c r="AJ214" s="283">
        <f>IF('Paste Editor (Beta)'!$C$90="Level-up prompt",G215,IF('Paste Editor (Beta)'!$C$90="Item prompt",E215,IF('Paste Editor (Beta)'!$C$90="Modifier prompt","'"&amp;B215,IF('Paste Editor (Beta)'!$C$90="Challenge prompt",L215,IF('Paste Editor (Beta)'!$C$90="Reroll class prompt",S214,IF('Paste Editor (Beta)'!$C$90="Swap hero prompt",S214,IF('Paste Editor (Beta)'!$C$90="Anvil prompt",AD214,"")))))))</f>
        <v>0</v>
      </c>
      <c r="AK214" s="283">
        <f>IF('Paste Editor (Beta)'!$C$90="Level-up prompt",G215,IF('Paste Editor (Beta)'!$C$90="Item prompt",E215,IF('Paste Editor (Beta)'!$C$90="Modifier prompt","'"&amp;B215,IF('Paste Editor (Beta)'!$C$90="Challenge prompt",E215,IF('Paste Editor (Beta)'!$C$90="Reroll class prompt",S214,IF('Paste Editor (Beta)'!$C$90="Swap hero prompt",S214,IF('Paste Editor (Beta)'!$C$90="Anvil prompt",AD214,"")))))))</f>
        <v>0</v>
      </c>
    </row>
    <row r="215" spans="2:37" ht="17.25">
      <c r="B215" s="284" t="s">
        <v>2151</v>
      </c>
      <c r="C215" s="284" t="s">
        <v>2151</v>
      </c>
      <c r="D215" s="284" t="s">
        <v>2151</v>
      </c>
      <c r="E215" s="280" t="s">
        <v>1345</v>
      </c>
      <c r="AH215" s="280" t="str">
        <f>IF('Paste Editor (Beta)'!$C$82="Level-up prompt",G216,IF('Paste Editor (Beta)'!$C$82="Item prompt",E216,IF('Paste Editor (Beta)'!$C$82="Modifier prompt","'"&amp;B216,IF('Paste Editor (Beta)'!$C$82="Challenge prompt",L216,IF('Paste Editor (Beta)'!$C$82="Reroll class prompt",S215,IF('Paste Editor (Beta)'!$C$82="Swap hero prompt",S215,IF('Paste Editor (Beta)'!$C$82="Anvil prompt",AD215,"")))))))</f>
        <v/>
      </c>
      <c r="AI215" s="280" t="str">
        <f>IF('Paste Editor (Beta)'!$C$82="Level-up prompt",G216,IF('Paste Editor (Beta)'!$C$82="Item prompt",E216,IF('Paste Editor (Beta)'!$C$82="Modifier prompt","'"&amp;B216,IF('Paste Editor (Beta)'!$C$82="Challenge prompt",E216,IF('Paste Editor (Beta)'!$C$82="Reroll class prompt",S215,IF('Paste Editor (Beta)'!$C$82="Swap hero prompt",S215,IF('Paste Editor (Beta)'!$C$82="Anvil prompt",AD215,"")))))))</f>
        <v/>
      </c>
      <c r="AJ215" s="283">
        <f>IF('Paste Editor (Beta)'!$C$90="Level-up prompt",G216,IF('Paste Editor (Beta)'!$C$90="Item prompt",E216,IF('Paste Editor (Beta)'!$C$90="Modifier prompt","'"&amp;B216,IF('Paste Editor (Beta)'!$C$90="Challenge prompt",L216,IF('Paste Editor (Beta)'!$C$90="Reroll class prompt",S215,IF('Paste Editor (Beta)'!$C$90="Swap hero prompt",S215,IF('Paste Editor (Beta)'!$C$90="Anvil prompt",AD215,"")))))))</f>
        <v>0</v>
      </c>
      <c r="AK215" s="283">
        <f>IF('Paste Editor (Beta)'!$C$90="Level-up prompt",G216,IF('Paste Editor (Beta)'!$C$90="Item prompt",E216,IF('Paste Editor (Beta)'!$C$90="Modifier prompt","'"&amp;B216,IF('Paste Editor (Beta)'!$C$90="Challenge prompt",E216,IF('Paste Editor (Beta)'!$C$90="Reroll class prompt",S215,IF('Paste Editor (Beta)'!$C$90="Swap hero prompt",S215,IF('Paste Editor (Beta)'!$C$90="Anvil prompt",AD215,"")))))))</f>
        <v>0</v>
      </c>
    </row>
    <row r="216" spans="2:37" ht="17.25">
      <c r="B216" s="284" t="s">
        <v>2947</v>
      </c>
      <c r="C216" s="284" t="s">
        <v>2947</v>
      </c>
      <c r="D216" s="284" t="s">
        <v>2947</v>
      </c>
      <c r="E216" s="280" t="s">
        <v>1414</v>
      </c>
      <c r="AH216" s="280" t="str">
        <f>IF('Paste Editor (Beta)'!$C$82="Level-up prompt",G217,IF('Paste Editor (Beta)'!$C$82="Item prompt",E217,IF('Paste Editor (Beta)'!$C$82="Modifier prompt","'"&amp;B217,IF('Paste Editor (Beta)'!$C$82="Challenge prompt",L217,IF('Paste Editor (Beta)'!$C$82="Reroll class prompt",S216,IF('Paste Editor (Beta)'!$C$82="Swap hero prompt",S216,IF('Paste Editor (Beta)'!$C$82="Anvil prompt",AD216,"")))))))</f>
        <v/>
      </c>
      <c r="AI216" s="280" t="str">
        <f>IF('Paste Editor (Beta)'!$C$82="Level-up prompt",G217,IF('Paste Editor (Beta)'!$C$82="Item prompt",E217,IF('Paste Editor (Beta)'!$C$82="Modifier prompt","'"&amp;B217,IF('Paste Editor (Beta)'!$C$82="Challenge prompt",E217,IF('Paste Editor (Beta)'!$C$82="Reroll class prompt",S216,IF('Paste Editor (Beta)'!$C$82="Swap hero prompt",S216,IF('Paste Editor (Beta)'!$C$82="Anvil prompt",AD216,"")))))))</f>
        <v/>
      </c>
      <c r="AJ216" s="283">
        <f>IF('Paste Editor (Beta)'!$C$90="Level-up prompt",G217,IF('Paste Editor (Beta)'!$C$90="Item prompt",E217,IF('Paste Editor (Beta)'!$C$90="Modifier prompt","'"&amp;B217,IF('Paste Editor (Beta)'!$C$90="Challenge prompt",L217,IF('Paste Editor (Beta)'!$C$90="Reroll class prompt",S216,IF('Paste Editor (Beta)'!$C$90="Swap hero prompt",S216,IF('Paste Editor (Beta)'!$C$90="Anvil prompt",AD216,"")))))))</f>
        <v>0</v>
      </c>
      <c r="AK216" s="283">
        <f>IF('Paste Editor (Beta)'!$C$90="Level-up prompt",G217,IF('Paste Editor (Beta)'!$C$90="Item prompt",E217,IF('Paste Editor (Beta)'!$C$90="Modifier prompt","'"&amp;B217,IF('Paste Editor (Beta)'!$C$90="Challenge prompt",E217,IF('Paste Editor (Beta)'!$C$90="Reroll class prompt",S216,IF('Paste Editor (Beta)'!$C$90="Swap hero prompt",S216,IF('Paste Editor (Beta)'!$C$90="Anvil prompt",AD216,"")))))))</f>
        <v>0</v>
      </c>
    </row>
    <row r="217" spans="2:37" ht="17.25">
      <c r="B217" s="284" t="s">
        <v>2347</v>
      </c>
      <c r="C217" s="284" t="s">
        <v>2347</v>
      </c>
      <c r="D217" s="284" t="s">
        <v>2347</v>
      </c>
      <c r="E217" s="280" t="s">
        <v>883</v>
      </c>
      <c r="AH217" s="280" t="str">
        <f>IF('Paste Editor (Beta)'!$C$82="Level-up prompt",G218,IF('Paste Editor (Beta)'!$C$82="Item prompt",E218,IF('Paste Editor (Beta)'!$C$82="Modifier prompt","'"&amp;B218,IF('Paste Editor (Beta)'!$C$82="Challenge prompt",L218,IF('Paste Editor (Beta)'!$C$82="Reroll class prompt",S217,IF('Paste Editor (Beta)'!$C$82="Swap hero prompt",S217,IF('Paste Editor (Beta)'!$C$82="Anvil prompt",AD217,"")))))))</f>
        <v/>
      </c>
      <c r="AI217" s="280" t="str">
        <f>IF('Paste Editor (Beta)'!$C$82="Level-up prompt",G218,IF('Paste Editor (Beta)'!$C$82="Item prompt",E218,IF('Paste Editor (Beta)'!$C$82="Modifier prompt","'"&amp;B218,IF('Paste Editor (Beta)'!$C$82="Challenge prompt",E218,IF('Paste Editor (Beta)'!$C$82="Reroll class prompt",S217,IF('Paste Editor (Beta)'!$C$82="Swap hero prompt",S217,IF('Paste Editor (Beta)'!$C$82="Anvil prompt",AD217,"")))))))</f>
        <v/>
      </c>
      <c r="AJ217" s="283">
        <f>IF('Paste Editor (Beta)'!$C$90="Level-up prompt",G218,IF('Paste Editor (Beta)'!$C$90="Item prompt",E218,IF('Paste Editor (Beta)'!$C$90="Modifier prompt","'"&amp;B218,IF('Paste Editor (Beta)'!$C$90="Challenge prompt",L218,IF('Paste Editor (Beta)'!$C$90="Reroll class prompt",S217,IF('Paste Editor (Beta)'!$C$90="Swap hero prompt",S217,IF('Paste Editor (Beta)'!$C$90="Anvil prompt",AD217,"")))))))</f>
        <v>0</v>
      </c>
      <c r="AK217" s="283">
        <f>IF('Paste Editor (Beta)'!$C$90="Level-up prompt",G218,IF('Paste Editor (Beta)'!$C$90="Item prompt",E218,IF('Paste Editor (Beta)'!$C$90="Modifier prompt","'"&amp;B218,IF('Paste Editor (Beta)'!$C$90="Challenge prompt",E218,IF('Paste Editor (Beta)'!$C$90="Reroll class prompt",S217,IF('Paste Editor (Beta)'!$C$90="Swap hero prompt",S217,IF('Paste Editor (Beta)'!$C$90="Anvil prompt",AD217,"")))))))</f>
        <v>0</v>
      </c>
    </row>
    <row r="218" spans="2:37" ht="17.25">
      <c r="B218" s="284" t="s">
        <v>2028</v>
      </c>
      <c r="C218" s="284" t="s">
        <v>2028</v>
      </c>
      <c r="D218" s="284" t="s">
        <v>2028</v>
      </c>
      <c r="E218" s="280" t="s">
        <v>1263</v>
      </c>
      <c r="AH218" s="280" t="str">
        <f>IF('Paste Editor (Beta)'!$C$82="Level-up prompt",G219,IF('Paste Editor (Beta)'!$C$82="Item prompt",E219,IF('Paste Editor (Beta)'!$C$82="Modifier prompt","'"&amp;B219,IF('Paste Editor (Beta)'!$C$82="Challenge prompt",L219,IF('Paste Editor (Beta)'!$C$82="Reroll class prompt",S218,IF('Paste Editor (Beta)'!$C$82="Swap hero prompt",S218,IF('Paste Editor (Beta)'!$C$82="Anvil prompt",AD218,"")))))))</f>
        <v/>
      </c>
      <c r="AI218" s="280" t="str">
        <f>IF('Paste Editor (Beta)'!$C$82="Level-up prompt",G219,IF('Paste Editor (Beta)'!$C$82="Item prompt",E219,IF('Paste Editor (Beta)'!$C$82="Modifier prompt","'"&amp;B219,IF('Paste Editor (Beta)'!$C$82="Challenge prompt",E219,IF('Paste Editor (Beta)'!$C$82="Reroll class prompt",S218,IF('Paste Editor (Beta)'!$C$82="Swap hero prompt",S218,IF('Paste Editor (Beta)'!$C$82="Anvil prompt",AD218,"")))))))</f>
        <v/>
      </c>
      <c r="AJ218" s="283">
        <f>IF('Paste Editor (Beta)'!$C$90="Level-up prompt",G219,IF('Paste Editor (Beta)'!$C$90="Item prompt",E219,IF('Paste Editor (Beta)'!$C$90="Modifier prompt","'"&amp;B219,IF('Paste Editor (Beta)'!$C$90="Challenge prompt",L219,IF('Paste Editor (Beta)'!$C$90="Reroll class prompt",S218,IF('Paste Editor (Beta)'!$C$90="Swap hero prompt",S218,IF('Paste Editor (Beta)'!$C$90="Anvil prompt",AD218,"")))))))</f>
        <v>0</v>
      </c>
      <c r="AK218" s="283">
        <f>IF('Paste Editor (Beta)'!$C$90="Level-up prompt",G219,IF('Paste Editor (Beta)'!$C$90="Item prompt",E219,IF('Paste Editor (Beta)'!$C$90="Modifier prompt","'"&amp;B219,IF('Paste Editor (Beta)'!$C$90="Challenge prompt",E219,IF('Paste Editor (Beta)'!$C$90="Reroll class prompt",S218,IF('Paste Editor (Beta)'!$C$90="Swap hero prompt",S218,IF('Paste Editor (Beta)'!$C$90="Anvil prompt",AD218,"")))))))</f>
        <v>0</v>
      </c>
    </row>
    <row r="219" spans="2:37" ht="17.25">
      <c r="B219" s="284" t="s">
        <v>2241</v>
      </c>
      <c r="C219" s="284" t="s">
        <v>2241</v>
      </c>
      <c r="D219" s="284" t="s">
        <v>2241</v>
      </c>
      <c r="E219" s="280" t="s">
        <v>885</v>
      </c>
      <c r="AH219" s="280" t="str">
        <f>IF('Paste Editor (Beta)'!$C$82="Level-up prompt",G220,IF('Paste Editor (Beta)'!$C$82="Item prompt",E220,IF('Paste Editor (Beta)'!$C$82="Modifier prompt","'"&amp;B220,IF('Paste Editor (Beta)'!$C$82="Challenge prompt",L220,IF('Paste Editor (Beta)'!$C$82="Reroll class prompt",S219,IF('Paste Editor (Beta)'!$C$82="Swap hero prompt",S219,IF('Paste Editor (Beta)'!$C$82="Anvil prompt",AD219,"")))))))</f>
        <v/>
      </c>
      <c r="AI219" s="280" t="str">
        <f>IF('Paste Editor (Beta)'!$C$82="Level-up prompt",G220,IF('Paste Editor (Beta)'!$C$82="Item prompt",E220,IF('Paste Editor (Beta)'!$C$82="Modifier prompt","'"&amp;B220,IF('Paste Editor (Beta)'!$C$82="Challenge prompt",E220,IF('Paste Editor (Beta)'!$C$82="Reroll class prompt",S219,IF('Paste Editor (Beta)'!$C$82="Swap hero prompt",S219,IF('Paste Editor (Beta)'!$C$82="Anvil prompt",AD219,"")))))))</f>
        <v/>
      </c>
      <c r="AJ219" s="283">
        <f>IF('Paste Editor (Beta)'!$C$90="Level-up prompt",G220,IF('Paste Editor (Beta)'!$C$90="Item prompt",E220,IF('Paste Editor (Beta)'!$C$90="Modifier prompt","'"&amp;B220,IF('Paste Editor (Beta)'!$C$90="Challenge prompt",L220,IF('Paste Editor (Beta)'!$C$90="Reroll class prompt",S219,IF('Paste Editor (Beta)'!$C$90="Swap hero prompt",S219,IF('Paste Editor (Beta)'!$C$90="Anvil prompt",AD219,"")))))))</f>
        <v>0</v>
      </c>
      <c r="AK219" s="283">
        <f>IF('Paste Editor (Beta)'!$C$90="Level-up prompt",G220,IF('Paste Editor (Beta)'!$C$90="Item prompt",E220,IF('Paste Editor (Beta)'!$C$90="Modifier prompt","'"&amp;B220,IF('Paste Editor (Beta)'!$C$90="Challenge prompt",E220,IF('Paste Editor (Beta)'!$C$90="Reroll class prompt",S219,IF('Paste Editor (Beta)'!$C$90="Swap hero prompt",S219,IF('Paste Editor (Beta)'!$C$90="Anvil prompt",AD219,"")))))))</f>
        <v>0</v>
      </c>
    </row>
    <row r="220" spans="2:37" ht="17.25">
      <c r="B220" s="284" t="s">
        <v>2038</v>
      </c>
      <c r="C220" s="284" t="s">
        <v>2038</v>
      </c>
      <c r="D220" s="284" t="s">
        <v>2038</v>
      </c>
      <c r="E220" s="280" t="s">
        <v>969</v>
      </c>
      <c r="AH220" s="280" t="str">
        <f>IF('Paste Editor (Beta)'!$C$82="Level-up prompt",G221,IF('Paste Editor (Beta)'!$C$82="Item prompt",E221,IF('Paste Editor (Beta)'!$C$82="Modifier prompt","'"&amp;B221,IF('Paste Editor (Beta)'!$C$82="Challenge prompt",L221,IF('Paste Editor (Beta)'!$C$82="Reroll class prompt",S220,IF('Paste Editor (Beta)'!$C$82="Swap hero prompt",S220,IF('Paste Editor (Beta)'!$C$82="Anvil prompt",AD220,"")))))))</f>
        <v/>
      </c>
      <c r="AI220" s="280" t="str">
        <f>IF('Paste Editor (Beta)'!$C$82="Level-up prompt",G221,IF('Paste Editor (Beta)'!$C$82="Item prompt",E221,IF('Paste Editor (Beta)'!$C$82="Modifier prompt","'"&amp;B221,IF('Paste Editor (Beta)'!$C$82="Challenge prompt",E221,IF('Paste Editor (Beta)'!$C$82="Reroll class prompt",S220,IF('Paste Editor (Beta)'!$C$82="Swap hero prompt",S220,IF('Paste Editor (Beta)'!$C$82="Anvil prompt",AD220,"")))))))</f>
        <v/>
      </c>
      <c r="AJ220" s="283">
        <f>IF('Paste Editor (Beta)'!$C$90="Level-up prompt",G221,IF('Paste Editor (Beta)'!$C$90="Item prompt",E221,IF('Paste Editor (Beta)'!$C$90="Modifier prompt","'"&amp;B221,IF('Paste Editor (Beta)'!$C$90="Challenge prompt",L221,IF('Paste Editor (Beta)'!$C$90="Reroll class prompt",S220,IF('Paste Editor (Beta)'!$C$90="Swap hero prompt",S220,IF('Paste Editor (Beta)'!$C$90="Anvil prompt",AD220,"")))))))</f>
        <v>0</v>
      </c>
      <c r="AK220" s="283">
        <f>IF('Paste Editor (Beta)'!$C$90="Level-up prompt",G221,IF('Paste Editor (Beta)'!$C$90="Item prompt",E221,IF('Paste Editor (Beta)'!$C$90="Modifier prompt","'"&amp;B221,IF('Paste Editor (Beta)'!$C$90="Challenge prompt",E221,IF('Paste Editor (Beta)'!$C$90="Reroll class prompt",S220,IF('Paste Editor (Beta)'!$C$90="Swap hero prompt",S220,IF('Paste Editor (Beta)'!$C$90="Anvil prompt",AD220,"")))))))</f>
        <v>0</v>
      </c>
    </row>
    <row r="221" spans="2:37" ht="17.25">
      <c r="B221" s="284" t="s">
        <v>2649</v>
      </c>
      <c r="C221" s="284" t="s">
        <v>2649</v>
      </c>
      <c r="D221" s="284" t="s">
        <v>2649</v>
      </c>
      <c r="E221" s="280" t="s">
        <v>1550</v>
      </c>
      <c r="AH221" s="280" t="str">
        <f>IF('Paste Editor (Beta)'!$C$82="Level-up prompt",G222,IF('Paste Editor (Beta)'!$C$82="Item prompt",E222,IF('Paste Editor (Beta)'!$C$82="Modifier prompt","'"&amp;B222,IF('Paste Editor (Beta)'!$C$82="Challenge prompt",L222,IF('Paste Editor (Beta)'!$C$82="Reroll class prompt",S221,IF('Paste Editor (Beta)'!$C$82="Swap hero prompt",S221,IF('Paste Editor (Beta)'!$C$82="Anvil prompt",AD221,"")))))))</f>
        <v/>
      </c>
      <c r="AI221" s="280" t="str">
        <f>IF('Paste Editor (Beta)'!$C$82="Level-up prompt",G222,IF('Paste Editor (Beta)'!$C$82="Item prompt",E222,IF('Paste Editor (Beta)'!$C$82="Modifier prompt","'"&amp;B222,IF('Paste Editor (Beta)'!$C$82="Challenge prompt",E222,IF('Paste Editor (Beta)'!$C$82="Reroll class prompt",S221,IF('Paste Editor (Beta)'!$C$82="Swap hero prompt",S221,IF('Paste Editor (Beta)'!$C$82="Anvil prompt",AD221,"")))))))</f>
        <v/>
      </c>
      <c r="AJ221" s="283">
        <f>IF('Paste Editor (Beta)'!$C$90="Level-up prompt",G222,IF('Paste Editor (Beta)'!$C$90="Item prompt",E222,IF('Paste Editor (Beta)'!$C$90="Modifier prompt","'"&amp;B222,IF('Paste Editor (Beta)'!$C$90="Challenge prompt",L222,IF('Paste Editor (Beta)'!$C$90="Reroll class prompt",S221,IF('Paste Editor (Beta)'!$C$90="Swap hero prompt",S221,IF('Paste Editor (Beta)'!$C$90="Anvil prompt",AD221,"")))))))</f>
        <v>0</v>
      </c>
      <c r="AK221" s="283">
        <f>IF('Paste Editor (Beta)'!$C$90="Level-up prompt",G222,IF('Paste Editor (Beta)'!$C$90="Item prompt",E222,IF('Paste Editor (Beta)'!$C$90="Modifier prompt","'"&amp;B222,IF('Paste Editor (Beta)'!$C$90="Challenge prompt",E222,IF('Paste Editor (Beta)'!$C$90="Reroll class prompt",S221,IF('Paste Editor (Beta)'!$C$90="Swap hero prompt",S221,IF('Paste Editor (Beta)'!$C$90="Anvil prompt",AD221,"")))))))</f>
        <v>0</v>
      </c>
    </row>
    <row r="222" spans="2:37" ht="17.25">
      <c r="B222" s="284" t="s">
        <v>2979</v>
      </c>
      <c r="C222" s="284" t="s">
        <v>2979</v>
      </c>
      <c r="D222" s="284" t="s">
        <v>2979</v>
      </c>
      <c r="E222" s="280" t="s">
        <v>812</v>
      </c>
      <c r="AH222" s="280" t="str">
        <f>IF('Paste Editor (Beta)'!$C$82="Level-up prompt",G223,IF('Paste Editor (Beta)'!$C$82="Item prompt",E223,IF('Paste Editor (Beta)'!$C$82="Modifier prompt","'"&amp;B223,IF('Paste Editor (Beta)'!$C$82="Challenge prompt",L223,IF('Paste Editor (Beta)'!$C$82="Reroll class prompt",S222,IF('Paste Editor (Beta)'!$C$82="Swap hero prompt",S222,IF('Paste Editor (Beta)'!$C$82="Anvil prompt",AD222,"")))))))</f>
        <v/>
      </c>
      <c r="AI222" s="280" t="str">
        <f>IF('Paste Editor (Beta)'!$C$82="Level-up prompt",G223,IF('Paste Editor (Beta)'!$C$82="Item prompt",E223,IF('Paste Editor (Beta)'!$C$82="Modifier prompt","'"&amp;B223,IF('Paste Editor (Beta)'!$C$82="Challenge prompt",E223,IF('Paste Editor (Beta)'!$C$82="Reroll class prompt",S222,IF('Paste Editor (Beta)'!$C$82="Swap hero prompt",S222,IF('Paste Editor (Beta)'!$C$82="Anvil prompt",AD222,"")))))))</f>
        <v/>
      </c>
      <c r="AJ222" s="283">
        <f>IF('Paste Editor (Beta)'!$C$90="Level-up prompt",G223,IF('Paste Editor (Beta)'!$C$90="Item prompt",E223,IF('Paste Editor (Beta)'!$C$90="Modifier prompt","'"&amp;B223,IF('Paste Editor (Beta)'!$C$90="Challenge prompt",L223,IF('Paste Editor (Beta)'!$C$90="Reroll class prompt",S222,IF('Paste Editor (Beta)'!$C$90="Swap hero prompt",S222,IF('Paste Editor (Beta)'!$C$90="Anvil prompt",AD222,"")))))))</f>
        <v>0</v>
      </c>
      <c r="AK222" s="283">
        <f>IF('Paste Editor (Beta)'!$C$90="Level-up prompt",G223,IF('Paste Editor (Beta)'!$C$90="Item prompt",E223,IF('Paste Editor (Beta)'!$C$90="Modifier prompt","'"&amp;B223,IF('Paste Editor (Beta)'!$C$90="Challenge prompt",E223,IF('Paste Editor (Beta)'!$C$90="Reroll class prompt",S222,IF('Paste Editor (Beta)'!$C$90="Swap hero prompt",S222,IF('Paste Editor (Beta)'!$C$90="Anvil prompt",AD222,"")))))))</f>
        <v>0</v>
      </c>
    </row>
    <row r="223" spans="2:37" ht="17.25">
      <c r="B223" s="284" t="s">
        <v>2955</v>
      </c>
      <c r="C223" s="284" t="s">
        <v>2955</v>
      </c>
      <c r="D223" s="284" t="s">
        <v>2955</v>
      </c>
      <c r="E223" s="280" t="s">
        <v>1183</v>
      </c>
      <c r="AH223" s="280" t="str">
        <f>IF('Paste Editor (Beta)'!$C$82="Level-up prompt",G224,IF('Paste Editor (Beta)'!$C$82="Item prompt",E224,IF('Paste Editor (Beta)'!$C$82="Modifier prompt","'"&amp;B224,IF('Paste Editor (Beta)'!$C$82="Challenge prompt",L224,IF('Paste Editor (Beta)'!$C$82="Reroll class prompt",S223,IF('Paste Editor (Beta)'!$C$82="Swap hero prompt",S223,IF('Paste Editor (Beta)'!$C$82="Anvil prompt",AD223,"")))))))</f>
        <v/>
      </c>
      <c r="AI223" s="280" t="str">
        <f>IF('Paste Editor (Beta)'!$C$82="Level-up prompt",G224,IF('Paste Editor (Beta)'!$C$82="Item prompt",E224,IF('Paste Editor (Beta)'!$C$82="Modifier prompt","'"&amp;B224,IF('Paste Editor (Beta)'!$C$82="Challenge prompt",E224,IF('Paste Editor (Beta)'!$C$82="Reroll class prompt",S223,IF('Paste Editor (Beta)'!$C$82="Swap hero prompt",S223,IF('Paste Editor (Beta)'!$C$82="Anvil prompt",AD223,"")))))))</f>
        <v/>
      </c>
      <c r="AJ223" s="283">
        <f>IF('Paste Editor (Beta)'!$C$90="Level-up prompt",G224,IF('Paste Editor (Beta)'!$C$90="Item prompt",E224,IF('Paste Editor (Beta)'!$C$90="Modifier prompt","'"&amp;B224,IF('Paste Editor (Beta)'!$C$90="Challenge prompt",L224,IF('Paste Editor (Beta)'!$C$90="Reroll class prompt",S223,IF('Paste Editor (Beta)'!$C$90="Swap hero prompt",S223,IF('Paste Editor (Beta)'!$C$90="Anvil prompt",AD223,"")))))))</f>
        <v>0</v>
      </c>
      <c r="AK223" s="283">
        <f>IF('Paste Editor (Beta)'!$C$90="Level-up prompt",G224,IF('Paste Editor (Beta)'!$C$90="Item prompt",E224,IF('Paste Editor (Beta)'!$C$90="Modifier prompt","'"&amp;B224,IF('Paste Editor (Beta)'!$C$90="Challenge prompt",E224,IF('Paste Editor (Beta)'!$C$90="Reroll class prompt",S223,IF('Paste Editor (Beta)'!$C$90="Swap hero prompt",S223,IF('Paste Editor (Beta)'!$C$90="Anvil prompt",AD223,"")))))))</f>
        <v>0</v>
      </c>
    </row>
    <row r="224" spans="2:37" ht="17.25">
      <c r="B224" s="284" t="s">
        <v>2897</v>
      </c>
      <c r="C224" s="284" t="s">
        <v>2897</v>
      </c>
      <c r="D224" s="284" t="s">
        <v>2897</v>
      </c>
      <c r="E224" s="280" t="s">
        <v>1573</v>
      </c>
      <c r="AH224" s="280" t="str">
        <f>IF('Paste Editor (Beta)'!$C$82="Level-up prompt",G225,IF('Paste Editor (Beta)'!$C$82="Item prompt",E225,IF('Paste Editor (Beta)'!$C$82="Modifier prompt","'"&amp;B225,IF('Paste Editor (Beta)'!$C$82="Challenge prompt",L225,IF('Paste Editor (Beta)'!$C$82="Reroll class prompt",S224,IF('Paste Editor (Beta)'!$C$82="Swap hero prompt",S224,IF('Paste Editor (Beta)'!$C$82="Anvil prompt",AD224,"")))))))</f>
        <v/>
      </c>
      <c r="AI224" s="280" t="str">
        <f>IF('Paste Editor (Beta)'!$C$82="Level-up prompt",G225,IF('Paste Editor (Beta)'!$C$82="Item prompt",E225,IF('Paste Editor (Beta)'!$C$82="Modifier prompt","'"&amp;B225,IF('Paste Editor (Beta)'!$C$82="Challenge prompt",E225,IF('Paste Editor (Beta)'!$C$82="Reroll class prompt",S224,IF('Paste Editor (Beta)'!$C$82="Swap hero prompt",S224,IF('Paste Editor (Beta)'!$C$82="Anvil prompt",AD224,"")))))))</f>
        <v/>
      </c>
      <c r="AJ224" s="283">
        <f>IF('Paste Editor (Beta)'!$C$90="Level-up prompt",G225,IF('Paste Editor (Beta)'!$C$90="Item prompt",E225,IF('Paste Editor (Beta)'!$C$90="Modifier prompt","'"&amp;B225,IF('Paste Editor (Beta)'!$C$90="Challenge prompt",L225,IF('Paste Editor (Beta)'!$C$90="Reroll class prompt",S224,IF('Paste Editor (Beta)'!$C$90="Swap hero prompt",S224,IF('Paste Editor (Beta)'!$C$90="Anvil prompt",AD224,"")))))))</f>
        <v>0</v>
      </c>
      <c r="AK224" s="283">
        <f>IF('Paste Editor (Beta)'!$C$90="Level-up prompt",G225,IF('Paste Editor (Beta)'!$C$90="Item prompt",E225,IF('Paste Editor (Beta)'!$C$90="Modifier prompt","'"&amp;B225,IF('Paste Editor (Beta)'!$C$90="Challenge prompt",E225,IF('Paste Editor (Beta)'!$C$90="Reroll class prompt",S224,IF('Paste Editor (Beta)'!$C$90="Swap hero prompt",S224,IF('Paste Editor (Beta)'!$C$90="Anvil prompt",AD224,"")))))))</f>
        <v>0</v>
      </c>
    </row>
    <row r="225" spans="2:37" ht="17.25">
      <c r="B225" s="284" t="s">
        <v>2981</v>
      </c>
      <c r="C225" s="284" t="s">
        <v>2981</v>
      </c>
      <c r="D225" s="284" t="s">
        <v>2981</v>
      </c>
      <c r="E225" s="280" t="s">
        <v>1416</v>
      </c>
      <c r="AH225" s="280" t="str">
        <f>IF('Paste Editor (Beta)'!$C$82="Level-up prompt",G226,IF('Paste Editor (Beta)'!$C$82="Item prompt",E226,IF('Paste Editor (Beta)'!$C$82="Modifier prompt","'"&amp;B226,IF('Paste Editor (Beta)'!$C$82="Challenge prompt",L226,IF('Paste Editor (Beta)'!$C$82="Reroll class prompt",S225,IF('Paste Editor (Beta)'!$C$82="Swap hero prompt",S225,IF('Paste Editor (Beta)'!$C$82="Anvil prompt",AD225,"")))))))</f>
        <v/>
      </c>
      <c r="AI225" s="280" t="str">
        <f>IF('Paste Editor (Beta)'!$C$82="Level-up prompt",G226,IF('Paste Editor (Beta)'!$C$82="Item prompt",E226,IF('Paste Editor (Beta)'!$C$82="Modifier prompt","'"&amp;B226,IF('Paste Editor (Beta)'!$C$82="Challenge prompt",E226,IF('Paste Editor (Beta)'!$C$82="Reroll class prompt",S225,IF('Paste Editor (Beta)'!$C$82="Swap hero prompt",S225,IF('Paste Editor (Beta)'!$C$82="Anvil prompt",AD225,"")))))))</f>
        <v/>
      </c>
      <c r="AJ225" s="283">
        <f>IF('Paste Editor (Beta)'!$C$90="Level-up prompt",G226,IF('Paste Editor (Beta)'!$C$90="Item prompt",E226,IF('Paste Editor (Beta)'!$C$90="Modifier prompt","'"&amp;B226,IF('Paste Editor (Beta)'!$C$90="Challenge prompt",L226,IF('Paste Editor (Beta)'!$C$90="Reroll class prompt",S225,IF('Paste Editor (Beta)'!$C$90="Swap hero prompt",S225,IF('Paste Editor (Beta)'!$C$90="Anvil prompt",AD225,"")))))))</f>
        <v>0</v>
      </c>
      <c r="AK225" s="283">
        <f>IF('Paste Editor (Beta)'!$C$90="Level-up prompt",G226,IF('Paste Editor (Beta)'!$C$90="Item prompt",E226,IF('Paste Editor (Beta)'!$C$90="Modifier prompt","'"&amp;B226,IF('Paste Editor (Beta)'!$C$90="Challenge prompt",E226,IF('Paste Editor (Beta)'!$C$90="Reroll class prompt",S225,IF('Paste Editor (Beta)'!$C$90="Swap hero prompt",S225,IF('Paste Editor (Beta)'!$C$90="Anvil prompt",AD225,"")))))))</f>
        <v>0</v>
      </c>
    </row>
    <row r="226" spans="2:37" ht="17.25">
      <c r="B226" s="284" t="s">
        <v>3027</v>
      </c>
      <c r="C226" s="284" t="s">
        <v>3027</v>
      </c>
      <c r="D226" s="284" t="s">
        <v>3027</v>
      </c>
      <c r="E226" s="280" t="s">
        <v>1111</v>
      </c>
      <c r="AH226" s="280" t="str">
        <f>IF('Paste Editor (Beta)'!$C$82="Level-up prompt",G227,IF('Paste Editor (Beta)'!$C$82="Item prompt",E227,IF('Paste Editor (Beta)'!$C$82="Modifier prompt","'"&amp;B227,IF('Paste Editor (Beta)'!$C$82="Challenge prompt",L227,IF('Paste Editor (Beta)'!$C$82="Reroll class prompt",S226,IF('Paste Editor (Beta)'!$C$82="Swap hero prompt",S226,IF('Paste Editor (Beta)'!$C$82="Anvil prompt",AD226,"")))))))</f>
        <v/>
      </c>
      <c r="AI226" s="280" t="str">
        <f>IF('Paste Editor (Beta)'!$C$82="Level-up prompt",G227,IF('Paste Editor (Beta)'!$C$82="Item prompt",E227,IF('Paste Editor (Beta)'!$C$82="Modifier prompt","'"&amp;B227,IF('Paste Editor (Beta)'!$C$82="Challenge prompt",E227,IF('Paste Editor (Beta)'!$C$82="Reroll class prompt",S226,IF('Paste Editor (Beta)'!$C$82="Swap hero prompt",S226,IF('Paste Editor (Beta)'!$C$82="Anvil prompt",AD226,"")))))))</f>
        <v/>
      </c>
      <c r="AJ226" s="283">
        <f>IF('Paste Editor (Beta)'!$C$90="Level-up prompt",G227,IF('Paste Editor (Beta)'!$C$90="Item prompt",E227,IF('Paste Editor (Beta)'!$C$90="Modifier prompt","'"&amp;B227,IF('Paste Editor (Beta)'!$C$90="Challenge prompt",L227,IF('Paste Editor (Beta)'!$C$90="Reroll class prompt",S226,IF('Paste Editor (Beta)'!$C$90="Swap hero prompt",S226,IF('Paste Editor (Beta)'!$C$90="Anvil prompt",AD226,"")))))))</f>
        <v>0</v>
      </c>
      <c r="AK226" s="283">
        <f>IF('Paste Editor (Beta)'!$C$90="Level-up prompt",G227,IF('Paste Editor (Beta)'!$C$90="Item prompt",E227,IF('Paste Editor (Beta)'!$C$90="Modifier prompt","'"&amp;B227,IF('Paste Editor (Beta)'!$C$90="Challenge prompt",E227,IF('Paste Editor (Beta)'!$C$90="Reroll class prompt",S226,IF('Paste Editor (Beta)'!$C$90="Swap hero prompt",S226,IF('Paste Editor (Beta)'!$C$90="Anvil prompt",AD226,"")))))))</f>
        <v>0</v>
      </c>
    </row>
    <row r="227" spans="2:37" ht="17.25">
      <c r="B227" s="284" t="s">
        <v>2502</v>
      </c>
      <c r="C227" s="284" t="s">
        <v>2502</v>
      </c>
      <c r="D227" s="284" t="s">
        <v>2502</v>
      </c>
      <c r="E227" s="280" t="s">
        <v>1347</v>
      </c>
      <c r="AH227" s="280" t="str">
        <f>IF('Paste Editor (Beta)'!$C$82="Level-up prompt",G228,IF('Paste Editor (Beta)'!$C$82="Item prompt",E228,IF('Paste Editor (Beta)'!$C$82="Modifier prompt","'"&amp;B228,IF('Paste Editor (Beta)'!$C$82="Challenge prompt",L228,IF('Paste Editor (Beta)'!$C$82="Reroll class prompt",S227,IF('Paste Editor (Beta)'!$C$82="Swap hero prompt",S227,IF('Paste Editor (Beta)'!$C$82="Anvil prompt",AD227,"")))))))</f>
        <v/>
      </c>
      <c r="AI227" s="280" t="str">
        <f>IF('Paste Editor (Beta)'!$C$82="Level-up prompt",G228,IF('Paste Editor (Beta)'!$C$82="Item prompt",E228,IF('Paste Editor (Beta)'!$C$82="Modifier prompt","'"&amp;B228,IF('Paste Editor (Beta)'!$C$82="Challenge prompt",E228,IF('Paste Editor (Beta)'!$C$82="Reroll class prompt",S227,IF('Paste Editor (Beta)'!$C$82="Swap hero prompt",S227,IF('Paste Editor (Beta)'!$C$82="Anvil prompt",AD227,"")))))))</f>
        <v/>
      </c>
      <c r="AJ227" s="283">
        <f>IF('Paste Editor (Beta)'!$C$90="Level-up prompt",G228,IF('Paste Editor (Beta)'!$C$90="Item prompt",E228,IF('Paste Editor (Beta)'!$C$90="Modifier prompt","'"&amp;B228,IF('Paste Editor (Beta)'!$C$90="Challenge prompt",L228,IF('Paste Editor (Beta)'!$C$90="Reroll class prompt",S227,IF('Paste Editor (Beta)'!$C$90="Swap hero prompt",S227,IF('Paste Editor (Beta)'!$C$90="Anvil prompt",AD227,"")))))))</f>
        <v>0</v>
      </c>
      <c r="AK227" s="283">
        <f>IF('Paste Editor (Beta)'!$C$90="Level-up prompt",G228,IF('Paste Editor (Beta)'!$C$90="Item prompt",E228,IF('Paste Editor (Beta)'!$C$90="Modifier prompt","'"&amp;B228,IF('Paste Editor (Beta)'!$C$90="Challenge prompt",E228,IF('Paste Editor (Beta)'!$C$90="Reroll class prompt",S227,IF('Paste Editor (Beta)'!$C$90="Swap hero prompt",S227,IF('Paste Editor (Beta)'!$C$90="Anvil prompt",AD227,"")))))))</f>
        <v>0</v>
      </c>
    </row>
    <row r="228" spans="2:37" ht="17.25">
      <c r="B228" s="284" t="s">
        <v>2720</v>
      </c>
      <c r="C228" s="284" t="s">
        <v>2720</v>
      </c>
      <c r="D228" s="284" t="s">
        <v>2720</v>
      </c>
      <c r="E228" s="280" t="s">
        <v>1418</v>
      </c>
      <c r="AH228" s="280" t="str">
        <f>IF('Paste Editor (Beta)'!$C$82="Level-up prompt",G229,IF('Paste Editor (Beta)'!$C$82="Item prompt",E229,IF('Paste Editor (Beta)'!$C$82="Modifier prompt","'"&amp;B229,IF('Paste Editor (Beta)'!$C$82="Challenge prompt",L229,IF('Paste Editor (Beta)'!$C$82="Reroll class prompt",S228,IF('Paste Editor (Beta)'!$C$82="Swap hero prompt",S228,IF('Paste Editor (Beta)'!$C$82="Anvil prompt",AD228,"")))))))</f>
        <v/>
      </c>
      <c r="AI228" s="280" t="str">
        <f>IF('Paste Editor (Beta)'!$C$82="Level-up prompt",G229,IF('Paste Editor (Beta)'!$C$82="Item prompt",E229,IF('Paste Editor (Beta)'!$C$82="Modifier prompt","'"&amp;B229,IF('Paste Editor (Beta)'!$C$82="Challenge prompt",E229,IF('Paste Editor (Beta)'!$C$82="Reroll class prompt",S228,IF('Paste Editor (Beta)'!$C$82="Swap hero prompt",S228,IF('Paste Editor (Beta)'!$C$82="Anvil prompt",AD228,"")))))))</f>
        <v/>
      </c>
      <c r="AJ228" s="283">
        <f>IF('Paste Editor (Beta)'!$C$90="Level-up prompt",G229,IF('Paste Editor (Beta)'!$C$90="Item prompt",E229,IF('Paste Editor (Beta)'!$C$90="Modifier prompt","'"&amp;B229,IF('Paste Editor (Beta)'!$C$90="Challenge prompt",L229,IF('Paste Editor (Beta)'!$C$90="Reroll class prompt",S228,IF('Paste Editor (Beta)'!$C$90="Swap hero prompt",S228,IF('Paste Editor (Beta)'!$C$90="Anvil prompt",AD228,"")))))))</f>
        <v>0</v>
      </c>
      <c r="AK228" s="283">
        <f>IF('Paste Editor (Beta)'!$C$90="Level-up prompt",G229,IF('Paste Editor (Beta)'!$C$90="Item prompt",E229,IF('Paste Editor (Beta)'!$C$90="Modifier prompt","'"&amp;B229,IF('Paste Editor (Beta)'!$C$90="Challenge prompt",E229,IF('Paste Editor (Beta)'!$C$90="Reroll class prompt",S228,IF('Paste Editor (Beta)'!$C$90="Swap hero prompt",S228,IF('Paste Editor (Beta)'!$C$90="Anvil prompt",AD228,"")))))))</f>
        <v>0</v>
      </c>
    </row>
    <row r="229" spans="2:37" ht="17.25">
      <c r="B229" s="284" t="s">
        <v>2792</v>
      </c>
      <c r="C229" s="284" t="s">
        <v>2792</v>
      </c>
      <c r="D229" s="284" t="s">
        <v>2792</v>
      </c>
      <c r="E229" s="280" t="s">
        <v>1265</v>
      </c>
      <c r="AH229" s="280" t="str">
        <f>IF('Paste Editor (Beta)'!$C$82="Level-up prompt",G230,IF('Paste Editor (Beta)'!$C$82="Item prompt",E230,IF('Paste Editor (Beta)'!$C$82="Modifier prompt","'"&amp;B230,IF('Paste Editor (Beta)'!$C$82="Challenge prompt",L230,IF('Paste Editor (Beta)'!$C$82="Reroll class prompt",S229,IF('Paste Editor (Beta)'!$C$82="Swap hero prompt",S229,IF('Paste Editor (Beta)'!$C$82="Anvil prompt",AD229,"")))))))</f>
        <v/>
      </c>
      <c r="AI229" s="280" t="str">
        <f>IF('Paste Editor (Beta)'!$C$82="Level-up prompt",G230,IF('Paste Editor (Beta)'!$C$82="Item prompt",E230,IF('Paste Editor (Beta)'!$C$82="Modifier prompt","'"&amp;B230,IF('Paste Editor (Beta)'!$C$82="Challenge prompt",E230,IF('Paste Editor (Beta)'!$C$82="Reroll class prompt",S229,IF('Paste Editor (Beta)'!$C$82="Swap hero prompt",S229,IF('Paste Editor (Beta)'!$C$82="Anvil prompt",AD229,"")))))))</f>
        <v/>
      </c>
      <c r="AJ229" s="283">
        <f>IF('Paste Editor (Beta)'!$C$90="Level-up prompt",G230,IF('Paste Editor (Beta)'!$C$90="Item prompt",E230,IF('Paste Editor (Beta)'!$C$90="Modifier prompt","'"&amp;B230,IF('Paste Editor (Beta)'!$C$90="Challenge prompt",L230,IF('Paste Editor (Beta)'!$C$90="Reroll class prompt",S229,IF('Paste Editor (Beta)'!$C$90="Swap hero prompt",S229,IF('Paste Editor (Beta)'!$C$90="Anvil prompt",AD229,"")))))))</f>
        <v>0</v>
      </c>
      <c r="AK229" s="283">
        <f>IF('Paste Editor (Beta)'!$C$90="Level-up prompt",G230,IF('Paste Editor (Beta)'!$C$90="Item prompt",E230,IF('Paste Editor (Beta)'!$C$90="Modifier prompt","'"&amp;B230,IF('Paste Editor (Beta)'!$C$90="Challenge prompt",E230,IF('Paste Editor (Beta)'!$C$90="Reroll class prompt",S229,IF('Paste Editor (Beta)'!$C$90="Swap hero prompt",S229,IF('Paste Editor (Beta)'!$C$90="Anvil prompt",AD229,"")))))))</f>
        <v>0</v>
      </c>
    </row>
    <row r="230" spans="2:37" ht="17.25">
      <c r="B230" s="284" t="s">
        <v>2939</v>
      </c>
      <c r="C230" s="284" t="s">
        <v>2939</v>
      </c>
      <c r="D230" s="284" t="s">
        <v>2939</v>
      </c>
      <c r="E230" s="280" t="s">
        <v>1350</v>
      </c>
      <c r="AH230" s="280" t="str">
        <f>IF('Paste Editor (Beta)'!$C$82="Level-up prompt",G231,IF('Paste Editor (Beta)'!$C$82="Item prompt",E231,IF('Paste Editor (Beta)'!$C$82="Modifier prompt","'"&amp;B231,IF('Paste Editor (Beta)'!$C$82="Challenge prompt",L231,IF('Paste Editor (Beta)'!$C$82="Reroll class prompt",S230,IF('Paste Editor (Beta)'!$C$82="Swap hero prompt",S230,IF('Paste Editor (Beta)'!$C$82="Anvil prompt",AD230,"")))))))</f>
        <v/>
      </c>
      <c r="AI230" s="280" t="str">
        <f>IF('Paste Editor (Beta)'!$C$82="Level-up prompt",G231,IF('Paste Editor (Beta)'!$C$82="Item prompt",E231,IF('Paste Editor (Beta)'!$C$82="Modifier prompt","'"&amp;B231,IF('Paste Editor (Beta)'!$C$82="Challenge prompt",E231,IF('Paste Editor (Beta)'!$C$82="Reroll class prompt",S230,IF('Paste Editor (Beta)'!$C$82="Swap hero prompt",S230,IF('Paste Editor (Beta)'!$C$82="Anvil prompt",AD230,"")))))))</f>
        <v/>
      </c>
      <c r="AJ230" s="283">
        <f>IF('Paste Editor (Beta)'!$C$90="Level-up prompt",G231,IF('Paste Editor (Beta)'!$C$90="Item prompt",E231,IF('Paste Editor (Beta)'!$C$90="Modifier prompt","'"&amp;B231,IF('Paste Editor (Beta)'!$C$90="Challenge prompt",L231,IF('Paste Editor (Beta)'!$C$90="Reroll class prompt",S230,IF('Paste Editor (Beta)'!$C$90="Swap hero prompt",S230,IF('Paste Editor (Beta)'!$C$90="Anvil prompt",AD230,"")))))))</f>
        <v>0</v>
      </c>
      <c r="AK230" s="283">
        <f>IF('Paste Editor (Beta)'!$C$90="Level-up prompt",G231,IF('Paste Editor (Beta)'!$C$90="Item prompt",E231,IF('Paste Editor (Beta)'!$C$90="Modifier prompt","'"&amp;B231,IF('Paste Editor (Beta)'!$C$90="Challenge prompt",E231,IF('Paste Editor (Beta)'!$C$90="Reroll class prompt",S230,IF('Paste Editor (Beta)'!$C$90="Swap hero prompt",S230,IF('Paste Editor (Beta)'!$C$90="Anvil prompt",AD230,"")))))))</f>
        <v>0</v>
      </c>
    </row>
    <row r="231" spans="2:37" ht="17.25">
      <c r="B231" s="284" t="s">
        <v>3016</v>
      </c>
      <c r="C231" s="284" t="s">
        <v>3016</v>
      </c>
      <c r="D231" s="284" t="s">
        <v>3016</v>
      </c>
      <c r="E231" s="280" t="s">
        <v>1539</v>
      </c>
      <c r="AH231" s="280" t="str">
        <f>IF('Paste Editor (Beta)'!$C$82="Level-up prompt",G232,IF('Paste Editor (Beta)'!$C$82="Item prompt",E232,IF('Paste Editor (Beta)'!$C$82="Modifier prompt","'"&amp;B232,IF('Paste Editor (Beta)'!$C$82="Challenge prompt",L232,IF('Paste Editor (Beta)'!$C$82="Reroll class prompt",S231,IF('Paste Editor (Beta)'!$C$82="Swap hero prompt",S231,IF('Paste Editor (Beta)'!$C$82="Anvil prompt",AD231,"")))))))</f>
        <v/>
      </c>
      <c r="AI231" s="280" t="str">
        <f>IF('Paste Editor (Beta)'!$C$82="Level-up prompt",G232,IF('Paste Editor (Beta)'!$C$82="Item prompt",E232,IF('Paste Editor (Beta)'!$C$82="Modifier prompt","'"&amp;B232,IF('Paste Editor (Beta)'!$C$82="Challenge prompt",E232,IF('Paste Editor (Beta)'!$C$82="Reroll class prompt",S231,IF('Paste Editor (Beta)'!$C$82="Swap hero prompt",S231,IF('Paste Editor (Beta)'!$C$82="Anvil prompt",AD231,"")))))))</f>
        <v/>
      </c>
      <c r="AJ231" s="283">
        <f>IF('Paste Editor (Beta)'!$C$90="Level-up prompt",G232,IF('Paste Editor (Beta)'!$C$90="Item prompt",E232,IF('Paste Editor (Beta)'!$C$90="Modifier prompt","'"&amp;B232,IF('Paste Editor (Beta)'!$C$90="Challenge prompt",L232,IF('Paste Editor (Beta)'!$C$90="Reroll class prompt",S231,IF('Paste Editor (Beta)'!$C$90="Swap hero prompt",S231,IF('Paste Editor (Beta)'!$C$90="Anvil prompt",AD231,"")))))))</f>
        <v>0</v>
      </c>
      <c r="AK231" s="283">
        <f>IF('Paste Editor (Beta)'!$C$90="Level-up prompt",G232,IF('Paste Editor (Beta)'!$C$90="Item prompt",E232,IF('Paste Editor (Beta)'!$C$90="Modifier prompt","'"&amp;B232,IF('Paste Editor (Beta)'!$C$90="Challenge prompt",E232,IF('Paste Editor (Beta)'!$C$90="Reroll class prompt",S231,IF('Paste Editor (Beta)'!$C$90="Swap hero prompt",S231,IF('Paste Editor (Beta)'!$C$90="Anvil prompt",AD231,"")))))))</f>
        <v>0</v>
      </c>
    </row>
    <row r="232" spans="2:37" ht="17.25">
      <c r="B232" s="284" t="s">
        <v>2259</v>
      </c>
      <c r="C232" s="284" t="s">
        <v>2259</v>
      </c>
      <c r="D232" s="284" t="s">
        <v>2259</v>
      </c>
      <c r="E232" s="280" t="s">
        <v>887</v>
      </c>
      <c r="AH232" s="280" t="str">
        <f>IF('Paste Editor (Beta)'!$C$82="Level-up prompt",G233,IF('Paste Editor (Beta)'!$C$82="Item prompt",E233,IF('Paste Editor (Beta)'!$C$82="Modifier prompt","'"&amp;B233,IF('Paste Editor (Beta)'!$C$82="Challenge prompt",L233,IF('Paste Editor (Beta)'!$C$82="Reroll class prompt",S232,IF('Paste Editor (Beta)'!$C$82="Swap hero prompt",S232,IF('Paste Editor (Beta)'!$C$82="Anvil prompt",AD232,"")))))))</f>
        <v/>
      </c>
      <c r="AI232" s="280" t="str">
        <f>IF('Paste Editor (Beta)'!$C$82="Level-up prompt",G233,IF('Paste Editor (Beta)'!$C$82="Item prompt",E233,IF('Paste Editor (Beta)'!$C$82="Modifier prompt","'"&amp;B233,IF('Paste Editor (Beta)'!$C$82="Challenge prompt",E233,IF('Paste Editor (Beta)'!$C$82="Reroll class prompt",S232,IF('Paste Editor (Beta)'!$C$82="Swap hero prompt",S232,IF('Paste Editor (Beta)'!$C$82="Anvil prompt",AD232,"")))))))</f>
        <v/>
      </c>
      <c r="AJ232" s="283">
        <f>IF('Paste Editor (Beta)'!$C$90="Level-up prompt",G233,IF('Paste Editor (Beta)'!$C$90="Item prompt",E233,IF('Paste Editor (Beta)'!$C$90="Modifier prompt","'"&amp;B233,IF('Paste Editor (Beta)'!$C$90="Challenge prompt",L233,IF('Paste Editor (Beta)'!$C$90="Reroll class prompt",S232,IF('Paste Editor (Beta)'!$C$90="Swap hero prompt",S232,IF('Paste Editor (Beta)'!$C$90="Anvil prompt",AD232,"")))))))</f>
        <v>0</v>
      </c>
      <c r="AK232" s="283">
        <f>IF('Paste Editor (Beta)'!$C$90="Level-up prompt",G233,IF('Paste Editor (Beta)'!$C$90="Item prompt",E233,IF('Paste Editor (Beta)'!$C$90="Modifier prompt","'"&amp;B233,IF('Paste Editor (Beta)'!$C$90="Challenge prompt",E233,IF('Paste Editor (Beta)'!$C$90="Reroll class prompt",S232,IF('Paste Editor (Beta)'!$C$90="Swap hero prompt",S232,IF('Paste Editor (Beta)'!$C$90="Anvil prompt",AD232,"")))))))</f>
        <v>0</v>
      </c>
    </row>
    <row r="233" spans="2:37" ht="17.25">
      <c r="B233" s="284" t="s">
        <v>2929</v>
      </c>
      <c r="C233" s="284" t="s">
        <v>2929</v>
      </c>
      <c r="D233" s="284" t="s">
        <v>2929</v>
      </c>
      <c r="E233" s="280" t="s">
        <v>1044</v>
      </c>
      <c r="AH233" s="280" t="str">
        <f>IF('Paste Editor (Beta)'!$C$82="Level-up prompt",G234,IF('Paste Editor (Beta)'!$C$82="Item prompt",E234,IF('Paste Editor (Beta)'!$C$82="Modifier prompt","'"&amp;B234,IF('Paste Editor (Beta)'!$C$82="Challenge prompt",L234,IF('Paste Editor (Beta)'!$C$82="Reroll class prompt",S233,IF('Paste Editor (Beta)'!$C$82="Swap hero prompt",S233,IF('Paste Editor (Beta)'!$C$82="Anvil prompt",AD233,"")))))))</f>
        <v/>
      </c>
      <c r="AI233" s="280" t="str">
        <f>IF('Paste Editor (Beta)'!$C$82="Level-up prompt",G234,IF('Paste Editor (Beta)'!$C$82="Item prompt",E234,IF('Paste Editor (Beta)'!$C$82="Modifier prompt","'"&amp;B234,IF('Paste Editor (Beta)'!$C$82="Challenge prompt",E234,IF('Paste Editor (Beta)'!$C$82="Reroll class prompt",S233,IF('Paste Editor (Beta)'!$C$82="Swap hero prompt",S233,IF('Paste Editor (Beta)'!$C$82="Anvil prompt",AD233,"")))))))</f>
        <v/>
      </c>
      <c r="AJ233" s="283">
        <f>IF('Paste Editor (Beta)'!$C$90="Level-up prompt",G234,IF('Paste Editor (Beta)'!$C$90="Item prompt",E234,IF('Paste Editor (Beta)'!$C$90="Modifier prompt","'"&amp;B234,IF('Paste Editor (Beta)'!$C$90="Challenge prompt",L234,IF('Paste Editor (Beta)'!$C$90="Reroll class prompt",S233,IF('Paste Editor (Beta)'!$C$90="Swap hero prompt",S233,IF('Paste Editor (Beta)'!$C$90="Anvil prompt",AD233,"")))))))</f>
        <v>0</v>
      </c>
      <c r="AK233" s="283">
        <f>IF('Paste Editor (Beta)'!$C$90="Level-up prompt",G234,IF('Paste Editor (Beta)'!$C$90="Item prompt",E234,IF('Paste Editor (Beta)'!$C$90="Modifier prompt","'"&amp;B234,IF('Paste Editor (Beta)'!$C$90="Challenge prompt",E234,IF('Paste Editor (Beta)'!$C$90="Reroll class prompt",S233,IF('Paste Editor (Beta)'!$C$90="Swap hero prompt",S233,IF('Paste Editor (Beta)'!$C$90="Anvil prompt",AD233,"")))))))</f>
        <v>0</v>
      </c>
    </row>
    <row r="234" spans="2:37" ht="17.25">
      <c r="B234" s="284" t="s">
        <v>236</v>
      </c>
      <c r="C234" s="284" t="s">
        <v>236</v>
      </c>
      <c r="D234" s="284" t="s">
        <v>236</v>
      </c>
      <c r="E234" s="280" t="s">
        <v>1185</v>
      </c>
      <c r="AH234" s="280" t="str">
        <f>IF('Paste Editor (Beta)'!$C$82="Level-up prompt",G235,IF('Paste Editor (Beta)'!$C$82="Item prompt",E235,IF('Paste Editor (Beta)'!$C$82="Modifier prompt","'"&amp;B235,IF('Paste Editor (Beta)'!$C$82="Challenge prompt",L235,IF('Paste Editor (Beta)'!$C$82="Reroll class prompt",S234,IF('Paste Editor (Beta)'!$C$82="Swap hero prompt",S234,IF('Paste Editor (Beta)'!$C$82="Anvil prompt",AD234,"")))))))</f>
        <v/>
      </c>
      <c r="AI234" s="280" t="str">
        <f>IF('Paste Editor (Beta)'!$C$82="Level-up prompt",G235,IF('Paste Editor (Beta)'!$C$82="Item prompt",E235,IF('Paste Editor (Beta)'!$C$82="Modifier prompt","'"&amp;B235,IF('Paste Editor (Beta)'!$C$82="Challenge prompt",E235,IF('Paste Editor (Beta)'!$C$82="Reroll class prompt",S234,IF('Paste Editor (Beta)'!$C$82="Swap hero prompt",S234,IF('Paste Editor (Beta)'!$C$82="Anvil prompt",AD234,"")))))))</f>
        <v/>
      </c>
      <c r="AJ234" s="283">
        <f>IF('Paste Editor (Beta)'!$C$90="Level-up prompt",G235,IF('Paste Editor (Beta)'!$C$90="Item prompt",E235,IF('Paste Editor (Beta)'!$C$90="Modifier prompt","'"&amp;B235,IF('Paste Editor (Beta)'!$C$90="Challenge prompt",L235,IF('Paste Editor (Beta)'!$C$90="Reroll class prompt",S234,IF('Paste Editor (Beta)'!$C$90="Swap hero prompt",S234,IF('Paste Editor (Beta)'!$C$90="Anvil prompt",AD234,"")))))))</f>
        <v>0</v>
      </c>
      <c r="AK234" s="283">
        <f>IF('Paste Editor (Beta)'!$C$90="Level-up prompt",G235,IF('Paste Editor (Beta)'!$C$90="Item prompt",E235,IF('Paste Editor (Beta)'!$C$90="Modifier prompt","'"&amp;B235,IF('Paste Editor (Beta)'!$C$90="Challenge prompt",E235,IF('Paste Editor (Beta)'!$C$90="Reroll class prompt",S234,IF('Paste Editor (Beta)'!$C$90="Swap hero prompt",S234,IF('Paste Editor (Beta)'!$C$90="Anvil prompt",AD234,"")))))))</f>
        <v>0</v>
      </c>
    </row>
    <row r="235" spans="2:37" ht="17.25">
      <c r="B235" s="284" t="s">
        <v>1965</v>
      </c>
      <c r="C235" s="284" t="s">
        <v>1965</v>
      </c>
      <c r="D235" s="284" t="s">
        <v>1965</v>
      </c>
      <c r="E235" s="280" t="s">
        <v>1475</v>
      </c>
      <c r="AH235" s="280" t="str">
        <f>IF('Paste Editor (Beta)'!$C$82="Level-up prompt",G236,IF('Paste Editor (Beta)'!$C$82="Item prompt",E236,IF('Paste Editor (Beta)'!$C$82="Modifier prompt","'"&amp;B236,IF('Paste Editor (Beta)'!$C$82="Challenge prompt",L236,IF('Paste Editor (Beta)'!$C$82="Reroll class prompt",S235,IF('Paste Editor (Beta)'!$C$82="Swap hero prompt",S235,IF('Paste Editor (Beta)'!$C$82="Anvil prompt",AD235,"")))))))</f>
        <v/>
      </c>
      <c r="AI235" s="280" t="str">
        <f>IF('Paste Editor (Beta)'!$C$82="Level-up prompt",G236,IF('Paste Editor (Beta)'!$C$82="Item prompt",E236,IF('Paste Editor (Beta)'!$C$82="Modifier prompt","'"&amp;B236,IF('Paste Editor (Beta)'!$C$82="Challenge prompt",E236,IF('Paste Editor (Beta)'!$C$82="Reroll class prompt",S235,IF('Paste Editor (Beta)'!$C$82="Swap hero prompt",S235,IF('Paste Editor (Beta)'!$C$82="Anvil prompt",AD235,"")))))))</f>
        <v/>
      </c>
      <c r="AJ235" s="283">
        <f>IF('Paste Editor (Beta)'!$C$90="Level-up prompt",G236,IF('Paste Editor (Beta)'!$C$90="Item prompt",E236,IF('Paste Editor (Beta)'!$C$90="Modifier prompt","'"&amp;B236,IF('Paste Editor (Beta)'!$C$90="Challenge prompt",L236,IF('Paste Editor (Beta)'!$C$90="Reroll class prompt",S235,IF('Paste Editor (Beta)'!$C$90="Swap hero prompt",S235,IF('Paste Editor (Beta)'!$C$90="Anvil prompt",AD235,"")))))))</f>
        <v>0</v>
      </c>
      <c r="AK235" s="283">
        <f>IF('Paste Editor (Beta)'!$C$90="Level-up prompt",G236,IF('Paste Editor (Beta)'!$C$90="Item prompt",E236,IF('Paste Editor (Beta)'!$C$90="Modifier prompt","'"&amp;B236,IF('Paste Editor (Beta)'!$C$90="Challenge prompt",E236,IF('Paste Editor (Beta)'!$C$90="Reroll class prompt",S235,IF('Paste Editor (Beta)'!$C$90="Swap hero prompt",S235,IF('Paste Editor (Beta)'!$C$90="Anvil prompt",AD235,"")))))))</f>
        <v>0</v>
      </c>
    </row>
    <row r="236" spans="2:37" ht="17.25">
      <c r="B236" s="284" t="s">
        <v>2110</v>
      </c>
      <c r="C236" s="284" t="s">
        <v>2110</v>
      </c>
      <c r="D236" s="284" t="s">
        <v>2110</v>
      </c>
      <c r="E236" s="280" t="s">
        <v>1113</v>
      </c>
      <c r="AH236" s="280" t="str">
        <f>IF('Paste Editor (Beta)'!$C$82="Level-up prompt",G237,IF('Paste Editor (Beta)'!$C$82="Item prompt",E237,IF('Paste Editor (Beta)'!$C$82="Modifier prompt","'"&amp;B237,IF('Paste Editor (Beta)'!$C$82="Challenge prompt",L237,IF('Paste Editor (Beta)'!$C$82="Reroll class prompt",S236,IF('Paste Editor (Beta)'!$C$82="Swap hero prompt",S236,IF('Paste Editor (Beta)'!$C$82="Anvil prompt",AD236,"")))))))</f>
        <v/>
      </c>
      <c r="AI236" s="280" t="str">
        <f>IF('Paste Editor (Beta)'!$C$82="Level-up prompt",G237,IF('Paste Editor (Beta)'!$C$82="Item prompt",E237,IF('Paste Editor (Beta)'!$C$82="Modifier prompt","'"&amp;B237,IF('Paste Editor (Beta)'!$C$82="Challenge prompt",E237,IF('Paste Editor (Beta)'!$C$82="Reroll class prompt",S236,IF('Paste Editor (Beta)'!$C$82="Swap hero prompt",S236,IF('Paste Editor (Beta)'!$C$82="Anvil prompt",AD236,"")))))))</f>
        <v/>
      </c>
      <c r="AJ236" s="283">
        <f>IF('Paste Editor (Beta)'!$C$90="Level-up prompt",G237,IF('Paste Editor (Beta)'!$C$90="Item prompt",E237,IF('Paste Editor (Beta)'!$C$90="Modifier prompt","'"&amp;B237,IF('Paste Editor (Beta)'!$C$90="Challenge prompt",L237,IF('Paste Editor (Beta)'!$C$90="Reroll class prompt",S236,IF('Paste Editor (Beta)'!$C$90="Swap hero prompt",S236,IF('Paste Editor (Beta)'!$C$90="Anvil prompt",AD236,"")))))))</f>
        <v>0</v>
      </c>
      <c r="AK236" s="283">
        <f>IF('Paste Editor (Beta)'!$C$90="Level-up prompt",G237,IF('Paste Editor (Beta)'!$C$90="Item prompt",E237,IF('Paste Editor (Beta)'!$C$90="Modifier prompt","'"&amp;B237,IF('Paste Editor (Beta)'!$C$90="Challenge prompt",E237,IF('Paste Editor (Beta)'!$C$90="Reroll class prompt",S236,IF('Paste Editor (Beta)'!$C$90="Swap hero prompt",S236,IF('Paste Editor (Beta)'!$C$90="Anvil prompt",AD236,"")))))))</f>
        <v>0</v>
      </c>
    </row>
    <row r="237" spans="2:37" ht="17.25">
      <c r="B237" s="284" t="s">
        <v>2328</v>
      </c>
      <c r="C237" s="284" t="s">
        <v>2328</v>
      </c>
      <c r="D237" s="284" t="s">
        <v>2328</v>
      </c>
      <c r="E237" s="280" t="s">
        <v>1187</v>
      </c>
      <c r="AH237" s="280" t="str">
        <f>IF('Paste Editor (Beta)'!$C$82="Level-up prompt",G238,IF('Paste Editor (Beta)'!$C$82="Item prompt",E238,IF('Paste Editor (Beta)'!$C$82="Modifier prompt","'"&amp;B238,IF('Paste Editor (Beta)'!$C$82="Challenge prompt",L238,IF('Paste Editor (Beta)'!$C$82="Reroll class prompt",S237,IF('Paste Editor (Beta)'!$C$82="Swap hero prompt",S237,IF('Paste Editor (Beta)'!$C$82="Anvil prompt",AD237,"")))))))</f>
        <v/>
      </c>
      <c r="AI237" s="280" t="str">
        <f>IF('Paste Editor (Beta)'!$C$82="Level-up prompt",G238,IF('Paste Editor (Beta)'!$C$82="Item prompt",E238,IF('Paste Editor (Beta)'!$C$82="Modifier prompt","'"&amp;B238,IF('Paste Editor (Beta)'!$C$82="Challenge prompt",E238,IF('Paste Editor (Beta)'!$C$82="Reroll class prompt",S237,IF('Paste Editor (Beta)'!$C$82="Swap hero prompt",S237,IF('Paste Editor (Beta)'!$C$82="Anvil prompt",AD237,"")))))))</f>
        <v/>
      </c>
      <c r="AJ237" s="283">
        <f>IF('Paste Editor (Beta)'!$C$90="Level-up prompt",G238,IF('Paste Editor (Beta)'!$C$90="Item prompt",E238,IF('Paste Editor (Beta)'!$C$90="Modifier prompt","'"&amp;B238,IF('Paste Editor (Beta)'!$C$90="Challenge prompt",L238,IF('Paste Editor (Beta)'!$C$90="Reroll class prompt",S237,IF('Paste Editor (Beta)'!$C$90="Swap hero prompt",S237,IF('Paste Editor (Beta)'!$C$90="Anvil prompt",AD237,"")))))))</f>
        <v>0</v>
      </c>
      <c r="AK237" s="283">
        <f>IF('Paste Editor (Beta)'!$C$90="Level-up prompt",G238,IF('Paste Editor (Beta)'!$C$90="Item prompt",E238,IF('Paste Editor (Beta)'!$C$90="Modifier prompt","'"&amp;B238,IF('Paste Editor (Beta)'!$C$90="Challenge prompt",E238,IF('Paste Editor (Beta)'!$C$90="Reroll class prompt",S237,IF('Paste Editor (Beta)'!$C$90="Swap hero prompt",S237,IF('Paste Editor (Beta)'!$C$90="Anvil prompt",AD237,"")))))))</f>
        <v>0</v>
      </c>
    </row>
    <row r="238" spans="2:37" ht="17.25">
      <c r="B238" s="284" t="s">
        <v>2365</v>
      </c>
      <c r="C238" s="284" t="s">
        <v>2365</v>
      </c>
      <c r="D238" s="284" t="s">
        <v>2365</v>
      </c>
      <c r="E238" s="280" t="s">
        <v>1115</v>
      </c>
      <c r="AH238" s="280" t="str">
        <f>IF('Paste Editor (Beta)'!$C$82="Level-up prompt",G239,IF('Paste Editor (Beta)'!$C$82="Item prompt",E239,IF('Paste Editor (Beta)'!$C$82="Modifier prompt","'"&amp;B239,IF('Paste Editor (Beta)'!$C$82="Challenge prompt",L239,IF('Paste Editor (Beta)'!$C$82="Reroll class prompt",S238,IF('Paste Editor (Beta)'!$C$82="Swap hero prompt",S238,IF('Paste Editor (Beta)'!$C$82="Anvil prompt",AD238,"")))))))</f>
        <v/>
      </c>
      <c r="AI238" s="280" t="str">
        <f>IF('Paste Editor (Beta)'!$C$82="Level-up prompt",G239,IF('Paste Editor (Beta)'!$C$82="Item prompt",E239,IF('Paste Editor (Beta)'!$C$82="Modifier prompt","'"&amp;B239,IF('Paste Editor (Beta)'!$C$82="Challenge prompt",E239,IF('Paste Editor (Beta)'!$C$82="Reroll class prompt",S238,IF('Paste Editor (Beta)'!$C$82="Swap hero prompt",S238,IF('Paste Editor (Beta)'!$C$82="Anvil prompt",AD238,"")))))))</f>
        <v/>
      </c>
      <c r="AJ238" s="283">
        <f>IF('Paste Editor (Beta)'!$C$90="Level-up prompt",G239,IF('Paste Editor (Beta)'!$C$90="Item prompt",E239,IF('Paste Editor (Beta)'!$C$90="Modifier prompt","'"&amp;B239,IF('Paste Editor (Beta)'!$C$90="Challenge prompt",L239,IF('Paste Editor (Beta)'!$C$90="Reroll class prompt",S238,IF('Paste Editor (Beta)'!$C$90="Swap hero prompt",S238,IF('Paste Editor (Beta)'!$C$90="Anvil prompt",AD238,"")))))))</f>
        <v>0</v>
      </c>
      <c r="AK238" s="283">
        <f>IF('Paste Editor (Beta)'!$C$90="Level-up prompt",G239,IF('Paste Editor (Beta)'!$C$90="Item prompt",E239,IF('Paste Editor (Beta)'!$C$90="Modifier prompt","'"&amp;B239,IF('Paste Editor (Beta)'!$C$90="Challenge prompt",E239,IF('Paste Editor (Beta)'!$C$90="Reroll class prompt",S238,IF('Paste Editor (Beta)'!$C$90="Swap hero prompt",S238,IF('Paste Editor (Beta)'!$C$90="Anvil prompt",AD238,"")))))))</f>
        <v>0</v>
      </c>
    </row>
    <row r="239" spans="2:37" ht="17.25">
      <c r="B239" s="284" t="s">
        <v>3101</v>
      </c>
      <c r="C239" s="284" t="s">
        <v>3101</v>
      </c>
      <c r="D239" s="284" t="s">
        <v>3101</v>
      </c>
      <c r="E239" s="280" t="s">
        <v>971</v>
      </c>
      <c r="AH239" s="280" t="str">
        <f>IF('Paste Editor (Beta)'!$C$82="Level-up prompt",G240,IF('Paste Editor (Beta)'!$C$82="Item prompt",E240,IF('Paste Editor (Beta)'!$C$82="Modifier prompt","'"&amp;B240,IF('Paste Editor (Beta)'!$C$82="Challenge prompt",L240,IF('Paste Editor (Beta)'!$C$82="Reroll class prompt",S239,IF('Paste Editor (Beta)'!$C$82="Swap hero prompt",S239,IF('Paste Editor (Beta)'!$C$82="Anvil prompt",AD239,"")))))))</f>
        <v/>
      </c>
      <c r="AI239" s="280" t="str">
        <f>IF('Paste Editor (Beta)'!$C$82="Level-up prompt",G240,IF('Paste Editor (Beta)'!$C$82="Item prompt",E240,IF('Paste Editor (Beta)'!$C$82="Modifier prompt","'"&amp;B240,IF('Paste Editor (Beta)'!$C$82="Challenge prompt",E240,IF('Paste Editor (Beta)'!$C$82="Reroll class prompt",S239,IF('Paste Editor (Beta)'!$C$82="Swap hero prompt",S239,IF('Paste Editor (Beta)'!$C$82="Anvil prompt",AD239,"")))))))</f>
        <v/>
      </c>
      <c r="AJ239" s="283">
        <f>IF('Paste Editor (Beta)'!$C$90="Level-up prompt",G240,IF('Paste Editor (Beta)'!$C$90="Item prompt",E240,IF('Paste Editor (Beta)'!$C$90="Modifier prompt","'"&amp;B240,IF('Paste Editor (Beta)'!$C$90="Challenge prompt",L240,IF('Paste Editor (Beta)'!$C$90="Reroll class prompt",S239,IF('Paste Editor (Beta)'!$C$90="Swap hero prompt",S239,IF('Paste Editor (Beta)'!$C$90="Anvil prompt",AD239,"")))))))</f>
        <v>0</v>
      </c>
      <c r="AK239" s="283">
        <f>IF('Paste Editor (Beta)'!$C$90="Level-up prompt",G240,IF('Paste Editor (Beta)'!$C$90="Item prompt",E240,IF('Paste Editor (Beta)'!$C$90="Modifier prompt","'"&amp;B240,IF('Paste Editor (Beta)'!$C$90="Challenge prompt",E240,IF('Paste Editor (Beta)'!$C$90="Reroll class prompt",S239,IF('Paste Editor (Beta)'!$C$90="Swap hero prompt",S239,IF('Paste Editor (Beta)'!$C$90="Anvil prompt",AD239,"")))))))</f>
        <v>0</v>
      </c>
    </row>
    <row r="240" spans="2:37" ht="17.25">
      <c r="B240" s="284" t="s">
        <v>3105</v>
      </c>
      <c r="C240" s="284" t="s">
        <v>3105</v>
      </c>
      <c r="D240" s="284" t="s">
        <v>3105</v>
      </c>
      <c r="E240" s="280" t="s">
        <v>1268</v>
      </c>
      <c r="AH240" s="280" t="str">
        <f>IF('Paste Editor (Beta)'!$C$82="Level-up prompt",G241,IF('Paste Editor (Beta)'!$C$82="Item prompt",E241,IF('Paste Editor (Beta)'!$C$82="Modifier prompt","'"&amp;B241,IF('Paste Editor (Beta)'!$C$82="Challenge prompt",L241,IF('Paste Editor (Beta)'!$C$82="Reroll class prompt",S240,IF('Paste Editor (Beta)'!$C$82="Swap hero prompt",S240,IF('Paste Editor (Beta)'!$C$82="Anvil prompt",AD240,"")))))))</f>
        <v/>
      </c>
      <c r="AI240" s="280" t="str">
        <f>IF('Paste Editor (Beta)'!$C$82="Level-up prompt",G241,IF('Paste Editor (Beta)'!$C$82="Item prompt",E241,IF('Paste Editor (Beta)'!$C$82="Modifier prompt","'"&amp;B241,IF('Paste Editor (Beta)'!$C$82="Challenge prompt",E241,IF('Paste Editor (Beta)'!$C$82="Reroll class prompt",S240,IF('Paste Editor (Beta)'!$C$82="Swap hero prompt",S240,IF('Paste Editor (Beta)'!$C$82="Anvil prompt",AD240,"")))))))</f>
        <v/>
      </c>
      <c r="AJ240" s="283">
        <f>IF('Paste Editor (Beta)'!$C$90="Level-up prompt",G241,IF('Paste Editor (Beta)'!$C$90="Item prompt",E241,IF('Paste Editor (Beta)'!$C$90="Modifier prompt","'"&amp;B241,IF('Paste Editor (Beta)'!$C$90="Challenge prompt",L241,IF('Paste Editor (Beta)'!$C$90="Reroll class prompt",S240,IF('Paste Editor (Beta)'!$C$90="Swap hero prompt",S240,IF('Paste Editor (Beta)'!$C$90="Anvil prompt",AD240,"")))))))</f>
        <v>0</v>
      </c>
      <c r="AK240" s="283">
        <f>IF('Paste Editor (Beta)'!$C$90="Level-up prompt",G241,IF('Paste Editor (Beta)'!$C$90="Item prompt",E241,IF('Paste Editor (Beta)'!$C$90="Modifier prompt","'"&amp;B241,IF('Paste Editor (Beta)'!$C$90="Challenge prompt",E241,IF('Paste Editor (Beta)'!$C$90="Reroll class prompt",S240,IF('Paste Editor (Beta)'!$C$90="Swap hero prompt",S240,IF('Paste Editor (Beta)'!$C$90="Anvil prompt",AD240,"")))))))</f>
        <v>0</v>
      </c>
    </row>
    <row r="241" spans="2:37" ht="17.25">
      <c r="B241" s="284" t="s">
        <v>3021</v>
      </c>
      <c r="C241" s="284" t="s">
        <v>3021</v>
      </c>
      <c r="D241" s="284" t="s">
        <v>3021</v>
      </c>
      <c r="E241" s="280" t="s">
        <v>1046</v>
      </c>
      <c r="AH241" s="280" t="str">
        <f>IF('Paste Editor (Beta)'!$C$82="Level-up prompt",G242,IF('Paste Editor (Beta)'!$C$82="Item prompt",E242,IF('Paste Editor (Beta)'!$C$82="Modifier prompt","'"&amp;B242,IF('Paste Editor (Beta)'!$C$82="Challenge prompt",L242,IF('Paste Editor (Beta)'!$C$82="Reroll class prompt",S241,IF('Paste Editor (Beta)'!$C$82="Swap hero prompt",S241,IF('Paste Editor (Beta)'!$C$82="Anvil prompt",AD241,"")))))))</f>
        <v/>
      </c>
      <c r="AI241" s="280" t="str">
        <f>IF('Paste Editor (Beta)'!$C$82="Level-up prompt",G242,IF('Paste Editor (Beta)'!$C$82="Item prompt",E242,IF('Paste Editor (Beta)'!$C$82="Modifier prompt","'"&amp;B242,IF('Paste Editor (Beta)'!$C$82="Challenge prompt",E242,IF('Paste Editor (Beta)'!$C$82="Reroll class prompt",S241,IF('Paste Editor (Beta)'!$C$82="Swap hero prompt",S241,IF('Paste Editor (Beta)'!$C$82="Anvil prompt",AD241,"")))))))</f>
        <v/>
      </c>
      <c r="AJ241" s="283">
        <f>IF('Paste Editor (Beta)'!$C$90="Level-up prompt",G242,IF('Paste Editor (Beta)'!$C$90="Item prompt",E242,IF('Paste Editor (Beta)'!$C$90="Modifier prompt","'"&amp;B242,IF('Paste Editor (Beta)'!$C$90="Challenge prompt",L242,IF('Paste Editor (Beta)'!$C$90="Reroll class prompt",S241,IF('Paste Editor (Beta)'!$C$90="Swap hero prompt",S241,IF('Paste Editor (Beta)'!$C$90="Anvil prompt",AD241,"")))))))</f>
        <v>0</v>
      </c>
      <c r="AK241" s="283">
        <f>IF('Paste Editor (Beta)'!$C$90="Level-up prompt",G242,IF('Paste Editor (Beta)'!$C$90="Item prompt",E242,IF('Paste Editor (Beta)'!$C$90="Modifier prompt","'"&amp;B242,IF('Paste Editor (Beta)'!$C$90="Challenge prompt",E242,IF('Paste Editor (Beta)'!$C$90="Reroll class prompt",S241,IF('Paste Editor (Beta)'!$C$90="Swap hero prompt",S241,IF('Paste Editor (Beta)'!$C$90="Anvil prompt",AD241,"")))))))</f>
        <v>0</v>
      </c>
    </row>
    <row r="242" spans="2:37" ht="17.25">
      <c r="B242" s="284" t="s">
        <v>3079</v>
      </c>
      <c r="C242" s="284" t="s">
        <v>3079</v>
      </c>
      <c r="D242" s="284" t="s">
        <v>3079</v>
      </c>
      <c r="E242" s="280" t="s">
        <v>1117</v>
      </c>
      <c r="AH242" s="280" t="str">
        <f>IF('Paste Editor (Beta)'!$C$82="Level-up prompt",G243,IF('Paste Editor (Beta)'!$C$82="Item prompt",E243,IF('Paste Editor (Beta)'!$C$82="Modifier prompt","'"&amp;B243,IF('Paste Editor (Beta)'!$C$82="Challenge prompt",L243,IF('Paste Editor (Beta)'!$C$82="Reroll class prompt",S242,IF('Paste Editor (Beta)'!$C$82="Swap hero prompt",S242,IF('Paste Editor (Beta)'!$C$82="Anvil prompt",AD242,"")))))))</f>
        <v/>
      </c>
      <c r="AI242" s="280" t="str">
        <f>IF('Paste Editor (Beta)'!$C$82="Level-up prompt",G243,IF('Paste Editor (Beta)'!$C$82="Item prompt",E243,IF('Paste Editor (Beta)'!$C$82="Modifier prompt","'"&amp;B243,IF('Paste Editor (Beta)'!$C$82="Challenge prompt",E243,IF('Paste Editor (Beta)'!$C$82="Reroll class prompt",S242,IF('Paste Editor (Beta)'!$C$82="Swap hero prompt",S242,IF('Paste Editor (Beta)'!$C$82="Anvil prompt",AD242,"")))))))</f>
        <v/>
      </c>
      <c r="AJ242" s="283">
        <f>IF('Paste Editor (Beta)'!$C$90="Level-up prompt",G243,IF('Paste Editor (Beta)'!$C$90="Item prompt",E243,IF('Paste Editor (Beta)'!$C$90="Modifier prompt","'"&amp;B243,IF('Paste Editor (Beta)'!$C$90="Challenge prompt",L243,IF('Paste Editor (Beta)'!$C$90="Reroll class prompt",S242,IF('Paste Editor (Beta)'!$C$90="Swap hero prompt",S242,IF('Paste Editor (Beta)'!$C$90="Anvil prompt",AD242,"")))))))</f>
        <v>0</v>
      </c>
      <c r="AK242" s="283">
        <f>IF('Paste Editor (Beta)'!$C$90="Level-up prompt",G243,IF('Paste Editor (Beta)'!$C$90="Item prompt",E243,IF('Paste Editor (Beta)'!$C$90="Modifier prompt","'"&amp;B243,IF('Paste Editor (Beta)'!$C$90="Challenge prompt",E243,IF('Paste Editor (Beta)'!$C$90="Reroll class prompt",S242,IF('Paste Editor (Beta)'!$C$90="Swap hero prompt",S242,IF('Paste Editor (Beta)'!$C$90="Anvil prompt",AD242,"")))))))</f>
        <v>0</v>
      </c>
    </row>
    <row r="243" spans="2:37" ht="17.25">
      <c r="B243" s="284" t="s">
        <v>3065</v>
      </c>
      <c r="C243" s="284" t="s">
        <v>3065</v>
      </c>
      <c r="D243" s="284" t="s">
        <v>3065</v>
      </c>
      <c r="E243" s="280" t="s">
        <v>1048</v>
      </c>
      <c r="AH243" s="280" t="str">
        <f>IF('Paste Editor (Beta)'!$C$82="Level-up prompt",G244,IF('Paste Editor (Beta)'!$C$82="Item prompt",E244,IF('Paste Editor (Beta)'!$C$82="Modifier prompt","'"&amp;B244,IF('Paste Editor (Beta)'!$C$82="Challenge prompt",L244,IF('Paste Editor (Beta)'!$C$82="Reroll class prompt",S243,IF('Paste Editor (Beta)'!$C$82="Swap hero prompt",S243,IF('Paste Editor (Beta)'!$C$82="Anvil prompt",AD243,"")))))))</f>
        <v/>
      </c>
      <c r="AI243" s="280" t="str">
        <f>IF('Paste Editor (Beta)'!$C$82="Level-up prompt",G244,IF('Paste Editor (Beta)'!$C$82="Item prompt",E244,IF('Paste Editor (Beta)'!$C$82="Modifier prompt","'"&amp;B244,IF('Paste Editor (Beta)'!$C$82="Challenge prompt",E244,IF('Paste Editor (Beta)'!$C$82="Reroll class prompt",S243,IF('Paste Editor (Beta)'!$C$82="Swap hero prompt",S243,IF('Paste Editor (Beta)'!$C$82="Anvil prompt",AD243,"")))))))</f>
        <v/>
      </c>
      <c r="AJ243" s="283">
        <f>IF('Paste Editor (Beta)'!$C$90="Level-up prompt",G244,IF('Paste Editor (Beta)'!$C$90="Item prompt",E244,IF('Paste Editor (Beta)'!$C$90="Modifier prompt","'"&amp;B244,IF('Paste Editor (Beta)'!$C$90="Challenge prompt",L244,IF('Paste Editor (Beta)'!$C$90="Reroll class prompt",S243,IF('Paste Editor (Beta)'!$C$90="Swap hero prompt",S243,IF('Paste Editor (Beta)'!$C$90="Anvil prompt",AD243,"")))))))</f>
        <v>0</v>
      </c>
      <c r="AK243" s="283">
        <f>IF('Paste Editor (Beta)'!$C$90="Level-up prompt",G244,IF('Paste Editor (Beta)'!$C$90="Item prompt",E244,IF('Paste Editor (Beta)'!$C$90="Modifier prompt","'"&amp;B244,IF('Paste Editor (Beta)'!$C$90="Challenge prompt",E244,IF('Paste Editor (Beta)'!$C$90="Reroll class prompt",S243,IF('Paste Editor (Beta)'!$C$90="Swap hero prompt",S243,IF('Paste Editor (Beta)'!$C$90="Anvil prompt",AD243,"")))))))</f>
        <v>0</v>
      </c>
    </row>
    <row r="244" spans="2:37" ht="17.25">
      <c r="B244" s="284" t="s">
        <v>2830</v>
      </c>
      <c r="C244" s="284" t="s">
        <v>2830</v>
      </c>
      <c r="D244" s="284" t="s">
        <v>2830</v>
      </c>
      <c r="E244" s="280" t="s">
        <v>973</v>
      </c>
      <c r="AH244" s="280" t="str">
        <f>IF('Paste Editor (Beta)'!$C$82="Level-up prompt",G245,IF('Paste Editor (Beta)'!$C$82="Item prompt",E245,IF('Paste Editor (Beta)'!$C$82="Modifier prompt","'"&amp;B245,IF('Paste Editor (Beta)'!$C$82="Challenge prompt",L245,IF('Paste Editor (Beta)'!$C$82="Reroll class prompt",S244,IF('Paste Editor (Beta)'!$C$82="Swap hero prompt",S244,IF('Paste Editor (Beta)'!$C$82="Anvil prompt",AD244,"")))))))</f>
        <v/>
      </c>
      <c r="AI244" s="280" t="str">
        <f>IF('Paste Editor (Beta)'!$C$82="Level-up prompt",G245,IF('Paste Editor (Beta)'!$C$82="Item prompt",E245,IF('Paste Editor (Beta)'!$C$82="Modifier prompt","'"&amp;B245,IF('Paste Editor (Beta)'!$C$82="Challenge prompt",E245,IF('Paste Editor (Beta)'!$C$82="Reroll class prompt",S244,IF('Paste Editor (Beta)'!$C$82="Swap hero prompt",S244,IF('Paste Editor (Beta)'!$C$82="Anvil prompt",AD244,"")))))))</f>
        <v/>
      </c>
      <c r="AJ244" s="283">
        <f>IF('Paste Editor (Beta)'!$C$90="Level-up prompt",G245,IF('Paste Editor (Beta)'!$C$90="Item prompt",E245,IF('Paste Editor (Beta)'!$C$90="Modifier prompt","'"&amp;B245,IF('Paste Editor (Beta)'!$C$90="Challenge prompt",L245,IF('Paste Editor (Beta)'!$C$90="Reroll class prompt",S244,IF('Paste Editor (Beta)'!$C$90="Swap hero prompt",S244,IF('Paste Editor (Beta)'!$C$90="Anvil prompt",AD244,"")))))))</f>
        <v>0</v>
      </c>
      <c r="AK244" s="283">
        <f>IF('Paste Editor (Beta)'!$C$90="Level-up prompt",G245,IF('Paste Editor (Beta)'!$C$90="Item prompt",E245,IF('Paste Editor (Beta)'!$C$90="Modifier prompt","'"&amp;B245,IF('Paste Editor (Beta)'!$C$90="Challenge prompt",E245,IF('Paste Editor (Beta)'!$C$90="Reroll class prompt",S244,IF('Paste Editor (Beta)'!$C$90="Swap hero prompt",S244,IF('Paste Editor (Beta)'!$C$90="Anvil prompt",AD244,"")))))))</f>
        <v>0</v>
      </c>
    </row>
    <row r="245" spans="2:37" ht="17.25">
      <c r="B245" s="284" t="s">
        <v>3081</v>
      </c>
      <c r="C245" s="284" t="s">
        <v>3081</v>
      </c>
      <c r="D245" s="284" t="s">
        <v>3081</v>
      </c>
      <c r="E245" s="280" t="s">
        <v>1190</v>
      </c>
      <c r="AH245" s="280" t="str">
        <f>IF('Paste Editor (Beta)'!$C$82="Level-up prompt",G246,IF('Paste Editor (Beta)'!$C$82="Item prompt",E246,IF('Paste Editor (Beta)'!$C$82="Modifier prompt","'"&amp;B246,IF('Paste Editor (Beta)'!$C$82="Challenge prompt",L246,IF('Paste Editor (Beta)'!$C$82="Reroll class prompt",S245,IF('Paste Editor (Beta)'!$C$82="Swap hero prompt",S245,IF('Paste Editor (Beta)'!$C$82="Anvil prompt",AD245,"")))))))</f>
        <v/>
      </c>
      <c r="AI245" s="280" t="str">
        <f>IF('Paste Editor (Beta)'!$C$82="Level-up prompt",G246,IF('Paste Editor (Beta)'!$C$82="Item prompt",E246,IF('Paste Editor (Beta)'!$C$82="Modifier prompt","'"&amp;B246,IF('Paste Editor (Beta)'!$C$82="Challenge prompt",E246,IF('Paste Editor (Beta)'!$C$82="Reroll class prompt",S245,IF('Paste Editor (Beta)'!$C$82="Swap hero prompt",S245,IF('Paste Editor (Beta)'!$C$82="Anvil prompt",AD245,"")))))))</f>
        <v/>
      </c>
      <c r="AJ245" s="283">
        <f>IF('Paste Editor (Beta)'!$C$90="Level-up prompt",G246,IF('Paste Editor (Beta)'!$C$90="Item prompt",E246,IF('Paste Editor (Beta)'!$C$90="Modifier prompt","'"&amp;B246,IF('Paste Editor (Beta)'!$C$90="Challenge prompt",L246,IF('Paste Editor (Beta)'!$C$90="Reroll class prompt",S245,IF('Paste Editor (Beta)'!$C$90="Swap hero prompt",S245,IF('Paste Editor (Beta)'!$C$90="Anvil prompt",AD245,"")))))))</f>
        <v>0</v>
      </c>
      <c r="AK245" s="283">
        <f>IF('Paste Editor (Beta)'!$C$90="Level-up prompt",G246,IF('Paste Editor (Beta)'!$C$90="Item prompt",E246,IF('Paste Editor (Beta)'!$C$90="Modifier prompt","'"&amp;B246,IF('Paste Editor (Beta)'!$C$90="Challenge prompt",E246,IF('Paste Editor (Beta)'!$C$90="Reroll class prompt",S245,IF('Paste Editor (Beta)'!$C$90="Swap hero prompt",S245,IF('Paste Editor (Beta)'!$C$90="Anvil prompt",AD245,"")))))))</f>
        <v>0</v>
      </c>
    </row>
    <row r="246" spans="2:37" ht="17.25">
      <c r="B246" s="284" t="s">
        <v>2359</v>
      </c>
      <c r="C246" s="284" t="s">
        <v>2359</v>
      </c>
      <c r="D246" s="284" t="s">
        <v>2359</v>
      </c>
      <c r="E246" s="280" t="s">
        <v>890</v>
      </c>
      <c r="AH246" s="280" t="str">
        <f>IF('Paste Editor (Beta)'!$C$82="Level-up prompt",G247,IF('Paste Editor (Beta)'!$C$82="Item prompt",E247,IF('Paste Editor (Beta)'!$C$82="Modifier prompt","'"&amp;B247,IF('Paste Editor (Beta)'!$C$82="Challenge prompt",L247,IF('Paste Editor (Beta)'!$C$82="Reroll class prompt",S246,IF('Paste Editor (Beta)'!$C$82="Swap hero prompt",S246,IF('Paste Editor (Beta)'!$C$82="Anvil prompt",AD246,"")))))))</f>
        <v/>
      </c>
      <c r="AI246" s="280" t="str">
        <f>IF('Paste Editor (Beta)'!$C$82="Level-up prompt",G247,IF('Paste Editor (Beta)'!$C$82="Item prompt",E247,IF('Paste Editor (Beta)'!$C$82="Modifier prompt","'"&amp;B247,IF('Paste Editor (Beta)'!$C$82="Challenge prompt",E247,IF('Paste Editor (Beta)'!$C$82="Reroll class prompt",S246,IF('Paste Editor (Beta)'!$C$82="Swap hero prompt",S246,IF('Paste Editor (Beta)'!$C$82="Anvil prompt",AD246,"")))))))</f>
        <v/>
      </c>
      <c r="AJ246" s="283">
        <f>IF('Paste Editor (Beta)'!$C$90="Level-up prompt",G247,IF('Paste Editor (Beta)'!$C$90="Item prompt",E247,IF('Paste Editor (Beta)'!$C$90="Modifier prompt","'"&amp;B247,IF('Paste Editor (Beta)'!$C$90="Challenge prompt",L247,IF('Paste Editor (Beta)'!$C$90="Reroll class prompt",S246,IF('Paste Editor (Beta)'!$C$90="Swap hero prompt",S246,IF('Paste Editor (Beta)'!$C$90="Anvil prompt",AD246,"")))))))</f>
        <v>0</v>
      </c>
      <c r="AK246" s="283">
        <f>IF('Paste Editor (Beta)'!$C$90="Level-up prompt",G247,IF('Paste Editor (Beta)'!$C$90="Item prompt",E247,IF('Paste Editor (Beta)'!$C$90="Modifier prompt","'"&amp;B247,IF('Paste Editor (Beta)'!$C$90="Challenge prompt",E247,IF('Paste Editor (Beta)'!$C$90="Reroll class prompt",S246,IF('Paste Editor (Beta)'!$C$90="Swap hero prompt",S246,IF('Paste Editor (Beta)'!$C$90="Anvil prompt",AD246,"")))))))</f>
        <v>0</v>
      </c>
    </row>
    <row r="247" spans="2:37" ht="17.25">
      <c r="B247" s="284" t="s">
        <v>3023</v>
      </c>
      <c r="C247" s="284" t="s">
        <v>3023</v>
      </c>
      <c r="D247" s="284" t="s">
        <v>3023</v>
      </c>
      <c r="E247" s="280" t="s">
        <v>1271</v>
      </c>
      <c r="AH247" s="280" t="str">
        <f>IF('Paste Editor (Beta)'!$C$82="Level-up prompt",G248,IF('Paste Editor (Beta)'!$C$82="Item prompt",E248,IF('Paste Editor (Beta)'!$C$82="Modifier prompt","'"&amp;B248,IF('Paste Editor (Beta)'!$C$82="Challenge prompt",L248,IF('Paste Editor (Beta)'!$C$82="Reroll class prompt",S247,IF('Paste Editor (Beta)'!$C$82="Swap hero prompt",S247,IF('Paste Editor (Beta)'!$C$82="Anvil prompt",AD247,"")))))))</f>
        <v/>
      </c>
      <c r="AI247" s="280" t="str">
        <f>IF('Paste Editor (Beta)'!$C$82="Level-up prompt",G248,IF('Paste Editor (Beta)'!$C$82="Item prompt",E248,IF('Paste Editor (Beta)'!$C$82="Modifier prompt","'"&amp;B248,IF('Paste Editor (Beta)'!$C$82="Challenge prompt",E248,IF('Paste Editor (Beta)'!$C$82="Reroll class prompt",S247,IF('Paste Editor (Beta)'!$C$82="Swap hero prompt",S247,IF('Paste Editor (Beta)'!$C$82="Anvil prompt",AD247,"")))))))</f>
        <v/>
      </c>
      <c r="AJ247" s="283">
        <f>IF('Paste Editor (Beta)'!$C$90="Level-up prompt",G248,IF('Paste Editor (Beta)'!$C$90="Item prompt",E248,IF('Paste Editor (Beta)'!$C$90="Modifier prompt","'"&amp;B248,IF('Paste Editor (Beta)'!$C$90="Challenge prompt",L248,IF('Paste Editor (Beta)'!$C$90="Reroll class prompt",S247,IF('Paste Editor (Beta)'!$C$90="Swap hero prompt",S247,IF('Paste Editor (Beta)'!$C$90="Anvil prompt",AD247,"")))))))</f>
        <v>0</v>
      </c>
      <c r="AK247" s="283">
        <f>IF('Paste Editor (Beta)'!$C$90="Level-up prompt",G248,IF('Paste Editor (Beta)'!$C$90="Item prompt",E248,IF('Paste Editor (Beta)'!$C$90="Modifier prompt","'"&amp;B248,IF('Paste Editor (Beta)'!$C$90="Challenge prompt",E248,IF('Paste Editor (Beta)'!$C$90="Reroll class prompt",S247,IF('Paste Editor (Beta)'!$C$90="Swap hero prompt",S247,IF('Paste Editor (Beta)'!$C$90="Anvil prompt",AD247,"")))))))</f>
        <v>0</v>
      </c>
    </row>
    <row r="248" spans="2:37" ht="17.25">
      <c r="B248" s="284" t="s">
        <v>3059</v>
      </c>
      <c r="C248" s="284" t="s">
        <v>3059</v>
      </c>
      <c r="D248" s="284" t="s">
        <v>3059</v>
      </c>
      <c r="E248" s="280" t="s">
        <v>1552</v>
      </c>
      <c r="AH248" s="280" t="str">
        <f>IF('Paste Editor (Beta)'!$C$82="Level-up prompt",G249,IF('Paste Editor (Beta)'!$C$82="Item prompt",E249,IF('Paste Editor (Beta)'!$C$82="Modifier prompt","'"&amp;B249,IF('Paste Editor (Beta)'!$C$82="Challenge prompt",L249,IF('Paste Editor (Beta)'!$C$82="Reroll class prompt",S248,IF('Paste Editor (Beta)'!$C$82="Swap hero prompt",S248,IF('Paste Editor (Beta)'!$C$82="Anvil prompt",AD248,"")))))))</f>
        <v/>
      </c>
      <c r="AI248" s="280" t="str">
        <f>IF('Paste Editor (Beta)'!$C$82="Level-up prompt",G249,IF('Paste Editor (Beta)'!$C$82="Item prompt",E249,IF('Paste Editor (Beta)'!$C$82="Modifier prompt","'"&amp;B249,IF('Paste Editor (Beta)'!$C$82="Challenge prompt",E249,IF('Paste Editor (Beta)'!$C$82="Reroll class prompt",S248,IF('Paste Editor (Beta)'!$C$82="Swap hero prompt",S248,IF('Paste Editor (Beta)'!$C$82="Anvil prompt",AD248,"")))))))</f>
        <v/>
      </c>
      <c r="AJ248" s="283">
        <f>IF('Paste Editor (Beta)'!$C$90="Level-up prompt",G249,IF('Paste Editor (Beta)'!$C$90="Item prompt",E249,IF('Paste Editor (Beta)'!$C$90="Modifier prompt","'"&amp;B249,IF('Paste Editor (Beta)'!$C$90="Challenge prompt",L249,IF('Paste Editor (Beta)'!$C$90="Reroll class prompt",S248,IF('Paste Editor (Beta)'!$C$90="Swap hero prompt",S248,IF('Paste Editor (Beta)'!$C$90="Anvil prompt",AD248,"")))))))</f>
        <v>0</v>
      </c>
      <c r="AK248" s="283">
        <f>IF('Paste Editor (Beta)'!$C$90="Level-up prompt",G249,IF('Paste Editor (Beta)'!$C$90="Item prompt",E249,IF('Paste Editor (Beta)'!$C$90="Modifier prompt","'"&amp;B249,IF('Paste Editor (Beta)'!$C$90="Challenge prompt",E249,IF('Paste Editor (Beta)'!$C$90="Reroll class prompt",S248,IF('Paste Editor (Beta)'!$C$90="Swap hero prompt",S248,IF('Paste Editor (Beta)'!$C$90="Anvil prompt",AD248,"")))))))</f>
        <v>0</v>
      </c>
    </row>
    <row r="249" spans="2:37" ht="17.25">
      <c r="B249" s="284" t="s">
        <v>2995</v>
      </c>
      <c r="C249" s="284" t="s">
        <v>2995</v>
      </c>
      <c r="D249" s="284" t="s">
        <v>2995</v>
      </c>
      <c r="E249" s="280" t="s">
        <v>893</v>
      </c>
      <c r="AH249" s="280" t="str">
        <f>IF('Paste Editor (Beta)'!$C$82="Level-up prompt",G250,IF('Paste Editor (Beta)'!$C$82="Item prompt",E250,IF('Paste Editor (Beta)'!$C$82="Modifier prompt","'"&amp;B250,IF('Paste Editor (Beta)'!$C$82="Challenge prompt",L250,IF('Paste Editor (Beta)'!$C$82="Reroll class prompt",S249,IF('Paste Editor (Beta)'!$C$82="Swap hero prompt",S249,IF('Paste Editor (Beta)'!$C$82="Anvil prompt",AD249,"")))))))</f>
        <v/>
      </c>
      <c r="AI249" s="280" t="str">
        <f>IF('Paste Editor (Beta)'!$C$82="Level-up prompt",G250,IF('Paste Editor (Beta)'!$C$82="Item prompt",E250,IF('Paste Editor (Beta)'!$C$82="Modifier prompt","'"&amp;B250,IF('Paste Editor (Beta)'!$C$82="Challenge prompt",E250,IF('Paste Editor (Beta)'!$C$82="Reroll class prompt",S249,IF('Paste Editor (Beta)'!$C$82="Swap hero prompt",S249,IF('Paste Editor (Beta)'!$C$82="Anvil prompt",AD249,"")))))))</f>
        <v/>
      </c>
      <c r="AJ249" s="283">
        <f>IF('Paste Editor (Beta)'!$C$90="Level-up prompt",G250,IF('Paste Editor (Beta)'!$C$90="Item prompt",E250,IF('Paste Editor (Beta)'!$C$90="Modifier prompt","'"&amp;B250,IF('Paste Editor (Beta)'!$C$90="Challenge prompt",L250,IF('Paste Editor (Beta)'!$C$90="Reroll class prompt",S249,IF('Paste Editor (Beta)'!$C$90="Swap hero prompt",S249,IF('Paste Editor (Beta)'!$C$90="Anvil prompt",AD249,"")))))))</f>
        <v>0</v>
      </c>
      <c r="AK249" s="283">
        <f>IF('Paste Editor (Beta)'!$C$90="Level-up prompt",G250,IF('Paste Editor (Beta)'!$C$90="Item prompt",E250,IF('Paste Editor (Beta)'!$C$90="Modifier prompt","'"&amp;B250,IF('Paste Editor (Beta)'!$C$90="Challenge prompt",E250,IF('Paste Editor (Beta)'!$C$90="Reroll class prompt",S249,IF('Paste Editor (Beta)'!$C$90="Swap hero prompt",S249,IF('Paste Editor (Beta)'!$C$90="Anvil prompt",AD249,"")))))))</f>
        <v>0</v>
      </c>
    </row>
    <row r="250" spans="2:37" ht="17.25">
      <c r="B250" s="284" t="s">
        <v>2267</v>
      </c>
      <c r="C250" s="284" t="s">
        <v>2267</v>
      </c>
      <c r="D250" s="284" t="s">
        <v>2267</v>
      </c>
      <c r="E250" s="280" t="s">
        <v>975</v>
      </c>
      <c r="AH250" s="280" t="str">
        <f>IF('Paste Editor (Beta)'!$C$82="Level-up prompt",G251,IF('Paste Editor (Beta)'!$C$82="Item prompt",E251,IF('Paste Editor (Beta)'!$C$82="Modifier prompt","'"&amp;B251,IF('Paste Editor (Beta)'!$C$82="Challenge prompt",L251,IF('Paste Editor (Beta)'!$C$82="Reroll class prompt",S250,IF('Paste Editor (Beta)'!$C$82="Swap hero prompt",S250,IF('Paste Editor (Beta)'!$C$82="Anvil prompt",AD250,"")))))))</f>
        <v/>
      </c>
      <c r="AI250" s="280" t="str">
        <f>IF('Paste Editor (Beta)'!$C$82="Level-up prompt",G251,IF('Paste Editor (Beta)'!$C$82="Item prompt",E251,IF('Paste Editor (Beta)'!$C$82="Modifier prompt","'"&amp;B251,IF('Paste Editor (Beta)'!$C$82="Challenge prompt",E251,IF('Paste Editor (Beta)'!$C$82="Reroll class prompt",S250,IF('Paste Editor (Beta)'!$C$82="Swap hero prompt",S250,IF('Paste Editor (Beta)'!$C$82="Anvil prompt",AD250,"")))))))</f>
        <v/>
      </c>
      <c r="AJ250" s="283">
        <f>IF('Paste Editor (Beta)'!$C$90="Level-up prompt",G251,IF('Paste Editor (Beta)'!$C$90="Item prompt",E251,IF('Paste Editor (Beta)'!$C$90="Modifier prompt","'"&amp;B251,IF('Paste Editor (Beta)'!$C$90="Challenge prompt",L251,IF('Paste Editor (Beta)'!$C$90="Reroll class prompt",S250,IF('Paste Editor (Beta)'!$C$90="Swap hero prompt",S250,IF('Paste Editor (Beta)'!$C$90="Anvil prompt",AD250,"")))))))</f>
        <v>0</v>
      </c>
      <c r="AK250" s="283">
        <f>IF('Paste Editor (Beta)'!$C$90="Level-up prompt",G251,IF('Paste Editor (Beta)'!$C$90="Item prompt",E251,IF('Paste Editor (Beta)'!$C$90="Modifier prompt","'"&amp;B251,IF('Paste Editor (Beta)'!$C$90="Challenge prompt",E251,IF('Paste Editor (Beta)'!$C$90="Reroll class prompt",S250,IF('Paste Editor (Beta)'!$C$90="Swap hero prompt",S250,IF('Paste Editor (Beta)'!$C$90="Anvil prompt",AD250,"")))))))</f>
        <v>0</v>
      </c>
    </row>
    <row r="251" spans="2:37" ht="17.25">
      <c r="B251" s="284" t="s">
        <v>2997</v>
      </c>
      <c r="C251" s="284" t="s">
        <v>2997</v>
      </c>
      <c r="D251" s="284" t="s">
        <v>2997</v>
      </c>
      <c r="E251" s="280" t="s">
        <v>1273</v>
      </c>
      <c r="AH251" s="280" t="str">
        <f>IF('Paste Editor (Beta)'!$C$82="Level-up prompt",G252,IF('Paste Editor (Beta)'!$C$82="Item prompt",E252,IF('Paste Editor (Beta)'!$C$82="Modifier prompt","'"&amp;B252,IF('Paste Editor (Beta)'!$C$82="Challenge prompt",L252,IF('Paste Editor (Beta)'!$C$82="Reroll class prompt",S251,IF('Paste Editor (Beta)'!$C$82="Swap hero prompt",S251,IF('Paste Editor (Beta)'!$C$82="Anvil prompt",AD251,"")))))))</f>
        <v/>
      </c>
      <c r="AI251" s="280" t="str">
        <f>IF('Paste Editor (Beta)'!$C$82="Level-up prompt",G252,IF('Paste Editor (Beta)'!$C$82="Item prompt",E252,IF('Paste Editor (Beta)'!$C$82="Modifier prompt","'"&amp;B252,IF('Paste Editor (Beta)'!$C$82="Challenge prompt",E252,IF('Paste Editor (Beta)'!$C$82="Reroll class prompt",S251,IF('Paste Editor (Beta)'!$C$82="Swap hero prompt",S251,IF('Paste Editor (Beta)'!$C$82="Anvil prompt",AD251,"")))))))</f>
        <v/>
      </c>
      <c r="AJ251" s="283">
        <f>IF('Paste Editor (Beta)'!$C$90="Level-up prompt",G252,IF('Paste Editor (Beta)'!$C$90="Item prompt",E252,IF('Paste Editor (Beta)'!$C$90="Modifier prompt","'"&amp;B252,IF('Paste Editor (Beta)'!$C$90="Challenge prompt",L252,IF('Paste Editor (Beta)'!$C$90="Reroll class prompt",S251,IF('Paste Editor (Beta)'!$C$90="Swap hero prompt",S251,IF('Paste Editor (Beta)'!$C$90="Anvil prompt",AD251,"")))))))</f>
        <v>0</v>
      </c>
      <c r="AK251" s="283">
        <f>IF('Paste Editor (Beta)'!$C$90="Level-up prompt",G252,IF('Paste Editor (Beta)'!$C$90="Item prompt",E252,IF('Paste Editor (Beta)'!$C$90="Modifier prompt","'"&amp;B252,IF('Paste Editor (Beta)'!$C$90="Challenge prompt",E252,IF('Paste Editor (Beta)'!$C$90="Reroll class prompt",S251,IF('Paste Editor (Beta)'!$C$90="Swap hero prompt",S251,IF('Paste Editor (Beta)'!$C$90="Anvil prompt",AD251,"")))))))</f>
        <v>0</v>
      </c>
    </row>
    <row r="252" spans="2:37" ht="17.25">
      <c r="B252" s="284" t="s">
        <v>3083</v>
      </c>
      <c r="C252" s="284" t="s">
        <v>3083</v>
      </c>
      <c r="D252" s="284" t="s">
        <v>3083</v>
      </c>
      <c r="E252" s="280" t="s">
        <v>1051</v>
      </c>
      <c r="AH252" s="280" t="str">
        <f>IF('Paste Editor (Beta)'!$C$82="Level-up prompt",G253,IF('Paste Editor (Beta)'!$C$82="Item prompt",E253,IF('Paste Editor (Beta)'!$C$82="Modifier prompt","'"&amp;B253,IF('Paste Editor (Beta)'!$C$82="Challenge prompt",L253,IF('Paste Editor (Beta)'!$C$82="Reroll class prompt",S252,IF('Paste Editor (Beta)'!$C$82="Swap hero prompt",S252,IF('Paste Editor (Beta)'!$C$82="Anvil prompt",AD252,"")))))))</f>
        <v/>
      </c>
      <c r="AI252" s="280" t="str">
        <f>IF('Paste Editor (Beta)'!$C$82="Level-up prompt",G253,IF('Paste Editor (Beta)'!$C$82="Item prompt",E253,IF('Paste Editor (Beta)'!$C$82="Modifier prompt","'"&amp;B253,IF('Paste Editor (Beta)'!$C$82="Challenge prompt",E253,IF('Paste Editor (Beta)'!$C$82="Reroll class prompt",S252,IF('Paste Editor (Beta)'!$C$82="Swap hero prompt",S252,IF('Paste Editor (Beta)'!$C$82="Anvil prompt",AD252,"")))))))</f>
        <v/>
      </c>
      <c r="AJ252" s="283">
        <f>IF('Paste Editor (Beta)'!$C$90="Level-up prompt",G253,IF('Paste Editor (Beta)'!$C$90="Item prompt",E253,IF('Paste Editor (Beta)'!$C$90="Modifier prompt","'"&amp;B253,IF('Paste Editor (Beta)'!$C$90="Challenge prompt",L253,IF('Paste Editor (Beta)'!$C$90="Reroll class prompt",S252,IF('Paste Editor (Beta)'!$C$90="Swap hero prompt",S252,IF('Paste Editor (Beta)'!$C$90="Anvil prompt",AD252,"")))))))</f>
        <v>0</v>
      </c>
      <c r="AK252" s="283">
        <f>IF('Paste Editor (Beta)'!$C$90="Level-up prompt",G253,IF('Paste Editor (Beta)'!$C$90="Item prompt",E253,IF('Paste Editor (Beta)'!$C$90="Modifier prompt","'"&amp;B253,IF('Paste Editor (Beta)'!$C$90="Challenge prompt",E253,IF('Paste Editor (Beta)'!$C$90="Reroll class prompt",S252,IF('Paste Editor (Beta)'!$C$90="Swap hero prompt",S252,IF('Paste Editor (Beta)'!$C$90="Anvil prompt",AD252,"")))))))</f>
        <v>0</v>
      </c>
    </row>
    <row r="253" spans="2:37" ht="17.25">
      <c r="B253" s="284" t="s">
        <v>2685</v>
      </c>
      <c r="C253" s="284" t="s">
        <v>2685</v>
      </c>
      <c r="D253" s="284" t="s">
        <v>2685</v>
      </c>
      <c r="E253" s="280" t="s">
        <v>1477</v>
      </c>
      <c r="AH253" s="280" t="str">
        <f>IF('Paste Editor (Beta)'!$C$82="Level-up prompt",G254,IF('Paste Editor (Beta)'!$C$82="Item prompt",E254,IF('Paste Editor (Beta)'!$C$82="Modifier prompt","'"&amp;B254,IF('Paste Editor (Beta)'!$C$82="Challenge prompt",L254,IF('Paste Editor (Beta)'!$C$82="Reroll class prompt",S253,IF('Paste Editor (Beta)'!$C$82="Swap hero prompt",S253,IF('Paste Editor (Beta)'!$C$82="Anvil prompt",AD253,"")))))))</f>
        <v/>
      </c>
      <c r="AI253" s="280" t="str">
        <f>IF('Paste Editor (Beta)'!$C$82="Level-up prompt",G254,IF('Paste Editor (Beta)'!$C$82="Item prompt",E254,IF('Paste Editor (Beta)'!$C$82="Modifier prompt","'"&amp;B254,IF('Paste Editor (Beta)'!$C$82="Challenge prompt",E254,IF('Paste Editor (Beta)'!$C$82="Reroll class prompt",S253,IF('Paste Editor (Beta)'!$C$82="Swap hero prompt",S253,IF('Paste Editor (Beta)'!$C$82="Anvil prompt",AD253,"")))))))</f>
        <v/>
      </c>
      <c r="AJ253" s="283">
        <f>IF('Paste Editor (Beta)'!$C$90="Level-up prompt",G254,IF('Paste Editor (Beta)'!$C$90="Item prompt",E254,IF('Paste Editor (Beta)'!$C$90="Modifier prompt","'"&amp;B254,IF('Paste Editor (Beta)'!$C$90="Challenge prompt",L254,IF('Paste Editor (Beta)'!$C$90="Reroll class prompt",S253,IF('Paste Editor (Beta)'!$C$90="Swap hero prompt",S253,IF('Paste Editor (Beta)'!$C$90="Anvil prompt",AD253,"")))))))</f>
        <v>0</v>
      </c>
      <c r="AK253" s="283">
        <f>IF('Paste Editor (Beta)'!$C$90="Level-up prompt",G254,IF('Paste Editor (Beta)'!$C$90="Item prompt",E254,IF('Paste Editor (Beta)'!$C$90="Modifier prompt","'"&amp;B254,IF('Paste Editor (Beta)'!$C$90="Challenge prompt",E254,IF('Paste Editor (Beta)'!$C$90="Reroll class prompt",S253,IF('Paste Editor (Beta)'!$C$90="Swap hero prompt",S253,IF('Paste Editor (Beta)'!$C$90="Anvil prompt",AD253,"")))))))</f>
        <v>0</v>
      </c>
    </row>
    <row r="254" spans="2:37" ht="17.25">
      <c r="B254" s="284" t="s">
        <v>3073</v>
      </c>
      <c r="C254" s="284" t="s">
        <v>3073</v>
      </c>
      <c r="D254" s="284" t="s">
        <v>3073</v>
      </c>
      <c r="E254" s="280" t="s">
        <v>1053</v>
      </c>
      <c r="AH254" s="280" t="str">
        <f>IF('Paste Editor (Beta)'!$C$82="Level-up prompt",G255,IF('Paste Editor (Beta)'!$C$82="Item prompt",E255,IF('Paste Editor (Beta)'!$C$82="Modifier prompt","'"&amp;B255,IF('Paste Editor (Beta)'!$C$82="Challenge prompt",L255,IF('Paste Editor (Beta)'!$C$82="Reroll class prompt",S254,IF('Paste Editor (Beta)'!$C$82="Swap hero prompt",S254,IF('Paste Editor (Beta)'!$C$82="Anvil prompt",AD254,"")))))))</f>
        <v/>
      </c>
      <c r="AI254" s="280" t="str">
        <f>IF('Paste Editor (Beta)'!$C$82="Level-up prompt",G255,IF('Paste Editor (Beta)'!$C$82="Item prompt",E255,IF('Paste Editor (Beta)'!$C$82="Modifier prompt","'"&amp;B255,IF('Paste Editor (Beta)'!$C$82="Challenge prompt",E255,IF('Paste Editor (Beta)'!$C$82="Reroll class prompt",S254,IF('Paste Editor (Beta)'!$C$82="Swap hero prompt",S254,IF('Paste Editor (Beta)'!$C$82="Anvil prompt",AD254,"")))))))</f>
        <v/>
      </c>
      <c r="AJ254" s="283">
        <f>IF('Paste Editor (Beta)'!$C$90="Level-up prompt",G255,IF('Paste Editor (Beta)'!$C$90="Item prompt",E255,IF('Paste Editor (Beta)'!$C$90="Modifier prompt","'"&amp;B255,IF('Paste Editor (Beta)'!$C$90="Challenge prompt",L255,IF('Paste Editor (Beta)'!$C$90="Reroll class prompt",S254,IF('Paste Editor (Beta)'!$C$90="Swap hero prompt",S254,IF('Paste Editor (Beta)'!$C$90="Anvil prompt",AD254,"")))))))</f>
        <v>0</v>
      </c>
      <c r="AK254" s="283">
        <f>IF('Paste Editor (Beta)'!$C$90="Level-up prompt",G255,IF('Paste Editor (Beta)'!$C$90="Item prompt",E255,IF('Paste Editor (Beta)'!$C$90="Modifier prompt","'"&amp;B255,IF('Paste Editor (Beta)'!$C$90="Challenge prompt",E255,IF('Paste Editor (Beta)'!$C$90="Reroll class prompt",S254,IF('Paste Editor (Beta)'!$C$90="Swap hero prompt",S254,IF('Paste Editor (Beta)'!$C$90="Anvil prompt",AD254,"")))))))</f>
        <v>0</v>
      </c>
    </row>
    <row r="255" spans="2:37" ht="17.25">
      <c r="B255" s="284" t="s">
        <v>3061</v>
      </c>
      <c r="C255" s="284" t="s">
        <v>3061</v>
      </c>
      <c r="D255" s="284" t="s">
        <v>3061</v>
      </c>
      <c r="E255" s="280" t="s">
        <v>1353</v>
      </c>
      <c r="AH255" s="280" t="str">
        <f>IF('Paste Editor (Beta)'!$C$82="Level-up prompt",G256,IF('Paste Editor (Beta)'!$C$82="Item prompt",E256,IF('Paste Editor (Beta)'!$C$82="Modifier prompt","'"&amp;B256,IF('Paste Editor (Beta)'!$C$82="Challenge prompt",L256,IF('Paste Editor (Beta)'!$C$82="Reroll class prompt",S255,IF('Paste Editor (Beta)'!$C$82="Swap hero prompt",S255,IF('Paste Editor (Beta)'!$C$82="Anvil prompt",AD255,"")))))))</f>
        <v/>
      </c>
      <c r="AI255" s="280" t="str">
        <f>IF('Paste Editor (Beta)'!$C$82="Level-up prompt",G256,IF('Paste Editor (Beta)'!$C$82="Item prompt",E256,IF('Paste Editor (Beta)'!$C$82="Modifier prompt","'"&amp;B256,IF('Paste Editor (Beta)'!$C$82="Challenge prompt",E256,IF('Paste Editor (Beta)'!$C$82="Reroll class prompt",S255,IF('Paste Editor (Beta)'!$C$82="Swap hero prompt",S255,IF('Paste Editor (Beta)'!$C$82="Anvil prompt",AD255,"")))))))</f>
        <v/>
      </c>
      <c r="AJ255" s="283">
        <f>IF('Paste Editor (Beta)'!$C$90="Level-up prompt",G256,IF('Paste Editor (Beta)'!$C$90="Item prompt",E256,IF('Paste Editor (Beta)'!$C$90="Modifier prompt","'"&amp;B256,IF('Paste Editor (Beta)'!$C$90="Challenge prompt",L256,IF('Paste Editor (Beta)'!$C$90="Reroll class prompt",S255,IF('Paste Editor (Beta)'!$C$90="Swap hero prompt",S255,IF('Paste Editor (Beta)'!$C$90="Anvil prompt",AD255,"")))))))</f>
        <v>0</v>
      </c>
      <c r="AK255" s="283">
        <f>IF('Paste Editor (Beta)'!$C$90="Level-up prompt",G256,IF('Paste Editor (Beta)'!$C$90="Item prompt",E256,IF('Paste Editor (Beta)'!$C$90="Modifier prompt","'"&amp;B256,IF('Paste Editor (Beta)'!$C$90="Challenge prompt",E256,IF('Paste Editor (Beta)'!$C$90="Reroll class prompt",S255,IF('Paste Editor (Beta)'!$C$90="Swap hero prompt",S255,IF('Paste Editor (Beta)'!$C$90="Anvil prompt",AD255,"")))))))</f>
        <v>0</v>
      </c>
    </row>
    <row r="256" spans="2:37" ht="17.25">
      <c r="B256" s="284" t="s">
        <v>2614</v>
      </c>
      <c r="C256" s="284" t="s">
        <v>2614</v>
      </c>
      <c r="D256" s="284" t="s">
        <v>2614</v>
      </c>
      <c r="E256" s="280" t="s">
        <v>1119</v>
      </c>
      <c r="AH256" s="280" t="str">
        <f>IF('Paste Editor (Beta)'!$C$82="Level-up prompt",G257,IF('Paste Editor (Beta)'!$C$82="Item prompt",E257,IF('Paste Editor (Beta)'!$C$82="Modifier prompt","'"&amp;B257,IF('Paste Editor (Beta)'!$C$82="Challenge prompt",L257,IF('Paste Editor (Beta)'!$C$82="Reroll class prompt",S256,IF('Paste Editor (Beta)'!$C$82="Swap hero prompt",S256,IF('Paste Editor (Beta)'!$C$82="Anvil prompt",AD256,"")))))))</f>
        <v/>
      </c>
      <c r="AI256" s="280" t="str">
        <f>IF('Paste Editor (Beta)'!$C$82="Level-up prompt",G257,IF('Paste Editor (Beta)'!$C$82="Item prompt",E257,IF('Paste Editor (Beta)'!$C$82="Modifier prompt","'"&amp;B257,IF('Paste Editor (Beta)'!$C$82="Challenge prompt",E257,IF('Paste Editor (Beta)'!$C$82="Reroll class prompt",S256,IF('Paste Editor (Beta)'!$C$82="Swap hero prompt",S256,IF('Paste Editor (Beta)'!$C$82="Anvil prompt",AD256,"")))))))</f>
        <v/>
      </c>
      <c r="AJ256" s="283">
        <f>IF('Paste Editor (Beta)'!$C$90="Level-up prompt",G257,IF('Paste Editor (Beta)'!$C$90="Item prompt",E257,IF('Paste Editor (Beta)'!$C$90="Modifier prompt","'"&amp;B257,IF('Paste Editor (Beta)'!$C$90="Challenge prompt",L257,IF('Paste Editor (Beta)'!$C$90="Reroll class prompt",S256,IF('Paste Editor (Beta)'!$C$90="Swap hero prompt",S256,IF('Paste Editor (Beta)'!$C$90="Anvil prompt",AD256,"")))))))</f>
        <v>0</v>
      </c>
      <c r="AK256" s="283">
        <f>IF('Paste Editor (Beta)'!$C$90="Level-up prompt",G257,IF('Paste Editor (Beta)'!$C$90="Item prompt",E257,IF('Paste Editor (Beta)'!$C$90="Modifier prompt","'"&amp;B257,IF('Paste Editor (Beta)'!$C$90="Challenge prompt",E257,IF('Paste Editor (Beta)'!$C$90="Reroll class prompt",S256,IF('Paste Editor (Beta)'!$C$90="Swap hero prompt",S256,IF('Paste Editor (Beta)'!$C$90="Anvil prompt",AD256,"")))))))</f>
        <v>0</v>
      </c>
    </row>
    <row r="257" spans="2:37" ht="17.25">
      <c r="B257" s="284" t="s">
        <v>3069</v>
      </c>
      <c r="C257" s="284" t="s">
        <v>3069</v>
      </c>
      <c r="D257" s="284" t="s">
        <v>3069</v>
      </c>
      <c r="E257" s="280" t="s">
        <v>977</v>
      </c>
      <c r="AH257" s="280" t="str">
        <f>IF('Paste Editor (Beta)'!$C$82="Level-up prompt",G258,IF('Paste Editor (Beta)'!$C$82="Item prompt",E258,IF('Paste Editor (Beta)'!$C$82="Modifier prompt","'"&amp;B258,IF('Paste Editor (Beta)'!$C$82="Challenge prompt",L258,IF('Paste Editor (Beta)'!$C$82="Reroll class prompt",S257,IF('Paste Editor (Beta)'!$C$82="Swap hero prompt",S257,IF('Paste Editor (Beta)'!$C$82="Anvil prompt",AD257,"")))))))</f>
        <v/>
      </c>
      <c r="AI257" s="280" t="str">
        <f>IF('Paste Editor (Beta)'!$C$82="Level-up prompt",G258,IF('Paste Editor (Beta)'!$C$82="Item prompt",E258,IF('Paste Editor (Beta)'!$C$82="Modifier prompt","'"&amp;B258,IF('Paste Editor (Beta)'!$C$82="Challenge prompt",E258,IF('Paste Editor (Beta)'!$C$82="Reroll class prompt",S257,IF('Paste Editor (Beta)'!$C$82="Swap hero prompt",S257,IF('Paste Editor (Beta)'!$C$82="Anvil prompt",AD257,"")))))))</f>
        <v/>
      </c>
      <c r="AJ257" s="283">
        <f>IF('Paste Editor (Beta)'!$C$90="Level-up prompt",G258,IF('Paste Editor (Beta)'!$C$90="Item prompt",E258,IF('Paste Editor (Beta)'!$C$90="Modifier prompt","'"&amp;B258,IF('Paste Editor (Beta)'!$C$90="Challenge prompt",L258,IF('Paste Editor (Beta)'!$C$90="Reroll class prompt",S257,IF('Paste Editor (Beta)'!$C$90="Swap hero prompt",S257,IF('Paste Editor (Beta)'!$C$90="Anvil prompt",AD257,"")))))))</f>
        <v>0</v>
      </c>
      <c r="AK257" s="283">
        <f>IF('Paste Editor (Beta)'!$C$90="Level-up prompt",G258,IF('Paste Editor (Beta)'!$C$90="Item prompt",E258,IF('Paste Editor (Beta)'!$C$90="Modifier prompt","'"&amp;B258,IF('Paste Editor (Beta)'!$C$90="Challenge prompt",E258,IF('Paste Editor (Beta)'!$C$90="Reroll class prompt",S257,IF('Paste Editor (Beta)'!$C$90="Swap hero prompt",S257,IF('Paste Editor (Beta)'!$C$90="Anvil prompt",AD257,"")))))))</f>
        <v>0</v>
      </c>
    </row>
    <row r="258" spans="2:37" ht="17.25">
      <c r="B258" s="284" t="s">
        <v>3055</v>
      </c>
      <c r="C258" s="284" t="s">
        <v>3055</v>
      </c>
      <c r="D258" s="284" t="s">
        <v>3055</v>
      </c>
      <c r="E258" s="280" t="s">
        <v>895</v>
      </c>
      <c r="AH258" s="280" t="str">
        <f>IF('Paste Editor (Beta)'!$C$82="Level-up prompt",G259,IF('Paste Editor (Beta)'!$C$82="Item prompt",E259,IF('Paste Editor (Beta)'!$C$82="Modifier prompt","'"&amp;B259,IF('Paste Editor (Beta)'!$C$82="Challenge prompt",L259,IF('Paste Editor (Beta)'!$C$82="Reroll class prompt",S258,IF('Paste Editor (Beta)'!$C$82="Swap hero prompt",S258,IF('Paste Editor (Beta)'!$C$82="Anvil prompt",AD258,"")))))))</f>
        <v/>
      </c>
      <c r="AI258" s="280" t="str">
        <f>IF('Paste Editor (Beta)'!$C$82="Level-up prompt",G259,IF('Paste Editor (Beta)'!$C$82="Item prompt",E259,IF('Paste Editor (Beta)'!$C$82="Modifier prompt","'"&amp;B259,IF('Paste Editor (Beta)'!$C$82="Challenge prompt",E259,IF('Paste Editor (Beta)'!$C$82="Reroll class prompt",S258,IF('Paste Editor (Beta)'!$C$82="Swap hero prompt",S258,IF('Paste Editor (Beta)'!$C$82="Anvil prompt",AD258,"")))))))</f>
        <v/>
      </c>
      <c r="AJ258" s="283">
        <f>IF('Paste Editor (Beta)'!$C$90="Level-up prompt",G259,IF('Paste Editor (Beta)'!$C$90="Item prompt",E259,IF('Paste Editor (Beta)'!$C$90="Modifier prompt","'"&amp;B259,IF('Paste Editor (Beta)'!$C$90="Challenge prompt",L259,IF('Paste Editor (Beta)'!$C$90="Reroll class prompt",S258,IF('Paste Editor (Beta)'!$C$90="Swap hero prompt",S258,IF('Paste Editor (Beta)'!$C$90="Anvil prompt",AD258,"")))))))</f>
        <v>0</v>
      </c>
      <c r="AK258" s="283">
        <f>IF('Paste Editor (Beta)'!$C$90="Level-up prompt",G259,IF('Paste Editor (Beta)'!$C$90="Item prompt",E259,IF('Paste Editor (Beta)'!$C$90="Modifier prompt","'"&amp;B259,IF('Paste Editor (Beta)'!$C$90="Challenge prompt",E259,IF('Paste Editor (Beta)'!$C$90="Reroll class prompt",S258,IF('Paste Editor (Beta)'!$C$90="Swap hero prompt",S258,IF('Paste Editor (Beta)'!$C$90="Anvil prompt",AD258,"")))))))</f>
        <v>0</v>
      </c>
    </row>
    <row r="259" spans="2:37" ht="17.25">
      <c r="B259" s="284" t="s">
        <v>3107</v>
      </c>
      <c r="C259" s="284" t="s">
        <v>3107</v>
      </c>
      <c r="D259" s="284" t="s">
        <v>3107</v>
      </c>
      <c r="E259" s="280" t="s">
        <v>1479</v>
      </c>
      <c r="AH259" s="280" t="str">
        <f>IF('Paste Editor (Beta)'!$C$82="Level-up prompt",G260,IF('Paste Editor (Beta)'!$C$82="Item prompt",E260,IF('Paste Editor (Beta)'!$C$82="Modifier prompt","'"&amp;B260,IF('Paste Editor (Beta)'!$C$82="Challenge prompt",L260,IF('Paste Editor (Beta)'!$C$82="Reroll class prompt",S259,IF('Paste Editor (Beta)'!$C$82="Swap hero prompt",S259,IF('Paste Editor (Beta)'!$C$82="Anvil prompt",AD259,"")))))))</f>
        <v/>
      </c>
      <c r="AI259" s="280" t="str">
        <f>IF('Paste Editor (Beta)'!$C$82="Level-up prompt",G260,IF('Paste Editor (Beta)'!$C$82="Item prompt",E260,IF('Paste Editor (Beta)'!$C$82="Modifier prompt","'"&amp;B260,IF('Paste Editor (Beta)'!$C$82="Challenge prompt",E260,IF('Paste Editor (Beta)'!$C$82="Reroll class prompt",S259,IF('Paste Editor (Beta)'!$C$82="Swap hero prompt",S259,IF('Paste Editor (Beta)'!$C$82="Anvil prompt",AD259,"")))))))</f>
        <v/>
      </c>
      <c r="AJ259" s="283">
        <f>IF('Paste Editor (Beta)'!$C$90="Level-up prompt",G260,IF('Paste Editor (Beta)'!$C$90="Item prompt",E260,IF('Paste Editor (Beta)'!$C$90="Modifier prompt","'"&amp;B260,IF('Paste Editor (Beta)'!$C$90="Challenge prompt",L260,IF('Paste Editor (Beta)'!$C$90="Reroll class prompt",S259,IF('Paste Editor (Beta)'!$C$90="Swap hero prompt",S259,IF('Paste Editor (Beta)'!$C$90="Anvil prompt",AD259,"")))))))</f>
        <v>0</v>
      </c>
      <c r="AK259" s="283">
        <f>IF('Paste Editor (Beta)'!$C$90="Level-up prompt",G260,IF('Paste Editor (Beta)'!$C$90="Item prompt",E260,IF('Paste Editor (Beta)'!$C$90="Modifier prompt","'"&amp;B260,IF('Paste Editor (Beta)'!$C$90="Challenge prompt",E260,IF('Paste Editor (Beta)'!$C$90="Reroll class prompt",S259,IF('Paste Editor (Beta)'!$C$90="Swap hero prompt",S259,IF('Paste Editor (Beta)'!$C$90="Anvil prompt",AD259,"")))))))</f>
        <v>0</v>
      </c>
    </row>
    <row r="260" spans="2:37" ht="17.25">
      <c r="B260" s="284" t="s">
        <v>3051</v>
      </c>
      <c r="C260" s="284" t="s">
        <v>3051</v>
      </c>
      <c r="D260" s="284" t="s">
        <v>3051</v>
      </c>
      <c r="E260" s="280" t="s">
        <v>1420</v>
      </c>
      <c r="AH260" s="280" t="str">
        <f>IF('Paste Editor (Beta)'!$C$82="Level-up prompt",G261,IF('Paste Editor (Beta)'!$C$82="Item prompt",E261,IF('Paste Editor (Beta)'!$C$82="Modifier prompt","'"&amp;B261,IF('Paste Editor (Beta)'!$C$82="Challenge prompt",L261,IF('Paste Editor (Beta)'!$C$82="Reroll class prompt",S260,IF('Paste Editor (Beta)'!$C$82="Swap hero prompt",S260,IF('Paste Editor (Beta)'!$C$82="Anvil prompt",AD260,"")))))))</f>
        <v/>
      </c>
      <c r="AI260" s="280" t="str">
        <f>IF('Paste Editor (Beta)'!$C$82="Level-up prompt",G261,IF('Paste Editor (Beta)'!$C$82="Item prompt",E261,IF('Paste Editor (Beta)'!$C$82="Modifier prompt","'"&amp;B261,IF('Paste Editor (Beta)'!$C$82="Challenge prompt",E261,IF('Paste Editor (Beta)'!$C$82="Reroll class prompt",S260,IF('Paste Editor (Beta)'!$C$82="Swap hero prompt",S260,IF('Paste Editor (Beta)'!$C$82="Anvil prompt",AD260,"")))))))</f>
        <v/>
      </c>
      <c r="AJ260" s="283">
        <f>IF('Paste Editor (Beta)'!$C$90="Level-up prompt",G261,IF('Paste Editor (Beta)'!$C$90="Item prompt",E261,IF('Paste Editor (Beta)'!$C$90="Modifier prompt","'"&amp;B261,IF('Paste Editor (Beta)'!$C$90="Challenge prompt",L261,IF('Paste Editor (Beta)'!$C$90="Reroll class prompt",S260,IF('Paste Editor (Beta)'!$C$90="Swap hero prompt",S260,IF('Paste Editor (Beta)'!$C$90="Anvil prompt",AD260,"")))))))</f>
        <v>0</v>
      </c>
      <c r="AK260" s="283">
        <f>IF('Paste Editor (Beta)'!$C$90="Level-up prompt",G261,IF('Paste Editor (Beta)'!$C$90="Item prompt",E261,IF('Paste Editor (Beta)'!$C$90="Modifier prompt","'"&amp;B261,IF('Paste Editor (Beta)'!$C$90="Challenge prompt",E261,IF('Paste Editor (Beta)'!$C$90="Reroll class prompt",S260,IF('Paste Editor (Beta)'!$C$90="Swap hero prompt",S260,IF('Paste Editor (Beta)'!$C$90="Anvil prompt",AD260,"")))))))</f>
        <v>0</v>
      </c>
    </row>
    <row r="261" spans="2:37" ht="17.25">
      <c r="B261" s="284" t="s">
        <v>2687</v>
      </c>
      <c r="C261" s="284" t="s">
        <v>2687</v>
      </c>
      <c r="D261" s="284" t="s">
        <v>2687</v>
      </c>
      <c r="E261" s="280" t="s">
        <v>980</v>
      </c>
      <c r="AH261" s="280" t="str">
        <f>IF('Paste Editor (Beta)'!$C$82="Level-up prompt",G262,IF('Paste Editor (Beta)'!$C$82="Item prompt",E262,IF('Paste Editor (Beta)'!$C$82="Modifier prompt","'"&amp;B262,IF('Paste Editor (Beta)'!$C$82="Challenge prompt",L262,IF('Paste Editor (Beta)'!$C$82="Reroll class prompt",S261,IF('Paste Editor (Beta)'!$C$82="Swap hero prompt",S261,IF('Paste Editor (Beta)'!$C$82="Anvil prompt",AD261,"")))))))</f>
        <v/>
      </c>
      <c r="AI261" s="280" t="str">
        <f>IF('Paste Editor (Beta)'!$C$82="Level-up prompt",G262,IF('Paste Editor (Beta)'!$C$82="Item prompt",E262,IF('Paste Editor (Beta)'!$C$82="Modifier prompt","'"&amp;B262,IF('Paste Editor (Beta)'!$C$82="Challenge prompt",E262,IF('Paste Editor (Beta)'!$C$82="Reroll class prompt",S261,IF('Paste Editor (Beta)'!$C$82="Swap hero prompt",S261,IF('Paste Editor (Beta)'!$C$82="Anvil prompt",AD261,"")))))))</f>
        <v/>
      </c>
      <c r="AJ261" s="283">
        <f>IF('Paste Editor (Beta)'!$C$90="Level-up prompt",G262,IF('Paste Editor (Beta)'!$C$90="Item prompt",E262,IF('Paste Editor (Beta)'!$C$90="Modifier prompt","'"&amp;B262,IF('Paste Editor (Beta)'!$C$90="Challenge prompt",L262,IF('Paste Editor (Beta)'!$C$90="Reroll class prompt",S261,IF('Paste Editor (Beta)'!$C$90="Swap hero prompt",S261,IF('Paste Editor (Beta)'!$C$90="Anvil prompt",AD261,"")))))))</f>
        <v>0</v>
      </c>
      <c r="AK261" s="283">
        <f>IF('Paste Editor (Beta)'!$C$90="Level-up prompt",G262,IF('Paste Editor (Beta)'!$C$90="Item prompt",E262,IF('Paste Editor (Beta)'!$C$90="Modifier prompt","'"&amp;B262,IF('Paste Editor (Beta)'!$C$90="Challenge prompt",E262,IF('Paste Editor (Beta)'!$C$90="Reroll class prompt",S261,IF('Paste Editor (Beta)'!$C$90="Swap hero prompt",S261,IF('Paste Editor (Beta)'!$C$90="Anvil prompt",AD261,"")))))))</f>
        <v>0</v>
      </c>
    </row>
    <row r="262" spans="2:37" ht="17.25">
      <c r="B262" s="284" t="s">
        <v>3057</v>
      </c>
      <c r="C262" s="284" t="s">
        <v>3057</v>
      </c>
      <c r="D262" s="284" t="s">
        <v>3057</v>
      </c>
      <c r="E262" s="280" t="s">
        <v>1481</v>
      </c>
      <c r="AH262" s="280" t="str">
        <f>IF('Paste Editor (Beta)'!$C$82="Level-up prompt",G263,IF('Paste Editor (Beta)'!$C$82="Item prompt",E263,IF('Paste Editor (Beta)'!$C$82="Modifier prompt","'"&amp;B263,IF('Paste Editor (Beta)'!$C$82="Challenge prompt",L263,IF('Paste Editor (Beta)'!$C$82="Reroll class prompt",S262,IF('Paste Editor (Beta)'!$C$82="Swap hero prompt",S262,IF('Paste Editor (Beta)'!$C$82="Anvil prompt",AD262,"")))))))</f>
        <v/>
      </c>
      <c r="AI262" s="280" t="str">
        <f>IF('Paste Editor (Beta)'!$C$82="Level-up prompt",G263,IF('Paste Editor (Beta)'!$C$82="Item prompt",E263,IF('Paste Editor (Beta)'!$C$82="Modifier prompt","'"&amp;B263,IF('Paste Editor (Beta)'!$C$82="Challenge prompt",E263,IF('Paste Editor (Beta)'!$C$82="Reroll class prompt",S262,IF('Paste Editor (Beta)'!$C$82="Swap hero prompt",S262,IF('Paste Editor (Beta)'!$C$82="Anvil prompt",AD262,"")))))))</f>
        <v/>
      </c>
      <c r="AJ262" s="283">
        <f>IF('Paste Editor (Beta)'!$C$90="Level-up prompt",G263,IF('Paste Editor (Beta)'!$C$90="Item prompt",E263,IF('Paste Editor (Beta)'!$C$90="Modifier prompt","'"&amp;B263,IF('Paste Editor (Beta)'!$C$90="Challenge prompt",L263,IF('Paste Editor (Beta)'!$C$90="Reroll class prompt",S262,IF('Paste Editor (Beta)'!$C$90="Swap hero prompt",S262,IF('Paste Editor (Beta)'!$C$90="Anvil prompt",AD262,"")))))))</f>
        <v>0</v>
      </c>
      <c r="AK262" s="283">
        <f>IF('Paste Editor (Beta)'!$C$90="Level-up prompt",G263,IF('Paste Editor (Beta)'!$C$90="Item prompt",E263,IF('Paste Editor (Beta)'!$C$90="Modifier prompt","'"&amp;B263,IF('Paste Editor (Beta)'!$C$90="Challenge prompt",E263,IF('Paste Editor (Beta)'!$C$90="Reroll class prompt",S262,IF('Paste Editor (Beta)'!$C$90="Swap hero prompt",S262,IF('Paste Editor (Beta)'!$C$90="Anvil prompt",AD262,"")))))))</f>
        <v>0</v>
      </c>
    </row>
    <row r="263" spans="2:37" ht="17.25">
      <c r="B263" s="284" t="s">
        <v>2965</v>
      </c>
      <c r="C263" s="284" t="s">
        <v>2965</v>
      </c>
      <c r="D263" s="284" t="s">
        <v>2965</v>
      </c>
      <c r="E263" s="280" t="s">
        <v>1422</v>
      </c>
      <c r="AH263" s="280" t="str">
        <f>IF('Paste Editor (Beta)'!$C$82="Level-up prompt",G264,IF('Paste Editor (Beta)'!$C$82="Item prompt",E264,IF('Paste Editor (Beta)'!$C$82="Modifier prompt","'"&amp;B264,IF('Paste Editor (Beta)'!$C$82="Challenge prompt",L264,IF('Paste Editor (Beta)'!$C$82="Reroll class prompt",S263,IF('Paste Editor (Beta)'!$C$82="Swap hero prompt",S263,IF('Paste Editor (Beta)'!$C$82="Anvil prompt",AD263,"")))))))</f>
        <v/>
      </c>
      <c r="AI263" s="280" t="str">
        <f>IF('Paste Editor (Beta)'!$C$82="Level-up prompt",G264,IF('Paste Editor (Beta)'!$C$82="Item prompt",E264,IF('Paste Editor (Beta)'!$C$82="Modifier prompt","'"&amp;B264,IF('Paste Editor (Beta)'!$C$82="Challenge prompt",E264,IF('Paste Editor (Beta)'!$C$82="Reroll class prompt",S263,IF('Paste Editor (Beta)'!$C$82="Swap hero prompt",S263,IF('Paste Editor (Beta)'!$C$82="Anvil prompt",AD263,"")))))))</f>
        <v/>
      </c>
      <c r="AJ263" s="283">
        <f>IF('Paste Editor (Beta)'!$C$90="Level-up prompt",G264,IF('Paste Editor (Beta)'!$C$90="Item prompt",E264,IF('Paste Editor (Beta)'!$C$90="Modifier prompt","'"&amp;B264,IF('Paste Editor (Beta)'!$C$90="Challenge prompt",L264,IF('Paste Editor (Beta)'!$C$90="Reroll class prompt",S263,IF('Paste Editor (Beta)'!$C$90="Swap hero prompt",S263,IF('Paste Editor (Beta)'!$C$90="Anvil prompt",AD263,"")))))))</f>
        <v>0</v>
      </c>
      <c r="AK263" s="283">
        <f>IF('Paste Editor (Beta)'!$C$90="Level-up prompt",G264,IF('Paste Editor (Beta)'!$C$90="Item prompt",E264,IF('Paste Editor (Beta)'!$C$90="Modifier prompt","'"&amp;B264,IF('Paste Editor (Beta)'!$C$90="Challenge prompt",E264,IF('Paste Editor (Beta)'!$C$90="Reroll class prompt",S263,IF('Paste Editor (Beta)'!$C$90="Swap hero prompt",S263,IF('Paste Editor (Beta)'!$C$90="Anvil prompt",AD263,"")))))))</f>
        <v>0</v>
      </c>
    </row>
    <row r="264" spans="2:37" ht="17.25">
      <c r="B264" s="284" t="s">
        <v>3089</v>
      </c>
      <c r="C264" s="284" t="s">
        <v>3089</v>
      </c>
      <c r="D264" s="284" t="s">
        <v>3089</v>
      </c>
      <c r="E264" s="280" t="s">
        <v>1355</v>
      </c>
      <c r="AH264" s="280" t="str">
        <f>IF('Paste Editor (Beta)'!$C$82="Level-up prompt",G265,IF('Paste Editor (Beta)'!$C$82="Item prompt",E265,IF('Paste Editor (Beta)'!$C$82="Modifier prompt","'"&amp;B265,IF('Paste Editor (Beta)'!$C$82="Challenge prompt",L265,IF('Paste Editor (Beta)'!$C$82="Reroll class prompt",S264,IF('Paste Editor (Beta)'!$C$82="Swap hero prompt",S264,IF('Paste Editor (Beta)'!$C$82="Anvil prompt",AD264,"")))))))</f>
        <v/>
      </c>
      <c r="AI264" s="280" t="str">
        <f>IF('Paste Editor (Beta)'!$C$82="Level-up prompt",G265,IF('Paste Editor (Beta)'!$C$82="Item prompt",E265,IF('Paste Editor (Beta)'!$C$82="Modifier prompt","'"&amp;B265,IF('Paste Editor (Beta)'!$C$82="Challenge prompt",E265,IF('Paste Editor (Beta)'!$C$82="Reroll class prompt",S264,IF('Paste Editor (Beta)'!$C$82="Swap hero prompt",S264,IF('Paste Editor (Beta)'!$C$82="Anvil prompt",AD264,"")))))))</f>
        <v/>
      </c>
      <c r="AJ264" s="283">
        <f>IF('Paste Editor (Beta)'!$C$90="Level-up prompt",G265,IF('Paste Editor (Beta)'!$C$90="Item prompt",E265,IF('Paste Editor (Beta)'!$C$90="Modifier prompt","'"&amp;B265,IF('Paste Editor (Beta)'!$C$90="Challenge prompt",L265,IF('Paste Editor (Beta)'!$C$90="Reroll class prompt",S264,IF('Paste Editor (Beta)'!$C$90="Swap hero prompt",S264,IF('Paste Editor (Beta)'!$C$90="Anvil prompt",AD264,"")))))))</f>
        <v>0</v>
      </c>
      <c r="AK264" s="283">
        <f>IF('Paste Editor (Beta)'!$C$90="Level-up prompt",G265,IF('Paste Editor (Beta)'!$C$90="Item prompt",E265,IF('Paste Editor (Beta)'!$C$90="Modifier prompt","'"&amp;B265,IF('Paste Editor (Beta)'!$C$90="Challenge prompt",E265,IF('Paste Editor (Beta)'!$C$90="Reroll class prompt",S264,IF('Paste Editor (Beta)'!$C$90="Swap hero prompt",S264,IF('Paste Editor (Beta)'!$C$90="Anvil prompt",AD264,"")))))))</f>
        <v>0</v>
      </c>
    </row>
    <row r="265" spans="2:37" ht="17.25">
      <c r="B265" s="284" t="s">
        <v>3095</v>
      </c>
      <c r="C265" s="284" t="s">
        <v>3095</v>
      </c>
      <c r="D265" s="284" t="s">
        <v>3095</v>
      </c>
      <c r="E265" s="280" t="s">
        <v>1275</v>
      </c>
      <c r="AH265" s="280" t="str">
        <f>IF('Paste Editor (Beta)'!$C$82="Level-up prompt",G266,IF('Paste Editor (Beta)'!$C$82="Item prompt",E266,IF('Paste Editor (Beta)'!$C$82="Modifier prompt","'"&amp;B266,IF('Paste Editor (Beta)'!$C$82="Challenge prompt",L266,IF('Paste Editor (Beta)'!$C$82="Reroll class prompt",S265,IF('Paste Editor (Beta)'!$C$82="Swap hero prompt",S265,IF('Paste Editor (Beta)'!$C$82="Anvil prompt",AD265,"")))))))</f>
        <v/>
      </c>
      <c r="AI265" s="280" t="str">
        <f>IF('Paste Editor (Beta)'!$C$82="Level-up prompt",G266,IF('Paste Editor (Beta)'!$C$82="Item prompt",E266,IF('Paste Editor (Beta)'!$C$82="Modifier prompt","'"&amp;B266,IF('Paste Editor (Beta)'!$C$82="Challenge prompt",E266,IF('Paste Editor (Beta)'!$C$82="Reroll class prompt",S265,IF('Paste Editor (Beta)'!$C$82="Swap hero prompt",S265,IF('Paste Editor (Beta)'!$C$82="Anvil prompt",AD265,"")))))))</f>
        <v/>
      </c>
      <c r="AJ265" s="283">
        <f>IF('Paste Editor (Beta)'!$C$90="Level-up prompt",G266,IF('Paste Editor (Beta)'!$C$90="Item prompt",E266,IF('Paste Editor (Beta)'!$C$90="Modifier prompt","'"&amp;B266,IF('Paste Editor (Beta)'!$C$90="Challenge prompt",L266,IF('Paste Editor (Beta)'!$C$90="Reroll class prompt",S265,IF('Paste Editor (Beta)'!$C$90="Swap hero prompt",S265,IF('Paste Editor (Beta)'!$C$90="Anvil prompt",AD265,"")))))))</f>
        <v>0</v>
      </c>
      <c r="AK265" s="283">
        <f>IF('Paste Editor (Beta)'!$C$90="Level-up prompt",G266,IF('Paste Editor (Beta)'!$C$90="Item prompt",E266,IF('Paste Editor (Beta)'!$C$90="Modifier prompt","'"&amp;B266,IF('Paste Editor (Beta)'!$C$90="Challenge prompt",E266,IF('Paste Editor (Beta)'!$C$90="Reroll class prompt",S265,IF('Paste Editor (Beta)'!$C$90="Swap hero prompt",S265,IF('Paste Editor (Beta)'!$C$90="Anvil prompt",AD265,"")))))))</f>
        <v>0</v>
      </c>
    </row>
    <row r="266" spans="2:37" ht="17.25">
      <c r="B266" s="284" t="s">
        <v>2937</v>
      </c>
      <c r="C266" s="284" t="s">
        <v>2937</v>
      </c>
      <c r="D266" s="284" t="s">
        <v>2937</v>
      </c>
      <c r="E266" s="280" t="s">
        <v>1055</v>
      </c>
      <c r="AH266" s="280" t="str">
        <f>IF('Paste Editor (Beta)'!$C$82="Level-up prompt",G267,IF('Paste Editor (Beta)'!$C$82="Item prompt",E267,IF('Paste Editor (Beta)'!$C$82="Modifier prompt","'"&amp;B267,IF('Paste Editor (Beta)'!$C$82="Challenge prompt",L267,IF('Paste Editor (Beta)'!$C$82="Reroll class prompt",S266,IF('Paste Editor (Beta)'!$C$82="Swap hero prompt",S266,IF('Paste Editor (Beta)'!$C$82="Anvil prompt",AD266,"")))))))</f>
        <v/>
      </c>
      <c r="AI266" s="280" t="str">
        <f>IF('Paste Editor (Beta)'!$C$82="Level-up prompt",G267,IF('Paste Editor (Beta)'!$C$82="Item prompt",E267,IF('Paste Editor (Beta)'!$C$82="Modifier prompt","'"&amp;B267,IF('Paste Editor (Beta)'!$C$82="Challenge prompt",E267,IF('Paste Editor (Beta)'!$C$82="Reroll class prompt",S266,IF('Paste Editor (Beta)'!$C$82="Swap hero prompt",S266,IF('Paste Editor (Beta)'!$C$82="Anvil prompt",AD266,"")))))))</f>
        <v/>
      </c>
      <c r="AJ266" s="283">
        <f>IF('Paste Editor (Beta)'!$C$90="Level-up prompt",G267,IF('Paste Editor (Beta)'!$C$90="Item prompt",E267,IF('Paste Editor (Beta)'!$C$90="Modifier prompt","'"&amp;B267,IF('Paste Editor (Beta)'!$C$90="Challenge prompt",L267,IF('Paste Editor (Beta)'!$C$90="Reroll class prompt",S266,IF('Paste Editor (Beta)'!$C$90="Swap hero prompt",S266,IF('Paste Editor (Beta)'!$C$90="Anvil prompt",AD266,"")))))))</f>
        <v>0</v>
      </c>
      <c r="AK266" s="283">
        <f>IF('Paste Editor (Beta)'!$C$90="Level-up prompt",G267,IF('Paste Editor (Beta)'!$C$90="Item prompt",E267,IF('Paste Editor (Beta)'!$C$90="Modifier prompt","'"&amp;B267,IF('Paste Editor (Beta)'!$C$90="Challenge prompt",E267,IF('Paste Editor (Beta)'!$C$90="Reroll class prompt",S266,IF('Paste Editor (Beta)'!$C$90="Swap hero prompt",S266,IF('Paste Editor (Beta)'!$C$90="Anvil prompt",AD266,"")))))))</f>
        <v>0</v>
      </c>
    </row>
    <row r="267" spans="2:37" ht="17.25">
      <c r="B267" s="284" t="s">
        <v>3085</v>
      </c>
      <c r="C267" s="284" t="s">
        <v>3085</v>
      </c>
      <c r="D267" s="284" t="s">
        <v>3085</v>
      </c>
      <c r="E267" s="280" t="s">
        <v>1277</v>
      </c>
      <c r="AH267" s="280" t="str">
        <f>IF('Paste Editor (Beta)'!$C$82="Level-up prompt",G268,IF('Paste Editor (Beta)'!$C$82="Item prompt",E268,IF('Paste Editor (Beta)'!$C$82="Modifier prompt","'"&amp;B268,IF('Paste Editor (Beta)'!$C$82="Challenge prompt",L268,IF('Paste Editor (Beta)'!$C$82="Reroll class prompt",S267,IF('Paste Editor (Beta)'!$C$82="Swap hero prompt",S267,IF('Paste Editor (Beta)'!$C$82="Anvil prompt",AD267,"")))))))</f>
        <v/>
      </c>
      <c r="AI267" s="280" t="str">
        <f>IF('Paste Editor (Beta)'!$C$82="Level-up prompt",G268,IF('Paste Editor (Beta)'!$C$82="Item prompt",E268,IF('Paste Editor (Beta)'!$C$82="Modifier prompt","'"&amp;B268,IF('Paste Editor (Beta)'!$C$82="Challenge prompt",E268,IF('Paste Editor (Beta)'!$C$82="Reroll class prompt",S267,IF('Paste Editor (Beta)'!$C$82="Swap hero prompt",S267,IF('Paste Editor (Beta)'!$C$82="Anvil prompt",AD267,"")))))))</f>
        <v/>
      </c>
      <c r="AJ267" s="283">
        <f>IF('Paste Editor (Beta)'!$C$90="Level-up prompt",G268,IF('Paste Editor (Beta)'!$C$90="Item prompt",E268,IF('Paste Editor (Beta)'!$C$90="Modifier prompt","'"&amp;B268,IF('Paste Editor (Beta)'!$C$90="Challenge prompt",L268,IF('Paste Editor (Beta)'!$C$90="Reroll class prompt",S267,IF('Paste Editor (Beta)'!$C$90="Swap hero prompt",S267,IF('Paste Editor (Beta)'!$C$90="Anvil prompt",AD267,"")))))))</f>
        <v>0</v>
      </c>
      <c r="AK267" s="283">
        <f>IF('Paste Editor (Beta)'!$C$90="Level-up prompt",G268,IF('Paste Editor (Beta)'!$C$90="Item prompt",E268,IF('Paste Editor (Beta)'!$C$90="Modifier prompt","'"&amp;B268,IF('Paste Editor (Beta)'!$C$90="Challenge prompt",E268,IF('Paste Editor (Beta)'!$C$90="Reroll class prompt",S267,IF('Paste Editor (Beta)'!$C$90="Swap hero prompt",S267,IF('Paste Editor (Beta)'!$C$90="Anvil prompt",AD267,"")))))))</f>
        <v>0</v>
      </c>
    </row>
    <row r="268" spans="2:37" ht="17.25">
      <c r="B268" s="284" t="s">
        <v>3093</v>
      </c>
      <c r="C268" s="284" t="s">
        <v>3093</v>
      </c>
      <c r="D268" s="284" t="s">
        <v>3093</v>
      </c>
      <c r="E268" s="280" t="s">
        <v>1424</v>
      </c>
      <c r="AH268" s="280" t="str">
        <f>IF('Paste Editor (Beta)'!$C$82="Level-up prompt",G269,IF('Paste Editor (Beta)'!$C$82="Item prompt",E269,IF('Paste Editor (Beta)'!$C$82="Modifier prompt","'"&amp;B269,IF('Paste Editor (Beta)'!$C$82="Challenge prompt",L269,IF('Paste Editor (Beta)'!$C$82="Reroll class prompt",S268,IF('Paste Editor (Beta)'!$C$82="Swap hero prompt",S268,IF('Paste Editor (Beta)'!$C$82="Anvil prompt",AD268,"")))))))</f>
        <v/>
      </c>
      <c r="AI268" s="280" t="str">
        <f>IF('Paste Editor (Beta)'!$C$82="Level-up prompt",G269,IF('Paste Editor (Beta)'!$C$82="Item prompt",E269,IF('Paste Editor (Beta)'!$C$82="Modifier prompt","'"&amp;B269,IF('Paste Editor (Beta)'!$C$82="Challenge prompt",E269,IF('Paste Editor (Beta)'!$C$82="Reroll class prompt",S268,IF('Paste Editor (Beta)'!$C$82="Swap hero prompt",S268,IF('Paste Editor (Beta)'!$C$82="Anvil prompt",AD268,"")))))))</f>
        <v/>
      </c>
      <c r="AJ268" s="283">
        <f>IF('Paste Editor (Beta)'!$C$90="Level-up prompt",G269,IF('Paste Editor (Beta)'!$C$90="Item prompt",E269,IF('Paste Editor (Beta)'!$C$90="Modifier prompt","'"&amp;B269,IF('Paste Editor (Beta)'!$C$90="Challenge prompt",L269,IF('Paste Editor (Beta)'!$C$90="Reroll class prompt",S268,IF('Paste Editor (Beta)'!$C$90="Swap hero prompt",S268,IF('Paste Editor (Beta)'!$C$90="Anvil prompt",AD268,"")))))))</f>
        <v>0</v>
      </c>
      <c r="AK268" s="283">
        <f>IF('Paste Editor (Beta)'!$C$90="Level-up prompt",G269,IF('Paste Editor (Beta)'!$C$90="Item prompt",E269,IF('Paste Editor (Beta)'!$C$90="Modifier prompt","'"&amp;B269,IF('Paste Editor (Beta)'!$C$90="Challenge prompt",E269,IF('Paste Editor (Beta)'!$C$90="Reroll class prompt",S268,IF('Paste Editor (Beta)'!$C$90="Swap hero prompt",S268,IF('Paste Editor (Beta)'!$C$90="Anvil prompt",AD268,"")))))))</f>
        <v>0</v>
      </c>
    </row>
    <row r="269" spans="2:37" ht="17.25">
      <c r="B269" s="284" t="s">
        <v>2915</v>
      </c>
      <c r="C269" s="284" t="s">
        <v>2915</v>
      </c>
      <c r="D269" s="284" t="s">
        <v>2915</v>
      </c>
      <c r="E269" s="280" t="s">
        <v>1525</v>
      </c>
      <c r="AH269" s="280" t="str">
        <f>IF('Paste Editor (Beta)'!$C$82="Level-up prompt",G270,IF('Paste Editor (Beta)'!$C$82="Item prompt",E270,IF('Paste Editor (Beta)'!$C$82="Modifier prompt","'"&amp;B270,IF('Paste Editor (Beta)'!$C$82="Challenge prompt",L270,IF('Paste Editor (Beta)'!$C$82="Reroll class prompt",S269,IF('Paste Editor (Beta)'!$C$82="Swap hero prompt",S269,IF('Paste Editor (Beta)'!$C$82="Anvil prompt",AD269,"")))))))</f>
        <v/>
      </c>
      <c r="AI269" s="280" t="str">
        <f>IF('Paste Editor (Beta)'!$C$82="Level-up prompt",G270,IF('Paste Editor (Beta)'!$C$82="Item prompt",E270,IF('Paste Editor (Beta)'!$C$82="Modifier prompt","'"&amp;B270,IF('Paste Editor (Beta)'!$C$82="Challenge prompt",E270,IF('Paste Editor (Beta)'!$C$82="Reroll class prompt",S269,IF('Paste Editor (Beta)'!$C$82="Swap hero prompt",S269,IF('Paste Editor (Beta)'!$C$82="Anvil prompt",AD269,"")))))))</f>
        <v/>
      </c>
      <c r="AJ269" s="283">
        <f>IF('Paste Editor (Beta)'!$C$90="Level-up prompt",G270,IF('Paste Editor (Beta)'!$C$90="Item prompt",E270,IF('Paste Editor (Beta)'!$C$90="Modifier prompt","'"&amp;B270,IF('Paste Editor (Beta)'!$C$90="Challenge prompt",L270,IF('Paste Editor (Beta)'!$C$90="Reroll class prompt",S269,IF('Paste Editor (Beta)'!$C$90="Swap hero prompt",S269,IF('Paste Editor (Beta)'!$C$90="Anvil prompt",AD269,"")))))))</f>
        <v>0</v>
      </c>
      <c r="AK269" s="283">
        <f>IF('Paste Editor (Beta)'!$C$90="Level-up prompt",G270,IF('Paste Editor (Beta)'!$C$90="Item prompt",E270,IF('Paste Editor (Beta)'!$C$90="Modifier prompt","'"&amp;B270,IF('Paste Editor (Beta)'!$C$90="Challenge prompt",E270,IF('Paste Editor (Beta)'!$C$90="Reroll class prompt",S269,IF('Paste Editor (Beta)'!$C$90="Swap hero prompt",S269,IF('Paste Editor (Beta)'!$C$90="Anvil prompt",AD269,"")))))))</f>
        <v>0</v>
      </c>
    </row>
    <row r="270" spans="2:37" ht="17.25">
      <c r="B270" s="284" t="s">
        <v>3049</v>
      </c>
      <c r="C270" s="284" t="s">
        <v>3049</v>
      </c>
      <c r="D270" s="284" t="s">
        <v>3049</v>
      </c>
      <c r="E270" s="280" t="s">
        <v>1057</v>
      </c>
      <c r="AH270" s="280" t="str">
        <f>IF('Paste Editor (Beta)'!$C$82="Level-up prompt",G271,IF('Paste Editor (Beta)'!$C$82="Item prompt",E271,IF('Paste Editor (Beta)'!$C$82="Modifier prompt","'"&amp;B271,IF('Paste Editor (Beta)'!$C$82="Challenge prompt",L271,IF('Paste Editor (Beta)'!$C$82="Reroll class prompt",S270,IF('Paste Editor (Beta)'!$C$82="Swap hero prompt",S270,IF('Paste Editor (Beta)'!$C$82="Anvil prompt",AD270,"")))))))</f>
        <v/>
      </c>
      <c r="AI270" s="280" t="str">
        <f>IF('Paste Editor (Beta)'!$C$82="Level-up prompt",G271,IF('Paste Editor (Beta)'!$C$82="Item prompt",E271,IF('Paste Editor (Beta)'!$C$82="Modifier prompt","'"&amp;B271,IF('Paste Editor (Beta)'!$C$82="Challenge prompt",E271,IF('Paste Editor (Beta)'!$C$82="Reroll class prompt",S270,IF('Paste Editor (Beta)'!$C$82="Swap hero prompt",S270,IF('Paste Editor (Beta)'!$C$82="Anvil prompt",AD270,"")))))))</f>
        <v/>
      </c>
      <c r="AJ270" s="283">
        <f>IF('Paste Editor (Beta)'!$C$90="Level-up prompt",G271,IF('Paste Editor (Beta)'!$C$90="Item prompt",E271,IF('Paste Editor (Beta)'!$C$90="Modifier prompt","'"&amp;B271,IF('Paste Editor (Beta)'!$C$90="Challenge prompt",L271,IF('Paste Editor (Beta)'!$C$90="Reroll class prompt",S270,IF('Paste Editor (Beta)'!$C$90="Swap hero prompt",S270,IF('Paste Editor (Beta)'!$C$90="Anvil prompt",AD270,"")))))))</f>
        <v>0</v>
      </c>
      <c r="AK270" s="283">
        <f>IF('Paste Editor (Beta)'!$C$90="Level-up prompt",G271,IF('Paste Editor (Beta)'!$C$90="Item prompt",E271,IF('Paste Editor (Beta)'!$C$90="Modifier prompt","'"&amp;B271,IF('Paste Editor (Beta)'!$C$90="Challenge prompt",E271,IF('Paste Editor (Beta)'!$C$90="Reroll class prompt",S270,IF('Paste Editor (Beta)'!$C$90="Swap hero prompt",S270,IF('Paste Editor (Beta)'!$C$90="Anvil prompt",AD270,"")))))))</f>
        <v>0</v>
      </c>
    </row>
    <row r="271" spans="2:37" ht="17.25">
      <c r="B271" s="284" t="s">
        <v>3075</v>
      </c>
      <c r="C271" s="284" t="s">
        <v>3075</v>
      </c>
      <c r="D271" s="284" t="s">
        <v>3075</v>
      </c>
      <c r="E271" s="280" t="s">
        <v>1358</v>
      </c>
      <c r="AH271" s="280" t="str">
        <f>IF('Paste Editor (Beta)'!$C$82="Level-up prompt",G272,IF('Paste Editor (Beta)'!$C$82="Item prompt",E272,IF('Paste Editor (Beta)'!$C$82="Modifier prompt","'"&amp;B272,IF('Paste Editor (Beta)'!$C$82="Challenge prompt",L272,IF('Paste Editor (Beta)'!$C$82="Reroll class prompt",S271,IF('Paste Editor (Beta)'!$C$82="Swap hero prompt",S271,IF('Paste Editor (Beta)'!$C$82="Anvil prompt",AD271,"")))))))</f>
        <v/>
      </c>
      <c r="AI271" s="280" t="str">
        <f>IF('Paste Editor (Beta)'!$C$82="Level-up prompt",G272,IF('Paste Editor (Beta)'!$C$82="Item prompt",E272,IF('Paste Editor (Beta)'!$C$82="Modifier prompt","'"&amp;B272,IF('Paste Editor (Beta)'!$C$82="Challenge prompt",E272,IF('Paste Editor (Beta)'!$C$82="Reroll class prompt",S271,IF('Paste Editor (Beta)'!$C$82="Swap hero prompt",S271,IF('Paste Editor (Beta)'!$C$82="Anvil prompt",AD271,"")))))))</f>
        <v/>
      </c>
      <c r="AJ271" s="283">
        <f>IF('Paste Editor (Beta)'!$C$90="Level-up prompt",G272,IF('Paste Editor (Beta)'!$C$90="Item prompt",E272,IF('Paste Editor (Beta)'!$C$90="Modifier prompt","'"&amp;B272,IF('Paste Editor (Beta)'!$C$90="Challenge prompt",L272,IF('Paste Editor (Beta)'!$C$90="Reroll class prompt",S271,IF('Paste Editor (Beta)'!$C$90="Swap hero prompt",S271,IF('Paste Editor (Beta)'!$C$90="Anvil prompt",AD271,"")))))))</f>
        <v>0</v>
      </c>
      <c r="AK271" s="283">
        <f>IF('Paste Editor (Beta)'!$C$90="Level-up prompt",G272,IF('Paste Editor (Beta)'!$C$90="Item prompt",E272,IF('Paste Editor (Beta)'!$C$90="Modifier prompt","'"&amp;B272,IF('Paste Editor (Beta)'!$C$90="Challenge prompt",E272,IF('Paste Editor (Beta)'!$C$90="Reroll class prompt",S271,IF('Paste Editor (Beta)'!$C$90="Swap hero prompt",S271,IF('Paste Editor (Beta)'!$C$90="Anvil prompt",AD271,"")))))))</f>
        <v>0</v>
      </c>
    </row>
    <row r="272" spans="2:37" ht="17.25">
      <c r="B272" s="284" t="s">
        <v>2653</v>
      </c>
      <c r="C272" s="284" t="s">
        <v>2653</v>
      </c>
      <c r="D272" s="284" t="s">
        <v>2653</v>
      </c>
      <c r="E272" s="280" t="s">
        <v>1279</v>
      </c>
      <c r="AH272" s="280" t="str">
        <f>IF('Paste Editor (Beta)'!$C$82="Level-up prompt",G273,IF('Paste Editor (Beta)'!$C$82="Item prompt",E273,IF('Paste Editor (Beta)'!$C$82="Modifier prompt","'"&amp;B273,IF('Paste Editor (Beta)'!$C$82="Challenge prompt",L273,IF('Paste Editor (Beta)'!$C$82="Reroll class prompt",S272,IF('Paste Editor (Beta)'!$C$82="Swap hero prompt",S272,IF('Paste Editor (Beta)'!$C$82="Anvil prompt",AD272,"")))))))</f>
        <v/>
      </c>
      <c r="AI272" s="280" t="str">
        <f>IF('Paste Editor (Beta)'!$C$82="Level-up prompt",G273,IF('Paste Editor (Beta)'!$C$82="Item prompt",E273,IF('Paste Editor (Beta)'!$C$82="Modifier prompt","'"&amp;B273,IF('Paste Editor (Beta)'!$C$82="Challenge prompt",E273,IF('Paste Editor (Beta)'!$C$82="Reroll class prompt",S272,IF('Paste Editor (Beta)'!$C$82="Swap hero prompt",S272,IF('Paste Editor (Beta)'!$C$82="Anvil prompt",AD272,"")))))))</f>
        <v/>
      </c>
      <c r="AJ272" s="283">
        <f>IF('Paste Editor (Beta)'!$C$90="Level-up prompt",G273,IF('Paste Editor (Beta)'!$C$90="Item prompt",E273,IF('Paste Editor (Beta)'!$C$90="Modifier prompt","'"&amp;B273,IF('Paste Editor (Beta)'!$C$90="Challenge prompt",L273,IF('Paste Editor (Beta)'!$C$90="Reroll class prompt",S272,IF('Paste Editor (Beta)'!$C$90="Swap hero prompt",S272,IF('Paste Editor (Beta)'!$C$90="Anvil prompt",AD272,"")))))))</f>
        <v>0</v>
      </c>
      <c r="AK272" s="283">
        <f>IF('Paste Editor (Beta)'!$C$90="Level-up prompt",G273,IF('Paste Editor (Beta)'!$C$90="Item prompt",E273,IF('Paste Editor (Beta)'!$C$90="Modifier prompt","'"&amp;B273,IF('Paste Editor (Beta)'!$C$90="Challenge prompt",E273,IF('Paste Editor (Beta)'!$C$90="Reroll class prompt",S272,IF('Paste Editor (Beta)'!$C$90="Swap hero prompt",S272,IF('Paste Editor (Beta)'!$C$90="Anvil prompt",AD272,"")))))))</f>
        <v>0</v>
      </c>
    </row>
    <row r="273" spans="2:37" ht="17.25">
      <c r="B273" s="284" t="s">
        <v>3077</v>
      </c>
      <c r="C273" s="284" t="s">
        <v>3077</v>
      </c>
      <c r="D273" s="284" t="s">
        <v>3077</v>
      </c>
      <c r="E273" s="280" t="s">
        <v>1483</v>
      </c>
      <c r="AH273" s="280" t="str">
        <f>IF('Paste Editor (Beta)'!$C$82="Level-up prompt",G274,IF('Paste Editor (Beta)'!$C$82="Item prompt",E274,IF('Paste Editor (Beta)'!$C$82="Modifier prompt","'"&amp;B274,IF('Paste Editor (Beta)'!$C$82="Challenge prompt",L274,IF('Paste Editor (Beta)'!$C$82="Reroll class prompt",S273,IF('Paste Editor (Beta)'!$C$82="Swap hero prompt",S273,IF('Paste Editor (Beta)'!$C$82="Anvil prompt",AD273,"")))))))</f>
        <v/>
      </c>
      <c r="AI273" s="280" t="str">
        <f>IF('Paste Editor (Beta)'!$C$82="Level-up prompt",G274,IF('Paste Editor (Beta)'!$C$82="Item prompt",E274,IF('Paste Editor (Beta)'!$C$82="Modifier prompt","'"&amp;B274,IF('Paste Editor (Beta)'!$C$82="Challenge prompt",E274,IF('Paste Editor (Beta)'!$C$82="Reroll class prompt",S273,IF('Paste Editor (Beta)'!$C$82="Swap hero prompt",S273,IF('Paste Editor (Beta)'!$C$82="Anvil prompt",AD273,"")))))))</f>
        <v/>
      </c>
      <c r="AJ273" s="283">
        <f>IF('Paste Editor (Beta)'!$C$90="Level-up prompt",G274,IF('Paste Editor (Beta)'!$C$90="Item prompt",E274,IF('Paste Editor (Beta)'!$C$90="Modifier prompt","'"&amp;B274,IF('Paste Editor (Beta)'!$C$90="Challenge prompt",L274,IF('Paste Editor (Beta)'!$C$90="Reroll class prompt",S273,IF('Paste Editor (Beta)'!$C$90="Swap hero prompt",S273,IF('Paste Editor (Beta)'!$C$90="Anvil prompt",AD273,"")))))))</f>
        <v>0</v>
      </c>
      <c r="AK273" s="283">
        <f>IF('Paste Editor (Beta)'!$C$90="Level-up prompt",G274,IF('Paste Editor (Beta)'!$C$90="Item prompt",E274,IF('Paste Editor (Beta)'!$C$90="Modifier prompt","'"&amp;B274,IF('Paste Editor (Beta)'!$C$90="Challenge prompt",E274,IF('Paste Editor (Beta)'!$C$90="Reroll class prompt",S273,IF('Paste Editor (Beta)'!$C$90="Swap hero prompt",S273,IF('Paste Editor (Beta)'!$C$90="Anvil prompt",AD273,"")))))))</f>
        <v>0</v>
      </c>
    </row>
    <row r="274" spans="2:37" ht="17.25">
      <c r="B274" s="284" t="s">
        <v>2993</v>
      </c>
      <c r="C274" s="284" t="s">
        <v>2993</v>
      </c>
      <c r="D274" s="284" t="s">
        <v>2993</v>
      </c>
      <c r="E274" s="280" t="s">
        <v>1193</v>
      </c>
      <c r="AH274" s="280" t="str">
        <f>IF('Paste Editor (Beta)'!$C$82="Level-up prompt",G275,IF('Paste Editor (Beta)'!$C$82="Item prompt",E275,IF('Paste Editor (Beta)'!$C$82="Modifier prompt","'"&amp;B275,IF('Paste Editor (Beta)'!$C$82="Challenge prompt",L275,IF('Paste Editor (Beta)'!$C$82="Reroll class prompt",S274,IF('Paste Editor (Beta)'!$C$82="Swap hero prompt",S274,IF('Paste Editor (Beta)'!$C$82="Anvil prompt",AD274,"")))))))</f>
        <v/>
      </c>
      <c r="AI274" s="280" t="str">
        <f>IF('Paste Editor (Beta)'!$C$82="Level-up prompt",G275,IF('Paste Editor (Beta)'!$C$82="Item prompt",E275,IF('Paste Editor (Beta)'!$C$82="Modifier prompt","'"&amp;B275,IF('Paste Editor (Beta)'!$C$82="Challenge prompt",E275,IF('Paste Editor (Beta)'!$C$82="Reroll class prompt",S274,IF('Paste Editor (Beta)'!$C$82="Swap hero prompt",S274,IF('Paste Editor (Beta)'!$C$82="Anvil prompt",AD274,"")))))))</f>
        <v/>
      </c>
      <c r="AJ274" s="283">
        <f>IF('Paste Editor (Beta)'!$C$90="Level-up prompt",G275,IF('Paste Editor (Beta)'!$C$90="Item prompt",E275,IF('Paste Editor (Beta)'!$C$90="Modifier prompt","'"&amp;B275,IF('Paste Editor (Beta)'!$C$90="Challenge prompt",L275,IF('Paste Editor (Beta)'!$C$90="Reroll class prompt",S274,IF('Paste Editor (Beta)'!$C$90="Swap hero prompt",S274,IF('Paste Editor (Beta)'!$C$90="Anvil prompt",AD274,"")))))))</f>
        <v>0</v>
      </c>
      <c r="AK274" s="283">
        <f>IF('Paste Editor (Beta)'!$C$90="Level-up prompt",G275,IF('Paste Editor (Beta)'!$C$90="Item prompt",E275,IF('Paste Editor (Beta)'!$C$90="Modifier prompt","'"&amp;B275,IF('Paste Editor (Beta)'!$C$90="Challenge prompt",E275,IF('Paste Editor (Beta)'!$C$90="Reroll class prompt",S274,IF('Paste Editor (Beta)'!$C$90="Swap hero prompt",S274,IF('Paste Editor (Beta)'!$C$90="Anvil prompt",AD274,"")))))))</f>
        <v>0</v>
      </c>
    </row>
    <row r="275" spans="2:37" ht="17.25">
      <c r="B275" s="284" t="s">
        <v>3053</v>
      </c>
      <c r="C275" s="284" t="s">
        <v>3053</v>
      </c>
      <c r="D275" s="284" t="s">
        <v>3053</v>
      </c>
      <c r="E275" s="280" t="s">
        <v>814</v>
      </c>
      <c r="AH275" s="280" t="str">
        <f>IF('Paste Editor (Beta)'!$C$82="Level-up prompt",G276,IF('Paste Editor (Beta)'!$C$82="Item prompt",E276,IF('Paste Editor (Beta)'!$C$82="Modifier prompt","'"&amp;B276,IF('Paste Editor (Beta)'!$C$82="Challenge prompt",L276,IF('Paste Editor (Beta)'!$C$82="Reroll class prompt",S275,IF('Paste Editor (Beta)'!$C$82="Swap hero prompt",S275,IF('Paste Editor (Beta)'!$C$82="Anvil prompt",AD275,"")))))))</f>
        <v/>
      </c>
      <c r="AI275" s="280" t="str">
        <f>IF('Paste Editor (Beta)'!$C$82="Level-up prompt",G276,IF('Paste Editor (Beta)'!$C$82="Item prompt",E276,IF('Paste Editor (Beta)'!$C$82="Modifier prompt","'"&amp;B276,IF('Paste Editor (Beta)'!$C$82="Challenge prompt",E276,IF('Paste Editor (Beta)'!$C$82="Reroll class prompt",S275,IF('Paste Editor (Beta)'!$C$82="Swap hero prompt",S275,IF('Paste Editor (Beta)'!$C$82="Anvil prompt",AD275,"")))))))</f>
        <v/>
      </c>
      <c r="AJ275" s="283">
        <f>IF('Paste Editor (Beta)'!$C$90="Level-up prompt",G276,IF('Paste Editor (Beta)'!$C$90="Item prompt",E276,IF('Paste Editor (Beta)'!$C$90="Modifier prompt","'"&amp;B276,IF('Paste Editor (Beta)'!$C$90="Challenge prompt",L276,IF('Paste Editor (Beta)'!$C$90="Reroll class prompt",S275,IF('Paste Editor (Beta)'!$C$90="Swap hero prompt",S275,IF('Paste Editor (Beta)'!$C$90="Anvil prompt",AD275,"")))))))</f>
        <v>0</v>
      </c>
      <c r="AK275" s="283">
        <f>IF('Paste Editor (Beta)'!$C$90="Level-up prompt",G276,IF('Paste Editor (Beta)'!$C$90="Item prompt",E276,IF('Paste Editor (Beta)'!$C$90="Modifier prompt","'"&amp;B276,IF('Paste Editor (Beta)'!$C$90="Challenge prompt",E276,IF('Paste Editor (Beta)'!$C$90="Reroll class prompt",S275,IF('Paste Editor (Beta)'!$C$90="Swap hero prompt",S275,IF('Paste Editor (Beta)'!$C$90="Anvil prompt",AD275,"")))))))</f>
        <v>0</v>
      </c>
    </row>
    <row r="276" spans="2:37" ht="17.25">
      <c r="B276" s="284" t="s">
        <v>3071</v>
      </c>
      <c r="C276" s="284" t="s">
        <v>3071</v>
      </c>
      <c r="D276" s="284" t="s">
        <v>3071</v>
      </c>
      <c r="E276" s="280" t="s">
        <v>1281</v>
      </c>
      <c r="AH276" s="280" t="str">
        <f>IF('Paste Editor (Beta)'!$C$82="Level-up prompt",G277,IF('Paste Editor (Beta)'!$C$82="Item prompt",E277,IF('Paste Editor (Beta)'!$C$82="Modifier prompt","'"&amp;B277,IF('Paste Editor (Beta)'!$C$82="Challenge prompt",L277,IF('Paste Editor (Beta)'!$C$82="Reroll class prompt",S276,IF('Paste Editor (Beta)'!$C$82="Swap hero prompt",S276,IF('Paste Editor (Beta)'!$C$82="Anvil prompt",AD276,"")))))))</f>
        <v/>
      </c>
      <c r="AI276" s="280" t="str">
        <f>IF('Paste Editor (Beta)'!$C$82="Level-up prompt",G277,IF('Paste Editor (Beta)'!$C$82="Item prompt",E277,IF('Paste Editor (Beta)'!$C$82="Modifier prompt","'"&amp;B277,IF('Paste Editor (Beta)'!$C$82="Challenge prompt",E277,IF('Paste Editor (Beta)'!$C$82="Reroll class prompt",S276,IF('Paste Editor (Beta)'!$C$82="Swap hero prompt",S276,IF('Paste Editor (Beta)'!$C$82="Anvil prompt",AD276,"")))))))</f>
        <v/>
      </c>
      <c r="AJ276" s="283">
        <f>IF('Paste Editor (Beta)'!$C$90="Level-up prompt",G277,IF('Paste Editor (Beta)'!$C$90="Item prompt",E277,IF('Paste Editor (Beta)'!$C$90="Modifier prompt","'"&amp;B277,IF('Paste Editor (Beta)'!$C$90="Challenge prompt",L277,IF('Paste Editor (Beta)'!$C$90="Reroll class prompt",S276,IF('Paste Editor (Beta)'!$C$90="Swap hero prompt",S276,IF('Paste Editor (Beta)'!$C$90="Anvil prompt",AD276,"")))))))</f>
        <v>0</v>
      </c>
      <c r="AK276" s="283">
        <f>IF('Paste Editor (Beta)'!$C$90="Level-up prompt",G277,IF('Paste Editor (Beta)'!$C$90="Item prompt",E277,IF('Paste Editor (Beta)'!$C$90="Modifier prompt","'"&amp;B277,IF('Paste Editor (Beta)'!$C$90="Challenge prompt",E277,IF('Paste Editor (Beta)'!$C$90="Reroll class prompt",S276,IF('Paste Editor (Beta)'!$C$90="Swap hero prompt",S276,IF('Paste Editor (Beta)'!$C$90="Anvil prompt",AD276,"")))))))</f>
        <v>0</v>
      </c>
    </row>
    <row r="277" spans="2:37" ht="17.25">
      <c r="B277" s="284" t="s">
        <v>2041</v>
      </c>
      <c r="C277" s="284" t="s">
        <v>2041</v>
      </c>
      <c r="D277" s="284" t="s">
        <v>2041</v>
      </c>
      <c r="E277" s="280" t="s">
        <v>1196</v>
      </c>
      <c r="AH277" s="280" t="str">
        <f>IF('Paste Editor (Beta)'!$C$82="Level-up prompt",G278,IF('Paste Editor (Beta)'!$C$82="Item prompt",E278,IF('Paste Editor (Beta)'!$C$82="Modifier prompt","'"&amp;B278,IF('Paste Editor (Beta)'!$C$82="Challenge prompt",L278,IF('Paste Editor (Beta)'!$C$82="Reroll class prompt",S277,IF('Paste Editor (Beta)'!$C$82="Swap hero prompt",S277,IF('Paste Editor (Beta)'!$C$82="Anvil prompt",AD277,"")))))))</f>
        <v/>
      </c>
      <c r="AI277" s="280" t="str">
        <f>IF('Paste Editor (Beta)'!$C$82="Level-up prompt",G278,IF('Paste Editor (Beta)'!$C$82="Item prompt",E278,IF('Paste Editor (Beta)'!$C$82="Modifier prompt","'"&amp;B278,IF('Paste Editor (Beta)'!$C$82="Challenge prompt",E278,IF('Paste Editor (Beta)'!$C$82="Reroll class prompt",S277,IF('Paste Editor (Beta)'!$C$82="Swap hero prompt",S277,IF('Paste Editor (Beta)'!$C$82="Anvil prompt",AD277,"")))))))</f>
        <v/>
      </c>
      <c r="AJ277" s="283">
        <f>IF('Paste Editor (Beta)'!$C$90="Level-up prompt",G278,IF('Paste Editor (Beta)'!$C$90="Item prompt",E278,IF('Paste Editor (Beta)'!$C$90="Modifier prompt","'"&amp;B278,IF('Paste Editor (Beta)'!$C$90="Challenge prompt",L278,IF('Paste Editor (Beta)'!$C$90="Reroll class prompt",S277,IF('Paste Editor (Beta)'!$C$90="Swap hero prompt",S277,IF('Paste Editor (Beta)'!$C$90="Anvil prompt",AD277,"")))))))</f>
        <v>0</v>
      </c>
      <c r="AK277" s="283">
        <f>IF('Paste Editor (Beta)'!$C$90="Level-up prompt",G278,IF('Paste Editor (Beta)'!$C$90="Item prompt",E278,IF('Paste Editor (Beta)'!$C$90="Modifier prompt","'"&amp;B278,IF('Paste Editor (Beta)'!$C$90="Challenge prompt",E278,IF('Paste Editor (Beta)'!$C$90="Reroll class prompt",S277,IF('Paste Editor (Beta)'!$C$90="Swap hero prompt",S277,IF('Paste Editor (Beta)'!$C$90="Anvil prompt",AD277,"")))))))</f>
        <v>0</v>
      </c>
    </row>
    <row r="278" spans="2:37" ht="17.25">
      <c r="B278" s="284" t="s">
        <v>2877</v>
      </c>
      <c r="C278" s="284" t="s">
        <v>2877</v>
      </c>
      <c r="D278" s="284" t="s">
        <v>2877</v>
      </c>
      <c r="E278" s="280" t="s">
        <v>897</v>
      </c>
      <c r="AH278" s="280" t="str">
        <f>IF('Paste Editor (Beta)'!$C$82="Level-up prompt",G279,IF('Paste Editor (Beta)'!$C$82="Item prompt",E279,IF('Paste Editor (Beta)'!$C$82="Modifier prompt","'"&amp;B279,IF('Paste Editor (Beta)'!$C$82="Challenge prompt",L279,IF('Paste Editor (Beta)'!$C$82="Reroll class prompt",S278,IF('Paste Editor (Beta)'!$C$82="Swap hero prompt",S278,IF('Paste Editor (Beta)'!$C$82="Anvil prompt",AD278,"")))))))</f>
        <v/>
      </c>
      <c r="AI278" s="280" t="str">
        <f>IF('Paste Editor (Beta)'!$C$82="Level-up prompt",G279,IF('Paste Editor (Beta)'!$C$82="Item prompt",E279,IF('Paste Editor (Beta)'!$C$82="Modifier prompt","'"&amp;B279,IF('Paste Editor (Beta)'!$C$82="Challenge prompt",E279,IF('Paste Editor (Beta)'!$C$82="Reroll class prompt",S278,IF('Paste Editor (Beta)'!$C$82="Swap hero prompt",S278,IF('Paste Editor (Beta)'!$C$82="Anvil prompt",AD278,"")))))))</f>
        <v/>
      </c>
      <c r="AJ278" s="283">
        <f>IF('Paste Editor (Beta)'!$C$90="Level-up prompt",G279,IF('Paste Editor (Beta)'!$C$90="Item prompt",E279,IF('Paste Editor (Beta)'!$C$90="Modifier prompt","'"&amp;B279,IF('Paste Editor (Beta)'!$C$90="Challenge prompt",L279,IF('Paste Editor (Beta)'!$C$90="Reroll class prompt",S278,IF('Paste Editor (Beta)'!$C$90="Swap hero prompt",S278,IF('Paste Editor (Beta)'!$C$90="Anvil prompt",AD278,"")))))))</f>
        <v>0</v>
      </c>
      <c r="AK278" s="283">
        <f>IF('Paste Editor (Beta)'!$C$90="Level-up prompt",G279,IF('Paste Editor (Beta)'!$C$90="Item prompt",E279,IF('Paste Editor (Beta)'!$C$90="Modifier prompt","'"&amp;B279,IF('Paste Editor (Beta)'!$C$90="Challenge prompt",E279,IF('Paste Editor (Beta)'!$C$90="Reroll class prompt",S278,IF('Paste Editor (Beta)'!$C$90="Swap hero prompt",S278,IF('Paste Editor (Beta)'!$C$90="Anvil prompt",AD278,"")))))))</f>
        <v>0</v>
      </c>
    </row>
    <row r="279" spans="2:37" ht="17.25">
      <c r="B279" s="284" t="s">
        <v>3158</v>
      </c>
      <c r="C279" s="284" t="s">
        <v>3158</v>
      </c>
      <c r="D279" s="284" t="s">
        <v>3158</v>
      </c>
      <c r="E279" s="280" t="s">
        <v>816</v>
      </c>
      <c r="AH279" s="280" t="str">
        <f>IF('Paste Editor (Beta)'!$C$82="Level-up prompt",G280,IF('Paste Editor (Beta)'!$C$82="Item prompt",E280,IF('Paste Editor (Beta)'!$C$82="Modifier prompt","'"&amp;B280,IF('Paste Editor (Beta)'!$C$82="Challenge prompt",L280,IF('Paste Editor (Beta)'!$C$82="Reroll class prompt",S279,IF('Paste Editor (Beta)'!$C$82="Swap hero prompt",S279,IF('Paste Editor (Beta)'!$C$82="Anvil prompt",AD279,"")))))))</f>
        <v/>
      </c>
      <c r="AI279" s="280" t="str">
        <f>IF('Paste Editor (Beta)'!$C$82="Level-up prompt",G280,IF('Paste Editor (Beta)'!$C$82="Item prompt",E280,IF('Paste Editor (Beta)'!$C$82="Modifier prompt","'"&amp;B280,IF('Paste Editor (Beta)'!$C$82="Challenge prompt",E280,IF('Paste Editor (Beta)'!$C$82="Reroll class prompt",S279,IF('Paste Editor (Beta)'!$C$82="Swap hero prompt",S279,IF('Paste Editor (Beta)'!$C$82="Anvil prompt",AD279,"")))))))</f>
        <v/>
      </c>
      <c r="AJ279" s="283">
        <f>IF('Paste Editor (Beta)'!$C$90="Level-up prompt",G280,IF('Paste Editor (Beta)'!$C$90="Item prompt",E280,IF('Paste Editor (Beta)'!$C$90="Modifier prompt","'"&amp;B280,IF('Paste Editor (Beta)'!$C$90="Challenge prompt",L280,IF('Paste Editor (Beta)'!$C$90="Reroll class prompt",S279,IF('Paste Editor (Beta)'!$C$90="Swap hero prompt",S279,IF('Paste Editor (Beta)'!$C$90="Anvil prompt",AD279,"")))))))</f>
        <v>0</v>
      </c>
      <c r="AK279" s="283">
        <f>IF('Paste Editor (Beta)'!$C$90="Level-up prompt",G280,IF('Paste Editor (Beta)'!$C$90="Item prompt",E280,IF('Paste Editor (Beta)'!$C$90="Modifier prompt","'"&amp;B280,IF('Paste Editor (Beta)'!$C$90="Challenge prompt",E280,IF('Paste Editor (Beta)'!$C$90="Reroll class prompt",S279,IF('Paste Editor (Beta)'!$C$90="Swap hero prompt",S279,IF('Paste Editor (Beta)'!$C$90="Anvil prompt",AD279,"")))))))</f>
        <v>0</v>
      </c>
    </row>
    <row r="280" spans="2:37" ht="17.25">
      <c r="B280" s="284" t="s">
        <v>3202</v>
      </c>
      <c r="C280" s="284" t="s">
        <v>3202</v>
      </c>
      <c r="D280" s="284" t="s">
        <v>3202</v>
      </c>
      <c r="E280" s="280" t="s">
        <v>899</v>
      </c>
      <c r="AH280" s="280" t="str">
        <f>IF('Paste Editor (Beta)'!$C$82="Level-up prompt",G281,IF('Paste Editor (Beta)'!$C$82="Item prompt",E281,IF('Paste Editor (Beta)'!$C$82="Modifier prompt","'"&amp;B281,IF('Paste Editor (Beta)'!$C$82="Challenge prompt",L281,IF('Paste Editor (Beta)'!$C$82="Reroll class prompt",S280,IF('Paste Editor (Beta)'!$C$82="Swap hero prompt",S280,IF('Paste Editor (Beta)'!$C$82="Anvil prompt",AD280,"")))))))</f>
        <v/>
      </c>
      <c r="AI280" s="280" t="str">
        <f>IF('Paste Editor (Beta)'!$C$82="Level-up prompt",G281,IF('Paste Editor (Beta)'!$C$82="Item prompt",E281,IF('Paste Editor (Beta)'!$C$82="Modifier prompt","'"&amp;B281,IF('Paste Editor (Beta)'!$C$82="Challenge prompt",E281,IF('Paste Editor (Beta)'!$C$82="Reroll class prompt",S280,IF('Paste Editor (Beta)'!$C$82="Swap hero prompt",S280,IF('Paste Editor (Beta)'!$C$82="Anvil prompt",AD280,"")))))))</f>
        <v/>
      </c>
      <c r="AJ280" s="283">
        <f>IF('Paste Editor (Beta)'!$C$90="Level-up prompt",G281,IF('Paste Editor (Beta)'!$C$90="Item prompt",E281,IF('Paste Editor (Beta)'!$C$90="Modifier prompt","'"&amp;B281,IF('Paste Editor (Beta)'!$C$90="Challenge prompt",L281,IF('Paste Editor (Beta)'!$C$90="Reroll class prompt",S280,IF('Paste Editor (Beta)'!$C$90="Swap hero prompt",S280,IF('Paste Editor (Beta)'!$C$90="Anvil prompt",AD280,"")))))))</f>
        <v>0</v>
      </c>
      <c r="AK280" s="283">
        <f>IF('Paste Editor (Beta)'!$C$90="Level-up prompt",G281,IF('Paste Editor (Beta)'!$C$90="Item prompt",E281,IF('Paste Editor (Beta)'!$C$90="Modifier prompt","'"&amp;B281,IF('Paste Editor (Beta)'!$C$90="Challenge prompt",E281,IF('Paste Editor (Beta)'!$C$90="Reroll class prompt",S280,IF('Paste Editor (Beta)'!$C$90="Swap hero prompt",S280,IF('Paste Editor (Beta)'!$C$90="Anvil prompt",AD280,"")))))))</f>
        <v>0</v>
      </c>
    </row>
    <row r="281" spans="2:37" ht="17.25">
      <c r="B281" s="284" t="s">
        <v>2079</v>
      </c>
      <c r="C281" s="284" t="s">
        <v>2079</v>
      </c>
      <c r="D281" s="284" t="s">
        <v>2079</v>
      </c>
      <c r="E281" s="280" t="s">
        <v>1283</v>
      </c>
      <c r="AH281" s="280" t="str">
        <f>IF('Paste Editor (Beta)'!$C$82="Level-up prompt",G282,IF('Paste Editor (Beta)'!$C$82="Item prompt",E282,IF('Paste Editor (Beta)'!$C$82="Modifier prompt","'"&amp;B282,IF('Paste Editor (Beta)'!$C$82="Challenge prompt",L282,IF('Paste Editor (Beta)'!$C$82="Reroll class prompt",S281,IF('Paste Editor (Beta)'!$C$82="Swap hero prompt",S281,IF('Paste Editor (Beta)'!$C$82="Anvil prompt",AD281,"")))))))</f>
        <v/>
      </c>
      <c r="AI281" s="280" t="str">
        <f>IF('Paste Editor (Beta)'!$C$82="Level-up prompt",G282,IF('Paste Editor (Beta)'!$C$82="Item prompt",E282,IF('Paste Editor (Beta)'!$C$82="Modifier prompt","'"&amp;B282,IF('Paste Editor (Beta)'!$C$82="Challenge prompt",E282,IF('Paste Editor (Beta)'!$C$82="Reroll class prompt",S281,IF('Paste Editor (Beta)'!$C$82="Swap hero prompt",S281,IF('Paste Editor (Beta)'!$C$82="Anvil prompt",AD281,"")))))))</f>
        <v/>
      </c>
      <c r="AJ281" s="283">
        <f>IF('Paste Editor (Beta)'!$C$90="Level-up prompt",G282,IF('Paste Editor (Beta)'!$C$90="Item prompt",E282,IF('Paste Editor (Beta)'!$C$90="Modifier prompt","'"&amp;B282,IF('Paste Editor (Beta)'!$C$90="Challenge prompt",L282,IF('Paste Editor (Beta)'!$C$90="Reroll class prompt",S281,IF('Paste Editor (Beta)'!$C$90="Swap hero prompt",S281,IF('Paste Editor (Beta)'!$C$90="Anvil prompt",AD281,"")))))))</f>
        <v>0</v>
      </c>
      <c r="AK281" s="283">
        <f>IF('Paste Editor (Beta)'!$C$90="Level-up prompt",G282,IF('Paste Editor (Beta)'!$C$90="Item prompt",E282,IF('Paste Editor (Beta)'!$C$90="Modifier prompt","'"&amp;B282,IF('Paste Editor (Beta)'!$C$90="Challenge prompt",E282,IF('Paste Editor (Beta)'!$C$90="Reroll class prompt",S281,IF('Paste Editor (Beta)'!$C$90="Swap hero prompt",S281,IF('Paste Editor (Beta)'!$C$90="Anvil prompt",AD281,"")))))))</f>
        <v>0</v>
      </c>
    </row>
    <row r="282" spans="2:37" ht="17.25">
      <c r="B282" s="284" t="s">
        <v>3386</v>
      </c>
      <c r="C282" s="284" t="s">
        <v>3386</v>
      </c>
      <c r="D282" s="284" t="s">
        <v>3386</v>
      </c>
      <c r="E282" s="280" t="s">
        <v>901</v>
      </c>
      <c r="AH282" s="280" t="str">
        <f>IF('Paste Editor (Beta)'!$C$82="Level-up prompt",G283,IF('Paste Editor (Beta)'!$C$82="Item prompt",E283,IF('Paste Editor (Beta)'!$C$82="Modifier prompt","'"&amp;B283,IF('Paste Editor (Beta)'!$C$82="Challenge prompt",L283,IF('Paste Editor (Beta)'!$C$82="Reroll class prompt",S282,IF('Paste Editor (Beta)'!$C$82="Swap hero prompt",S282,IF('Paste Editor (Beta)'!$C$82="Anvil prompt",AD282,"")))))))</f>
        <v/>
      </c>
      <c r="AI282" s="280" t="str">
        <f>IF('Paste Editor (Beta)'!$C$82="Level-up prompt",G283,IF('Paste Editor (Beta)'!$C$82="Item prompt",E283,IF('Paste Editor (Beta)'!$C$82="Modifier prompt","'"&amp;B283,IF('Paste Editor (Beta)'!$C$82="Challenge prompt",E283,IF('Paste Editor (Beta)'!$C$82="Reroll class prompt",S282,IF('Paste Editor (Beta)'!$C$82="Swap hero prompt",S282,IF('Paste Editor (Beta)'!$C$82="Anvil prompt",AD282,"")))))))</f>
        <v/>
      </c>
      <c r="AJ282" s="283">
        <f>IF('Paste Editor (Beta)'!$C$90="Level-up prompt",G283,IF('Paste Editor (Beta)'!$C$90="Item prompt",E283,IF('Paste Editor (Beta)'!$C$90="Modifier prompt","'"&amp;B283,IF('Paste Editor (Beta)'!$C$90="Challenge prompt",L283,IF('Paste Editor (Beta)'!$C$90="Reroll class prompt",S282,IF('Paste Editor (Beta)'!$C$90="Swap hero prompt",S282,IF('Paste Editor (Beta)'!$C$90="Anvil prompt",AD282,"")))))))</f>
        <v>0</v>
      </c>
      <c r="AK282" s="283">
        <f>IF('Paste Editor (Beta)'!$C$90="Level-up prompt",G283,IF('Paste Editor (Beta)'!$C$90="Item prompt",E283,IF('Paste Editor (Beta)'!$C$90="Modifier prompt","'"&amp;B283,IF('Paste Editor (Beta)'!$C$90="Challenge prompt",E283,IF('Paste Editor (Beta)'!$C$90="Reroll class prompt",S282,IF('Paste Editor (Beta)'!$C$90="Swap hero prompt",S282,IF('Paste Editor (Beta)'!$C$90="Anvil prompt",AD282,"")))))))</f>
        <v>0</v>
      </c>
    </row>
    <row r="283" spans="2:37" ht="17.25">
      <c r="B283" s="284" t="s">
        <v>3342</v>
      </c>
      <c r="C283" s="284" t="s">
        <v>3342</v>
      </c>
      <c r="D283" s="284" t="s">
        <v>3342</v>
      </c>
      <c r="E283" s="280" t="s">
        <v>1426</v>
      </c>
      <c r="AH283" s="280" t="str">
        <f>IF('Paste Editor (Beta)'!$C$82="Level-up prompt",G284,IF('Paste Editor (Beta)'!$C$82="Item prompt",E284,IF('Paste Editor (Beta)'!$C$82="Modifier prompt","'"&amp;B284,IF('Paste Editor (Beta)'!$C$82="Challenge prompt",L284,IF('Paste Editor (Beta)'!$C$82="Reroll class prompt",S283,IF('Paste Editor (Beta)'!$C$82="Swap hero prompt",S283,IF('Paste Editor (Beta)'!$C$82="Anvil prompt",AD283,"")))))))</f>
        <v/>
      </c>
      <c r="AI283" s="280" t="str">
        <f>IF('Paste Editor (Beta)'!$C$82="Level-up prompt",G284,IF('Paste Editor (Beta)'!$C$82="Item prompt",E284,IF('Paste Editor (Beta)'!$C$82="Modifier prompt","'"&amp;B284,IF('Paste Editor (Beta)'!$C$82="Challenge prompt",E284,IF('Paste Editor (Beta)'!$C$82="Reroll class prompt",S283,IF('Paste Editor (Beta)'!$C$82="Swap hero prompt",S283,IF('Paste Editor (Beta)'!$C$82="Anvil prompt",AD283,"")))))))</f>
        <v/>
      </c>
      <c r="AJ283" s="283">
        <f>IF('Paste Editor (Beta)'!$C$90="Level-up prompt",G284,IF('Paste Editor (Beta)'!$C$90="Item prompt",E284,IF('Paste Editor (Beta)'!$C$90="Modifier prompt","'"&amp;B284,IF('Paste Editor (Beta)'!$C$90="Challenge prompt",L284,IF('Paste Editor (Beta)'!$C$90="Reroll class prompt",S283,IF('Paste Editor (Beta)'!$C$90="Swap hero prompt",S283,IF('Paste Editor (Beta)'!$C$90="Anvil prompt",AD283,"")))))))</f>
        <v>0</v>
      </c>
      <c r="AK283" s="283">
        <f>IF('Paste Editor (Beta)'!$C$90="Level-up prompt",G284,IF('Paste Editor (Beta)'!$C$90="Item prompt",E284,IF('Paste Editor (Beta)'!$C$90="Modifier prompt","'"&amp;B284,IF('Paste Editor (Beta)'!$C$90="Challenge prompt",E284,IF('Paste Editor (Beta)'!$C$90="Reroll class prompt",S283,IF('Paste Editor (Beta)'!$C$90="Swap hero prompt",S283,IF('Paste Editor (Beta)'!$C$90="Anvil prompt",AD283,"")))))))</f>
        <v>0</v>
      </c>
    </row>
    <row r="284" spans="2:37" ht="17.25">
      <c r="B284" s="284" t="s">
        <v>3582</v>
      </c>
      <c r="C284" s="284" t="s">
        <v>3582</v>
      </c>
      <c r="D284" s="284" t="s">
        <v>3582</v>
      </c>
      <c r="E284" s="280" t="s">
        <v>1285</v>
      </c>
      <c r="AH284" s="280" t="str">
        <f>IF('Paste Editor (Beta)'!$C$82="Level-up prompt",G285,IF('Paste Editor (Beta)'!$C$82="Item prompt",E285,IF('Paste Editor (Beta)'!$C$82="Modifier prompt","'"&amp;B285,IF('Paste Editor (Beta)'!$C$82="Challenge prompt",L285,IF('Paste Editor (Beta)'!$C$82="Reroll class prompt",S284,IF('Paste Editor (Beta)'!$C$82="Swap hero prompt",S284,IF('Paste Editor (Beta)'!$C$82="Anvil prompt",AD284,"")))))))</f>
        <v/>
      </c>
      <c r="AI284" s="280" t="str">
        <f>IF('Paste Editor (Beta)'!$C$82="Level-up prompt",G285,IF('Paste Editor (Beta)'!$C$82="Item prompt",E285,IF('Paste Editor (Beta)'!$C$82="Modifier prompt","'"&amp;B285,IF('Paste Editor (Beta)'!$C$82="Challenge prompt",E285,IF('Paste Editor (Beta)'!$C$82="Reroll class prompt",S284,IF('Paste Editor (Beta)'!$C$82="Swap hero prompt",S284,IF('Paste Editor (Beta)'!$C$82="Anvil prompt",AD284,"")))))))</f>
        <v/>
      </c>
      <c r="AJ284" s="283">
        <f>IF('Paste Editor (Beta)'!$C$90="Level-up prompt",G285,IF('Paste Editor (Beta)'!$C$90="Item prompt",E285,IF('Paste Editor (Beta)'!$C$90="Modifier prompt","'"&amp;B285,IF('Paste Editor (Beta)'!$C$90="Challenge prompt",L285,IF('Paste Editor (Beta)'!$C$90="Reroll class prompt",S284,IF('Paste Editor (Beta)'!$C$90="Swap hero prompt",S284,IF('Paste Editor (Beta)'!$C$90="Anvil prompt",AD284,"")))))))</f>
        <v>0</v>
      </c>
      <c r="AK284" s="283">
        <f>IF('Paste Editor (Beta)'!$C$90="Level-up prompt",G285,IF('Paste Editor (Beta)'!$C$90="Item prompt",E285,IF('Paste Editor (Beta)'!$C$90="Modifier prompt","'"&amp;B285,IF('Paste Editor (Beta)'!$C$90="Challenge prompt",E285,IF('Paste Editor (Beta)'!$C$90="Reroll class prompt",S284,IF('Paste Editor (Beta)'!$C$90="Swap hero prompt",S284,IF('Paste Editor (Beta)'!$C$90="Anvil prompt",AD284,"")))))))</f>
        <v>0</v>
      </c>
    </row>
    <row r="285" spans="2:37" ht="17.25">
      <c r="B285" s="284" t="s">
        <v>3260</v>
      </c>
      <c r="C285" s="284" t="s">
        <v>3260</v>
      </c>
      <c r="D285" s="284" t="s">
        <v>3260</v>
      </c>
      <c r="E285" s="280" t="s">
        <v>1199</v>
      </c>
      <c r="AH285" s="280" t="str">
        <f>IF('Paste Editor (Beta)'!$C$82="Level-up prompt",G286,IF('Paste Editor (Beta)'!$C$82="Item prompt",E286,IF('Paste Editor (Beta)'!$C$82="Modifier prompt","'"&amp;B286,IF('Paste Editor (Beta)'!$C$82="Challenge prompt",L286,IF('Paste Editor (Beta)'!$C$82="Reroll class prompt",S285,IF('Paste Editor (Beta)'!$C$82="Swap hero prompt",S285,IF('Paste Editor (Beta)'!$C$82="Anvil prompt",AD285,"")))))))</f>
        <v/>
      </c>
      <c r="AI285" s="280" t="str">
        <f>IF('Paste Editor (Beta)'!$C$82="Level-up prompt",G286,IF('Paste Editor (Beta)'!$C$82="Item prompt",E286,IF('Paste Editor (Beta)'!$C$82="Modifier prompt","'"&amp;B286,IF('Paste Editor (Beta)'!$C$82="Challenge prompt",E286,IF('Paste Editor (Beta)'!$C$82="Reroll class prompt",S285,IF('Paste Editor (Beta)'!$C$82="Swap hero prompt",S285,IF('Paste Editor (Beta)'!$C$82="Anvil prompt",AD285,"")))))))</f>
        <v/>
      </c>
      <c r="AJ285" s="283">
        <f>IF('Paste Editor (Beta)'!$C$90="Level-up prompt",G286,IF('Paste Editor (Beta)'!$C$90="Item prompt",E286,IF('Paste Editor (Beta)'!$C$90="Modifier prompt","'"&amp;B286,IF('Paste Editor (Beta)'!$C$90="Challenge prompt",L286,IF('Paste Editor (Beta)'!$C$90="Reroll class prompt",S285,IF('Paste Editor (Beta)'!$C$90="Swap hero prompt",S285,IF('Paste Editor (Beta)'!$C$90="Anvil prompt",AD285,"")))))))</f>
        <v>0</v>
      </c>
      <c r="AK285" s="283">
        <f>IF('Paste Editor (Beta)'!$C$90="Level-up prompt",G286,IF('Paste Editor (Beta)'!$C$90="Item prompt",E286,IF('Paste Editor (Beta)'!$C$90="Modifier prompt","'"&amp;B286,IF('Paste Editor (Beta)'!$C$90="Challenge prompt",E286,IF('Paste Editor (Beta)'!$C$90="Reroll class prompt",S285,IF('Paste Editor (Beta)'!$C$90="Swap hero prompt",S285,IF('Paste Editor (Beta)'!$C$90="Anvil prompt",AD285,"")))))))</f>
        <v>0</v>
      </c>
    </row>
    <row r="286" spans="2:37" ht="17.25">
      <c r="B286" s="284" t="s">
        <v>3524</v>
      </c>
      <c r="C286" s="284" t="s">
        <v>3524</v>
      </c>
      <c r="D286" s="284" t="s">
        <v>3524</v>
      </c>
      <c r="E286" s="280" t="s">
        <v>1287</v>
      </c>
      <c r="AH286" s="280" t="str">
        <f>IF('Paste Editor (Beta)'!$C$82="Level-up prompt",G287,IF('Paste Editor (Beta)'!$C$82="Item prompt",E287,IF('Paste Editor (Beta)'!$C$82="Modifier prompt","'"&amp;B287,IF('Paste Editor (Beta)'!$C$82="Challenge prompt",L287,IF('Paste Editor (Beta)'!$C$82="Reroll class prompt",S286,IF('Paste Editor (Beta)'!$C$82="Swap hero prompt",S286,IF('Paste Editor (Beta)'!$C$82="Anvil prompt",AD286,"")))))))</f>
        <v/>
      </c>
      <c r="AI286" s="280" t="str">
        <f>IF('Paste Editor (Beta)'!$C$82="Level-up prompt",G287,IF('Paste Editor (Beta)'!$C$82="Item prompt",E287,IF('Paste Editor (Beta)'!$C$82="Modifier prompt","'"&amp;B287,IF('Paste Editor (Beta)'!$C$82="Challenge prompt",E287,IF('Paste Editor (Beta)'!$C$82="Reroll class prompt",S286,IF('Paste Editor (Beta)'!$C$82="Swap hero prompt",S286,IF('Paste Editor (Beta)'!$C$82="Anvil prompt",AD286,"")))))))</f>
        <v/>
      </c>
      <c r="AJ286" s="283">
        <f>IF('Paste Editor (Beta)'!$C$90="Level-up prompt",G287,IF('Paste Editor (Beta)'!$C$90="Item prompt",E287,IF('Paste Editor (Beta)'!$C$90="Modifier prompt","'"&amp;B287,IF('Paste Editor (Beta)'!$C$90="Challenge prompt",L287,IF('Paste Editor (Beta)'!$C$90="Reroll class prompt",S286,IF('Paste Editor (Beta)'!$C$90="Swap hero prompt",S286,IF('Paste Editor (Beta)'!$C$90="Anvil prompt",AD286,"")))))))</f>
        <v>0</v>
      </c>
      <c r="AK286" s="283">
        <f>IF('Paste Editor (Beta)'!$C$90="Level-up prompt",G287,IF('Paste Editor (Beta)'!$C$90="Item prompt",E287,IF('Paste Editor (Beta)'!$C$90="Modifier prompt","'"&amp;B287,IF('Paste Editor (Beta)'!$C$90="Challenge prompt",E287,IF('Paste Editor (Beta)'!$C$90="Reroll class prompt",S286,IF('Paste Editor (Beta)'!$C$90="Swap hero prompt",S286,IF('Paste Editor (Beta)'!$C$90="Anvil prompt",AD286,"")))))))</f>
        <v>0</v>
      </c>
    </row>
    <row r="287" spans="2:37" ht="17.25">
      <c r="B287" s="284" t="s">
        <v>3282</v>
      </c>
      <c r="C287" s="284" t="s">
        <v>3282</v>
      </c>
      <c r="D287" s="284" t="s">
        <v>3282</v>
      </c>
      <c r="E287" s="280" t="s">
        <v>1201</v>
      </c>
      <c r="AH287" s="280" t="str">
        <f>IF('Paste Editor (Beta)'!$C$82="Level-up prompt",G288,IF('Paste Editor (Beta)'!$C$82="Item prompt",E288,IF('Paste Editor (Beta)'!$C$82="Modifier prompt","'"&amp;B288,IF('Paste Editor (Beta)'!$C$82="Challenge prompt",L288,IF('Paste Editor (Beta)'!$C$82="Reroll class prompt",S287,IF('Paste Editor (Beta)'!$C$82="Swap hero prompt",S287,IF('Paste Editor (Beta)'!$C$82="Anvil prompt",AD287,"")))))))</f>
        <v/>
      </c>
      <c r="AI287" s="280" t="str">
        <f>IF('Paste Editor (Beta)'!$C$82="Level-up prompt",G288,IF('Paste Editor (Beta)'!$C$82="Item prompt",E288,IF('Paste Editor (Beta)'!$C$82="Modifier prompt","'"&amp;B288,IF('Paste Editor (Beta)'!$C$82="Challenge prompt",E288,IF('Paste Editor (Beta)'!$C$82="Reroll class prompt",S287,IF('Paste Editor (Beta)'!$C$82="Swap hero prompt",S287,IF('Paste Editor (Beta)'!$C$82="Anvil prompt",AD287,"")))))))</f>
        <v/>
      </c>
      <c r="AJ287" s="283">
        <f>IF('Paste Editor (Beta)'!$C$90="Level-up prompt",G288,IF('Paste Editor (Beta)'!$C$90="Item prompt",E288,IF('Paste Editor (Beta)'!$C$90="Modifier prompt","'"&amp;B288,IF('Paste Editor (Beta)'!$C$90="Challenge prompt",L288,IF('Paste Editor (Beta)'!$C$90="Reroll class prompt",S287,IF('Paste Editor (Beta)'!$C$90="Swap hero prompt",S287,IF('Paste Editor (Beta)'!$C$90="Anvil prompt",AD287,"")))))))</f>
        <v>0</v>
      </c>
      <c r="AK287" s="283">
        <f>IF('Paste Editor (Beta)'!$C$90="Level-up prompt",G288,IF('Paste Editor (Beta)'!$C$90="Item prompt",E288,IF('Paste Editor (Beta)'!$C$90="Modifier prompt","'"&amp;B288,IF('Paste Editor (Beta)'!$C$90="Challenge prompt",E288,IF('Paste Editor (Beta)'!$C$90="Reroll class prompt",S287,IF('Paste Editor (Beta)'!$C$90="Swap hero prompt",S287,IF('Paste Editor (Beta)'!$C$90="Anvil prompt",AD287,"")))))))</f>
        <v>0</v>
      </c>
    </row>
    <row r="288" spans="2:37" ht="17.25">
      <c r="B288" s="284" t="s">
        <v>3634</v>
      </c>
      <c r="C288" s="284" t="s">
        <v>3634</v>
      </c>
      <c r="D288" s="284" t="s">
        <v>3634</v>
      </c>
      <c r="E288" s="280" t="s">
        <v>903</v>
      </c>
      <c r="AH288" s="280" t="str">
        <f>IF('Paste Editor (Beta)'!$C$82="Level-up prompt",G289,IF('Paste Editor (Beta)'!$C$82="Item prompt",E289,IF('Paste Editor (Beta)'!$C$82="Modifier prompt","'"&amp;B289,IF('Paste Editor (Beta)'!$C$82="Challenge prompt",L289,IF('Paste Editor (Beta)'!$C$82="Reroll class prompt",S288,IF('Paste Editor (Beta)'!$C$82="Swap hero prompt",S288,IF('Paste Editor (Beta)'!$C$82="Anvil prompt",AD288,"")))))))</f>
        <v/>
      </c>
      <c r="AI288" s="280" t="str">
        <f>IF('Paste Editor (Beta)'!$C$82="Level-up prompt",G289,IF('Paste Editor (Beta)'!$C$82="Item prompt",E289,IF('Paste Editor (Beta)'!$C$82="Modifier prompt","'"&amp;B289,IF('Paste Editor (Beta)'!$C$82="Challenge prompt",E289,IF('Paste Editor (Beta)'!$C$82="Reroll class prompt",S288,IF('Paste Editor (Beta)'!$C$82="Swap hero prompt",S288,IF('Paste Editor (Beta)'!$C$82="Anvil prompt",AD288,"")))))))</f>
        <v/>
      </c>
      <c r="AJ288" s="283">
        <f>IF('Paste Editor (Beta)'!$C$90="Level-up prompt",G289,IF('Paste Editor (Beta)'!$C$90="Item prompt",E289,IF('Paste Editor (Beta)'!$C$90="Modifier prompt","'"&amp;B289,IF('Paste Editor (Beta)'!$C$90="Challenge prompt",L289,IF('Paste Editor (Beta)'!$C$90="Reroll class prompt",S288,IF('Paste Editor (Beta)'!$C$90="Swap hero prompt",S288,IF('Paste Editor (Beta)'!$C$90="Anvil prompt",AD288,"")))))))</f>
        <v>0</v>
      </c>
      <c r="AK288" s="283">
        <f>IF('Paste Editor (Beta)'!$C$90="Level-up prompt",G289,IF('Paste Editor (Beta)'!$C$90="Item prompt",E289,IF('Paste Editor (Beta)'!$C$90="Modifier prompt","'"&amp;B289,IF('Paste Editor (Beta)'!$C$90="Challenge prompt",E289,IF('Paste Editor (Beta)'!$C$90="Reroll class prompt",S288,IF('Paste Editor (Beta)'!$C$90="Swap hero prompt",S288,IF('Paste Editor (Beta)'!$C$90="Anvil prompt",AD288,"")))))))</f>
        <v>0</v>
      </c>
    </row>
    <row r="289" spans="2:37" ht="17.25">
      <c r="B289" s="284" t="s">
        <v>3210</v>
      </c>
      <c r="C289" s="284" t="s">
        <v>3210</v>
      </c>
      <c r="D289" s="284" t="s">
        <v>3210</v>
      </c>
      <c r="E289" s="280" t="s">
        <v>1541</v>
      </c>
      <c r="AH289" s="280" t="str">
        <f>IF('Paste Editor (Beta)'!$C$82="Level-up prompt",G290,IF('Paste Editor (Beta)'!$C$82="Item prompt",E290,IF('Paste Editor (Beta)'!$C$82="Modifier prompt","'"&amp;B290,IF('Paste Editor (Beta)'!$C$82="Challenge prompt",L290,IF('Paste Editor (Beta)'!$C$82="Reroll class prompt",S289,IF('Paste Editor (Beta)'!$C$82="Swap hero prompt",S289,IF('Paste Editor (Beta)'!$C$82="Anvil prompt",AD289,"")))))))</f>
        <v/>
      </c>
      <c r="AI289" s="280" t="str">
        <f>IF('Paste Editor (Beta)'!$C$82="Level-up prompt",G290,IF('Paste Editor (Beta)'!$C$82="Item prompt",E290,IF('Paste Editor (Beta)'!$C$82="Modifier prompt","'"&amp;B290,IF('Paste Editor (Beta)'!$C$82="Challenge prompt",E290,IF('Paste Editor (Beta)'!$C$82="Reroll class prompt",S289,IF('Paste Editor (Beta)'!$C$82="Swap hero prompt",S289,IF('Paste Editor (Beta)'!$C$82="Anvil prompt",AD289,"")))))))</f>
        <v/>
      </c>
      <c r="AJ289" s="283">
        <f>IF('Paste Editor (Beta)'!$C$90="Level-up prompt",G290,IF('Paste Editor (Beta)'!$C$90="Item prompt",E290,IF('Paste Editor (Beta)'!$C$90="Modifier prompt","'"&amp;B290,IF('Paste Editor (Beta)'!$C$90="Challenge prompt",L290,IF('Paste Editor (Beta)'!$C$90="Reroll class prompt",S289,IF('Paste Editor (Beta)'!$C$90="Swap hero prompt",S289,IF('Paste Editor (Beta)'!$C$90="Anvil prompt",AD289,"")))))))</f>
        <v>0</v>
      </c>
      <c r="AK289" s="283">
        <f>IF('Paste Editor (Beta)'!$C$90="Level-up prompt",G290,IF('Paste Editor (Beta)'!$C$90="Item prompt",E290,IF('Paste Editor (Beta)'!$C$90="Modifier prompt","'"&amp;B290,IF('Paste Editor (Beta)'!$C$90="Challenge prompt",E290,IF('Paste Editor (Beta)'!$C$90="Reroll class prompt",S289,IF('Paste Editor (Beta)'!$C$90="Swap hero prompt",S289,IF('Paste Editor (Beta)'!$C$90="Anvil prompt",AD289,"")))))))</f>
        <v>0</v>
      </c>
    </row>
    <row r="290" spans="2:37" ht="17.25">
      <c r="B290" s="284" t="s">
        <v>3650</v>
      </c>
      <c r="C290" s="284" t="s">
        <v>3650</v>
      </c>
      <c r="D290" s="284" t="s">
        <v>3650</v>
      </c>
      <c r="E290" s="280" t="s">
        <v>1428</v>
      </c>
      <c r="AH290" s="280" t="str">
        <f>IF('Paste Editor (Beta)'!$C$82="Level-up prompt",G291,IF('Paste Editor (Beta)'!$C$82="Item prompt",E291,IF('Paste Editor (Beta)'!$C$82="Modifier prompt","'"&amp;B291,IF('Paste Editor (Beta)'!$C$82="Challenge prompt",L291,IF('Paste Editor (Beta)'!$C$82="Reroll class prompt",S290,IF('Paste Editor (Beta)'!$C$82="Swap hero prompt",S290,IF('Paste Editor (Beta)'!$C$82="Anvil prompt",AD290,"")))))))</f>
        <v/>
      </c>
      <c r="AI290" s="280" t="str">
        <f>IF('Paste Editor (Beta)'!$C$82="Level-up prompt",G291,IF('Paste Editor (Beta)'!$C$82="Item prompt",E291,IF('Paste Editor (Beta)'!$C$82="Modifier prompt","'"&amp;B291,IF('Paste Editor (Beta)'!$C$82="Challenge prompt",E291,IF('Paste Editor (Beta)'!$C$82="Reroll class prompt",S290,IF('Paste Editor (Beta)'!$C$82="Swap hero prompt",S290,IF('Paste Editor (Beta)'!$C$82="Anvil prompt",AD290,"")))))))</f>
        <v/>
      </c>
      <c r="AJ290" s="283">
        <f>IF('Paste Editor (Beta)'!$C$90="Level-up prompt",G291,IF('Paste Editor (Beta)'!$C$90="Item prompt",E291,IF('Paste Editor (Beta)'!$C$90="Modifier prompt","'"&amp;B291,IF('Paste Editor (Beta)'!$C$90="Challenge prompt",L291,IF('Paste Editor (Beta)'!$C$90="Reroll class prompt",S290,IF('Paste Editor (Beta)'!$C$90="Swap hero prompt",S290,IF('Paste Editor (Beta)'!$C$90="Anvil prompt",AD290,"")))))))</f>
        <v>0</v>
      </c>
      <c r="AK290" s="283">
        <f>IF('Paste Editor (Beta)'!$C$90="Level-up prompt",G291,IF('Paste Editor (Beta)'!$C$90="Item prompt",E291,IF('Paste Editor (Beta)'!$C$90="Modifier prompt","'"&amp;B291,IF('Paste Editor (Beta)'!$C$90="Challenge prompt",E291,IF('Paste Editor (Beta)'!$C$90="Reroll class prompt",S290,IF('Paste Editor (Beta)'!$C$90="Swap hero prompt",S290,IF('Paste Editor (Beta)'!$C$90="Anvil prompt",AD290,"")))))))</f>
        <v>0</v>
      </c>
    </row>
    <row r="291" spans="2:37" ht="17.25">
      <c r="B291" s="284" t="s">
        <v>3648</v>
      </c>
      <c r="C291" s="284" t="s">
        <v>3648</v>
      </c>
      <c r="D291" s="284" t="s">
        <v>3648</v>
      </c>
      <c r="E291" s="280" t="s">
        <v>1485</v>
      </c>
      <c r="AH291" s="280" t="str">
        <f>IF('Paste Editor (Beta)'!$C$82="Level-up prompt",G292,IF('Paste Editor (Beta)'!$C$82="Item prompt",E292,IF('Paste Editor (Beta)'!$C$82="Modifier prompt","'"&amp;B292,IF('Paste Editor (Beta)'!$C$82="Challenge prompt",L292,IF('Paste Editor (Beta)'!$C$82="Reroll class prompt",S291,IF('Paste Editor (Beta)'!$C$82="Swap hero prompt",S291,IF('Paste Editor (Beta)'!$C$82="Anvil prompt",AD291,"")))))))</f>
        <v/>
      </c>
      <c r="AI291" s="280" t="str">
        <f>IF('Paste Editor (Beta)'!$C$82="Level-up prompt",G292,IF('Paste Editor (Beta)'!$C$82="Item prompt",E292,IF('Paste Editor (Beta)'!$C$82="Modifier prompt","'"&amp;B292,IF('Paste Editor (Beta)'!$C$82="Challenge prompt",E292,IF('Paste Editor (Beta)'!$C$82="Reroll class prompt",S291,IF('Paste Editor (Beta)'!$C$82="Swap hero prompt",S291,IF('Paste Editor (Beta)'!$C$82="Anvil prompt",AD291,"")))))))</f>
        <v/>
      </c>
      <c r="AJ291" s="283">
        <f>IF('Paste Editor (Beta)'!$C$90="Level-up prompt",G292,IF('Paste Editor (Beta)'!$C$90="Item prompt",E292,IF('Paste Editor (Beta)'!$C$90="Modifier prompt","'"&amp;B292,IF('Paste Editor (Beta)'!$C$90="Challenge prompt",L292,IF('Paste Editor (Beta)'!$C$90="Reroll class prompt",S291,IF('Paste Editor (Beta)'!$C$90="Swap hero prompt",S291,IF('Paste Editor (Beta)'!$C$90="Anvil prompt",AD291,"")))))))</f>
        <v>0</v>
      </c>
      <c r="AK291" s="283">
        <f>IF('Paste Editor (Beta)'!$C$90="Level-up prompt",G292,IF('Paste Editor (Beta)'!$C$90="Item prompt",E292,IF('Paste Editor (Beta)'!$C$90="Modifier prompt","'"&amp;B292,IF('Paste Editor (Beta)'!$C$90="Challenge prompt",E292,IF('Paste Editor (Beta)'!$C$90="Reroll class prompt",S291,IF('Paste Editor (Beta)'!$C$90="Swap hero prompt",S291,IF('Paste Editor (Beta)'!$C$90="Anvil prompt",AD291,"")))))))</f>
        <v>0</v>
      </c>
    </row>
    <row r="292" spans="2:37" ht="17.25">
      <c r="B292" s="284" t="s">
        <v>3140</v>
      </c>
      <c r="C292" s="284" t="s">
        <v>3140</v>
      </c>
      <c r="D292" s="284" t="s">
        <v>3140</v>
      </c>
      <c r="E292" s="280" t="s">
        <v>905</v>
      </c>
      <c r="AH292" s="280" t="str">
        <f>IF('Paste Editor (Beta)'!$C$82="Level-up prompt",G293,IF('Paste Editor (Beta)'!$C$82="Item prompt",E293,IF('Paste Editor (Beta)'!$C$82="Modifier prompt","'"&amp;B293,IF('Paste Editor (Beta)'!$C$82="Challenge prompt",L293,IF('Paste Editor (Beta)'!$C$82="Reroll class prompt",S292,IF('Paste Editor (Beta)'!$C$82="Swap hero prompt",S292,IF('Paste Editor (Beta)'!$C$82="Anvil prompt",AD292,"")))))))</f>
        <v/>
      </c>
      <c r="AI292" s="280" t="str">
        <f>IF('Paste Editor (Beta)'!$C$82="Level-up prompt",G293,IF('Paste Editor (Beta)'!$C$82="Item prompt",E293,IF('Paste Editor (Beta)'!$C$82="Modifier prompt","'"&amp;B293,IF('Paste Editor (Beta)'!$C$82="Challenge prompt",E293,IF('Paste Editor (Beta)'!$C$82="Reroll class prompt",S292,IF('Paste Editor (Beta)'!$C$82="Swap hero prompt",S292,IF('Paste Editor (Beta)'!$C$82="Anvil prompt",AD292,"")))))))</f>
        <v/>
      </c>
      <c r="AJ292" s="283">
        <f>IF('Paste Editor (Beta)'!$C$90="Level-up prompt",G293,IF('Paste Editor (Beta)'!$C$90="Item prompt",E293,IF('Paste Editor (Beta)'!$C$90="Modifier prompt","'"&amp;B293,IF('Paste Editor (Beta)'!$C$90="Challenge prompt",L293,IF('Paste Editor (Beta)'!$C$90="Reroll class prompt",S292,IF('Paste Editor (Beta)'!$C$90="Swap hero prompt",S292,IF('Paste Editor (Beta)'!$C$90="Anvil prompt",AD292,"")))))))</f>
        <v>0</v>
      </c>
      <c r="AK292" s="283">
        <f>IF('Paste Editor (Beta)'!$C$90="Level-up prompt",G293,IF('Paste Editor (Beta)'!$C$90="Item prompt",E293,IF('Paste Editor (Beta)'!$C$90="Modifier prompt","'"&amp;B293,IF('Paste Editor (Beta)'!$C$90="Challenge prompt",E293,IF('Paste Editor (Beta)'!$C$90="Reroll class prompt",S292,IF('Paste Editor (Beta)'!$C$90="Swap hero prompt",S292,IF('Paste Editor (Beta)'!$C$90="Anvil prompt",AD292,"")))))))</f>
        <v>0</v>
      </c>
    </row>
    <row r="293" spans="2:37" ht="17.25">
      <c r="B293" s="284" t="s">
        <v>3148</v>
      </c>
      <c r="C293" s="284" t="s">
        <v>3148</v>
      </c>
      <c r="D293" s="284" t="s">
        <v>3148</v>
      </c>
      <c r="E293" s="280" t="s">
        <v>1360</v>
      </c>
      <c r="AH293" s="280" t="str">
        <f>IF('Paste Editor (Beta)'!$C$82="Level-up prompt",G294,IF('Paste Editor (Beta)'!$C$82="Item prompt",E294,IF('Paste Editor (Beta)'!$C$82="Modifier prompt","'"&amp;B294,IF('Paste Editor (Beta)'!$C$82="Challenge prompt",L294,IF('Paste Editor (Beta)'!$C$82="Reroll class prompt",S293,IF('Paste Editor (Beta)'!$C$82="Swap hero prompt",S293,IF('Paste Editor (Beta)'!$C$82="Anvil prompt",AD293,"")))))))</f>
        <v/>
      </c>
      <c r="AI293" s="280" t="str">
        <f>IF('Paste Editor (Beta)'!$C$82="Level-up prompt",G294,IF('Paste Editor (Beta)'!$C$82="Item prompt",E294,IF('Paste Editor (Beta)'!$C$82="Modifier prompt","'"&amp;B294,IF('Paste Editor (Beta)'!$C$82="Challenge prompt",E294,IF('Paste Editor (Beta)'!$C$82="Reroll class prompt",S293,IF('Paste Editor (Beta)'!$C$82="Swap hero prompt",S293,IF('Paste Editor (Beta)'!$C$82="Anvil prompt",AD293,"")))))))</f>
        <v/>
      </c>
      <c r="AJ293" s="283">
        <f>IF('Paste Editor (Beta)'!$C$90="Level-up prompt",G294,IF('Paste Editor (Beta)'!$C$90="Item prompt",E294,IF('Paste Editor (Beta)'!$C$90="Modifier prompt","'"&amp;B294,IF('Paste Editor (Beta)'!$C$90="Challenge prompt",L294,IF('Paste Editor (Beta)'!$C$90="Reroll class prompt",S293,IF('Paste Editor (Beta)'!$C$90="Swap hero prompt",S293,IF('Paste Editor (Beta)'!$C$90="Anvil prompt",AD293,"")))))))</f>
        <v>0</v>
      </c>
      <c r="AK293" s="283">
        <f>IF('Paste Editor (Beta)'!$C$90="Level-up prompt",G294,IF('Paste Editor (Beta)'!$C$90="Item prompt",E294,IF('Paste Editor (Beta)'!$C$90="Modifier prompt","'"&amp;B294,IF('Paste Editor (Beta)'!$C$90="Challenge prompt",E294,IF('Paste Editor (Beta)'!$C$90="Reroll class prompt",S293,IF('Paste Editor (Beta)'!$C$90="Swap hero prompt",S293,IF('Paste Editor (Beta)'!$C$90="Anvil prompt",AD293,"")))))))</f>
        <v>0</v>
      </c>
    </row>
    <row r="294" spans="2:37" ht="17.25">
      <c r="B294" s="284" t="s">
        <v>3144</v>
      </c>
      <c r="C294" s="284" t="s">
        <v>3144</v>
      </c>
      <c r="D294" s="284" t="s">
        <v>3144</v>
      </c>
      <c r="E294" s="280" t="s">
        <v>982</v>
      </c>
      <c r="AH294" s="280" t="str">
        <f>IF('Paste Editor (Beta)'!$C$82="Level-up prompt",G295,IF('Paste Editor (Beta)'!$C$82="Item prompt",E295,IF('Paste Editor (Beta)'!$C$82="Modifier prompt","'"&amp;B295,IF('Paste Editor (Beta)'!$C$82="Challenge prompt",L295,IF('Paste Editor (Beta)'!$C$82="Reroll class prompt",S294,IF('Paste Editor (Beta)'!$C$82="Swap hero prompt",S294,IF('Paste Editor (Beta)'!$C$82="Anvil prompt",AD294,"")))))))</f>
        <v/>
      </c>
      <c r="AI294" s="280" t="str">
        <f>IF('Paste Editor (Beta)'!$C$82="Level-up prompt",G295,IF('Paste Editor (Beta)'!$C$82="Item prompt",E295,IF('Paste Editor (Beta)'!$C$82="Modifier prompt","'"&amp;B295,IF('Paste Editor (Beta)'!$C$82="Challenge prompt",E295,IF('Paste Editor (Beta)'!$C$82="Reroll class prompt",S294,IF('Paste Editor (Beta)'!$C$82="Swap hero prompt",S294,IF('Paste Editor (Beta)'!$C$82="Anvil prompt",AD294,"")))))))</f>
        <v/>
      </c>
      <c r="AJ294" s="283">
        <f>IF('Paste Editor (Beta)'!$C$90="Level-up prompt",G295,IF('Paste Editor (Beta)'!$C$90="Item prompt",E295,IF('Paste Editor (Beta)'!$C$90="Modifier prompt","'"&amp;B295,IF('Paste Editor (Beta)'!$C$90="Challenge prompt",L295,IF('Paste Editor (Beta)'!$C$90="Reroll class prompt",S294,IF('Paste Editor (Beta)'!$C$90="Swap hero prompt",S294,IF('Paste Editor (Beta)'!$C$90="Anvil prompt",AD294,"")))))))</f>
        <v>0</v>
      </c>
      <c r="AK294" s="283">
        <f>IF('Paste Editor (Beta)'!$C$90="Level-up prompt",G295,IF('Paste Editor (Beta)'!$C$90="Item prompt",E295,IF('Paste Editor (Beta)'!$C$90="Modifier prompt","'"&amp;B295,IF('Paste Editor (Beta)'!$C$90="Challenge prompt",E295,IF('Paste Editor (Beta)'!$C$90="Reroll class prompt",S294,IF('Paste Editor (Beta)'!$C$90="Swap hero prompt",S294,IF('Paste Editor (Beta)'!$C$90="Anvil prompt",AD294,"")))))))</f>
        <v>0</v>
      </c>
    </row>
    <row r="295" spans="2:37" ht="17.25">
      <c r="B295" s="284" t="s">
        <v>3374</v>
      </c>
      <c r="C295" s="284" t="s">
        <v>3374</v>
      </c>
      <c r="D295" s="284" t="s">
        <v>3374</v>
      </c>
      <c r="E295" s="280" t="s">
        <v>1060</v>
      </c>
      <c r="AH295" s="280" t="str">
        <f>IF('Paste Editor (Beta)'!$C$82="Level-up prompt",G296,IF('Paste Editor (Beta)'!$C$82="Item prompt",E296,IF('Paste Editor (Beta)'!$C$82="Modifier prompt","'"&amp;B296,IF('Paste Editor (Beta)'!$C$82="Challenge prompt",L296,IF('Paste Editor (Beta)'!$C$82="Reroll class prompt",S295,IF('Paste Editor (Beta)'!$C$82="Swap hero prompt",S295,IF('Paste Editor (Beta)'!$C$82="Anvil prompt",AD295,"")))))))</f>
        <v/>
      </c>
      <c r="AI295" s="280" t="str">
        <f>IF('Paste Editor (Beta)'!$C$82="Level-up prompt",G296,IF('Paste Editor (Beta)'!$C$82="Item prompt",E296,IF('Paste Editor (Beta)'!$C$82="Modifier prompt","'"&amp;B296,IF('Paste Editor (Beta)'!$C$82="Challenge prompt",E296,IF('Paste Editor (Beta)'!$C$82="Reroll class prompt",S295,IF('Paste Editor (Beta)'!$C$82="Swap hero prompt",S295,IF('Paste Editor (Beta)'!$C$82="Anvil prompt",AD295,"")))))))</f>
        <v/>
      </c>
      <c r="AJ295" s="283">
        <f>IF('Paste Editor (Beta)'!$C$90="Level-up prompt",G296,IF('Paste Editor (Beta)'!$C$90="Item prompt",E296,IF('Paste Editor (Beta)'!$C$90="Modifier prompt","'"&amp;B296,IF('Paste Editor (Beta)'!$C$90="Challenge prompt",L296,IF('Paste Editor (Beta)'!$C$90="Reroll class prompt",S295,IF('Paste Editor (Beta)'!$C$90="Swap hero prompt",S295,IF('Paste Editor (Beta)'!$C$90="Anvil prompt",AD295,"")))))))</f>
        <v>0</v>
      </c>
      <c r="AK295" s="283">
        <f>IF('Paste Editor (Beta)'!$C$90="Level-up prompt",G296,IF('Paste Editor (Beta)'!$C$90="Item prompt",E296,IF('Paste Editor (Beta)'!$C$90="Modifier prompt","'"&amp;B296,IF('Paste Editor (Beta)'!$C$90="Challenge prompt",E296,IF('Paste Editor (Beta)'!$C$90="Reroll class prompt",S295,IF('Paste Editor (Beta)'!$C$90="Swap hero prompt",S295,IF('Paste Editor (Beta)'!$C$90="Anvil prompt",AD295,"")))))))</f>
        <v>0</v>
      </c>
    </row>
    <row r="296" spans="2:37" ht="17.25">
      <c r="B296" s="284" t="s">
        <v>3454</v>
      </c>
      <c r="C296" s="284" t="s">
        <v>3454</v>
      </c>
      <c r="D296" s="284" t="s">
        <v>3454</v>
      </c>
      <c r="E296" s="280" t="s">
        <v>1062</v>
      </c>
      <c r="AH296" s="280" t="str">
        <f>IF('Paste Editor (Beta)'!$C$82="Level-up prompt",G297,IF('Paste Editor (Beta)'!$C$82="Item prompt",E297,IF('Paste Editor (Beta)'!$C$82="Modifier prompt","'"&amp;B297,IF('Paste Editor (Beta)'!$C$82="Challenge prompt",L297,IF('Paste Editor (Beta)'!$C$82="Reroll class prompt",S296,IF('Paste Editor (Beta)'!$C$82="Swap hero prompt",S296,IF('Paste Editor (Beta)'!$C$82="Anvil prompt",AD296,"")))))))</f>
        <v/>
      </c>
      <c r="AI296" s="280" t="str">
        <f>IF('Paste Editor (Beta)'!$C$82="Level-up prompt",G297,IF('Paste Editor (Beta)'!$C$82="Item prompt",E297,IF('Paste Editor (Beta)'!$C$82="Modifier prompt","'"&amp;B297,IF('Paste Editor (Beta)'!$C$82="Challenge prompt",E297,IF('Paste Editor (Beta)'!$C$82="Reroll class prompt",S296,IF('Paste Editor (Beta)'!$C$82="Swap hero prompt",S296,IF('Paste Editor (Beta)'!$C$82="Anvil prompt",AD296,"")))))))</f>
        <v/>
      </c>
      <c r="AJ296" s="283">
        <f>IF('Paste Editor (Beta)'!$C$90="Level-up prompt",G297,IF('Paste Editor (Beta)'!$C$90="Item prompt",E297,IF('Paste Editor (Beta)'!$C$90="Modifier prompt","'"&amp;B297,IF('Paste Editor (Beta)'!$C$90="Challenge prompt",L297,IF('Paste Editor (Beta)'!$C$90="Reroll class prompt",S296,IF('Paste Editor (Beta)'!$C$90="Swap hero prompt",S296,IF('Paste Editor (Beta)'!$C$90="Anvil prompt",AD296,"")))))))</f>
        <v>0</v>
      </c>
      <c r="AK296" s="283">
        <f>IF('Paste Editor (Beta)'!$C$90="Level-up prompt",G297,IF('Paste Editor (Beta)'!$C$90="Item prompt",E297,IF('Paste Editor (Beta)'!$C$90="Modifier prompt","'"&amp;B297,IF('Paste Editor (Beta)'!$C$90="Challenge prompt",E297,IF('Paste Editor (Beta)'!$C$90="Reroll class prompt",S296,IF('Paste Editor (Beta)'!$C$90="Swap hero prompt",S296,IF('Paste Editor (Beta)'!$C$90="Anvil prompt",AD296,"")))))))</f>
        <v>0</v>
      </c>
    </row>
    <row r="297" spans="2:37" ht="17.25">
      <c r="B297" s="284" t="s">
        <v>3422</v>
      </c>
      <c r="C297" s="284" t="s">
        <v>3422</v>
      </c>
      <c r="D297" s="284" t="s">
        <v>3422</v>
      </c>
      <c r="E297" s="280" t="s">
        <v>1064</v>
      </c>
      <c r="AH297" s="280" t="str">
        <f>IF('Paste Editor (Beta)'!$C$82="Level-up prompt",G298,IF('Paste Editor (Beta)'!$C$82="Item prompt",E298,IF('Paste Editor (Beta)'!$C$82="Modifier prompt","'"&amp;B298,IF('Paste Editor (Beta)'!$C$82="Challenge prompt",L298,IF('Paste Editor (Beta)'!$C$82="Reroll class prompt",S297,IF('Paste Editor (Beta)'!$C$82="Swap hero prompt",S297,IF('Paste Editor (Beta)'!$C$82="Anvil prompt",AD297,"")))))))</f>
        <v/>
      </c>
      <c r="AI297" s="280" t="str">
        <f>IF('Paste Editor (Beta)'!$C$82="Level-up prompt",G298,IF('Paste Editor (Beta)'!$C$82="Item prompt",E298,IF('Paste Editor (Beta)'!$C$82="Modifier prompt","'"&amp;B298,IF('Paste Editor (Beta)'!$C$82="Challenge prompt",E298,IF('Paste Editor (Beta)'!$C$82="Reroll class prompt",S297,IF('Paste Editor (Beta)'!$C$82="Swap hero prompt",S297,IF('Paste Editor (Beta)'!$C$82="Anvil prompt",AD297,"")))))))</f>
        <v/>
      </c>
      <c r="AJ297" s="283">
        <f>IF('Paste Editor (Beta)'!$C$90="Level-up prompt",G298,IF('Paste Editor (Beta)'!$C$90="Item prompt",E298,IF('Paste Editor (Beta)'!$C$90="Modifier prompt","'"&amp;B298,IF('Paste Editor (Beta)'!$C$90="Challenge prompt",L298,IF('Paste Editor (Beta)'!$C$90="Reroll class prompt",S297,IF('Paste Editor (Beta)'!$C$90="Swap hero prompt",S297,IF('Paste Editor (Beta)'!$C$90="Anvil prompt",AD297,"")))))))</f>
        <v>0</v>
      </c>
      <c r="AK297" s="283">
        <f>IF('Paste Editor (Beta)'!$C$90="Level-up prompt",G298,IF('Paste Editor (Beta)'!$C$90="Item prompt",E298,IF('Paste Editor (Beta)'!$C$90="Modifier prompt","'"&amp;B298,IF('Paste Editor (Beta)'!$C$90="Challenge prompt",E298,IF('Paste Editor (Beta)'!$C$90="Reroll class prompt",S297,IF('Paste Editor (Beta)'!$C$90="Swap hero prompt",S297,IF('Paste Editor (Beta)'!$C$90="Anvil prompt",AD297,"")))))))</f>
        <v>0</v>
      </c>
    </row>
    <row r="298" spans="2:37" ht="17.25">
      <c r="B298" s="284" t="s">
        <v>3220</v>
      </c>
      <c r="C298" s="284" t="s">
        <v>3220</v>
      </c>
      <c r="D298" s="284" t="s">
        <v>3220</v>
      </c>
      <c r="E298" s="280" t="s">
        <v>1430</v>
      </c>
      <c r="AH298" s="280" t="str">
        <f>IF('Paste Editor (Beta)'!$C$82="Level-up prompt",G299,IF('Paste Editor (Beta)'!$C$82="Item prompt",E299,IF('Paste Editor (Beta)'!$C$82="Modifier prompt","'"&amp;B299,IF('Paste Editor (Beta)'!$C$82="Challenge prompt",L299,IF('Paste Editor (Beta)'!$C$82="Reroll class prompt",S298,IF('Paste Editor (Beta)'!$C$82="Swap hero prompt",S298,IF('Paste Editor (Beta)'!$C$82="Anvil prompt",AD298,"")))))))</f>
        <v/>
      </c>
      <c r="AI298" s="280" t="str">
        <f>IF('Paste Editor (Beta)'!$C$82="Level-up prompt",G299,IF('Paste Editor (Beta)'!$C$82="Item prompt",E299,IF('Paste Editor (Beta)'!$C$82="Modifier prompt","'"&amp;B299,IF('Paste Editor (Beta)'!$C$82="Challenge prompt",E299,IF('Paste Editor (Beta)'!$C$82="Reroll class prompt",S298,IF('Paste Editor (Beta)'!$C$82="Swap hero prompt",S298,IF('Paste Editor (Beta)'!$C$82="Anvil prompt",AD298,"")))))))</f>
        <v/>
      </c>
      <c r="AJ298" s="283">
        <f>IF('Paste Editor (Beta)'!$C$90="Level-up prompt",G299,IF('Paste Editor (Beta)'!$C$90="Item prompt",E299,IF('Paste Editor (Beta)'!$C$90="Modifier prompt","'"&amp;B299,IF('Paste Editor (Beta)'!$C$90="Challenge prompt",L299,IF('Paste Editor (Beta)'!$C$90="Reroll class prompt",S298,IF('Paste Editor (Beta)'!$C$90="Swap hero prompt",S298,IF('Paste Editor (Beta)'!$C$90="Anvil prompt",AD298,"")))))))</f>
        <v>0</v>
      </c>
      <c r="AK298" s="283">
        <f>IF('Paste Editor (Beta)'!$C$90="Level-up prompt",G299,IF('Paste Editor (Beta)'!$C$90="Item prompt",E299,IF('Paste Editor (Beta)'!$C$90="Modifier prompt","'"&amp;B299,IF('Paste Editor (Beta)'!$C$90="Challenge prompt",E299,IF('Paste Editor (Beta)'!$C$90="Reroll class prompt",S298,IF('Paste Editor (Beta)'!$C$90="Swap hero prompt",S298,IF('Paste Editor (Beta)'!$C$90="Anvil prompt",AD298,"")))))))</f>
        <v>0</v>
      </c>
    </row>
    <row r="299" spans="2:37" ht="17.25">
      <c r="B299" s="284" t="s">
        <v>3620</v>
      </c>
      <c r="C299" s="284" t="s">
        <v>3620</v>
      </c>
      <c r="D299" s="284" t="s">
        <v>3620</v>
      </c>
      <c r="E299" s="280" t="s">
        <v>1121</v>
      </c>
      <c r="AH299" s="280" t="str">
        <f>IF('Paste Editor (Beta)'!$C$82="Level-up prompt",G300,IF('Paste Editor (Beta)'!$C$82="Item prompt",E300,IF('Paste Editor (Beta)'!$C$82="Modifier prompt","'"&amp;B300,IF('Paste Editor (Beta)'!$C$82="Challenge prompt",L300,IF('Paste Editor (Beta)'!$C$82="Reroll class prompt",S299,IF('Paste Editor (Beta)'!$C$82="Swap hero prompt",S299,IF('Paste Editor (Beta)'!$C$82="Anvil prompt",AD299,"")))))))</f>
        <v/>
      </c>
      <c r="AI299" s="280" t="str">
        <f>IF('Paste Editor (Beta)'!$C$82="Level-up prompt",G300,IF('Paste Editor (Beta)'!$C$82="Item prompt",E300,IF('Paste Editor (Beta)'!$C$82="Modifier prompt","'"&amp;B300,IF('Paste Editor (Beta)'!$C$82="Challenge prompt",E300,IF('Paste Editor (Beta)'!$C$82="Reroll class prompt",S299,IF('Paste Editor (Beta)'!$C$82="Swap hero prompt",S299,IF('Paste Editor (Beta)'!$C$82="Anvil prompt",AD299,"")))))))</f>
        <v/>
      </c>
      <c r="AJ299" s="283">
        <f>IF('Paste Editor (Beta)'!$C$90="Level-up prompt",G300,IF('Paste Editor (Beta)'!$C$90="Item prompt",E300,IF('Paste Editor (Beta)'!$C$90="Modifier prompt","'"&amp;B300,IF('Paste Editor (Beta)'!$C$90="Challenge prompt",L300,IF('Paste Editor (Beta)'!$C$90="Reroll class prompt",S299,IF('Paste Editor (Beta)'!$C$90="Swap hero prompt",S299,IF('Paste Editor (Beta)'!$C$90="Anvil prompt",AD299,"")))))))</f>
        <v>0</v>
      </c>
      <c r="AK299" s="283">
        <f>IF('Paste Editor (Beta)'!$C$90="Level-up prompt",G300,IF('Paste Editor (Beta)'!$C$90="Item prompt",E300,IF('Paste Editor (Beta)'!$C$90="Modifier prompt","'"&amp;B300,IF('Paste Editor (Beta)'!$C$90="Challenge prompt",E300,IF('Paste Editor (Beta)'!$C$90="Reroll class prompt",S299,IF('Paste Editor (Beta)'!$C$90="Swap hero prompt",S299,IF('Paste Editor (Beta)'!$C$90="Anvil prompt",AD299,"")))))))</f>
        <v>0</v>
      </c>
    </row>
    <row r="300" spans="2:37" ht="17.25">
      <c r="B300" s="284" t="s">
        <v>3584</v>
      </c>
      <c r="C300" s="284" t="s">
        <v>3584</v>
      </c>
      <c r="D300" s="284" t="s">
        <v>3584</v>
      </c>
      <c r="E300" s="280" t="s">
        <v>1362</v>
      </c>
      <c r="AH300" s="280" t="str">
        <f>IF('Paste Editor (Beta)'!$C$82="Level-up prompt",G301,IF('Paste Editor (Beta)'!$C$82="Item prompt",E301,IF('Paste Editor (Beta)'!$C$82="Modifier prompt","'"&amp;B301,IF('Paste Editor (Beta)'!$C$82="Challenge prompt",L301,IF('Paste Editor (Beta)'!$C$82="Reroll class prompt",S300,IF('Paste Editor (Beta)'!$C$82="Swap hero prompt",S300,IF('Paste Editor (Beta)'!$C$82="Anvil prompt",AD300,"")))))))</f>
        <v/>
      </c>
      <c r="AI300" s="280" t="str">
        <f>IF('Paste Editor (Beta)'!$C$82="Level-up prompt",G301,IF('Paste Editor (Beta)'!$C$82="Item prompt",E301,IF('Paste Editor (Beta)'!$C$82="Modifier prompt","'"&amp;B301,IF('Paste Editor (Beta)'!$C$82="Challenge prompt",E301,IF('Paste Editor (Beta)'!$C$82="Reroll class prompt",S300,IF('Paste Editor (Beta)'!$C$82="Swap hero prompt",S300,IF('Paste Editor (Beta)'!$C$82="Anvil prompt",AD300,"")))))))</f>
        <v/>
      </c>
      <c r="AJ300" s="283">
        <f>IF('Paste Editor (Beta)'!$C$90="Level-up prompt",G301,IF('Paste Editor (Beta)'!$C$90="Item prompt",E301,IF('Paste Editor (Beta)'!$C$90="Modifier prompt","'"&amp;B301,IF('Paste Editor (Beta)'!$C$90="Challenge prompt",L301,IF('Paste Editor (Beta)'!$C$90="Reroll class prompt",S300,IF('Paste Editor (Beta)'!$C$90="Swap hero prompt",S300,IF('Paste Editor (Beta)'!$C$90="Anvil prompt",AD300,"")))))))</f>
        <v>0</v>
      </c>
      <c r="AK300" s="283">
        <f>IF('Paste Editor (Beta)'!$C$90="Level-up prompt",G301,IF('Paste Editor (Beta)'!$C$90="Item prompt",E301,IF('Paste Editor (Beta)'!$C$90="Modifier prompt","'"&amp;B301,IF('Paste Editor (Beta)'!$C$90="Challenge prompt",E301,IF('Paste Editor (Beta)'!$C$90="Reroll class prompt",S300,IF('Paste Editor (Beta)'!$C$90="Swap hero prompt",S300,IF('Paste Editor (Beta)'!$C$90="Anvil prompt",AD300,"")))))))</f>
        <v>0</v>
      </c>
    </row>
    <row r="301" spans="2:37" ht="17.25">
      <c r="B301" s="284" t="s">
        <v>3314</v>
      </c>
      <c r="C301" s="284" t="s">
        <v>3314</v>
      </c>
      <c r="D301" s="284" t="s">
        <v>3314</v>
      </c>
      <c r="E301" s="280" t="s">
        <v>1203</v>
      </c>
      <c r="AH301" s="280" t="str">
        <f>IF('Paste Editor (Beta)'!$C$82="Level-up prompt",G302,IF('Paste Editor (Beta)'!$C$82="Item prompt",E302,IF('Paste Editor (Beta)'!$C$82="Modifier prompt","'"&amp;B302,IF('Paste Editor (Beta)'!$C$82="Challenge prompt",L302,IF('Paste Editor (Beta)'!$C$82="Reroll class prompt",S301,IF('Paste Editor (Beta)'!$C$82="Swap hero prompt",S301,IF('Paste Editor (Beta)'!$C$82="Anvil prompt",AD301,"")))))))</f>
        <v/>
      </c>
      <c r="AI301" s="280" t="str">
        <f>IF('Paste Editor (Beta)'!$C$82="Level-up prompt",G302,IF('Paste Editor (Beta)'!$C$82="Item prompt",E302,IF('Paste Editor (Beta)'!$C$82="Modifier prompt","'"&amp;B302,IF('Paste Editor (Beta)'!$C$82="Challenge prompt",E302,IF('Paste Editor (Beta)'!$C$82="Reroll class prompt",S301,IF('Paste Editor (Beta)'!$C$82="Swap hero prompt",S301,IF('Paste Editor (Beta)'!$C$82="Anvil prompt",AD301,"")))))))</f>
        <v/>
      </c>
      <c r="AJ301" s="283">
        <f>IF('Paste Editor (Beta)'!$C$90="Level-up prompt",G302,IF('Paste Editor (Beta)'!$C$90="Item prompt",E302,IF('Paste Editor (Beta)'!$C$90="Modifier prompt","'"&amp;B302,IF('Paste Editor (Beta)'!$C$90="Challenge prompt",L302,IF('Paste Editor (Beta)'!$C$90="Reroll class prompt",S301,IF('Paste Editor (Beta)'!$C$90="Swap hero prompt",S301,IF('Paste Editor (Beta)'!$C$90="Anvil prompt",AD301,"")))))))</f>
        <v>0</v>
      </c>
      <c r="AK301" s="283">
        <f>IF('Paste Editor (Beta)'!$C$90="Level-up prompt",G302,IF('Paste Editor (Beta)'!$C$90="Item prompt",E302,IF('Paste Editor (Beta)'!$C$90="Modifier prompt","'"&amp;B302,IF('Paste Editor (Beta)'!$C$90="Challenge prompt",E302,IF('Paste Editor (Beta)'!$C$90="Reroll class prompt",S301,IF('Paste Editor (Beta)'!$C$90="Swap hero prompt",S301,IF('Paste Editor (Beta)'!$C$90="Anvil prompt",AD301,"")))))))</f>
        <v>0</v>
      </c>
    </row>
    <row r="302" spans="2:37" ht="17.25">
      <c r="B302" s="284" t="s">
        <v>3502</v>
      </c>
      <c r="C302" s="284" t="s">
        <v>3502</v>
      </c>
      <c r="D302" s="284" t="s">
        <v>3502</v>
      </c>
      <c r="E302" s="280" t="s">
        <v>1066</v>
      </c>
      <c r="AH302" s="280" t="str">
        <f>IF('Paste Editor (Beta)'!$C$82="Level-up prompt",G303,IF('Paste Editor (Beta)'!$C$82="Item prompt",E303,IF('Paste Editor (Beta)'!$C$82="Modifier prompt","'"&amp;B303,IF('Paste Editor (Beta)'!$C$82="Challenge prompt",L303,IF('Paste Editor (Beta)'!$C$82="Reroll class prompt",S302,IF('Paste Editor (Beta)'!$C$82="Swap hero prompt",S302,IF('Paste Editor (Beta)'!$C$82="Anvil prompt",AD302,"")))))))</f>
        <v/>
      </c>
      <c r="AI302" s="280" t="str">
        <f>IF('Paste Editor (Beta)'!$C$82="Level-up prompt",G303,IF('Paste Editor (Beta)'!$C$82="Item prompt",E303,IF('Paste Editor (Beta)'!$C$82="Modifier prompt","'"&amp;B303,IF('Paste Editor (Beta)'!$C$82="Challenge prompt",E303,IF('Paste Editor (Beta)'!$C$82="Reroll class prompt",S302,IF('Paste Editor (Beta)'!$C$82="Swap hero prompt",S302,IF('Paste Editor (Beta)'!$C$82="Anvil prompt",AD302,"")))))))</f>
        <v/>
      </c>
      <c r="AJ302" s="283">
        <f>IF('Paste Editor (Beta)'!$C$90="Level-up prompt",G303,IF('Paste Editor (Beta)'!$C$90="Item prompt",E303,IF('Paste Editor (Beta)'!$C$90="Modifier prompt","'"&amp;B303,IF('Paste Editor (Beta)'!$C$90="Challenge prompt",L303,IF('Paste Editor (Beta)'!$C$90="Reroll class prompt",S302,IF('Paste Editor (Beta)'!$C$90="Swap hero prompt",S302,IF('Paste Editor (Beta)'!$C$90="Anvil prompt",AD302,"")))))))</f>
        <v>0</v>
      </c>
      <c r="AK302" s="283">
        <f>IF('Paste Editor (Beta)'!$C$90="Level-up prompt",G303,IF('Paste Editor (Beta)'!$C$90="Item prompt",E303,IF('Paste Editor (Beta)'!$C$90="Modifier prompt","'"&amp;B303,IF('Paste Editor (Beta)'!$C$90="Challenge prompt",E303,IF('Paste Editor (Beta)'!$C$90="Reroll class prompt",S302,IF('Paste Editor (Beta)'!$C$90="Swap hero prompt",S302,IF('Paste Editor (Beta)'!$C$90="Anvil prompt",AD302,"")))))))</f>
        <v>0</v>
      </c>
    </row>
    <row r="303" spans="2:37" ht="17.25">
      <c r="B303" s="284" t="s">
        <v>3236</v>
      </c>
      <c r="C303" s="284" t="s">
        <v>3236</v>
      </c>
      <c r="D303" s="284" t="s">
        <v>3236</v>
      </c>
      <c r="E303" s="280" t="s">
        <v>984</v>
      </c>
      <c r="AH303" s="280" t="str">
        <f>IF('Paste Editor (Beta)'!$C$82="Level-up prompt",G304,IF('Paste Editor (Beta)'!$C$82="Item prompt",E304,IF('Paste Editor (Beta)'!$C$82="Modifier prompt","'"&amp;B304,IF('Paste Editor (Beta)'!$C$82="Challenge prompt",L304,IF('Paste Editor (Beta)'!$C$82="Reroll class prompt",S303,IF('Paste Editor (Beta)'!$C$82="Swap hero prompt",S303,IF('Paste Editor (Beta)'!$C$82="Anvil prompt",AD303,"")))))))</f>
        <v/>
      </c>
      <c r="AI303" s="280" t="str">
        <f>IF('Paste Editor (Beta)'!$C$82="Level-up prompt",G304,IF('Paste Editor (Beta)'!$C$82="Item prompt",E304,IF('Paste Editor (Beta)'!$C$82="Modifier prompt","'"&amp;B304,IF('Paste Editor (Beta)'!$C$82="Challenge prompt",E304,IF('Paste Editor (Beta)'!$C$82="Reroll class prompt",S303,IF('Paste Editor (Beta)'!$C$82="Swap hero prompt",S303,IF('Paste Editor (Beta)'!$C$82="Anvil prompt",AD303,"")))))))</f>
        <v/>
      </c>
      <c r="AJ303" s="283">
        <f>IF('Paste Editor (Beta)'!$C$90="Level-up prompt",G304,IF('Paste Editor (Beta)'!$C$90="Item prompt",E304,IF('Paste Editor (Beta)'!$C$90="Modifier prompt","'"&amp;B304,IF('Paste Editor (Beta)'!$C$90="Challenge prompt",L304,IF('Paste Editor (Beta)'!$C$90="Reroll class prompt",S303,IF('Paste Editor (Beta)'!$C$90="Swap hero prompt",S303,IF('Paste Editor (Beta)'!$C$90="Anvil prompt",AD303,"")))))))</f>
        <v>0</v>
      </c>
      <c r="AK303" s="283">
        <f>IF('Paste Editor (Beta)'!$C$90="Level-up prompt",G304,IF('Paste Editor (Beta)'!$C$90="Item prompt",E304,IF('Paste Editor (Beta)'!$C$90="Modifier prompt","'"&amp;B304,IF('Paste Editor (Beta)'!$C$90="Challenge prompt",E304,IF('Paste Editor (Beta)'!$C$90="Reroll class prompt",S303,IF('Paste Editor (Beta)'!$C$90="Swap hero prompt",S303,IF('Paste Editor (Beta)'!$C$90="Anvil prompt",AD303,"")))))))</f>
        <v>0</v>
      </c>
    </row>
    <row r="304" spans="2:37" ht="17.25">
      <c r="B304" s="284" t="s">
        <v>3566</v>
      </c>
      <c r="C304" s="284" t="s">
        <v>3566</v>
      </c>
      <c r="D304" s="284" t="s">
        <v>3566</v>
      </c>
      <c r="E304" s="280" t="s">
        <v>1488</v>
      </c>
      <c r="AH304" s="280" t="str">
        <f>IF('Paste Editor (Beta)'!$C$82="Level-up prompt",G305,IF('Paste Editor (Beta)'!$C$82="Item prompt",E305,IF('Paste Editor (Beta)'!$C$82="Modifier prompt","'"&amp;B305,IF('Paste Editor (Beta)'!$C$82="Challenge prompt",L305,IF('Paste Editor (Beta)'!$C$82="Reroll class prompt",S304,IF('Paste Editor (Beta)'!$C$82="Swap hero prompt",S304,IF('Paste Editor (Beta)'!$C$82="Anvil prompt",AD304,"")))))))</f>
        <v/>
      </c>
      <c r="AI304" s="280" t="str">
        <f>IF('Paste Editor (Beta)'!$C$82="Level-up prompt",G305,IF('Paste Editor (Beta)'!$C$82="Item prompt",E305,IF('Paste Editor (Beta)'!$C$82="Modifier prompt","'"&amp;B305,IF('Paste Editor (Beta)'!$C$82="Challenge prompt",E305,IF('Paste Editor (Beta)'!$C$82="Reroll class prompt",S304,IF('Paste Editor (Beta)'!$C$82="Swap hero prompt",S304,IF('Paste Editor (Beta)'!$C$82="Anvil prompt",AD304,"")))))))</f>
        <v/>
      </c>
      <c r="AJ304" s="283">
        <f>IF('Paste Editor (Beta)'!$C$90="Level-up prompt",G305,IF('Paste Editor (Beta)'!$C$90="Item prompt",E305,IF('Paste Editor (Beta)'!$C$90="Modifier prompt","'"&amp;B305,IF('Paste Editor (Beta)'!$C$90="Challenge prompt",L305,IF('Paste Editor (Beta)'!$C$90="Reroll class prompt",S304,IF('Paste Editor (Beta)'!$C$90="Swap hero prompt",S304,IF('Paste Editor (Beta)'!$C$90="Anvil prompt",AD304,"")))))))</f>
        <v>0</v>
      </c>
      <c r="AK304" s="283">
        <f>IF('Paste Editor (Beta)'!$C$90="Level-up prompt",G305,IF('Paste Editor (Beta)'!$C$90="Item prompt",E305,IF('Paste Editor (Beta)'!$C$90="Modifier prompt","'"&amp;B305,IF('Paste Editor (Beta)'!$C$90="Challenge prompt",E305,IF('Paste Editor (Beta)'!$C$90="Reroll class prompt",S304,IF('Paste Editor (Beta)'!$C$90="Swap hero prompt",S304,IF('Paste Editor (Beta)'!$C$90="Anvil prompt",AD304,"")))))))</f>
        <v>0</v>
      </c>
    </row>
    <row r="305" spans="2:37" ht="17.25">
      <c r="B305" s="284" t="s">
        <v>3516</v>
      </c>
      <c r="C305" s="284" t="s">
        <v>3516</v>
      </c>
      <c r="D305" s="284" t="s">
        <v>3516</v>
      </c>
      <c r="E305" s="280" t="s">
        <v>1432</v>
      </c>
      <c r="AH305" s="280" t="str">
        <f>IF('Paste Editor (Beta)'!$C$82="Level-up prompt",G306,IF('Paste Editor (Beta)'!$C$82="Item prompt",E306,IF('Paste Editor (Beta)'!$C$82="Modifier prompt","'"&amp;B306,IF('Paste Editor (Beta)'!$C$82="Challenge prompt",L306,IF('Paste Editor (Beta)'!$C$82="Reroll class prompt",S305,IF('Paste Editor (Beta)'!$C$82="Swap hero prompt",S305,IF('Paste Editor (Beta)'!$C$82="Anvil prompt",AD305,"")))))))</f>
        <v/>
      </c>
      <c r="AI305" s="280" t="str">
        <f>IF('Paste Editor (Beta)'!$C$82="Level-up prompt",G306,IF('Paste Editor (Beta)'!$C$82="Item prompt",E306,IF('Paste Editor (Beta)'!$C$82="Modifier prompt","'"&amp;B306,IF('Paste Editor (Beta)'!$C$82="Challenge prompt",E306,IF('Paste Editor (Beta)'!$C$82="Reroll class prompt",S305,IF('Paste Editor (Beta)'!$C$82="Swap hero prompt",S305,IF('Paste Editor (Beta)'!$C$82="Anvil prompt",AD305,"")))))))</f>
        <v/>
      </c>
      <c r="AJ305" s="283">
        <f>IF('Paste Editor (Beta)'!$C$90="Level-up prompt",G306,IF('Paste Editor (Beta)'!$C$90="Item prompt",E306,IF('Paste Editor (Beta)'!$C$90="Modifier prompt","'"&amp;B306,IF('Paste Editor (Beta)'!$C$90="Challenge prompt",L306,IF('Paste Editor (Beta)'!$C$90="Reroll class prompt",S305,IF('Paste Editor (Beta)'!$C$90="Swap hero prompt",S305,IF('Paste Editor (Beta)'!$C$90="Anvil prompt",AD305,"")))))))</f>
        <v>0</v>
      </c>
      <c r="AK305" s="283">
        <f>IF('Paste Editor (Beta)'!$C$90="Level-up prompt",G306,IF('Paste Editor (Beta)'!$C$90="Item prompt",E306,IF('Paste Editor (Beta)'!$C$90="Modifier prompt","'"&amp;B306,IF('Paste Editor (Beta)'!$C$90="Challenge prompt",E306,IF('Paste Editor (Beta)'!$C$90="Reroll class prompt",S305,IF('Paste Editor (Beta)'!$C$90="Swap hero prompt",S305,IF('Paste Editor (Beta)'!$C$90="Anvil prompt",AD305,"")))))))</f>
        <v>0</v>
      </c>
    </row>
    <row r="306" spans="2:37" ht="17.25">
      <c r="B306" s="284" t="s">
        <v>2086</v>
      </c>
      <c r="C306" s="284" t="s">
        <v>2086</v>
      </c>
      <c r="D306" s="284" t="s">
        <v>2086</v>
      </c>
      <c r="E306" s="280" t="s">
        <v>1068</v>
      </c>
      <c r="AH306" s="280" t="str">
        <f>IF('Paste Editor (Beta)'!$C$82="Level-up prompt",G307,IF('Paste Editor (Beta)'!$C$82="Item prompt",E307,IF('Paste Editor (Beta)'!$C$82="Modifier prompt","'"&amp;B307,IF('Paste Editor (Beta)'!$C$82="Challenge prompt",L307,IF('Paste Editor (Beta)'!$C$82="Reroll class prompt",S306,IF('Paste Editor (Beta)'!$C$82="Swap hero prompt",S306,IF('Paste Editor (Beta)'!$C$82="Anvil prompt",AD306,"")))))))</f>
        <v/>
      </c>
      <c r="AI306" s="280" t="str">
        <f>IF('Paste Editor (Beta)'!$C$82="Level-up prompt",G307,IF('Paste Editor (Beta)'!$C$82="Item prompt",E307,IF('Paste Editor (Beta)'!$C$82="Modifier prompt","'"&amp;B307,IF('Paste Editor (Beta)'!$C$82="Challenge prompt",E307,IF('Paste Editor (Beta)'!$C$82="Reroll class prompt",S306,IF('Paste Editor (Beta)'!$C$82="Swap hero prompt",S306,IF('Paste Editor (Beta)'!$C$82="Anvil prompt",AD306,"")))))))</f>
        <v/>
      </c>
      <c r="AJ306" s="283">
        <f>IF('Paste Editor (Beta)'!$C$90="Level-up prompt",G307,IF('Paste Editor (Beta)'!$C$90="Item prompt",E307,IF('Paste Editor (Beta)'!$C$90="Modifier prompt","'"&amp;B307,IF('Paste Editor (Beta)'!$C$90="Challenge prompt",L307,IF('Paste Editor (Beta)'!$C$90="Reroll class prompt",S306,IF('Paste Editor (Beta)'!$C$90="Swap hero prompt",S306,IF('Paste Editor (Beta)'!$C$90="Anvil prompt",AD306,"")))))))</f>
        <v>0</v>
      </c>
      <c r="AK306" s="283">
        <f>IF('Paste Editor (Beta)'!$C$90="Level-up prompt",G307,IF('Paste Editor (Beta)'!$C$90="Item prompt",E307,IF('Paste Editor (Beta)'!$C$90="Modifier prompt","'"&amp;B307,IF('Paste Editor (Beta)'!$C$90="Challenge prompt",E307,IF('Paste Editor (Beta)'!$C$90="Reroll class prompt",S306,IF('Paste Editor (Beta)'!$C$90="Swap hero prompt",S306,IF('Paste Editor (Beta)'!$C$90="Anvil prompt",AD306,"")))))))</f>
        <v>0</v>
      </c>
    </row>
    <row r="307" spans="2:37" ht="17.25">
      <c r="B307" s="284" t="s">
        <v>2088</v>
      </c>
      <c r="C307" s="284" t="s">
        <v>2088</v>
      </c>
      <c r="D307" s="284" t="s">
        <v>2088</v>
      </c>
      <c r="E307" s="280" t="s">
        <v>1434</v>
      </c>
      <c r="AH307" s="280" t="str">
        <f>IF('Paste Editor (Beta)'!$C$82="Level-up prompt",G308,IF('Paste Editor (Beta)'!$C$82="Item prompt",E308,IF('Paste Editor (Beta)'!$C$82="Modifier prompt","'"&amp;B308,IF('Paste Editor (Beta)'!$C$82="Challenge prompt",L308,IF('Paste Editor (Beta)'!$C$82="Reroll class prompt",S307,IF('Paste Editor (Beta)'!$C$82="Swap hero prompt",S307,IF('Paste Editor (Beta)'!$C$82="Anvil prompt",AD307,"")))))))</f>
        <v/>
      </c>
      <c r="AI307" s="280" t="str">
        <f>IF('Paste Editor (Beta)'!$C$82="Level-up prompt",G308,IF('Paste Editor (Beta)'!$C$82="Item prompt",E308,IF('Paste Editor (Beta)'!$C$82="Modifier prompt","'"&amp;B308,IF('Paste Editor (Beta)'!$C$82="Challenge prompt",E308,IF('Paste Editor (Beta)'!$C$82="Reroll class prompt",S307,IF('Paste Editor (Beta)'!$C$82="Swap hero prompt",S307,IF('Paste Editor (Beta)'!$C$82="Anvil prompt",AD307,"")))))))</f>
        <v/>
      </c>
      <c r="AJ307" s="283">
        <f>IF('Paste Editor (Beta)'!$C$90="Level-up prompt",G308,IF('Paste Editor (Beta)'!$C$90="Item prompt",E308,IF('Paste Editor (Beta)'!$C$90="Modifier prompt","'"&amp;B308,IF('Paste Editor (Beta)'!$C$90="Challenge prompt",L308,IF('Paste Editor (Beta)'!$C$90="Reroll class prompt",S307,IF('Paste Editor (Beta)'!$C$90="Swap hero prompt",S307,IF('Paste Editor (Beta)'!$C$90="Anvil prompt",AD307,"")))))))</f>
        <v>0</v>
      </c>
      <c r="AK307" s="283">
        <f>IF('Paste Editor (Beta)'!$C$90="Level-up prompt",G308,IF('Paste Editor (Beta)'!$C$90="Item prompt",E308,IF('Paste Editor (Beta)'!$C$90="Modifier prompt","'"&amp;B308,IF('Paste Editor (Beta)'!$C$90="Challenge prompt",E308,IF('Paste Editor (Beta)'!$C$90="Reroll class prompt",S307,IF('Paste Editor (Beta)'!$C$90="Swap hero prompt",S307,IF('Paste Editor (Beta)'!$C$90="Anvil prompt",AD307,"")))))))</f>
        <v>0</v>
      </c>
    </row>
    <row r="308" spans="2:37" ht="17.25">
      <c r="B308" s="284" t="s">
        <v>3632</v>
      </c>
      <c r="C308" s="284" t="s">
        <v>3632</v>
      </c>
      <c r="D308" s="284" t="s">
        <v>3632</v>
      </c>
      <c r="E308" s="280" t="s">
        <v>1490</v>
      </c>
      <c r="AH308" s="280" t="str">
        <f>IF('Paste Editor (Beta)'!$C$82="Level-up prompt",G309,IF('Paste Editor (Beta)'!$C$82="Item prompt",E309,IF('Paste Editor (Beta)'!$C$82="Modifier prompt","'"&amp;B309,IF('Paste Editor (Beta)'!$C$82="Challenge prompt",L309,IF('Paste Editor (Beta)'!$C$82="Reroll class prompt",S308,IF('Paste Editor (Beta)'!$C$82="Swap hero prompt",S308,IF('Paste Editor (Beta)'!$C$82="Anvil prompt",AD308,"")))))))</f>
        <v/>
      </c>
      <c r="AI308" s="280" t="str">
        <f>IF('Paste Editor (Beta)'!$C$82="Level-up prompt",G309,IF('Paste Editor (Beta)'!$C$82="Item prompt",E309,IF('Paste Editor (Beta)'!$C$82="Modifier prompt","'"&amp;B309,IF('Paste Editor (Beta)'!$C$82="Challenge prompt",E309,IF('Paste Editor (Beta)'!$C$82="Reroll class prompt",S308,IF('Paste Editor (Beta)'!$C$82="Swap hero prompt",S308,IF('Paste Editor (Beta)'!$C$82="Anvil prompt",AD308,"")))))))</f>
        <v/>
      </c>
      <c r="AJ308" s="283">
        <f>IF('Paste Editor (Beta)'!$C$90="Level-up prompt",G309,IF('Paste Editor (Beta)'!$C$90="Item prompt",E309,IF('Paste Editor (Beta)'!$C$90="Modifier prompt","'"&amp;B309,IF('Paste Editor (Beta)'!$C$90="Challenge prompt",L309,IF('Paste Editor (Beta)'!$C$90="Reroll class prompt",S308,IF('Paste Editor (Beta)'!$C$90="Swap hero prompt",S308,IF('Paste Editor (Beta)'!$C$90="Anvil prompt",AD308,"")))))))</f>
        <v>0</v>
      </c>
      <c r="AK308" s="283">
        <f>IF('Paste Editor (Beta)'!$C$90="Level-up prompt",G309,IF('Paste Editor (Beta)'!$C$90="Item prompt",E309,IF('Paste Editor (Beta)'!$C$90="Modifier prompt","'"&amp;B309,IF('Paste Editor (Beta)'!$C$90="Challenge prompt",E309,IF('Paste Editor (Beta)'!$C$90="Reroll class prompt",S308,IF('Paste Editor (Beta)'!$C$90="Swap hero prompt",S308,IF('Paste Editor (Beta)'!$C$90="Anvil prompt",AD308,"")))))))</f>
        <v>0</v>
      </c>
    </row>
    <row r="309" spans="2:37" ht="17.25">
      <c r="B309" s="284" t="s">
        <v>3122</v>
      </c>
      <c r="C309" s="284" t="s">
        <v>3122</v>
      </c>
      <c r="D309" s="284" t="s">
        <v>3122</v>
      </c>
      <c r="E309" s="280" t="s">
        <v>1205</v>
      </c>
      <c r="AH309" s="280" t="str">
        <f>IF('Paste Editor (Beta)'!$C$82="Level-up prompt",G310,IF('Paste Editor (Beta)'!$C$82="Item prompt",E310,IF('Paste Editor (Beta)'!$C$82="Modifier prompt","'"&amp;B310,IF('Paste Editor (Beta)'!$C$82="Challenge prompt",L310,IF('Paste Editor (Beta)'!$C$82="Reroll class prompt",S309,IF('Paste Editor (Beta)'!$C$82="Swap hero prompt",S309,IF('Paste Editor (Beta)'!$C$82="Anvil prompt",AD309,"")))))))</f>
        <v/>
      </c>
      <c r="AI309" s="280" t="str">
        <f>IF('Paste Editor (Beta)'!$C$82="Level-up prompt",G310,IF('Paste Editor (Beta)'!$C$82="Item prompt",E310,IF('Paste Editor (Beta)'!$C$82="Modifier prompt","'"&amp;B310,IF('Paste Editor (Beta)'!$C$82="Challenge prompt",E310,IF('Paste Editor (Beta)'!$C$82="Reroll class prompt",S309,IF('Paste Editor (Beta)'!$C$82="Swap hero prompt",S309,IF('Paste Editor (Beta)'!$C$82="Anvil prompt",AD309,"")))))))</f>
        <v/>
      </c>
      <c r="AJ309" s="283">
        <f>IF('Paste Editor (Beta)'!$C$90="Level-up prompt",G310,IF('Paste Editor (Beta)'!$C$90="Item prompt",E310,IF('Paste Editor (Beta)'!$C$90="Modifier prompt","'"&amp;B310,IF('Paste Editor (Beta)'!$C$90="Challenge prompt",L310,IF('Paste Editor (Beta)'!$C$90="Reroll class prompt",S309,IF('Paste Editor (Beta)'!$C$90="Swap hero prompt",S309,IF('Paste Editor (Beta)'!$C$90="Anvil prompt",AD309,"")))))))</f>
        <v>0</v>
      </c>
      <c r="AK309" s="283">
        <f>IF('Paste Editor (Beta)'!$C$90="Level-up prompt",G310,IF('Paste Editor (Beta)'!$C$90="Item prompt",E310,IF('Paste Editor (Beta)'!$C$90="Modifier prompt","'"&amp;B310,IF('Paste Editor (Beta)'!$C$90="Challenge prompt",E310,IF('Paste Editor (Beta)'!$C$90="Reroll class prompt",S309,IF('Paste Editor (Beta)'!$C$90="Swap hero prompt",S309,IF('Paste Editor (Beta)'!$C$90="Anvil prompt",AD309,"")))))))</f>
        <v>0</v>
      </c>
    </row>
    <row r="310" spans="2:37" ht="17.25">
      <c r="B310" s="284" t="s">
        <v>3594</v>
      </c>
      <c r="C310" s="284" t="s">
        <v>3594</v>
      </c>
      <c r="D310" s="284" t="s">
        <v>3594</v>
      </c>
      <c r="E310" s="280" t="s">
        <v>1289</v>
      </c>
      <c r="AH310" s="280" t="str">
        <f>IF('Paste Editor (Beta)'!$C$82="Level-up prompt",G311,IF('Paste Editor (Beta)'!$C$82="Item prompt",E311,IF('Paste Editor (Beta)'!$C$82="Modifier prompt","'"&amp;B311,IF('Paste Editor (Beta)'!$C$82="Challenge prompt",L311,IF('Paste Editor (Beta)'!$C$82="Reroll class prompt",S310,IF('Paste Editor (Beta)'!$C$82="Swap hero prompt",S310,IF('Paste Editor (Beta)'!$C$82="Anvil prompt",AD310,"")))))))</f>
        <v/>
      </c>
      <c r="AI310" s="280" t="str">
        <f>IF('Paste Editor (Beta)'!$C$82="Level-up prompt",G311,IF('Paste Editor (Beta)'!$C$82="Item prompt",E311,IF('Paste Editor (Beta)'!$C$82="Modifier prompt","'"&amp;B311,IF('Paste Editor (Beta)'!$C$82="Challenge prompt",E311,IF('Paste Editor (Beta)'!$C$82="Reroll class prompt",S310,IF('Paste Editor (Beta)'!$C$82="Swap hero prompt",S310,IF('Paste Editor (Beta)'!$C$82="Anvil prompt",AD310,"")))))))</f>
        <v/>
      </c>
      <c r="AJ310" s="283">
        <f>IF('Paste Editor (Beta)'!$C$90="Level-up prompt",G311,IF('Paste Editor (Beta)'!$C$90="Item prompt",E311,IF('Paste Editor (Beta)'!$C$90="Modifier prompt","'"&amp;B311,IF('Paste Editor (Beta)'!$C$90="Challenge prompt",L311,IF('Paste Editor (Beta)'!$C$90="Reroll class prompt",S310,IF('Paste Editor (Beta)'!$C$90="Swap hero prompt",S310,IF('Paste Editor (Beta)'!$C$90="Anvil prompt",AD310,"")))))))</f>
        <v>0</v>
      </c>
      <c r="AK310" s="283">
        <f>IF('Paste Editor (Beta)'!$C$90="Level-up prompt",G311,IF('Paste Editor (Beta)'!$C$90="Item prompt",E311,IF('Paste Editor (Beta)'!$C$90="Modifier prompt","'"&amp;B311,IF('Paste Editor (Beta)'!$C$90="Challenge prompt",E311,IF('Paste Editor (Beta)'!$C$90="Reroll class prompt",S310,IF('Paste Editor (Beta)'!$C$90="Swap hero prompt",S310,IF('Paste Editor (Beta)'!$C$90="Anvil prompt",AD310,"")))))))</f>
        <v>0</v>
      </c>
    </row>
    <row r="311" spans="2:37" ht="17.25">
      <c r="B311" s="284" t="s">
        <v>3136</v>
      </c>
      <c r="C311" s="284" t="s">
        <v>3136</v>
      </c>
      <c r="D311" s="284" t="s">
        <v>3136</v>
      </c>
      <c r="E311" s="280" t="s">
        <v>986</v>
      </c>
      <c r="AH311" s="280" t="str">
        <f>IF('Paste Editor (Beta)'!$C$82="Level-up prompt",G312,IF('Paste Editor (Beta)'!$C$82="Item prompt",E312,IF('Paste Editor (Beta)'!$C$82="Modifier prompt","'"&amp;B312,IF('Paste Editor (Beta)'!$C$82="Challenge prompt",L312,IF('Paste Editor (Beta)'!$C$82="Reroll class prompt",S311,IF('Paste Editor (Beta)'!$C$82="Swap hero prompt",S311,IF('Paste Editor (Beta)'!$C$82="Anvil prompt",AD311,"")))))))</f>
        <v/>
      </c>
      <c r="AI311" s="280" t="str">
        <f>IF('Paste Editor (Beta)'!$C$82="Level-up prompt",G312,IF('Paste Editor (Beta)'!$C$82="Item prompt",E312,IF('Paste Editor (Beta)'!$C$82="Modifier prompt","'"&amp;B312,IF('Paste Editor (Beta)'!$C$82="Challenge prompt",E312,IF('Paste Editor (Beta)'!$C$82="Reroll class prompt",S311,IF('Paste Editor (Beta)'!$C$82="Swap hero prompt",S311,IF('Paste Editor (Beta)'!$C$82="Anvil prompt",AD311,"")))))))</f>
        <v/>
      </c>
      <c r="AJ311" s="283">
        <f>IF('Paste Editor (Beta)'!$C$90="Level-up prompt",G312,IF('Paste Editor (Beta)'!$C$90="Item prompt",E312,IF('Paste Editor (Beta)'!$C$90="Modifier prompt","'"&amp;B312,IF('Paste Editor (Beta)'!$C$90="Challenge prompt",L312,IF('Paste Editor (Beta)'!$C$90="Reroll class prompt",S311,IF('Paste Editor (Beta)'!$C$90="Swap hero prompt",S311,IF('Paste Editor (Beta)'!$C$90="Anvil prompt",AD311,"")))))))</f>
        <v>0</v>
      </c>
      <c r="AK311" s="283">
        <f>IF('Paste Editor (Beta)'!$C$90="Level-up prompt",G312,IF('Paste Editor (Beta)'!$C$90="Item prompt",E312,IF('Paste Editor (Beta)'!$C$90="Modifier prompt","'"&amp;B312,IF('Paste Editor (Beta)'!$C$90="Challenge prompt",E312,IF('Paste Editor (Beta)'!$C$90="Reroll class prompt",S311,IF('Paste Editor (Beta)'!$C$90="Swap hero prompt",S311,IF('Paste Editor (Beta)'!$C$90="Anvil prompt",AD311,"")))))))</f>
        <v>0</v>
      </c>
    </row>
    <row r="312" spans="2:37" ht="17.25">
      <c r="B312" s="284" t="s">
        <v>3546</v>
      </c>
      <c r="C312" s="284" t="s">
        <v>3546</v>
      </c>
      <c r="D312" s="284" t="s">
        <v>3546</v>
      </c>
      <c r="E312" s="280" t="s">
        <v>1364</v>
      </c>
      <c r="AH312" s="280" t="str">
        <f>IF('Paste Editor (Beta)'!$C$82="Level-up prompt",G313,IF('Paste Editor (Beta)'!$C$82="Item prompt",E313,IF('Paste Editor (Beta)'!$C$82="Modifier prompt","'"&amp;B313,IF('Paste Editor (Beta)'!$C$82="Challenge prompt",L313,IF('Paste Editor (Beta)'!$C$82="Reroll class prompt",S312,IF('Paste Editor (Beta)'!$C$82="Swap hero prompt",S312,IF('Paste Editor (Beta)'!$C$82="Anvil prompt",AD312,"")))))))</f>
        <v/>
      </c>
      <c r="AI312" s="280" t="str">
        <f>IF('Paste Editor (Beta)'!$C$82="Level-up prompt",G313,IF('Paste Editor (Beta)'!$C$82="Item prompt",E313,IF('Paste Editor (Beta)'!$C$82="Modifier prompt","'"&amp;B313,IF('Paste Editor (Beta)'!$C$82="Challenge prompt",E313,IF('Paste Editor (Beta)'!$C$82="Reroll class prompt",S312,IF('Paste Editor (Beta)'!$C$82="Swap hero prompt",S312,IF('Paste Editor (Beta)'!$C$82="Anvil prompt",AD312,"")))))))</f>
        <v/>
      </c>
      <c r="AJ312" s="283">
        <f>IF('Paste Editor (Beta)'!$C$90="Level-up prompt",G313,IF('Paste Editor (Beta)'!$C$90="Item prompt",E313,IF('Paste Editor (Beta)'!$C$90="Modifier prompt","'"&amp;B313,IF('Paste Editor (Beta)'!$C$90="Challenge prompt",L313,IF('Paste Editor (Beta)'!$C$90="Reroll class prompt",S312,IF('Paste Editor (Beta)'!$C$90="Swap hero prompt",S312,IF('Paste Editor (Beta)'!$C$90="Anvil prompt",AD312,"")))))))</f>
        <v>0</v>
      </c>
      <c r="AK312" s="283">
        <f>IF('Paste Editor (Beta)'!$C$90="Level-up prompt",G313,IF('Paste Editor (Beta)'!$C$90="Item prompt",E313,IF('Paste Editor (Beta)'!$C$90="Modifier prompt","'"&amp;B313,IF('Paste Editor (Beta)'!$C$90="Challenge prompt",E313,IF('Paste Editor (Beta)'!$C$90="Reroll class prompt",S312,IF('Paste Editor (Beta)'!$C$90="Swap hero prompt",S312,IF('Paste Editor (Beta)'!$C$90="Anvil prompt",AD312,"")))))))</f>
        <v>0</v>
      </c>
    </row>
    <row r="313" spans="2:37" ht="17.25">
      <c r="B313" s="284" t="s">
        <v>3406</v>
      </c>
      <c r="C313" s="284" t="s">
        <v>3406</v>
      </c>
      <c r="D313" s="284" t="s">
        <v>3406</v>
      </c>
      <c r="E313" s="280" t="s">
        <v>1207</v>
      </c>
      <c r="AH313" s="280" t="str">
        <f>IF('Paste Editor (Beta)'!$C$82="Level-up prompt",G314,IF('Paste Editor (Beta)'!$C$82="Item prompt",E314,IF('Paste Editor (Beta)'!$C$82="Modifier prompt","'"&amp;B314,IF('Paste Editor (Beta)'!$C$82="Challenge prompt",L314,IF('Paste Editor (Beta)'!$C$82="Reroll class prompt",S313,IF('Paste Editor (Beta)'!$C$82="Swap hero prompt",S313,IF('Paste Editor (Beta)'!$C$82="Anvil prompt",AD313,"")))))))</f>
        <v/>
      </c>
      <c r="AI313" s="280" t="str">
        <f>IF('Paste Editor (Beta)'!$C$82="Level-up prompt",G314,IF('Paste Editor (Beta)'!$C$82="Item prompt",E314,IF('Paste Editor (Beta)'!$C$82="Modifier prompt","'"&amp;B314,IF('Paste Editor (Beta)'!$C$82="Challenge prompt",E314,IF('Paste Editor (Beta)'!$C$82="Reroll class prompt",S313,IF('Paste Editor (Beta)'!$C$82="Swap hero prompt",S313,IF('Paste Editor (Beta)'!$C$82="Anvil prompt",AD313,"")))))))</f>
        <v/>
      </c>
      <c r="AJ313" s="283">
        <f>IF('Paste Editor (Beta)'!$C$90="Level-up prompt",G314,IF('Paste Editor (Beta)'!$C$90="Item prompt",E314,IF('Paste Editor (Beta)'!$C$90="Modifier prompt","'"&amp;B314,IF('Paste Editor (Beta)'!$C$90="Challenge prompt",L314,IF('Paste Editor (Beta)'!$C$90="Reroll class prompt",S313,IF('Paste Editor (Beta)'!$C$90="Swap hero prompt",S313,IF('Paste Editor (Beta)'!$C$90="Anvil prompt",AD313,"")))))))</f>
        <v>0</v>
      </c>
      <c r="AK313" s="283">
        <f>IF('Paste Editor (Beta)'!$C$90="Level-up prompt",G314,IF('Paste Editor (Beta)'!$C$90="Item prompt",E314,IF('Paste Editor (Beta)'!$C$90="Modifier prompt","'"&amp;B314,IF('Paste Editor (Beta)'!$C$90="Challenge prompt",E314,IF('Paste Editor (Beta)'!$C$90="Reroll class prompt",S313,IF('Paste Editor (Beta)'!$C$90="Swap hero prompt",S313,IF('Paste Editor (Beta)'!$C$90="Anvil prompt",AD313,"")))))))</f>
        <v>0</v>
      </c>
    </row>
    <row r="314" spans="2:37" ht="17.25">
      <c r="B314" s="284" t="s">
        <v>3424</v>
      </c>
      <c r="C314" s="284" t="s">
        <v>3424</v>
      </c>
      <c r="D314" s="284" t="s">
        <v>3424</v>
      </c>
      <c r="E314" s="280" t="s">
        <v>1366</v>
      </c>
      <c r="AH314" s="280" t="str">
        <f>IF('Paste Editor (Beta)'!$C$82="Level-up prompt",G315,IF('Paste Editor (Beta)'!$C$82="Item prompt",E315,IF('Paste Editor (Beta)'!$C$82="Modifier prompt","'"&amp;B315,IF('Paste Editor (Beta)'!$C$82="Challenge prompt",L315,IF('Paste Editor (Beta)'!$C$82="Reroll class prompt",S314,IF('Paste Editor (Beta)'!$C$82="Swap hero prompt",S314,IF('Paste Editor (Beta)'!$C$82="Anvil prompt",AD314,"")))))))</f>
        <v/>
      </c>
      <c r="AI314" s="280" t="str">
        <f>IF('Paste Editor (Beta)'!$C$82="Level-up prompt",G315,IF('Paste Editor (Beta)'!$C$82="Item prompt",E315,IF('Paste Editor (Beta)'!$C$82="Modifier prompt","'"&amp;B315,IF('Paste Editor (Beta)'!$C$82="Challenge prompt",E315,IF('Paste Editor (Beta)'!$C$82="Reroll class prompt",S314,IF('Paste Editor (Beta)'!$C$82="Swap hero prompt",S314,IF('Paste Editor (Beta)'!$C$82="Anvil prompt",AD314,"")))))))</f>
        <v/>
      </c>
      <c r="AJ314" s="283">
        <f>IF('Paste Editor (Beta)'!$C$90="Level-up prompt",G315,IF('Paste Editor (Beta)'!$C$90="Item prompt",E315,IF('Paste Editor (Beta)'!$C$90="Modifier prompt","'"&amp;B315,IF('Paste Editor (Beta)'!$C$90="Challenge prompt",L315,IF('Paste Editor (Beta)'!$C$90="Reroll class prompt",S314,IF('Paste Editor (Beta)'!$C$90="Swap hero prompt",S314,IF('Paste Editor (Beta)'!$C$90="Anvil prompt",AD314,"")))))))</f>
        <v>0</v>
      </c>
      <c r="AK314" s="283">
        <f>IF('Paste Editor (Beta)'!$C$90="Level-up prompt",G315,IF('Paste Editor (Beta)'!$C$90="Item prompt",E315,IF('Paste Editor (Beta)'!$C$90="Modifier prompt","'"&amp;B315,IF('Paste Editor (Beta)'!$C$90="Challenge prompt",E315,IF('Paste Editor (Beta)'!$C$90="Reroll class prompt",S314,IF('Paste Editor (Beta)'!$C$90="Swap hero prompt",S314,IF('Paste Editor (Beta)'!$C$90="Anvil prompt",AD314,"")))))))</f>
        <v>0</v>
      </c>
    </row>
    <row r="315" spans="2:37" ht="17.25">
      <c r="B315" s="284" t="s">
        <v>3468</v>
      </c>
      <c r="C315" s="284" t="s">
        <v>3468</v>
      </c>
      <c r="D315" s="284" t="s">
        <v>3468</v>
      </c>
      <c r="E315" s="280" t="s">
        <v>1123</v>
      </c>
      <c r="AH315" s="280" t="str">
        <f>IF('Paste Editor (Beta)'!$C$82="Level-up prompt",G316,IF('Paste Editor (Beta)'!$C$82="Item prompt",E316,IF('Paste Editor (Beta)'!$C$82="Modifier prompt","'"&amp;B316,IF('Paste Editor (Beta)'!$C$82="Challenge prompt",L316,IF('Paste Editor (Beta)'!$C$82="Reroll class prompt",S315,IF('Paste Editor (Beta)'!$C$82="Swap hero prompt",S315,IF('Paste Editor (Beta)'!$C$82="Anvil prompt",AD315,"")))))))</f>
        <v/>
      </c>
      <c r="AI315" s="280" t="str">
        <f>IF('Paste Editor (Beta)'!$C$82="Level-up prompt",G316,IF('Paste Editor (Beta)'!$C$82="Item prompt",E316,IF('Paste Editor (Beta)'!$C$82="Modifier prompt","'"&amp;B316,IF('Paste Editor (Beta)'!$C$82="Challenge prompt",E316,IF('Paste Editor (Beta)'!$C$82="Reroll class prompt",S315,IF('Paste Editor (Beta)'!$C$82="Swap hero prompt",S315,IF('Paste Editor (Beta)'!$C$82="Anvil prompt",AD315,"")))))))</f>
        <v/>
      </c>
      <c r="AJ315" s="283">
        <f>IF('Paste Editor (Beta)'!$C$90="Level-up prompt",G316,IF('Paste Editor (Beta)'!$C$90="Item prompt",E316,IF('Paste Editor (Beta)'!$C$90="Modifier prompt","'"&amp;B316,IF('Paste Editor (Beta)'!$C$90="Challenge prompt",L316,IF('Paste Editor (Beta)'!$C$90="Reroll class prompt",S315,IF('Paste Editor (Beta)'!$C$90="Swap hero prompt",S315,IF('Paste Editor (Beta)'!$C$90="Anvil prompt",AD315,"")))))))</f>
        <v>0</v>
      </c>
      <c r="AK315" s="283">
        <f>IF('Paste Editor (Beta)'!$C$90="Level-up prompt",G316,IF('Paste Editor (Beta)'!$C$90="Item prompt",E316,IF('Paste Editor (Beta)'!$C$90="Modifier prompt","'"&amp;B316,IF('Paste Editor (Beta)'!$C$90="Challenge prompt",E316,IF('Paste Editor (Beta)'!$C$90="Reroll class prompt",S315,IF('Paste Editor (Beta)'!$C$90="Swap hero prompt",S315,IF('Paste Editor (Beta)'!$C$90="Anvil prompt",AD315,"")))))))</f>
        <v>0</v>
      </c>
    </row>
    <row r="316" spans="2:37" ht="17.25">
      <c r="B316" s="284" t="s">
        <v>3264</v>
      </c>
      <c r="C316" s="284" t="s">
        <v>3264</v>
      </c>
      <c r="D316" s="284" t="s">
        <v>3264</v>
      </c>
      <c r="E316" s="280" t="s">
        <v>1209</v>
      </c>
      <c r="AH316" s="280" t="str">
        <f>IF('Paste Editor (Beta)'!$C$82="Level-up prompt",G317,IF('Paste Editor (Beta)'!$C$82="Item prompt",E317,IF('Paste Editor (Beta)'!$C$82="Modifier prompt","'"&amp;B317,IF('Paste Editor (Beta)'!$C$82="Challenge prompt",L317,IF('Paste Editor (Beta)'!$C$82="Reroll class prompt",S316,IF('Paste Editor (Beta)'!$C$82="Swap hero prompt",S316,IF('Paste Editor (Beta)'!$C$82="Anvil prompt",AD316,"")))))))</f>
        <v/>
      </c>
      <c r="AI316" s="280" t="str">
        <f>IF('Paste Editor (Beta)'!$C$82="Level-up prompt",G317,IF('Paste Editor (Beta)'!$C$82="Item prompt",E317,IF('Paste Editor (Beta)'!$C$82="Modifier prompt","'"&amp;B317,IF('Paste Editor (Beta)'!$C$82="Challenge prompt",E317,IF('Paste Editor (Beta)'!$C$82="Reroll class prompt",S316,IF('Paste Editor (Beta)'!$C$82="Swap hero prompt",S316,IF('Paste Editor (Beta)'!$C$82="Anvil prompt",AD316,"")))))))</f>
        <v/>
      </c>
      <c r="AJ316" s="283">
        <f>IF('Paste Editor (Beta)'!$C$90="Level-up prompt",G317,IF('Paste Editor (Beta)'!$C$90="Item prompt",E317,IF('Paste Editor (Beta)'!$C$90="Modifier prompt","'"&amp;B317,IF('Paste Editor (Beta)'!$C$90="Challenge prompt",L317,IF('Paste Editor (Beta)'!$C$90="Reroll class prompt",S316,IF('Paste Editor (Beta)'!$C$90="Swap hero prompt",S316,IF('Paste Editor (Beta)'!$C$90="Anvil prompt",AD316,"")))))))</f>
        <v>0</v>
      </c>
      <c r="AK316" s="283">
        <f>IF('Paste Editor (Beta)'!$C$90="Level-up prompt",G317,IF('Paste Editor (Beta)'!$C$90="Item prompt",E317,IF('Paste Editor (Beta)'!$C$90="Modifier prompt","'"&amp;B317,IF('Paste Editor (Beta)'!$C$90="Challenge prompt",E317,IF('Paste Editor (Beta)'!$C$90="Reroll class prompt",S316,IF('Paste Editor (Beta)'!$C$90="Swap hero prompt",S316,IF('Paste Editor (Beta)'!$C$90="Anvil prompt",AD316,"")))))))</f>
        <v>0</v>
      </c>
    </row>
    <row r="317" spans="2:37" ht="17.25">
      <c r="B317" s="284" t="s">
        <v>3382</v>
      </c>
      <c r="C317" s="284" t="s">
        <v>3382</v>
      </c>
      <c r="D317" s="284" t="s">
        <v>3382</v>
      </c>
      <c r="E317" s="280" t="s">
        <v>1369</v>
      </c>
      <c r="AH317" s="280" t="str">
        <f>IF('Paste Editor (Beta)'!$C$82="Level-up prompt",G318,IF('Paste Editor (Beta)'!$C$82="Item prompt",E318,IF('Paste Editor (Beta)'!$C$82="Modifier prompt","'"&amp;B318,IF('Paste Editor (Beta)'!$C$82="Challenge prompt",L318,IF('Paste Editor (Beta)'!$C$82="Reroll class prompt",S317,IF('Paste Editor (Beta)'!$C$82="Swap hero prompt",S317,IF('Paste Editor (Beta)'!$C$82="Anvil prompt",AD317,"")))))))</f>
        <v/>
      </c>
      <c r="AI317" s="280" t="str">
        <f>IF('Paste Editor (Beta)'!$C$82="Level-up prompt",G318,IF('Paste Editor (Beta)'!$C$82="Item prompt",E318,IF('Paste Editor (Beta)'!$C$82="Modifier prompt","'"&amp;B318,IF('Paste Editor (Beta)'!$C$82="Challenge prompt",E318,IF('Paste Editor (Beta)'!$C$82="Reroll class prompt",S317,IF('Paste Editor (Beta)'!$C$82="Swap hero prompt",S317,IF('Paste Editor (Beta)'!$C$82="Anvil prompt",AD317,"")))))))</f>
        <v/>
      </c>
      <c r="AJ317" s="283">
        <f>IF('Paste Editor (Beta)'!$C$90="Level-up prompt",G318,IF('Paste Editor (Beta)'!$C$90="Item prompt",E318,IF('Paste Editor (Beta)'!$C$90="Modifier prompt","'"&amp;B318,IF('Paste Editor (Beta)'!$C$90="Challenge prompt",L318,IF('Paste Editor (Beta)'!$C$90="Reroll class prompt",S317,IF('Paste Editor (Beta)'!$C$90="Swap hero prompt",S317,IF('Paste Editor (Beta)'!$C$90="Anvil prompt",AD317,"")))))))</f>
        <v>0</v>
      </c>
      <c r="AK317" s="283">
        <f>IF('Paste Editor (Beta)'!$C$90="Level-up prompt",G318,IF('Paste Editor (Beta)'!$C$90="Item prompt",E318,IF('Paste Editor (Beta)'!$C$90="Modifier prompt","'"&amp;B318,IF('Paste Editor (Beta)'!$C$90="Challenge prompt",E318,IF('Paste Editor (Beta)'!$C$90="Reroll class prompt",S317,IF('Paste Editor (Beta)'!$C$90="Swap hero prompt",S317,IF('Paste Editor (Beta)'!$C$90="Anvil prompt",AD317,"")))))))</f>
        <v>0</v>
      </c>
    </row>
    <row r="318" spans="2:37" ht="17.25">
      <c r="B318" s="284" t="s">
        <v>3588</v>
      </c>
      <c r="C318" s="284" t="s">
        <v>3588</v>
      </c>
      <c r="D318" s="284" t="s">
        <v>3588</v>
      </c>
      <c r="E318" s="280" t="s">
        <v>1527</v>
      </c>
      <c r="AH318" s="280" t="str">
        <f>IF('Paste Editor (Beta)'!$C$82="Level-up prompt",G319,IF('Paste Editor (Beta)'!$C$82="Item prompt",E319,IF('Paste Editor (Beta)'!$C$82="Modifier prompt","'"&amp;B319,IF('Paste Editor (Beta)'!$C$82="Challenge prompt",L319,IF('Paste Editor (Beta)'!$C$82="Reroll class prompt",S318,IF('Paste Editor (Beta)'!$C$82="Swap hero prompt",S318,IF('Paste Editor (Beta)'!$C$82="Anvil prompt",AD318,"")))))))</f>
        <v/>
      </c>
      <c r="AI318" s="280" t="str">
        <f>IF('Paste Editor (Beta)'!$C$82="Level-up prompt",G319,IF('Paste Editor (Beta)'!$C$82="Item prompt",E319,IF('Paste Editor (Beta)'!$C$82="Modifier prompt","'"&amp;B319,IF('Paste Editor (Beta)'!$C$82="Challenge prompt",E319,IF('Paste Editor (Beta)'!$C$82="Reroll class prompt",S318,IF('Paste Editor (Beta)'!$C$82="Swap hero prompt",S318,IF('Paste Editor (Beta)'!$C$82="Anvil prompt",AD318,"")))))))</f>
        <v/>
      </c>
      <c r="AJ318" s="283">
        <f>IF('Paste Editor (Beta)'!$C$90="Level-up prompt",G319,IF('Paste Editor (Beta)'!$C$90="Item prompt",E319,IF('Paste Editor (Beta)'!$C$90="Modifier prompt","'"&amp;B319,IF('Paste Editor (Beta)'!$C$90="Challenge prompt",L319,IF('Paste Editor (Beta)'!$C$90="Reroll class prompt",S318,IF('Paste Editor (Beta)'!$C$90="Swap hero prompt",S318,IF('Paste Editor (Beta)'!$C$90="Anvil prompt",AD318,"")))))))</f>
        <v>0</v>
      </c>
      <c r="AK318" s="283">
        <f>IF('Paste Editor (Beta)'!$C$90="Level-up prompt",G319,IF('Paste Editor (Beta)'!$C$90="Item prompt",E319,IF('Paste Editor (Beta)'!$C$90="Modifier prompt","'"&amp;B319,IF('Paste Editor (Beta)'!$C$90="Challenge prompt",E319,IF('Paste Editor (Beta)'!$C$90="Reroll class prompt",S318,IF('Paste Editor (Beta)'!$C$90="Swap hero prompt",S318,IF('Paste Editor (Beta)'!$C$90="Anvil prompt",AD318,"")))))))</f>
        <v>0</v>
      </c>
    </row>
    <row r="319" spans="2:37" ht="17.25">
      <c r="B319" s="284" t="s">
        <v>3512</v>
      </c>
      <c r="C319" s="284" t="s">
        <v>3512</v>
      </c>
      <c r="D319" s="284" t="s">
        <v>3512</v>
      </c>
      <c r="E319" s="280" t="s">
        <v>1071</v>
      </c>
      <c r="AH319" s="280" t="str">
        <f>IF('Paste Editor (Beta)'!$C$82="Level-up prompt",G320,IF('Paste Editor (Beta)'!$C$82="Item prompt",E320,IF('Paste Editor (Beta)'!$C$82="Modifier prompt","'"&amp;B320,IF('Paste Editor (Beta)'!$C$82="Challenge prompt",L320,IF('Paste Editor (Beta)'!$C$82="Reroll class prompt",S319,IF('Paste Editor (Beta)'!$C$82="Swap hero prompt",S319,IF('Paste Editor (Beta)'!$C$82="Anvil prompt",AD319,"")))))))</f>
        <v/>
      </c>
      <c r="AI319" s="280" t="str">
        <f>IF('Paste Editor (Beta)'!$C$82="Level-up prompt",G320,IF('Paste Editor (Beta)'!$C$82="Item prompt",E320,IF('Paste Editor (Beta)'!$C$82="Modifier prompt","'"&amp;B320,IF('Paste Editor (Beta)'!$C$82="Challenge prompt",E320,IF('Paste Editor (Beta)'!$C$82="Reroll class prompt",S319,IF('Paste Editor (Beta)'!$C$82="Swap hero prompt",S319,IF('Paste Editor (Beta)'!$C$82="Anvil prompt",AD319,"")))))))</f>
        <v/>
      </c>
      <c r="AJ319" s="283">
        <f>IF('Paste Editor (Beta)'!$C$90="Level-up prompt",G320,IF('Paste Editor (Beta)'!$C$90="Item prompt",E320,IF('Paste Editor (Beta)'!$C$90="Modifier prompt","'"&amp;B320,IF('Paste Editor (Beta)'!$C$90="Challenge prompt",L320,IF('Paste Editor (Beta)'!$C$90="Reroll class prompt",S319,IF('Paste Editor (Beta)'!$C$90="Swap hero prompt",S319,IF('Paste Editor (Beta)'!$C$90="Anvil prompt",AD319,"")))))))</f>
        <v>0</v>
      </c>
      <c r="AK319" s="283">
        <f>IF('Paste Editor (Beta)'!$C$90="Level-up prompt",G320,IF('Paste Editor (Beta)'!$C$90="Item prompt",E320,IF('Paste Editor (Beta)'!$C$90="Modifier prompt","'"&amp;B320,IF('Paste Editor (Beta)'!$C$90="Challenge prompt",E320,IF('Paste Editor (Beta)'!$C$90="Reroll class prompt",S319,IF('Paste Editor (Beta)'!$C$90="Swap hero prompt",S319,IF('Paste Editor (Beta)'!$C$90="Anvil prompt",AD319,"")))))))</f>
        <v>0</v>
      </c>
    </row>
    <row r="320" spans="2:37" ht="17.25">
      <c r="B320" s="284" t="s">
        <v>3592</v>
      </c>
      <c r="C320" s="284" t="s">
        <v>3592</v>
      </c>
      <c r="D320" s="284" t="s">
        <v>3592</v>
      </c>
      <c r="E320" s="280" t="s">
        <v>1371</v>
      </c>
      <c r="AH320" s="280" t="str">
        <f>IF('Paste Editor (Beta)'!$C$82="Level-up prompt",G321,IF('Paste Editor (Beta)'!$C$82="Item prompt",E321,IF('Paste Editor (Beta)'!$C$82="Modifier prompt","'"&amp;B321,IF('Paste Editor (Beta)'!$C$82="Challenge prompt",L321,IF('Paste Editor (Beta)'!$C$82="Reroll class prompt",S320,IF('Paste Editor (Beta)'!$C$82="Swap hero prompt",S320,IF('Paste Editor (Beta)'!$C$82="Anvil prompt",AD320,"")))))))</f>
        <v/>
      </c>
      <c r="AI320" s="280" t="str">
        <f>IF('Paste Editor (Beta)'!$C$82="Level-up prompt",G321,IF('Paste Editor (Beta)'!$C$82="Item prompt",E321,IF('Paste Editor (Beta)'!$C$82="Modifier prompt","'"&amp;B321,IF('Paste Editor (Beta)'!$C$82="Challenge prompt",E321,IF('Paste Editor (Beta)'!$C$82="Reroll class prompt",S320,IF('Paste Editor (Beta)'!$C$82="Swap hero prompt",S320,IF('Paste Editor (Beta)'!$C$82="Anvil prompt",AD320,"")))))))</f>
        <v/>
      </c>
      <c r="AJ320" s="283">
        <f>IF('Paste Editor (Beta)'!$C$90="Level-up prompt",G321,IF('Paste Editor (Beta)'!$C$90="Item prompt",E321,IF('Paste Editor (Beta)'!$C$90="Modifier prompt","'"&amp;B321,IF('Paste Editor (Beta)'!$C$90="Challenge prompt",L321,IF('Paste Editor (Beta)'!$C$90="Reroll class prompt",S320,IF('Paste Editor (Beta)'!$C$90="Swap hero prompt",S320,IF('Paste Editor (Beta)'!$C$90="Anvil prompt",AD320,"")))))))</f>
        <v>0</v>
      </c>
      <c r="AK320" s="283">
        <f>IF('Paste Editor (Beta)'!$C$90="Level-up prompt",G321,IF('Paste Editor (Beta)'!$C$90="Item prompt",E321,IF('Paste Editor (Beta)'!$C$90="Modifier prompt","'"&amp;B321,IF('Paste Editor (Beta)'!$C$90="Challenge prompt",E321,IF('Paste Editor (Beta)'!$C$90="Reroll class prompt",S320,IF('Paste Editor (Beta)'!$C$90="Swap hero prompt",S320,IF('Paste Editor (Beta)'!$C$90="Anvil prompt",AD320,"")))))))</f>
        <v>0</v>
      </c>
    </row>
    <row r="321" spans="2:37" ht="17.25">
      <c r="B321" s="284" t="s">
        <v>3280</v>
      </c>
      <c r="C321" s="284" t="s">
        <v>3280</v>
      </c>
      <c r="D321" s="284" t="s">
        <v>3280</v>
      </c>
      <c r="E321" s="280" t="s">
        <v>1544</v>
      </c>
      <c r="AH321" s="280" t="str">
        <f>IF('Paste Editor (Beta)'!$C$82="Level-up prompt",G322,IF('Paste Editor (Beta)'!$C$82="Item prompt",E322,IF('Paste Editor (Beta)'!$C$82="Modifier prompt","'"&amp;B322,IF('Paste Editor (Beta)'!$C$82="Challenge prompt",L322,IF('Paste Editor (Beta)'!$C$82="Reroll class prompt",S321,IF('Paste Editor (Beta)'!$C$82="Swap hero prompt",S321,IF('Paste Editor (Beta)'!$C$82="Anvil prompt",AD321,"")))))))</f>
        <v/>
      </c>
      <c r="AI321" s="280" t="str">
        <f>IF('Paste Editor (Beta)'!$C$82="Level-up prompt",G322,IF('Paste Editor (Beta)'!$C$82="Item prompt",E322,IF('Paste Editor (Beta)'!$C$82="Modifier prompt","'"&amp;B322,IF('Paste Editor (Beta)'!$C$82="Challenge prompt",E322,IF('Paste Editor (Beta)'!$C$82="Reroll class prompt",S321,IF('Paste Editor (Beta)'!$C$82="Swap hero prompt",S321,IF('Paste Editor (Beta)'!$C$82="Anvil prompt",AD321,"")))))))</f>
        <v/>
      </c>
      <c r="AJ321" s="283">
        <f>IF('Paste Editor (Beta)'!$C$90="Level-up prompt",G322,IF('Paste Editor (Beta)'!$C$90="Item prompt",E322,IF('Paste Editor (Beta)'!$C$90="Modifier prompt","'"&amp;B322,IF('Paste Editor (Beta)'!$C$90="Challenge prompt",L322,IF('Paste Editor (Beta)'!$C$90="Reroll class prompt",S321,IF('Paste Editor (Beta)'!$C$90="Swap hero prompt",S321,IF('Paste Editor (Beta)'!$C$90="Anvil prompt",AD321,"")))))))</f>
        <v>0</v>
      </c>
      <c r="AK321" s="283">
        <f>IF('Paste Editor (Beta)'!$C$90="Level-up prompt",G322,IF('Paste Editor (Beta)'!$C$90="Item prompt",E322,IF('Paste Editor (Beta)'!$C$90="Modifier prompt","'"&amp;B322,IF('Paste Editor (Beta)'!$C$90="Challenge prompt",E322,IF('Paste Editor (Beta)'!$C$90="Reroll class prompt",S321,IF('Paste Editor (Beta)'!$C$90="Swap hero prompt",S321,IF('Paste Editor (Beta)'!$C$90="Anvil prompt",AD321,"")))))))</f>
        <v>0</v>
      </c>
    </row>
    <row r="322" spans="2:37" ht="17.25">
      <c r="B322" s="284" t="s">
        <v>3254</v>
      </c>
      <c r="C322" s="284" t="s">
        <v>3254</v>
      </c>
      <c r="D322" s="284" t="s">
        <v>3254</v>
      </c>
      <c r="E322" s="280" t="s">
        <v>1436</v>
      </c>
      <c r="AH322" s="280" t="str">
        <f>IF('Paste Editor (Beta)'!$C$82="Level-up prompt",G323,IF('Paste Editor (Beta)'!$C$82="Item prompt",E323,IF('Paste Editor (Beta)'!$C$82="Modifier prompt","'"&amp;B323,IF('Paste Editor (Beta)'!$C$82="Challenge prompt",L323,IF('Paste Editor (Beta)'!$C$82="Reroll class prompt",S322,IF('Paste Editor (Beta)'!$C$82="Swap hero prompt",S322,IF('Paste Editor (Beta)'!$C$82="Anvil prompt",AD322,"")))))))</f>
        <v/>
      </c>
      <c r="AI322" s="280" t="str">
        <f>IF('Paste Editor (Beta)'!$C$82="Level-up prompt",G323,IF('Paste Editor (Beta)'!$C$82="Item prompt",E323,IF('Paste Editor (Beta)'!$C$82="Modifier prompt","'"&amp;B323,IF('Paste Editor (Beta)'!$C$82="Challenge prompt",E323,IF('Paste Editor (Beta)'!$C$82="Reroll class prompt",S322,IF('Paste Editor (Beta)'!$C$82="Swap hero prompt",S322,IF('Paste Editor (Beta)'!$C$82="Anvil prompt",AD322,"")))))))</f>
        <v/>
      </c>
      <c r="AJ322" s="283">
        <f>IF('Paste Editor (Beta)'!$C$90="Level-up prompt",G323,IF('Paste Editor (Beta)'!$C$90="Item prompt",E323,IF('Paste Editor (Beta)'!$C$90="Modifier prompt","'"&amp;B323,IF('Paste Editor (Beta)'!$C$90="Challenge prompt",L323,IF('Paste Editor (Beta)'!$C$90="Reroll class prompt",S322,IF('Paste Editor (Beta)'!$C$90="Swap hero prompt",S322,IF('Paste Editor (Beta)'!$C$90="Anvil prompt",AD322,"")))))))</f>
        <v>0</v>
      </c>
      <c r="AK322" s="283">
        <f>IF('Paste Editor (Beta)'!$C$90="Level-up prompt",G323,IF('Paste Editor (Beta)'!$C$90="Item prompt",E323,IF('Paste Editor (Beta)'!$C$90="Modifier prompt","'"&amp;B323,IF('Paste Editor (Beta)'!$C$90="Challenge prompt",E323,IF('Paste Editor (Beta)'!$C$90="Reroll class prompt",S322,IF('Paste Editor (Beta)'!$C$90="Swap hero prompt",S322,IF('Paste Editor (Beta)'!$C$90="Anvil prompt",AD322,"")))))))</f>
        <v>0</v>
      </c>
    </row>
    <row r="323" spans="2:37" ht="17.25">
      <c r="B323" s="284" t="s">
        <v>3172</v>
      </c>
      <c r="C323" s="284" t="s">
        <v>3172</v>
      </c>
      <c r="D323" s="284" t="s">
        <v>3172</v>
      </c>
      <c r="E323" s="280" t="s">
        <v>1125</v>
      </c>
      <c r="AH323" s="280" t="str">
        <f>IF('Paste Editor (Beta)'!$C$82="Level-up prompt",G324,IF('Paste Editor (Beta)'!$C$82="Item prompt",E324,IF('Paste Editor (Beta)'!$C$82="Modifier prompt","'"&amp;B324,IF('Paste Editor (Beta)'!$C$82="Challenge prompt",L324,IF('Paste Editor (Beta)'!$C$82="Reroll class prompt",S323,IF('Paste Editor (Beta)'!$C$82="Swap hero prompt",S323,IF('Paste Editor (Beta)'!$C$82="Anvil prompt",AD323,"")))))))</f>
        <v/>
      </c>
      <c r="AI323" s="280" t="str">
        <f>IF('Paste Editor (Beta)'!$C$82="Level-up prompt",G324,IF('Paste Editor (Beta)'!$C$82="Item prompt",E324,IF('Paste Editor (Beta)'!$C$82="Modifier prompt","'"&amp;B324,IF('Paste Editor (Beta)'!$C$82="Challenge prompt",E324,IF('Paste Editor (Beta)'!$C$82="Reroll class prompt",S323,IF('Paste Editor (Beta)'!$C$82="Swap hero prompt",S323,IF('Paste Editor (Beta)'!$C$82="Anvil prompt",AD323,"")))))))</f>
        <v/>
      </c>
      <c r="AJ323" s="283">
        <f>IF('Paste Editor (Beta)'!$C$90="Level-up prompt",G324,IF('Paste Editor (Beta)'!$C$90="Item prompt",E324,IF('Paste Editor (Beta)'!$C$90="Modifier prompt","'"&amp;B324,IF('Paste Editor (Beta)'!$C$90="Challenge prompt",L324,IF('Paste Editor (Beta)'!$C$90="Reroll class prompt",S323,IF('Paste Editor (Beta)'!$C$90="Swap hero prompt",S323,IF('Paste Editor (Beta)'!$C$90="Anvil prompt",AD323,"")))))))</f>
        <v>0</v>
      </c>
      <c r="AK323" s="283">
        <f>IF('Paste Editor (Beta)'!$C$90="Level-up prompt",G324,IF('Paste Editor (Beta)'!$C$90="Item prompt",E324,IF('Paste Editor (Beta)'!$C$90="Modifier prompt","'"&amp;B324,IF('Paste Editor (Beta)'!$C$90="Challenge prompt",E324,IF('Paste Editor (Beta)'!$C$90="Reroll class prompt",S323,IF('Paste Editor (Beta)'!$C$90="Swap hero prompt",S323,IF('Paste Editor (Beta)'!$C$90="Anvil prompt",AD323,"")))))))</f>
        <v>0</v>
      </c>
    </row>
    <row r="324" spans="2:37" ht="17.25">
      <c r="B324" s="284" t="s">
        <v>3358</v>
      </c>
      <c r="C324" s="284" t="s">
        <v>3358</v>
      </c>
      <c r="D324" s="284" t="s">
        <v>3358</v>
      </c>
      <c r="E324" s="280" t="s">
        <v>907</v>
      </c>
      <c r="AH324" s="280" t="str">
        <f>IF('Paste Editor (Beta)'!$C$82="Level-up prompt",G325,IF('Paste Editor (Beta)'!$C$82="Item prompt",E325,IF('Paste Editor (Beta)'!$C$82="Modifier prompt","'"&amp;B325,IF('Paste Editor (Beta)'!$C$82="Challenge prompt",L325,IF('Paste Editor (Beta)'!$C$82="Reroll class prompt",S324,IF('Paste Editor (Beta)'!$C$82="Swap hero prompt",S324,IF('Paste Editor (Beta)'!$C$82="Anvil prompt",AD324,"")))))))</f>
        <v/>
      </c>
      <c r="AI324" s="280" t="str">
        <f>IF('Paste Editor (Beta)'!$C$82="Level-up prompt",G325,IF('Paste Editor (Beta)'!$C$82="Item prompt",E325,IF('Paste Editor (Beta)'!$C$82="Modifier prompt","'"&amp;B325,IF('Paste Editor (Beta)'!$C$82="Challenge prompt",E325,IF('Paste Editor (Beta)'!$C$82="Reroll class prompt",S324,IF('Paste Editor (Beta)'!$C$82="Swap hero prompt",S324,IF('Paste Editor (Beta)'!$C$82="Anvil prompt",AD324,"")))))))</f>
        <v/>
      </c>
      <c r="AJ324" s="283">
        <f>IF('Paste Editor (Beta)'!$C$90="Level-up prompt",G325,IF('Paste Editor (Beta)'!$C$90="Item prompt",E325,IF('Paste Editor (Beta)'!$C$90="Modifier prompt","'"&amp;B325,IF('Paste Editor (Beta)'!$C$90="Challenge prompt",L325,IF('Paste Editor (Beta)'!$C$90="Reroll class prompt",S324,IF('Paste Editor (Beta)'!$C$90="Swap hero prompt",S324,IF('Paste Editor (Beta)'!$C$90="Anvil prompt",AD324,"")))))))</f>
        <v>0</v>
      </c>
      <c r="AK324" s="283">
        <f>IF('Paste Editor (Beta)'!$C$90="Level-up prompt",G325,IF('Paste Editor (Beta)'!$C$90="Item prompt",E325,IF('Paste Editor (Beta)'!$C$90="Modifier prompt","'"&amp;B325,IF('Paste Editor (Beta)'!$C$90="Challenge prompt",E325,IF('Paste Editor (Beta)'!$C$90="Reroll class prompt",S324,IF('Paste Editor (Beta)'!$C$90="Swap hero prompt",S324,IF('Paste Editor (Beta)'!$C$90="Anvil prompt",AD324,"")))))))</f>
        <v>0</v>
      </c>
    </row>
    <row r="325" spans="2:37" ht="17.25">
      <c r="B325" s="284" t="s">
        <v>3138</v>
      </c>
      <c r="C325" s="284" t="s">
        <v>3138</v>
      </c>
      <c r="D325" s="284" t="s">
        <v>3138</v>
      </c>
      <c r="E325" s="280" t="s">
        <v>1291</v>
      </c>
      <c r="AH325" s="280" t="str">
        <f>IF('Paste Editor (Beta)'!$C$82="Level-up prompt",G326,IF('Paste Editor (Beta)'!$C$82="Item prompt",E326,IF('Paste Editor (Beta)'!$C$82="Modifier prompt","'"&amp;B326,IF('Paste Editor (Beta)'!$C$82="Challenge prompt",L326,IF('Paste Editor (Beta)'!$C$82="Reroll class prompt",S325,IF('Paste Editor (Beta)'!$C$82="Swap hero prompt",S325,IF('Paste Editor (Beta)'!$C$82="Anvil prompt",AD325,"")))))))</f>
        <v/>
      </c>
      <c r="AI325" s="280" t="str">
        <f>IF('Paste Editor (Beta)'!$C$82="Level-up prompt",G326,IF('Paste Editor (Beta)'!$C$82="Item prompt",E326,IF('Paste Editor (Beta)'!$C$82="Modifier prompt","'"&amp;B326,IF('Paste Editor (Beta)'!$C$82="Challenge prompt",E326,IF('Paste Editor (Beta)'!$C$82="Reroll class prompt",S325,IF('Paste Editor (Beta)'!$C$82="Swap hero prompt",S325,IF('Paste Editor (Beta)'!$C$82="Anvil prompt",AD325,"")))))))</f>
        <v/>
      </c>
      <c r="AJ325" s="283">
        <f>IF('Paste Editor (Beta)'!$C$90="Level-up prompt",G326,IF('Paste Editor (Beta)'!$C$90="Item prompt",E326,IF('Paste Editor (Beta)'!$C$90="Modifier prompt","'"&amp;B326,IF('Paste Editor (Beta)'!$C$90="Challenge prompt",L326,IF('Paste Editor (Beta)'!$C$90="Reroll class prompt",S325,IF('Paste Editor (Beta)'!$C$90="Swap hero prompt",S325,IF('Paste Editor (Beta)'!$C$90="Anvil prompt",AD325,"")))))))</f>
        <v>0</v>
      </c>
      <c r="AK325" s="283">
        <f>IF('Paste Editor (Beta)'!$C$90="Level-up prompt",G326,IF('Paste Editor (Beta)'!$C$90="Item prompt",E326,IF('Paste Editor (Beta)'!$C$90="Modifier prompt","'"&amp;B326,IF('Paste Editor (Beta)'!$C$90="Challenge prompt",E326,IF('Paste Editor (Beta)'!$C$90="Reroll class prompt",S325,IF('Paste Editor (Beta)'!$C$90="Swap hero prompt",S325,IF('Paste Editor (Beta)'!$C$90="Anvil prompt",AD325,"")))))))</f>
        <v>0</v>
      </c>
    </row>
    <row r="326" spans="2:37" ht="17.25">
      <c r="B326" s="284" t="s">
        <v>3530</v>
      </c>
      <c r="C326" s="284" t="s">
        <v>3530</v>
      </c>
      <c r="D326" s="284" t="s">
        <v>3530</v>
      </c>
      <c r="E326" s="280" t="s">
        <v>909</v>
      </c>
      <c r="AH326" s="280" t="str">
        <f>IF('Paste Editor (Beta)'!$C$82="Level-up prompt",G327,IF('Paste Editor (Beta)'!$C$82="Item prompt",E327,IF('Paste Editor (Beta)'!$C$82="Modifier prompt","'"&amp;B327,IF('Paste Editor (Beta)'!$C$82="Challenge prompt",L327,IF('Paste Editor (Beta)'!$C$82="Reroll class prompt",S326,IF('Paste Editor (Beta)'!$C$82="Swap hero prompt",S326,IF('Paste Editor (Beta)'!$C$82="Anvil prompt",AD326,"")))))))</f>
        <v/>
      </c>
      <c r="AI326" s="280" t="str">
        <f>IF('Paste Editor (Beta)'!$C$82="Level-up prompt",G327,IF('Paste Editor (Beta)'!$C$82="Item prompt",E327,IF('Paste Editor (Beta)'!$C$82="Modifier prompt","'"&amp;B327,IF('Paste Editor (Beta)'!$C$82="Challenge prompt",E327,IF('Paste Editor (Beta)'!$C$82="Reroll class prompt",S326,IF('Paste Editor (Beta)'!$C$82="Swap hero prompt",S326,IF('Paste Editor (Beta)'!$C$82="Anvil prompt",AD326,"")))))))</f>
        <v/>
      </c>
      <c r="AJ326" s="283">
        <f>IF('Paste Editor (Beta)'!$C$90="Level-up prompt",G327,IF('Paste Editor (Beta)'!$C$90="Item prompt",E327,IF('Paste Editor (Beta)'!$C$90="Modifier prompt","'"&amp;B327,IF('Paste Editor (Beta)'!$C$90="Challenge prompt",L327,IF('Paste Editor (Beta)'!$C$90="Reroll class prompt",S326,IF('Paste Editor (Beta)'!$C$90="Swap hero prompt",S326,IF('Paste Editor (Beta)'!$C$90="Anvil prompt",AD326,"")))))))</f>
        <v>0</v>
      </c>
      <c r="AK326" s="283">
        <f>IF('Paste Editor (Beta)'!$C$90="Level-up prompt",G327,IF('Paste Editor (Beta)'!$C$90="Item prompt",E327,IF('Paste Editor (Beta)'!$C$90="Modifier prompt","'"&amp;B327,IF('Paste Editor (Beta)'!$C$90="Challenge prompt",E327,IF('Paste Editor (Beta)'!$C$90="Reroll class prompt",S326,IF('Paste Editor (Beta)'!$C$90="Swap hero prompt",S326,IF('Paste Editor (Beta)'!$C$90="Anvil prompt",AD326,"")))))))</f>
        <v>0</v>
      </c>
    </row>
    <row r="327" spans="2:37" ht="17.25">
      <c r="B327" s="284" t="s">
        <v>3228</v>
      </c>
      <c r="C327" s="284" t="s">
        <v>3228</v>
      </c>
      <c r="D327" s="284" t="s">
        <v>3228</v>
      </c>
      <c r="E327" s="280" t="s">
        <v>1529</v>
      </c>
      <c r="AH327" s="280" t="str">
        <f>IF('Paste Editor (Beta)'!$C$82="Level-up prompt",G328,IF('Paste Editor (Beta)'!$C$82="Item prompt",E328,IF('Paste Editor (Beta)'!$C$82="Modifier prompt","'"&amp;B328,IF('Paste Editor (Beta)'!$C$82="Challenge prompt",L328,IF('Paste Editor (Beta)'!$C$82="Reroll class prompt",S327,IF('Paste Editor (Beta)'!$C$82="Swap hero prompt",S327,IF('Paste Editor (Beta)'!$C$82="Anvil prompt",AD327,"")))))))</f>
        <v/>
      </c>
      <c r="AI327" s="280" t="str">
        <f>IF('Paste Editor (Beta)'!$C$82="Level-up prompt",G328,IF('Paste Editor (Beta)'!$C$82="Item prompt",E328,IF('Paste Editor (Beta)'!$C$82="Modifier prompt","'"&amp;B328,IF('Paste Editor (Beta)'!$C$82="Challenge prompt",E328,IF('Paste Editor (Beta)'!$C$82="Reroll class prompt",S327,IF('Paste Editor (Beta)'!$C$82="Swap hero prompt",S327,IF('Paste Editor (Beta)'!$C$82="Anvil prompt",AD327,"")))))))</f>
        <v/>
      </c>
      <c r="AJ327" s="283">
        <f>IF('Paste Editor (Beta)'!$C$90="Level-up prompt",G328,IF('Paste Editor (Beta)'!$C$90="Item prompt",E328,IF('Paste Editor (Beta)'!$C$90="Modifier prompt","'"&amp;B328,IF('Paste Editor (Beta)'!$C$90="Challenge prompt",L328,IF('Paste Editor (Beta)'!$C$90="Reroll class prompt",S327,IF('Paste Editor (Beta)'!$C$90="Swap hero prompt",S327,IF('Paste Editor (Beta)'!$C$90="Anvil prompt",AD327,"")))))))</f>
        <v>0</v>
      </c>
      <c r="AK327" s="283">
        <f>IF('Paste Editor (Beta)'!$C$90="Level-up prompt",G328,IF('Paste Editor (Beta)'!$C$90="Item prompt",E328,IF('Paste Editor (Beta)'!$C$90="Modifier prompt","'"&amp;B328,IF('Paste Editor (Beta)'!$C$90="Challenge prompt",E328,IF('Paste Editor (Beta)'!$C$90="Reroll class prompt",S327,IF('Paste Editor (Beta)'!$C$90="Swap hero prompt",S327,IF('Paste Editor (Beta)'!$C$90="Anvil prompt",AD327,"")))))))</f>
        <v>0</v>
      </c>
    </row>
    <row r="328" spans="2:37" ht="17.25">
      <c r="B328" s="284" t="s">
        <v>3568</v>
      </c>
      <c r="C328" s="284" t="s">
        <v>3568</v>
      </c>
      <c r="D328" s="284" t="s">
        <v>3568</v>
      </c>
      <c r="E328" s="280" t="s">
        <v>1438</v>
      </c>
      <c r="AH328" s="280" t="str">
        <f>IF('Paste Editor (Beta)'!$C$82="Level-up prompt",G329,IF('Paste Editor (Beta)'!$C$82="Item prompt",E329,IF('Paste Editor (Beta)'!$C$82="Modifier prompt","'"&amp;B329,IF('Paste Editor (Beta)'!$C$82="Challenge prompt",L329,IF('Paste Editor (Beta)'!$C$82="Reroll class prompt",S328,IF('Paste Editor (Beta)'!$C$82="Swap hero prompt",S328,IF('Paste Editor (Beta)'!$C$82="Anvil prompt",AD328,"")))))))</f>
        <v/>
      </c>
      <c r="AI328" s="280" t="str">
        <f>IF('Paste Editor (Beta)'!$C$82="Level-up prompt",G329,IF('Paste Editor (Beta)'!$C$82="Item prompt",E329,IF('Paste Editor (Beta)'!$C$82="Modifier prompt","'"&amp;B329,IF('Paste Editor (Beta)'!$C$82="Challenge prompt",E329,IF('Paste Editor (Beta)'!$C$82="Reroll class prompt",S328,IF('Paste Editor (Beta)'!$C$82="Swap hero prompt",S328,IF('Paste Editor (Beta)'!$C$82="Anvil prompt",AD328,"")))))))</f>
        <v/>
      </c>
      <c r="AJ328" s="283">
        <f>IF('Paste Editor (Beta)'!$C$90="Level-up prompt",G329,IF('Paste Editor (Beta)'!$C$90="Item prompt",E329,IF('Paste Editor (Beta)'!$C$90="Modifier prompt","'"&amp;B329,IF('Paste Editor (Beta)'!$C$90="Challenge prompt",L329,IF('Paste Editor (Beta)'!$C$90="Reroll class prompt",S328,IF('Paste Editor (Beta)'!$C$90="Swap hero prompt",S328,IF('Paste Editor (Beta)'!$C$90="Anvil prompt",AD328,"")))))))</f>
        <v>0</v>
      </c>
      <c r="AK328" s="283">
        <f>IF('Paste Editor (Beta)'!$C$90="Level-up prompt",G329,IF('Paste Editor (Beta)'!$C$90="Item prompt",E329,IF('Paste Editor (Beta)'!$C$90="Modifier prompt","'"&amp;B329,IF('Paste Editor (Beta)'!$C$90="Challenge prompt",E329,IF('Paste Editor (Beta)'!$C$90="Reroll class prompt",S328,IF('Paste Editor (Beta)'!$C$90="Swap hero prompt",S328,IF('Paste Editor (Beta)'!$C$90="Anvil prompt",AD328,"")))))))</f>
        <v>0</v>
      </c>
    </row>
    <row r="329" spans="2:37" ht="17.25">
      <c r="B329" s="284" t="s">
        <v>2091</v>
      </c>
      <c r="C329" s="284" t="s">
        <v>2091</v>
      </c>
      <c r="D329" s="284" t="s">
        <v>2091</v>
      </c>
      <c r="E329" s="280" t="s">
        <v>1211</v>
      </c>
      <c r="AH329" s="280" t="str">
        <f>IF('Paste Editor (Beta)'!$C$82="Level-up prompt",G330,IF('Paste Editor (Beta)'!$C$82="Item prompt",E330,IF('Paste Editor (Beta)'!$C$82="Modifier prompt","'"&amp;B330,IF('Paste Editor (Beta)'!$C$82="Challenge prompt",L330,IF('Paste Editor (Beta)'!$C$82="Reroll class prompt",S329,IF('Paste Editor (Beta)'!$C$82="Swap hero prompt",S329,IF('Paste Editor (Beta)'!$C$82="Anvil prompt",AD329,"")))))))</f>
        <v/>
      </c>
      <c r="AI329" s="280" t="str">
        <f>IF('Paste Editor (Beta)'!$C$82="Level-up prompt",G330,IF('Paste Editor (Beta)'!$C$82="Item prompt",E330,IF('Paste Editor (Beta)'!$C$82="Modifier prompt","'"&amp;B330,IF('Paste Editor (Beta)'!$C$82="Challenge prompt",E330,IF('Paste Editor (Beta)'!$C$82="Reroll class prompt",S329,IF('Paste Editor (Beta)'!$C$82="Swap hero prompt",S329,IF('Paste Editor (Beta)'!$C$82="Anvil prompt",AD329,"")))))))</f>
        <v/>
      </c>
      <c r="AJ329" s="283">
        <f>IF('Paste Editor (Beta)'!$C$90="Level-up prompt",G330,IF('Paste Editor (Beta)'!$C$90="Item prompt",E330,IF('Paste Editor (Beta)'!$C$90="Modifier prompt","'"&amp;B330,IF('Paste Editor (Beta)'!$C$90="Challenge prompt",L330,IF('Paste Editor (Beta)'!$C$90="Reroll class prompt",S329,IF('Paste Editor (Beta)'!$C$90="Swap hero prompt",S329,IF('Paste Editor (Beta)'!$C$90="Anvil prompt",AD329,"")))))))</f>
        <v>0</v>
      </c>
      <c r="AK329" s="283">
        <f>IF('Paste Editor (Beta)'!$C$90="Level-up prompt",G330,IF('Paste Editor (Beta)'!$C$90="Item prompt",E330,IF('Paste Editor (Beta)'!$C$90="Modifier prompt","'"&amp;B330,IF('Paste Editor (Beta)'!$C$90="Challenge prompt",E330,IF('Paste Editor (Beta)'!$C$90="Reroll class prompt",S329,IF('Paste Editor (Beta)'!$C$90="Swap hero prompt",S329,IF('Paste Editor (Beta)'!$C$90="Anvil prompt",AD329,"")))))))</f>
        <v>0</v>
      </c>
    </row>
    <row r="330" spans="2:37" ht="17.25">
      <c r="B330" s="284" t="s">
        <v>3574</v>
      </c>
      <c r="C330" s="284" t="s">
        <v>3574</v>
      </c>
      <c r="D330" s="284" t="s">
        <v>3574</v>
      </c>
      <c r="E330" s="280" t="s">
        <v>911</v>
      </c>
      <c r="AH330" s="280" t="str">
        <f>IF('Paste Editor (Beta)'!$C$82="Level-up prompt",G331,IF('Paste Editor (Beta)'!$C$82="Item prompt",E331,IF('Paste Editor (Beta)'!$C$82="Modifier prompt","'"&amp;B331,IF('Paste Editor (Beta)'!$C$82="Challenge prompt",L331,IF('Paste Editor (Beta)'!$C$82="Reroll class prompt",S330,IF('Paste Editor (Beta)'!$C$82="Swap hero prompt",S330,IF('Paste Editor (Beta)'!$C$82="Anvil prompt",AD330,"")))))))</f>
        <v/>
      </c>
      <c r="AI330" s="280" t="str">
        <f>IF('Paste Editor (Beta)'!$C$82="Level-up prompt",G331,IF('Paste Editor (Beta)'!$C$82="Item prompt",E331,IF('Paste Editor (Beta)'!$C$82="Modifier prompt","'"&amp;B331,IF('Paste Editor (Beta)'!$C$82="Challenge prompt",E331,IF('Paste Editor (Beta)'!$C$82="Reroll class prompt",S330,IF('Paste Editor (Beta)'!$C$82="Swap hero prompt",S330,IF('Paste Editor (Beta)'!$C$82="Anvil prompt",AD330,"")))))))</f>
        <v/>
      </c>
      <c r="AJ330" s="283">
        <f>IF('Paste Editor (Beta)'!$C$90="Level-up prompt",G331,IF('Paste Editor (Beta)'!$C$90="Item prompt",E331,IF('Paste Editor (Beta)'!$C$90="Modifier prompt","'"&amp;B331,IF('Paste Editor (Beta)'!$C$90="Challenge prompt",L331,IF('Paste Editor (Beta)'!$C$90="Reroll class prompt",S330,IF('Paste Editor (Beta)'!$C$90="Swap hero prompt",S330,IF('Paste Editor (Beta)'!$C$90="Anvil prompt",AD330,"")))))))</f>
        <v>0</v>
      </c>
      <c r="AK330" s="283">
        <f>IF('Paste Editor (Beta)'!$C$90="Level-up prompt",G331,IF('Paste Editor (Beta)'!$C$90="Item prompt",E331,IF('Paste Editor (Beta)'!$C$90="Modifier prompt","'"&amp;B331,IF('Paste Editor (Beta)'!$C$90="Challenge prompt",E331,IF('Paste Editor (Beta)'!$C$90="Reroll class prompt",S330,IF('Paste Editor (Beta)'!$C$90="Swap hero prompt",S330,IF('Paste Editor (Beta)'!$C$90="Anvil prompt",AD330,"")))))))</f>
        <v>0</v>
      </c>
    </row>
    <row r="331" spans="2:37" ht="17.25">
      <c r="B331" s="284" t="s">
        <v>3522</v>
      </c>
      <c r="C331" s="284" t="s">
        <v>3522</v>
      </c>
      <c r="D331" s="284" t="s">
        <v>3522</v>
      </c>
      <c r="E331" s="280" t="s">
        <v>1073</v>
      </c>
      <c r="AH331" s="280" t="str">
        <f>IF('Paste Editor (Beta)'!$C$82="Level-up prompt",G332,IF('Paste Editor (Beta)'!$C$82="Item prompt",E332,IF('Paste Editor (Beta)'!$C$82="Modifier prompt","'"&amp;B332,IF('Paste Editor (Beta)'!$C$82="Challenge prompt",L332,IF('Paste Editor (Beta)'!$C$82="Reroll class prompt",S331,IF('Paste Editor (Beta)'!$C$82="Swap hero prompt",S331,IF('Paste Editor (Beta)'!$C$82="Anvil prompt",AD331,"")))))))</f>
        <v/>
      </c>
      <c r="AI331" s="280" t="str">
        <f>IF('Paste Editor (Beta)'!$C$82="Level-up prompt",G332,IF('Paste Editor (Beta)'!$C$82="Item prompt",E332,IF('Paste Editor (Beta)'!$C$82="Modifier prompt","'"&amp;B332,IF('Paste Editor (Beta)'!$C$82="Challenge prompt",E332,IF('Paste Editor (Beta)'!$C$82="Reroll class prompt",S331,IF('Paste Editor (Beta)'!$C$82="Swap hero prompt",S331,IF('Paste Editor (Beta)'!$C$82="Anvil prompt",AD331,"")))))))</f>
        <v/>
      </c>
      <c r="AJ331" s="283">
        <f>IF('Paste Editor (Beta)'!$C$90="Level-up prompt",G332,IF('Paste Editor (Beta)'!$C$90="Item prompt",E332,IF('Paste Editor (Beta)'!$C$90="Modifier prompt","'"&amp;B332,IF('Paste Editor (Beta)'!$C$90="Challenge prompt",L332,IF('Paste Editor (Beta)'!$C$90="Reroll class prompt",S331,IF('Paste Editor (Beta)'!$C$90="Swap hero prompt",S331,IF('Paste Editor (Beta)'!$C$90="Anvil prompt",AD331,"")))))))</f>
        <v>0</v>
      </c>
      <c r="AK331" s="283">
        <f>IF('Paste Editor (Beta)'!$C$90="Level-up prompt",G332,IF('Paste Editor (Beta)'!$C$90="Item prompt",E332,IF('Paste Editor (Beta)'!$C$90="Modifier prompt","'"&amp;B332,IF('Paste Editor (Beta)'!$C$90="Challenge prompt",E332,IF('Paste Editor (Beta)'!$C$90="Reroll class prompt",S331,IF('Paste Editor (Beta)'!$C$90="Swap hero prompt",S331,IF('Paste Editor (Beta)'!$C$90="Anvil prompt",AD331,"")))))))</f>
        <v>0</v>
      </c>
    </row>
    <row r="332" spans="2:37" ht="17.25">
      <c r="B332" s="284" t="s">
        <v>3296</v>
      </c>
      <c r="C332" s="284" t="s">
        <v>3296</v>
      </c>
      <c r="D332" s="284" t="s">
        <v>3296</v>
      </c>
      <c r="E332" s="280" t="s">
        <v>1373</v>
      </c>
      <c r="AH332" s="280" t="str">
        <f>IF('Paste Editor (Beta)'!$C$82="Level-up prompt",G333,IF('Paste Editor (Beta)'!$C$82="Item prompt",E333,IF('Paste Editor (Beta)'!$C$82="Modifier prompt","'"&amp;B333,IF('Paste Editor (Beta)'!$C$82="Challenge prompt",L333,IF('Paste Editor (Beta)'!$C$82="Reroll class prompt",S332,IF('Paste Editor (Beta)'!$C$82="Swap hero prompt",S332,IF('Paste Editor (Beta)'!$C$82="Anvil prompt",AD332,"")))))))</f>
        <v/>
      </c>
      <c r="AI332" s="280" t="str">
        <f>IF('Paste Editor (Beta)'!$C$82="Level-up prompt",G333,IF('Paste Editor (Beta)'!$C$82="Item prompt",E333,IF('Paste Editor (Beta)'!$C$82="Modifier prompt","'"&amp;B333,IF('Paste Editor (Beta)'!$C$82="Challenge prompt",E333,IF('Paste Editor (Beta)'!$C$82="Reroll class prompt",S332,IF('Paste Editor (Beta)'!$C$82="Swap hero prompt",S332,IF('Paste Editor (Beta)'!$C$82="Anvil prompt",AD332,"")))))))</f>
        <v/>
      </c>
      <c r="AJ332" s="283">
        <f>IF('Paste Editor (Beta)'!$C$90="Level-up prompt",G333,IF('Paste Editor (Beta)'!$C$90="Item prompt",E333,IF('Paste Editor (Beta)'!$C$90="Modifier prompt","'"&amp;B333,IF('Paste Editor (Beta)'!$C$90="Challenge prompt",L333,IF('Paste Editor (Beta)'!$C$90="Reroll class prompt",S332,IF('Paste Editor (Beta)'!$C$90="Swap hero prompt",S332,IF('Paste Editor (Beta)'!$C$90="Anvil prompt",AD332,"")))))))</f>
        <v>0</v>
      </c>
      <c r="AK332" s="283">
        <f>IF('Paste Editor (Beta)'!$C$90="Level-up prompt",G333,IF('Paste Editor (Beta)'!$C$90="Item prompt",E333,IF('Paste Editor (Beta)'!$C$90="Modifier prompt","'"&amp;B333,IF('Paste Editor (Beta)'!$C$90="Challenge prompt",E333,IF('Paste Editor (Beta)'!$C$90="Reroll class prompt",S332,IF('Paste Editor (Beta)'!$C$90="Swap hero prompt",S332,IF('Paste Editor (Beta)'!$C$90="Anvil prompt",AD332,"")))))))</f>
        <v>0</v>
      </c>
    </row>
    <row r="333" spans="2:37" ht="17.25">
      <c r="B333" s="284" t="s">
        <v>3436</v>
      </c>
      <c r="C333" s="284" t="s">
        <v>3436</v>
      </c>
      <c r="D333" s="284" t="s">
        <v>3436</v>
      </c>
      <c r="E333" s="280" t="s">
        <v>1375</v>
      </c>
      <c r="AH333" s="280" t="str">
        <f>IF('Paste Editor (Beta)'!$C$82="Level-up prompt",G334,IF('Paste Editor (Beta)'!$C$82="Item prompt",E334,IF('Paste Editor (Beta)'!$C$82="Modifier prompt","'"&amp;B334,IF('Paste Editor (Beta)'!$C$82="Challenge prompt",L334,IF('Paste Editor (Beta)'!$C$82="Reroll class prompt",S333,IF('Paste Editor (Beta)'!$C$82="Swap hero prompt",S333,IF('Paste Editor (Beta)'!$C$82="Anvil prompt",AD333,"")))))))</f>
        <v/>
      </c>
      <c r="AI333" s="280" t="str">
        <f>IF('Paste Editor (Beta)'!$C$82="Level-up prompt",G334,IF('Paste Editor (Beta)'!$C$82="Item prompt",E334,IF('Paste Editor (Beta)'!$C$82="Modifier prompt","'"&amp;B334,IF('Paste Editor (Beta)'!$C$82="Challenge prompt",E334,IF('Paste Editor (Beta)'!$C$82="Reroll class prompt",S333,IF('Paste Editor (Beta)'!$C$82="Swap hero prompt",S333,IF('Paste Editor (Beta)'!$C$82="Anvil prompt",AD333,"")))))))</f>
        <v/>
      </c>
      <c r="AJ333" s="283">
        <f>IF('Paste Editor (Beta)'!$C$90="Level-up prompt",G334,IF('Paste Editor (Beta)'!$C$90="Item prompt",E334,IF('Paste Editor (Beta)'!$C$90="Modifier prompt","'"&amp;B334,IF('Paste Editor (Beta)'!$C$90="Challenge prompt",L334,IF('Paste Editor (Beta)'!$C$90="Reroll class prompt",S333,IF('Paste Editor (Beta)'!$C$90="Swap hero prompt",S333,IF('Paste Editor (Beta)'!$C$90="Anvil prompt",AD333,"")))))))</f>
        <v>0</v>
      </c>
      <c r="AK333" s="283">
        <f>IF('Paste Editor (Beta)'!$C$90="Level-up prompt",G334,IF('Paste Editor (Beta)'!$C$90="Item prompt",E334,IF('Paste Editor (Beta)'!$C$90="Modifier prompt","'"&amp;B334,IF('Paste Editor (Beta)'!$C$90="Challenge prompt",E334,IF('Paste Editor (Beta)'!$C$90="Reroll class prompt",S333,IF('Paste Editor (Beta)'!$C$90="Swap hero prompt",S333,IF('Paste Editor (Beta)'!$C$90="Anvil prompt",AD333,"")))))))</f>
        <v>0</v>
      </c>
    </row>
    <row r="334" spans="2:37" ht="17.25">
      <c r="B334" s="284" t="s">
        <v>3124</v>
      </c>
      <c r="C334" s="284" t="s">
        <v>3124</v>
      </c>
      <c r="D334" s="284" t="s">
        <v>3124</v>
      </c>
      <c r="E334" s="280" t="s">
        <v>1441</v>
      </c>
      <c r="AH334" s="280" t="str">
        <f>IF('Paste Editor (Beta)'!$C$82="Level-up prompt",G335,IF('Paste Editor (Beta)'!$C$82="Item prompt",E335,IF('Paste Editor (Beta)'!$C$82="Modifier prompt","'"&amp;B335,IF('Paste Editor (Beta)'!$C$82="Challenge prompt",L335,IF('Paste Editor (Beta)'!$C$82="Reroll class prompt",S334,IF('Paste Editor (Beta)'!$C$82="Swap hero prompt",S334,IF('Paste Editor (Beta)'!$C$82="Anvil prompt",AD334,"")))))))</f>
        <v/>
      </c>
      <c r="AI334" s="280" t="str">
        <f>IF('Paste Editor (Beta)'!$C$82="Level-up prompt",G335,IF('Paste Editor (Beta)'!$C$82="Item prompt",E335,IF('Paste Editor (Beta)'!$C$82="Modifier prompt","'"&amp;B335,IF('Paste Editor (Beta)'!$C$82="Challenge prompt",E335,IF('Paste Editor (Beta)'!$C$82="Reroll class prompt",S334,IF('Paste Editor (Beta)'!$C$82="Swap hero prompt",S334,IF('Paste Editor (Beta)'!$C$82="Anvil prompt",AD334,"")))))))</f>
        <v/>
      </c>
      <c r="AJ334" s="283">
        <f>IF('Paste Editor (Beta)'!$C$90="Level-up prompt",G335,IF('Paste Editor (Beta)'!$C$90="Item prompt",E335,IF('Paste Editor (Beta)'!$C$90="Modifier prompt","'"&amp;B335,IF('Paste Editor (Beta)'!$C$90="Challenge prompt",L335,IF('Paste Editor (Beta)'!$C$90="Reroll class prompt",S334,IF('Paste Editor (Beta)'!$C$90="Swap hero prompt",S334,IF('Paste Editor (Beta)'!$C$90="Anvil prompt",AD334,"")))))))</f>
        <v>0</v>
      </c>
      <c r="AK334" s="283">
        <f>IF('Paste Editor (Beta)'!$C$90="Level-up prompt",G335,IF('Paste Editor (Beta)'!$C$90="Item prompt",E335,IF('Paste Editor (Beta)'!$C$90="Modifier prompt","'"&amp;B335,IF('Paste Editor (Beta)'!$C$90="Challenge prompt",E335,IF('Paste Editor (Beta)'!$C$90="Reroll class prompt",S334,IF('Paste Editor (Beta)'!$C$90="Swap hero prompt",S334,IF('Paste Editor (Beta)'!$C$90="Anvil prompt",AD334,"")))))))</f>
        <v>0</v>
      </c>
    </row>
    <row r="335" spans="2:37" ht="17.25">
      <c r="B335" s="284" t="s">
        <v>2089</v>
      </c>
      <c r="C335" s="284" t="s">
        <v>2089</v>
      </c>
      <c r="D335" s="284" t="s">
        <v>2089</v>
      </c>
      <c r="E335" s="280" t="s">
        <v>1127</v>
      </c>
      <c r="AH335" s="280" t="str">
        <f>IF('Paste Editor (Beta)'!$C$82="Level-up prompt",G336,IF('Paste Editor (Beta)'!$C$82="Item prompt",E336,IF('Paste Editor (Beta)'!$C$82="Modifier prompt","'"&amp;B336,IF('Paste Editor (Beta)'!$C$82="Challenge prompt",L336,IF('Paste Editor (Beta)'!$C$82="Reroll class prompt",S335,IF('Paste Editor (Beta)'!$C$82="Swap hero prompt",S335,IF('Paste Editor (Beta)'!$C$82="Anvil prompt",AD335,"")))))))</f>
        <v/>
      </c>
      <c r="AI335" s="280" t="str">
        <f>IF('Paste Editor (Beta)'!$C$82="Level-up prompt",G336,IF('Paste Editor (Beta)'!$C$82="Item prompt",E336,IF('Paste Editor (Beta)'!$C$82="Modifier prompt","'"&amp;B336,IF('Paste Editor (Beta)'!$C$82="Challenge prompt",E336,IF('Paste Editor (Beta)'!$C$82="Reroll class prompt",S335,IF('Paste Editor (Beta)'!$C$82="Swap hero prompt",S335,IF('Paste Editor (Beta)'!$C$82="Anvil prompt",AD335,"")))))))</f>
        <v/>
      </c>
      <c r="AJ335" s="283">
        <f>IF('Paste Editor (Beta)'!$C$90="Level-up prompt",G336,IF('Paste Editor (Beta)'!$C$90="Item prompt",E336,IF('Paste Editor (Beta)'!$C$90="Modifier prompt","'"&amp;B336,IF('Paste Editor (Beta)'!$C$90="Challenge prompt",L336,IF('Paste Editor (Beta)'!$C$90="Reroll class prompt",S335,IF('Paste Editor (Beta)'!$C$90="Swap hero prompt",S335,IF('Paste Editor (Beta)'!$C$90="Anvil prompt",AD335,"")))))))</f>
        <v>0</v>
      </c>
      <c r="AK335" s="283">
        <f>IF('Paste Editor (Beta)'!$C$90="Level-up prompt",G336,IF('Paste Editor (Beta)'!$C$90="Item prompt",E336,IF('Paste Editor (Beta)'!$C$90="Modifier prompt","'"&amp;B336,IF('Paste Editor (Beta)'!$C$90="Challenge prompt",E336,IF('Paste Editor (Beta)'!$C$90="Reroll class prompt",S335,IF('Paste Editor (Beta)'!$C$90="Swap hero prompt",S335,IF('Paste Editor (Beta)'!$C$90="Anvil prompt",AD335,"")))))))</f>
        <v>0</v>
      </c>
    </row>
    <row r="336" spans="2:37" ht="17.25">
      <c r="B336" s="284" t="s">
        <v>3544</v>
      </c>
      <c r="C336" s="284" t="s">
        <v>3544</v>
      </c>
      <c r="D336" s="284" t="s">
        <v>3544</v>
      </c>
      <c r="E336" s="280" t="s">
        <v>1293</v>
      </c>
      <c r="AH336" s="280" t="str">
        <f>IF('Paste Editor (Beta)'!$C$82="Level-up prompt",G337,IF('Paste Editor (Beta)'!$C$82="Item prompt",E337,IF('Paste Editor (Beta)'!$C$82="Modifier prompt","'"&amp;B337,IF('Paste Editor (Beta)'!$C$82="Challenge prompt",L337,IF('Paste Editor (Beta)'!$C$82="Reroll class prompt",S336,IF('Paste Editor (Beta)'!$C$82="Swap hero prompt",S336,IF('Paste Editor (Beta)'!$C$82="Anvil prompt",AD336,"")))))))</f>
        <v/>
      </c>
      <c r="AI336" s="280" t="str">
        <f>IF('Paste Editor (Beta)'!$C$82="Level-up prompt",G337,IF('Paste Editor (Beta)'!$C$82="Item prompt",E337,IF('Paste Editor (Beta)'!$C$82="Modifier prompt","'"&amp;B337,IF('Paste Editor (Beta)'!$C$82="Challenge prompt",E337,IF('Paste Editor (Beta)'!$C$82="Reroll class prompt",S336,IF('Paste Editor (Beta)'!$C$82="Swap hero prompt",S336,IF('Paste Editor (Beta)'!$C$82="Anvil prompt",AD336,"")))))))</f>
        <v/>
      </c>
      <c r="AJ336" s="283">
        <f>IF('Paste Editor (Beta)'!$C$90="Level-up prompt",G337,IF('Paste Editor (Beta)'!$C$90="Item prompt",E337,IF('Paste Editor (Beta)'!$C$90="Modifier prompt","'"&amp;B337,IF('Paste Editor (Beta)'!$C$90="Challenge prompt",L337,IF('Paste Editor (Beta)'!$C$90="Reroll class prompt",S336,IF('Paste Editor (Beta)'!$C$90="Swap hero prompt",S336,IF('Paste Editor (Beta)'!$C$90="Anvil prompt",AD336,"")))))))</f>
        <v>0</v>
      </c>
      <c r="AK336" s="283">
        <f>IF('Paste Editor (Beta)'!$C$90="Level-up prompt",G337,IF('Paste Editor (Beta)'!$C$90="Item prompt",E337,IF('Paste Editor (Beta)'!$C$90="Modifier prompt","'"&amp;B337,IF('Paste Editor (Beta)'!$C$90="Challenge prompt",E337,IF('Paste Editor (Beta)'!$C$90="Reroll class prompt",S336,IF('Paste Editor (Beta)'!$C$90="Swap hero prompt",S336,IF('Paste Editor (Beta)'!$C$90="Anvil prompt",AD336,"")))))))</f>
        <v>0</v>
      </c>
    </row>
    <row r="337" spans="2:37" ht="17.25">
      <c r="B337" s="284" t="s">
        <v>3498</v>
      </c>
      <c r="C337" s="284" t="s">
        <v>3498</v>
      </c>
      <c r="D337" s="284" t="s">
        <v>3498</v>
      </c>
      <c r="E337" s="280" t="s">
        <v>1129</v>
      </c>
      <c r="AH337" s="280" t="str">
        <f>IF('Paste Editor (Beta)'!$C$82="Level-up prompt",G338,IF('Paste Editor (Beta)'!$C$82="Item prompt",E338,IF('Paste Editor (Beta)'!$C$82="Modifier prompt","'"&amp;B338,IF('Paste Editor (Beta)'!$C$82="Challenge prompt",L338,IF('Paste Editor (Beta)'!$C$82="Reroll class prompt",S337,IF('Paste Editor (Beta)'!$C$82="Swap hero prompt",S337,IF('Paste Editor (Beta)'!$C$82="Anvil prompt",AD337,"")))))))</f>
        <v/>
      </c>
      <c r="AI337" s="280" t="str">
        <f>IF('Paste Editor (Beta)'!$C$82="Level-up prompt",G338,IF('Paste Editor (Beta)'!$C$82="Item prompt",E338,IF('Paste Editor (Beta)'!$C$82="Modifier prompt","'"&amp;B338,IF('Paste Editor (Beta)'!$C$82="Challenge prompt",E338,IF('Paste Editor (Beta)'!$C$82="Reroll class prompt",S337,IF('Paste Editor (Beta)'!$C$82="Swap hero prompt",S337,IF('Paste Editor (Beta)'!$C$82="Anvil prompt",AD337,"")))))))</f>
        <v/>
      </c>
      <c r="AJ337" s="283">
        <f>IF('Paste Editor (Beta)'!$C$90="Level-up prompt",G338,IF('Paste Editor (Beta)'!$C$90="Item prompt",E338,IF('Paste Editor (Beta)'!$C$90="Modifier prompt","'"&amp;B338,IF('Paste Editor (Beta)'!$C$90="Challenge prompt",L338,IF('Paste Editor (Beta)'!$C$90="Reroll class prompt",S337,IF('Paste Editor (Beta)'!$C$90="Swap hero prompt",S337,IF('Paste Editor (Beta)'!$C$90="Anvil prompt",AD337,"")))))))</f>
        <v>0</v>
      </c>
      <c r="AK337" s="283">
        <f>IF('Paste Editor (Beta)'!$C$90="Level-up prompt",G338,IF('Paste Editor (Beta)'!$C$90="Item prompt",E338,IF('Paste Editor (Beta)'!$C$90="Modifier prompt","'"&amp;B338,IF('Paste Editor (Beta)'!$C$90="Challenge prompt",E338,IF('Paste Editor (Beta)'!$C$90="Reroll class prompt",S337,IF('Paste Editor (Beta)'!$C$90="Swap hero prompt",S337,IF('Paste Editor (Beta)'!$C$90="Anvil prompt",AD337,"")))))))</f>
        <v>0</v>
      </c>
    </row>
    <row r="338" spans="2:37" ht="17.25">
      <c r="B338" s="284" t="s">
        <v>3256</v>
      </c>
      <c r="C338" s="284" t="s">
        <v>3256</v>
      </c>
      <c r="D338" s="284" t="s">
        <v>3256</v>
      </c>
      <c r="E338" s="280" t="s">
        <v>1214</v>
      </c>
      <c r="AH338" s="280" t="str">
        <f>IF('Paste Editor (Beta)'!$C$82="Level-up prompt",G339,IF('Paste Editor (Beta)'!$C$82="Item prompt",E339,IF('Paste Editor (Beta)'!$C$82="Modifier prompt","'"&amp;B339,IF('Paste Editor (Beta)'!$C$82="Challenge prompt",L339,IF('Paste Editor (Beta)'!$C$82="Reroll class prompt",S338,IF('Paste Editor (Beta)'!$C$82="Swap hero prompt",S338,IF('Paste Editor (Beta)'!$C$82="Anvil prompt",AD338,"")))))))</f>
        <v/>
      </c>
      <c r="AI338" s="280" t="str">
        <f>IF('Paste Editor (Beta)'!$C$82="Level-up prompt",G339,IF('Paste Editor (Beta)'!$C$82="Item prompt",E339,IF('Paste Editor (Beta)'!$C$82="Modifier prompt","'"&amp;B339,IF('Paste Editor (Beta)'!$C$82="Challenge prompt",E339,IF('Paste Editor (Beta)'!$C$82="Reroll class prompt",S338,IF('Paste Editor (Beta)'!$C$82="Swap hero prompt",S338,IF('Paste Editor (Beta)'!$C$82="Anvil prompt",AD338,"")))))))</f>
        <v/>
      </c>
      <c r="AJ338" s="283">
        <f>IF('Paste Editor (Beta)'!$C$90="Level-up prompt",G339,IF('Paste Editor (Beta)'!$C$90="Item prompt",E339,IF('Paste Editor (Beta)'!$C$90="Modifier prompt","'"&amp;B339,IF('Paste Editor (Beta)'!$C$90="Challenge prompt",L339,IF('Paste Editor (Beta)'!$C$90="Reroll class prompt",S338,IF('Paste Editor (Beta)'!$C$90="Swap hero prompt",S338,IF('Paste Editor (Beta)'!$C$90="Anvil prompt",AD338,"")))))))</f>
        <v>0</v>
      </c>
      <c r="AK338" s="283">
        <f>IF('Paste Editor (Beta)'!$C$90="Level-up prompt",G339,IF('Paste Editor (Beta)'!$C$90="Item prompt",E339,IF('Paste Editor (Beta)'!$C$90="Modifier prompt","'"&amp;B339,IF('Paste Editor (Beta)'!$C$90="Challenge prompt",E339,IF('Paste Editor (Beta)'!$C$90="Reroll class prompt",S338,IF('Paste Editor (Beta)'!$C$90="Swap hero prompt",S338,IF('Paste Editor (Beta)'!$C$90="Anvil prompt",AD338,"")))))))</f>
        <v>0</v>
      </c>
    </row>
    <row r="339" spans="2:37" ht="17.25">
      <c r="B339" s="284" t="s">
        <v>3324</v>
      </c>
      <c r="C339" s="284" t="s">
        <v>3324</v>
      </c>
      <c r="D339" s="284" t="s">
        <v>3324</v>
      </c>
      <c r="E339" s="280" t="s">
        <v>913</v>
      </c>
      <c r="AH339" s="280" t="str">
        <f>IF('Paste Editor (Beta)'!$C$82="Level-up prompt",G340,IF('Paste Editor (Beta)'!$C$82="Item prompt",E340,IF('Paste Editor (Beta)'!$C$82="Modifier prompt","'"&amp;B340,IF('Paste Editor (Beta)'!$C$82="Challenge prompt",L340,IF('Paste Editor (Beta)'!$C$82="Reroll class prompt",S339,IF('Paste Editor (Beta)'!$C$82="Swap hero prompt",S339,IF('Paste Editor (Beta)'!$C$82="Anvil prompt",AD339,"")))))))</f>
        <v/>
      </c>
      <c r="AI339" s="280" t="str">
        <f>IF('Paste Editor (Beta)'!$C$82="Level-up prompt",G340,IF('Paste Editor (Beta)'!$C$82="Item prompt",E340,IF('Paste Editor (Beta)'!$C$82="Modifier prompt","'"&amp;B340,IF('Paste Editor (Beta)'!$C$82="Challenge prompt",E340,IF('Paste Editor (Beta)'!$C$82="Reroll class prompt",S339,IF('Paste Editor (Beta)'!$C$82="Swap hero prompt",S339,IF('Paste Editor (Beta)'!$C$82="Anvil prompt",AD339,"")))))))</f>
        <v/>
      </c>
      <c r="AJ339" s="283">
        <f>IF('Paste Editor (Beta)'!$C$90="Level-up prompt",G340,IF('Paste Editor (Beta)'!$C$90="Item prompt",E340,IF('Paste Editor (Beta)'!$C$90="Modifier prompt","'"&amp;B340,IF('Paste Editor (Beta)'!$C$90="Challenge prompt",L340,IF('Paste Editor (Beta)'!$C$90="Reroll class prompt",S339,IF('Paste Editor (Beta)'!$C$90="Swap hero prompt",S339,IF('Paste Editor (Beta)'!$C$90="Anvil prompt",AD339,"")))))))</f>
        <v>0</v>
      </c>
      <c r="AK339" s="283">
        <f>IF('Paste Editor (Beta)'!$C$90="Level-up prompt",G340,IF('Paste Editor (Beta)'!$C$90="Item prompt",E340,IF('Paste Editor (Beta)'!$C$90="Modifier prompt","'"&amp;B340,IF('Paste Editor (Beta)'!$C$90="Challenge prompt",E340,IF('Paste Editor (Beta)'!$C$90="Reroll class prompt",S339,IF('Paste Editor (Beta)'!$C$90="Swap hero prompt",S339,IF('Paste Editor (Beta)'!$C$90="Anvil prompt",AD339,"")))))))</f>
        <v>0</v>
      </c>
    </row>
    <row r="340" spans="2:37" ht="17.25">
      <c r="B340" s="284" t="s">
        <v>3432</v>
      </c>
      <c r="C340" s="284" t="s">
        <v>3432</v>
      </c>
      <c r="D340" s="284" t="s">
        <v>3432</v>
      </c>
      <c r="E340" s="280" t="s">
        <v>1377</v>
      </c>
      <c r="AH340" s="280" t="str">
        <f>IF('Paste Editor (Beta)'!$C$82="Level-up prompt",G341,IF('Paste Editor (Beta)'!$C$82="Item prompt",E341,IF('Paste Editor (Beta)'!$C$82="Modifier prompt","'"&amp;B341,IF('Paste Editor (Beta)'!$C$82="Challenge prompt",L341,IF('Paste Editor (Beta)'!$C$82="Reroll class prompt",S340,IF('Paste Editor (Beta)'!$C$82="Swap hero prompt",S340,IF('Paste Editor (Beta)'!$C$82="Anvil prompt",AD340,"")))))))</f>
        <v/>
      </c>
      <c r="AI340" s="280" t="str">
        <f>IF('Paste Editor (Beta)'!$C$82="Level-up prompt",G341,IF('Paste Editor (Beta)'!$C$82="Item prompt",E341,IF('Paste Editor (Beta)'!$C$82="Modifier prompt","'"&amp;B341,IF('Paste Editor (Beta)'!$C$82="Challenge prompt",E341,IF('Paste Editor (Beta)'!$C$82="Reroll class prompt",S340,IF('Paste Editor (Beta)'!$C$82="Swap hero prompt",S340,IF('Paste Editor (Beta)'!$C$82="Anvil prompt",AD340,"")))))))</f>
        <v/>
      </c>
      <c r="AJ340" s="283">
        <f>IF('Paste Editor (Beta)'!$C$90="Level-up prompt",G341,IF('Paste Editor (Beta)'!$C$90="Item prompt",E341,IF('Paste Editor (Beta)'!$C$90="Modifier prompt","'"&amp;B341,IF('Paste Editor (Beta)'!$C$90="Challenge prompt",L341,IF('Paste Editor (Beta)'!$C$90="Reroll class prompt",S340,IF('Paste Editor (Beta)'!$C$90="Swap hero prompt",S340,IF('Paste Editor (Beta)'!$C$90="Anvil prompt",AD340,"")))))))</f>
        <v>0</v>
      </c>
      <c r="AK340" s="283">
        <f>IF('Paste Editor (Beta)'!$C$90="Level-up prompt",G341,IF('Paste Editor (Beta)'!$C$90="Item prompt",E341,IF('Paste Editor (Beta)'!$C$90="Modifier prompt","'"&amp;B341,IF('Paste Editor (Beta)'!$C$90="Challenge prompt",E341,IF('Paste Editor (Beta)'!$C$90="Reroll class prompt",S340,IF('Paste Editor (Beta)'!$C$90="Swap hero prompt",S340,IF('Paste Editor (Beta)'!$C$90="Anvil prompt",AD340,"")))))))</f>
        <v>0</v>
      </c>
    </row>
    <row r="341" spans="2:37" ht="17.25">
      <c r="B341" s="284" t="s">
        <v>3326</v>
      </c>
      <c r="C341" s="284" t="s">
        <v>3326</v>
      </c>
      <c r="D341" s="284" t="s">
        <v>3326</v>
      </c>
      <c r="E341" s="280" t="s">
        <v>1443</v>
      </c>
      <c r="AH341" s="280" t="str">
        <f>IF('Paste Editor (Beta)'!$C$82="Level-up prompt",G342,IF('Paste Editor (Beta)'!$C$82="Item prompt",E342,IF('Paste Editor (Beta)'!$C$82="Modifier prompt","'"&amp;B342,IF('Paste Editor (Beta)'!$C$82="Challenge prompt",L342,IF('Paste Editor (Beta)'!$C$82="Reroll class prompt",S341,IF('Paste Editor (Beta)'!$C$82="Swap hero prompt",S341,IF('Paste Editor (Beta)'!$C$82="Anvil prompt",AD341,"")))))))</f>
        <v/>
      </c>
      <c r="AI341" s="280" t="str">
        <f>IF('Paste Editor (Beta)'!$C$82="Level-up prompt",G342,IF('Paste Editor (Beta)'!$C$82="Item prompt",E342,IF('Paste Editor (Beta)'!$C$82="Modifier prompt","'"&amp;B342,IF('Paste Editor (Beta)'!$C$82="Challenge prompt",E342,IF('Paste Editor (Beta)'!$C$82="Reroll class prompt",S341,IF('Paste Editor (Beta)'!$C$82="Swap hero prompt",S341,IF('Paste Editor (Beta)'!$C$82="Anvil prompt",AD341,"")))))))</f>
        <v/>
      </c>
      <c r="AJ341" s="283">
        <f>IF('Paste Editor (Beta)'!$C$90="Level-up prompt",G342,IF('Paste Editor (Beta)'!$C$90="Item prompt",E342,IF('Paste Editor (Beta)'!$C$90="Modifier prompt","'"&amp;B342,IF('Paste Editor (Beta)'!$C$90="Challenge prompt",L342,IF('Paste Editor (Beta)'!$C$90="Reroll class prompt",S341,IF('Paste Editor (Beta)'!$C$90="Swap hero prompt",S341,IF('Paste Editor (Beta)'!$C$90="Anvil prompt",AD341,"")))))))</f>
        <v>0</v>
      </c>
      <c r="AK341" s="283">
        <f>IF('Paste Editor (Beta)'!$C$90="Level-up prompt",G342,IF('Paste Editor (Beta)'!$C$90="Item prompt",E342,IF('Paste Editor (Beta)'!$C$90="Modifier prompt","'"&amp;B342,IF('Paste Editor (Beta)'!$C$90="Challenge prompt",E342,IF('Paste Editor (Beta)'!$C$90="Reroll class prompt",S341,IF('Paste Editor (Beta)'!$C$90="Swap hero prompt",S341,IF('Paste Editor (Beta)'!$C$90="Anvil prompt",AD341,"")))))))</f>
        <v>0</v>
      </c>
    </row>
    <row r="342" spans="2:37" ht="17.25">
      <c r="B342" s="284" t="s">
        <v>3642</v>
      </c>
      <c r="C342" s="284" t="s">
        <v>3642</v>
      </c>
      <c r="D342" s="284" t="s">
        <v>3642</v>
      </c>
      <c r="E342" s="280" t="s">
        <v>1296</v>
      </c>
      <c r="AH342" s="280" t="str">
        <f>IF('Paste Editor (Beta)'!$C$82="Level-up prompt",G343,IF('Paste Editor (Beta)'!$C$82="Item prompt",E343,IF('Paste Editor (Beta)'!$C$82="Modifier prompt","'"&amp;B343,IF('Paste Editor (Beta)'!$C$82="Challenge prompt",L343,IF('Paste Editor (Beta)'!$C$82="Reroll class prompt",S342,IF('Paste Editor (Beta)'!$C$82="Swap hero prompt",S342,IF('Paste Editor (Beta)'!$C$82="Anvil prompt",AD342,"")))))))</f>
        <v/>
      </c>
      <c r="AI342" s="280" t="str">
        <f>IF('Paste Editor (Beta)'!$C$82="Level-up prompt",G343,IF('Paste Editor (Beta)'!$C$82="Item prompt",E343,IF('Paste Editor (Beta)'!$C$82="Modifier prompt","'"&amp;B343,IF('Paste Editor (Beta)'!$C$82="Challenge prompt",E343,IF('Paste Editor (Beta)'!$C$82="Reroll class prompt",S342,IF('Paste Editor (Beta)'!$C$82="Swap hero prompt",S342,IF('Paste Editor (Beta)'!$C$82="Anvil prompt",AD342,"")))))))</f>
        <v/>
      </c>
      <c r="AJ342" s="283">
        <f>IF('Paste Editor (Beta)'!$C$90="Level-up prompt",G343,IF('Paste Editor (Beta)'!$C$90="Item prompt",E343,IF('Paste Editor (Beta)'!$C$90="Modifier prompt","'"&amp;B343,IF('Paste Editor (Beta)'!$C$90="Challenge prompt",L343,IF('Paste Editor (Beta)'!$C$90="Reroll class prompt",S342,IF('Paste Editor (Beta)'!$C$90="Swap hero prompt",S342,IF('Paste Editor (Beta)'!$C$90="Anvil prompt",AD342,"")))))))</f>
        <v>0</v>
      </c>
      <c r="AK342" s="283">
        <f>IF('Paste Editor (Beta)'!$C$90="Level-up prompt",G343,IF('Paste Editor (Beta)'!$C$90="Item prompt",E343,IF('Paste Editor (Beta)'!$C$90="Modifier prompt","'"&amp;B343,IF('Paste Editor (Beta)'!$C$90="Challenge prompt",E343,IF('Paste Editor (Beta)'!$C$90="Reroll class prompt",S342,IF('Paste Editor (Beta)'!$C$90="Swap hero prompt",S342,IF('Paste Editor (Beta)'!$C$90="Anvil prompt",AD342,"")))))))</f>
        <v>0</v>
      </c>
    </row>
    <row r="343" spans="2:37" ht="17.25">
      <c r="B343" s="284" t="s">
        <v>3608</v>
      </c>
      <c r="C343" s="284" t="s">
        <v>3608</v>
      </c>
      <c r="D343" s="284" t="s">
        <v>3608</v>
      </c>
      <c r="E343" s="280" t="s">
        <v>1492</v>
      </c>
      <c r="AH343" s="280" t="str">
        <f>IF('Paste Editor (Beta)'!$C$82="Level-up prompt",G344,IF('Paste Editor (Beta)'!$C$82="Item prompt",E344,IF('Paste Editor (Beta)'!$C$82="Modifier prompt","'"&amp;B344,IF('Paste Editor (Beta)'!$C$82="Challenge prompt",L344,IF('Paste Editor (Beta)'!$C$82="Reroll class prompt",S343,IF('Paste Editor (Beta)'!$C$82="Swap hero prompt",S343,IF('Paste Editor (Beta)'!$C$82="Anvil prompt",AD343,"")))))))</f>
        <v/>
      </c>
      <c r="AI343" s="280" t="str">
        <f>IF('Paste Editor (Beta)'!$C$82="Level-up prompt",G344,IF('Paste Editor (Beta)'!$C$82="Item prompt",E344,IF('Paste Editor (Beta)'!$C$82="Modifier prompt","'"&amp;B344,IF('Paste Editor (Beta)'!$C$82="Challenge prompt",E344,IF('Paste Editor (Beta)'!$C$82="Reroll class prompt",S343,IF('Paste Editor (Beta)'!$C$82="Swap hero prompt",S343,IF('Paste Editor (Beta)'!$C$82="Anvil prompt",AD343,"")))))))</f>
        <v/>
      </c>
      <c r="AJ343" s="283">
        <f>IF('Paste Editor (Beta)'!$C$90="Level-up prompt",G344,IF('Paste Editor (Beta)'!$C$90="Item prompt",E344,IF('Paste Editor (Beta)'!$C$90="Modifier prompt","'"&amp;B344,IF('Paste Editor (Beta)'!$C$90="Challenge prompt",L344,IF('Paste Editor (Beta)'!$C$90="Reroll class prompt",S343,IF('Paste Editor (Beta)'!$C$90="Swap hero prompt",S343,IF('Paste Editor (Beta)'!$C$90="Anvil prompt",AD343,"")))))))</f>
        <v>0</v>
      </c>
      <c r="AK343" s="283">
        <f>IF('Paste Editor (Beta)'!$C$90="Level-up prompt",G344,IF('Paste Editor (Beta)'!$C$90="Item prompt",E344,IF('Paste Editor (Beta)'!$C$90="Modifier prompt","'"&amp;B344,IF('Paste Editor (Beta)'!$C$90="Challenge prompt",E344,IF('Paste Editor (Beta)'!$C$90="Reroll class prompt",S343,IF('Paste Editor (Beta)'!$C$90="Swap hero prompt",S343,IF('Paste Editor (Beta)'!$C$90="Anvil prompt",AD343,"")))))))</f>
        <v>0</v>
      </c>
    </row>
    <row r="344" spans="2:37" ht="17.25">
      <c r="B344" s="284" t="s">
        <v>3290</v>
      </c>
      <c r="C344" s="284" t="s">
        <v>3290</v>
      </c>
      <c r="D344" s="284" t="s">
        <v>3290</v>
      </c>
      <c r="E344" s="280" t="s">
        <v>1075</v>
      </c>
      <c r="AH344" s="280" t="str">
        <f>IF('Paste Editor (Beta)'!$C$82="Level-up prompt",G345,IF('Paste Editor (Beta)'!$C$82="Item prompt",E345,IF('Paste Editor (Beta)'!$C$82="Modifier prompt","'"&amp;B345,IF('Paste Editor (Beta)'!$C$82="Challenge prompt",L345,IF('Paste Editor (Beta)'!$C$82="Reroll class prompt",S344,IF('Paste Editor (Beta)'!$C$82="Swap hero prompt",S344,IF('Paste Editor (Beta)'!$C$82="Anvil prompt",AD344,"")))))))</f>
        <v/>
      </c>
      <c r="AI344" s="280" t="str">
        <f>IF('Paste Editor (Beta)'!$C$82="Level-up prompt",G345,IF('Paste Editor (Beta)'!$C$82="Item prompt",E345,IF('Paste Editor (Beta)'!$C$82="Modifier prompt","'"&amp;B345,IF('Paste Editor (Beta)'!$C$82="Challenge prompt",E345,IF('Paste Editor (Beta)'!$C$82="Reroll class prompt",S344,IF('Paste Editor (Beta)'!$C$82="Swap hero prompt",S344,IF('Paste Editor (Beta)'!$C$82="Anvil prompt",AD344,"")))))))</f>
        <v/>
      </c>
      <c r="AJ344" s="283">
        <f>IF('Paste Editor (Beta)'!$C$90="Level-up prompt",G345,IF('Paste Editor (Beta)'!$C$90="Item prompt",E345,IF('Paste Editor (Beta)'!$C$90="Modifier prompt","'"&amp;B345,IF('Paste Editor (Beta)'!$C$90="Challenge prompt",L345,IF('Paste Editor (Beta)'!$C$90="Reroll class prompt",S344,IF('Paste Editor (Beta)'!$C$90="Swap hero prompt",S344,IF('Paste Editor (Beta)'!$C$90="Anvil prompt",AD344,"")))))))</f>
        <v>0</v>
      </c>
      <c r="AK344" s="283">
        <f>IF('Paste Editor (Beta)'!$C$90="Level-up prompt",G345,IF('Paste Editor (Beta)'!$C$90="Item prompt",E345,IF('Paste Editor (Beta)'!$C$90="Modifier prompt","'"&amp;B345,IF('Paste Editor (Beta)'!$C$90="Challenge prompt",E345,IF('Paste Editor (Beta)'!$C$90="Reroll class prompt",S344,IF('Paste Editor (Beta)'!$C$90="Swap hero prompt",S344,IF('Paste Editor (Beta)'!$C$90="Anvil prompt",AD344,"")))))))</f>
        <v>0</v>
      </c>
    </row>
    <row r="345" spans="2:37" ht="17.25">
      <c r="B345" s="284" t="s">
        <v>3604</v>
      </c>
      <c r="C345" s="284" t="s">
        <v>3604</v>
      </c>
      <c r="D345" s="284" t="s">
        <v>3604</v>
      </c>
      <c r="E345" s="280" t="s">
        <v>1379</v>
      </c>
      <c r="AH345" s="280" t="str">
        <f>IF('Paste Editor (Beta)'!$C$82="Level-up prompt",G346,IF('Paste Editor (Beta)'!$C$82="Item prompt",E346,IF('Paste Editor (Beta)'!$C$82="Modifier prompt","'"&amp;B346,IF('Paste Editor (Beta)'!$C$82="Challenge prompt",L346,IF('Paste Editor (Beta)'!$C$82="Reroll class prompt",S345,IF('Paste Editor (Beta)'!$C$82="Swap hero prompt",S345,IF('Paste Editor (Beta)'!$C$82="Anvil prompt",AD345,"")))))))</f>
        <v/>
      </c>
      <c r="AI345" s="280" t="str">
        <f>IF('Paste Editor (Beta)'!$C$82="Level-up prompt",G346,IF('Paste Editor (Beta)'!$C$82="Item prompt",E346,IF('Paste Editor (Beta)'!$C$82="Modifier prompt","'"&amp;B346,IF('Paste Editor (Beta)'!$C$82="Challenge prompt",E346,IF('Paste Editor (Beta)'!$C$82="Reroll class prompt",S345,IF('Paste Editor (Beta)'!$C$82="Swap hero prompt",S345,IF('Paste Editor (Beta)'!$C$82="Anvil prompt",AD345,"")))))))</f>
        <v/>
      </c>
      <c r="AJ345" s="283">
        <f>IF('Paste Editor (Beta)'!$C$90="Level-up prompt",G346,IF('Paste Editor (Beta)'!$C$90="Item prompt",E346,IF('Paste Editor (Beta)'!$C$90="Modifier prompt","'"&amp;B346,IF('Paste Editor (Beta)'!$C$90="Challenge prompt",L346,IF('Paste Editor (Beta)'!$C$90="Reroll class prompt",S345,IF('Paste Editor (Beta)'!$C$90="Swap hero prompt",S345,IF('Paste Editor (Beta)'!$C$90="Anvil prompt",AD345,"")))))))</f>
        <v>0</v>
      </c>
      <c r="AK345" s="283">
        <f>IF('Paste Editor (Beta)'!$C$90="Level-up prompt",G346,IF('Paste Editor (Beta)'!$C$90="Item prompt",E346,IF('Paste Editor (Beta)'!$C$90="Modifier prompt","'"&amp;B346,IF('Paste Editor (Beta)'!$C$90="Challenge prompt",E346,IF('Paste Editor (Beta)'!$C$90="Reroll class prompt",S345,IF('Paste Editor (Beta)'!$C$90="Swap hero prompt",S345,IF('Paste Editor (Beta)'!$C$90="Anvil prompt",AD345,"")))))))</f>
        <v>0</v>
      </c>
    </row>
    <row r="346" spans="2:37" ht="17.25">
      <c r="B346" s="284" t="s">
        <v>3362</v>
      </c>
      <c r="C346" s="284" t="s">
        <v>3362</v>
      </c>
      <c r="D346" s="284" t="s">
        <v>3362</v>
      </c>
      <c r="E346" s="280" t="s">
        <v>1446</v>
      </c>
      <c r="AH346" s="280" t="str">
        <f>IF('Paste Editor (Beta)'!$C$82="Level-up prompt",G347,IF('Paste Editor (Beta)'!$C$82="Item prompt",E347,IF('Paste Editor (Beta)'!$C$82="Modifier prompt","'"&amp;B347,IF('Paste Editor (Beta)'!$C$82="Challenge prompt",L347,IF('Paste Editor (Beta)'!$C$82="Reroll class prompt",S346,IF('Paste Editor (Beta)'!$C$82="Swap hero prompt",S346,IF('Paste Editor (Beta)'!$C$82="Anvil prompt",AD346,"")))))))</f>
        <v/>
      </c>
      <c r="AI346" s="280" t="str">
        <f>IF('Paste Editor (Beta)'!$C$82="Level-up prompt",G347,IF('Paste Editor (Beta)'!$C$82="Item prompt",E347,IF('Paste Editor (Beta)'!$C$82="Modifier prompt","'"&amp;B347,IF('Paste Editor (Beta)'!$C$82="Challenge prompt",E347,IF('Paste Editor (Beta)'!$C$82="Reroll class prompt",S346,IF('Paste Editor (Beta)'!$C$82="Swap hero prompt",S346,IF('Paste Editor (Beta)'!$C$82="Anvil prompt",AD346,"")))))))</f>
        <v/>
      </c>
      <c r="AJ346" s="283">
        <f>IF('Paste Editor (Beta)'!$C$90="Level-up prompt",G347,IF('Paste Editor (Beta)'!$C$90="Item prompt",E347,IF('Paste Editor (Beta)'!$C$90="Modifier prompt","'"&amp;B347,IF('Paste Editor (Beta)'!$C$90="Challenge prompt",L347,IF('Paste Editor (Beta)'!$C$90="Reroll class prompt",S346,IF('Paste Editor (Beta)'!$C$90="Swap hero prompt",S346,IF('Paste Editor (Beta)'!$C$90="Anvil prompt",AD346,"")))))))</f>
        <v>0</v>
      </c>
      <c r="AK346" s="283">
        <f>IF('Paste Editor (Beta)'!$C$90="Level-up prompt",G347,IF('Paste Editor (Beta)'!$C$90="Item prompt",E347,IF('Paste Editor (Beta)'!$C$90="Modifier prompt","'"&amp;B347,IF('Paste Editor (Beta)'!$C$90="Challenge prompt",E347,IF('Paste Editor (Beta)'!$C$90="Reroll class prompt",S346,IF('Paste Editor (Beta)'!$C$90="Swap hero prompt",S346,IF('Paste Editor (Beta)'!$C$90="Anvil prompt",AD346,"")))))))</f>
        <v>0</v>
      </c>
    </row>
    <row r="347" spans="2:37" ht="17.25">
      <c r="B347" s="284" t="s">
        <v>3490</v>
      </c>
      <c r="C347" s="284" t="s">
        <v>3490</v>
      </c>
      <c r="D347" s="284" t="s">
        <v>3490</v>
      </c>
      <c r="E347" s="280" t="s">
        <v>838</v>
      </c>
      <c r="AH347" s="280" t="str">
        <f>IF('Paste Editor (Beta)'!$C$82="Level-up prompt",G348,IF('Paste Editor (Beta)'!$C$82="Item prompt",E348,IF('Paste Editor (Beta)'!$C$82="Modifier prompt","'"&amp;B348,IF('Paste Editor (Beta)'!$C$82="Challenge prompt",L348,IF('Paste Editor (Beta)'!$C$82="Reroll class prompt",S347,IF('Paste Editor (Beta)'!$C$82="Swap hero prompt",S347,IF('Paste Editor (Beta)'!$C$82="Anvil prompt",AD347,"")))))))</f>
        <v/>
      </c>
      <c r="AI347" s="280" t="str">
        <f>IF('Paste Editor (Beta)'!$C$82="Level-up prompt",G348,IF('Paste Editor (Beta)'!$C$82="Item prompt",E348,IF('Paste Editor (Beta)'!$C$82="Modifier prompt","'"&amp;B348,IF('Paste Editor (Beta)'!$C$82="Challenge prompt",E348,IF('Paste Editor (Beta)'!$C$82="Reroll class prompt",S347,IF('Paste Editor (Beta)'!$C$82="Swap hero prompt",S347,IF('Paste Editor (Beta)'!$C$82="Anvil prompt",AD347,"")))))))</f>
        <v/>
      </c>
      <c r="AJ347" s="283">
        <f>IF('Paste Editor (Beta)'!$C$90="Level-up prompt",G348,IF('Paste Editor (Beta)'!$C$90="Item prompt",E348,IF('Paste Editor (Beta)'!$C$90="Modifier prompt","'"&amp;B348,IF('Paste Editor (Beta)'!$C$90="Challenge prompt",L348,IF('Paste Editor (Beta)'!$C$90="Reroll class prompt",S347,IF('Paste Editor (Beta)'!$C$90="Swap hero prompt",S347,IF('Paste Editor (Beta)'!$C$90="Anvil prompt",AD347,"")))))))</f>
        <v>0</v>
      </c>
      <c r="AK347" s="283">
        <f>IF('Paste Editor (Beta)'!$C$90="Level-up prompt",G348,IF('Paste Editor (Beta)'!$C$90="Item prompt",E348,IF('Paste Editor (Beta)'!$C$90="Modifier prompt","'"&amp;B348,IF('Paste Editor (Beta)'!$C$90="Challenge prompt",E348,IF('Paste Editor (Beta)'!$C$90="Reroll class prompt",S347,IF('Paste Editor (Beta)'!$C$90="Swap hero prompt",S347,IF('Paste Editor (Beta)'!$C$90="Anvil prompt",AD347,"")))))))</f>
        <v>0</v>
      </c>
    </row>
    <row r="348" spans="2:37" ht="17.25">
      <c r="B348" s="284" t="s">
        <v>3332</v>
      </c>
      <c r="C348" s="284" t="s">
        <v>3332</v>
      </c>
      <c r="D348" s="284" t="s">
        <v>3332</v>
      </c>
      <c r="E348" s="280" t="s">
        <v>1132</v>
      </c>
      <c r="AH348" s="280" t="str">
        <f>IF('Paste Editor (Beta)'!$C$82="Level-up prompt",G349,IF('Paste Editor (Beta)'!$C$82="Item prompt",E349,IF('Paste Editor (Beta)'!$C$82="Modifier prompt","'"&amp;B349,IF('Paste Editor (Beta)'!$C$82="Challenge prompt",L349,IF('Paste Editor (Beta)'!$C$82="Reroll class prompt",S348,IF('Paste Editor (Beta)'!$C$82="Swap hero prompt",S348,IF('Paste Editor (Beta)'!$C$82="Anvil prompt",AD348,"")))))))</f>
        <v/>
      </c>
      <c r="AI348" s="280" t="str">
        <f>IF('Paste Editor (Beta)'!$C$82="Level-up prompt",G349,IF('Paste Editor (Beta)'!$C$82="Item prompt",E349,IF('Paste Editor (Beta)'!$C$82="Modifier prompt","'"&amp;B349,IF('Paste Editor (Beta)'!$C$82="Challenge prompt",E349,IF('Paste Editor (Beta)'!$C$82="Reroll class prompt",S348,IF('Paste Editor (Beta)'!$C$82="Swap hero prompt",S348,IF('Paste Editor (Beta)'!$C$82="Anvil prompt",AD348,"")))))))</f>
        <v/>
      </c>
      <c r="AJ348" s="283">
        <f>IF('Paste Editor (Beta)'!$C$90="Level-up prompt",G349,IF('Paste Editor (Beta)'!$C$90="Item prompt",E349,IF('Paste Editor (Beta)'!$C$90="Modifier prompt","'"&amp;B349,IF('Paste Editor (Beta)'!$C$90="Challenge prompt",L349,IF('Paste Editor (Beta)'!$C$90="Reroll class prompt",S348,IF('Paste Editor (Beta)'!$C$90="Swap hero prompt",S348,IF('Paste Editor (Beta)'!$C$90="Anvil prompt",AD348,"")))))))</f>
        <v>0</v>
      </c>
      <c r="AK348" s="283">
        <f>IF('Paste Editor (Beta)'!$C$90="Level-up prompt",G349,IF('Paste Editor (Beta)'!$C$90="Item prompt",E349,IF('Paste Editor (Beta)'!$C$90="Modifier prompt","'"&amp;B349,IF('Paste Editor (Beta)'!$C$90="Challenge prompt",E349,IF('Paste Editor (Beta)'!$C$90="Reroll class prompt",S348,IF('Paste Editor (Beta)'!$C$90="Swap hero prompt",S348,IF('Paste Editor (Beta)'!$C$90="Anvil prompt",AD348,"")))))))</f>
        <v>0</v>
      </c>
    </row>
    <row r="349" spans="2:37" ht="17.25">
      <c r="B349" s="284" t="s">
        <v>3208</v>
      </c>
      <c r="C349" s="284" t="s">
        <v>3208</v>
      </c>
      <c r="D349" s="284" t="s">
        <v>3208</v>
      </c>
      <c r="E349" s="280" t="s">
        <v>1077</v>
      </c>
      <c r="AH349" s="280" t="str">
        <f>IF('Paste Editor (Beta)'!$C$82="Level-up prompt",G350,IF('Paste Editor (Beta)'!$C$82="Item prompt",E350,IF('Paste Editor (Beta)'!$C$82="Modifier prompt","'"&amp;B350,IF('Paste Editor (Beta)'!$C$82="Challenge prompt",L350,IF('Paste Editor (Beta)'!$C$82="Reroll class prompt",S349,IF('Paste Editor (Beta)'!$C$82="Swap hero prompt",S349,IF('Paste Editor (Beta)'!$C$82="Anvil prompt",AD349,"")))))))</f>
        <v/>
      </c>
      <c r="AI349" s="280" t="str">
        <f>IF('Paste Editor (Beta)'!$C$82="Level-up prompt",G350,IF('Paste Editor (Beta)'!$C$82="Item prompt",E350,IF('Paste Editor (Beta)'!$C$82="Modifier prompt","'"&amp;B350,IF('Paste Editor (Beta)'!$C$82="Challenge prompt",E350,IF('Paste Editor (Beta)'!$C$82="Reroll class prompt",S349,IF('Paste Editor (Beta)'!$C$82="Swap hero prompt",S349,IF('Paste Editor (Beta)'!$C$82="Anvil prompt",AD349,"")))))))</f>
        <v/>
      </c>
      <c r="AJ349" s="283">
        <f>IF('Paste Editor (Beta)'!$C$90="Level-up prompt",G350,IF('Paste Editor (Beta)'!$C$90="Item prompt",E350,IF('Paste Editor (Beta)'!$C$90="Modifier prompt","'"&amp;B350,IF('Paste Editor (Beta)'!$C$90="Challenge prompt",L350,IF('Paste Editor (Beta)'!$C$90="Reroll class prompt",S349,IF('Paste Editor (Beta)'!$C$90="Swap hero prompt",S349,IF('Paste Editor (Beta)'!$C$90="Anvil prompt",AD349,"")))))))</f>
        <v>0</v>
      </c>
      <c r="AK349" s="283">
        <f>IF('Paste Editor (Beta)'!$C$90="Level-up prompt",G350,IF('Paste Editor (Beta)'!$C$90="Item prompt",E350,IF('Paste Editor (Beta)'!$C$90="Modifier prompt","'"&amp;B350,IF('Paste Editor (Beta)'!$C$90="Challenge prompt",E350,IF('Paste Editor (Beta)'!$C$90="Reroll class prompt",S349,IF('Paste Editor (Beta)'!$C$90="Swap hero prompt",S349,IF('Paste Editor (Beta)'!$C$90="Anvil prompt",AD349,"")))))))</f>
        <v>0</v>
      </c>
    </row>
    <row r="350" spans="2:37" ht="17.25">
      <c r="B350" s="284" t="s">
        <v>3316</v>
      </c>
      <c r="C350" s="284" t="s">
        <v>3316</v>
      </c>
      <c r="D350" s="284" t="s">
        <v>3316</v>
      </c>
      <c r="E350" s="280" t="s">
        <v>1554</v>
      </c>
      <c r="AH350" s="280" t="str">
        <f>IF('Paste Editor (Beta)'!$C$82="Level-up prompt",G351,IF('Paste Editor (Beta)'!$C$82="Item prompt",E351,IF('Paste Editor (Beta)'!$C$82="Modifier prompt","'"&amp;B351,IF('Paste Editor (Beta)'!$C$82="Challenge prompt",L351,IF('Paste Editor (Beta)'!$C$82="Reroll class prompt",S350,IF('Paste Editor (Beta)'!$C$82="Swap hero prompt",S350,IF('Paste Editor (Beta)'!$C$82="Anvil prompt",AD350,"")))))))</f>
        <v/>
      </c>
      <c r="AI350" s="280" t="str">
        <f>IF('Paste Editor (Beta)'!$C$82="Level-up prompt",G351,IF('Paste Editor (Beta)'!$C$82="Item prompt",E351,IF('Paste Editor (Beta)'!$C$82="Modifier prompt","'"&amp;B351,IF('Paste Editor (Beta)'!$C$82="Challenge prompt",E351,IF('Paste Editor (Beta)'!$C$82="Reroll class prompt",S350,IF('Paste Editor (Beta)'!$C$82="Swap hero prompt",S350,IF('Paste Editor (Beta)'!$C$82="Anvil prompt",AD350,"")))))))</f>
        <v/>
      </c>
      <c r="AJ350" s="283">
        <f>IF('Paste Editor (Beta)'!$C$90="Level-up prompt",G351,IF('Paste Editor (Beta)'!$C$90="Item prompt",E351,IF('Paste Editor (Beta)'!$C$90="Modifier prompt","'"&amp;B351,IF('Paste Editor (Beta)'!$C$90="Challenge prompt",L351,IF('Paste Editor (Beta)'!$C$90="Reroll class prompt",S350,IF('Paste Editor (Beta)'!$C$90="Swap hero prompt",S350,IF('Paste Editor (Beta)'!$C$90="Anvil prompt",AD350,"")))))))</f>
        <v>0</v>
      </c>
      <c r="AK350" s="283">
        <f>IF('Paste Editor (Beta)'!$C$90="Level-up prompt",G351,IF('Paste Editor (Beta)'!$C$90="Item prompt",E351,IF('Paste Editor (Beta)'!$C$90="Modifier prompt","'"&amp;B351,IF('Paste Editor (Beta)'!$C$90="Challenge prompt",E351,IF('Paste Editor (Beta)'!$C$90="Reroll class prompt",S350,IF('Paste Editor (Beta)'!$C$90="Swap hero prompt",S350,IF('Paste Editor (Beta)'!$C$90="Anvil prompt",AD350,"")))))))</f>
        <v>0</v>
      </c>
    </row>
    <row r="351" spans="2:37" ht="17.25">
      <c r="B351" s="284" t="s">
        <v>3310</v>
      </c>
      <c r="C351" s="284" t="s">
        <v>3310</v>
      </c>
      <c r="D351" s="284" t="s">
        <v>3310</v>
      </c>
      <c r="E351" s="280" t="s">
        <v>1299</v>
      </c>
      <c r="AH351" s="280" t="str">
        <f>IF('Paste Editor (Beta)'!$C$82="Level-up prompt",G352,IF('Paste Editor (Beta)'!$C$82="Item prompt",E352,IF('Paste Editor (Beta)'!$C$82="Modifier prompt","'"&amp;B352,IF('Paste Editor (Beta)'!$C$82="Challenge prompt",L352,IF('Paste Editor (Beta)'!$C$82="Reroll class prompt",S351,IF('Paste Editor (Beta)'!$C$82="Swap hero prompt",S351,IF('Paste Editor (Beta)'!$C$82="Anvil prompt",AD351,"")))))))</f>
        <v/>
      </c>
      <c r="AI351" s="280" t="str">
        <f>IF('Paste Editor (Beta)'!$C$82="Level-up prompt",G352,IF('Paste Editor (Beta)'!$C$82="Item prompt",E352,IF('Paste Editor (Beta)'!$C$82="Modifier prompt","'"&amp;B352,IF('Paste Editor (Beta)'!$C$82="Challenge prompt",E352,IF('Paste Editor (Beta)'!$C$82="Reroll class prompt",S351,IF('Paste Editor (Beta)'!$C$82="Swap hero prompt",S351,IF('Paste Editor (Beta)'!$C$82="Anvil prompt",AD351,"")))))))</f>
        <v/>
      </c>
      <c r="AJ351" s="283">
        <f>IF('Paste Editor (Beta)'!$C$90="Level-up prompt",G352,IF('Paste Editor (Beta)'!$C$90="Item prompt",E352,IF('Paste Editor (Beta)'!$C$90="Modifier prompt","'"&amp;B352,IF('Paste Editor (Beta)'!$C$90="Challenge prompt",L352,IF('Paste Editor (Beta)'!$C$90="Reroll class prompt",S351,IF('Paste Editor (Beta)'!$C$90="Swap hero prompt",S351,IF('Paste Editor (Beta)'!$C$90="Anvil prompt",AD351,"")))))))</f>
        <v>0</v>
      </c>
      <c r="AK351" s="283">
        <f>IF('Paste Editor (Beta)'!$C$90="Level-up prompt",G352,IF('Paste Editor (Beta)'!$C$90="Item prompt",E352,IF('Paste Editor (Beta)'!$C$90="Modifier prompt","'"&amp;B352,IF('Paste Editor (Beta)'!$C$90="Challenge prompt",E352,IF('Paste Editor (Beta)'!$C$90="Reroll class prompt",S351,IF('Paste Editor (Beta)'!$C$90="Swap hero prompt",S351,IF('Paste Editor (Beta)'!$C$90="Anvil prompt",AD351,"")))))))</f>
        <v>0</v>
      </c>
    </row>
    <row r="352" spans="2:37" ht="17.25">
      <c r="B352" s="284" t="s">
        <v>3586</v>
      </c>
      <c r="C352" s="284" t="s">
        <v>3586</v>
      </c>
      <c r="D352" s="284" t="s">
        <v>3586</v>
      </c>
      <c r="E352" s="280" t="s">
        <v>988</v>
      </c>
      <c r="AH352" s="280" t="str">
        <f>IF('Paste Editor (Beta)'!$C$82="Level-up prompt",G353,IF('Paste Editor (Beta)'!$C$82="Item prompt",E353,IF('Paste Editor (Beta)'!$C$82="Modifier prompt","'"&amp;B353,IF('Paste Editor (Beta)'!$C$82="Challenge prompt",L353,IF('Paste Editor (Beta)'!$C$82="Reroll class prompt",S352,IF('Paste Editor (Beta)'!$C$82="Swap hero prompt",S352,IF('Paste Editor (Beta)'!$C$82="Anvil prompt",AD352,"")))))))</f>
        <v/>
      </c>
      <c r="AI352" s="280" t="str">
        <f>IF('Paste Editor (Beta)'!$C$82="Level-up prompt",G353,IF('Paste Editor (Beta)'!$C$82="Item prompt",E353,IF('Paste Editor (Beta)'!$C$82="Modifier prompt","'"&amp;B353,IF('Paste Editor (Beta)'!$C$82="Challenge prompt",E353,IF('Paste Editor (Beta)'!$C$82="Reroll class prompt",S352,IF('Paste Editor (Beta)'!$C$82="Swap hero prompt",S352,IF('Paste Editor (Beta)'!$C$82="Anvil prompt",AD352,"")))))))</f>
        <v/>
      </c>
      <c r="AJ352" s="283">
        <f>IF('Paste Editor (Beta)'!$C$90="Level-up prompt",G353,IF('Paste Editor (Beta)'!$C$90="Item prompt",E353,IF('Paste Editor (Beta)'!$C$90="Modifier prompt","'"&amp;B353,IF('Paste Editor (Beta)'!$C$90="Challenge prompt",L353,IF('Paste Editor (Beta)'!$C$90="Reroll class prompt",S352,IF('Paste Editor (Beta)'!$C$90="Swap hero prompt",S352,IF('Paste Editor (Beta)'!$C$90="Anvil prompt",AD352,"")))))))</f>
        <v>0</v>
      </c>
      <c r="AK352" s="283">
        <f>IF('Paste Editor (Beta)'!$C$90="Level-up prompt",G353,IF('Paste Editor (Beta)'!$C$90="Item prompt",E353,IF('Paste Editor (Beta)'!$C$90="Modifier prompt","'"&amp;B353,IF('Paste Editor (Beta)'!$C$90="Challenge prompt",E353,IF('Paste Editor (Beta)'!$C$90="Reroll class prompt",S352,IF('Paste Editor (Beta)'!$C$90="Swap hero prompt",S352,IF('Paste Editor (Beta)'!$C$90="Anvil prompt",AD352,"")))))))</f>
        <v>0</v>
      </c>
    </row>
    <row r="353" spans="2:37" ht="17.25">
      <c r="B353" s="284" t="s">
        <v>3448</v>
      </c>
      <c r="C353" s="284" t="s">
        <v>3448</v>
      </c>
      <c r="D353" s="284" t="s">
        <v>3448</v>
      </c>
      <c r="E353" s="280" t="s">
        <v>991</v>
      </c>
      <c r="AH353" s="280" t="str">
        <f>IF('Paste Editor (Beta)'!$C$82="Level-up prompt",G354,IF('Paste Editor (Beta)'!$C$82="Item prompt",E354,IF('Paste Editor (Beta)'!$C$82="Modifier prompt","'"&amp;B354,IF('Paste Editor (Beta)'!$C$82="Challenge prompt",L354,IF('Paste Editor (Beta)'!$C$82="Reroll class prompt",S353,IF('Paste Editor (Beta)'!$C$82="Swap hero prompt",S353,IF('Paste Editor (Beta)'!$C$82="Anvil prompt",AD353,"")))))))</f>
        <v/>
      </c>
      <c r="AI353" s="280" t="str">
        <f>IF('Paste Editor (Beta)'!$C$82="Level-up prompt",G354,IF('Paste Editor (Beta)'!$C$82="Item prompt",E354,IF('Paste Editor (Beta)'!$C$82="Modifier prompt","'"&amp;B354,IF('Paste Editor (Beta)'!$C$82="Challenge prompt",E354,IF('Paste Editor (Beta)'!$C$82="Reroll class prompt",S353,IF('Paste Editor (Beta)'!$C$82="Swap hero prompt",S353,IF('Paste Editor (Beta)'!$C$82="Anvil prompt",AD353,"")))))))</f>
        <v/>
      </c>
      <c r="AJ353" s="283">
        <f>IF('Paste Editor (Beta)'!$C$90="Level-up prompt",G354,IF('Paste Editor (Beta)'!$C$90="Item prompt",E354,IF('Paste Editor (Beta)'!$C$90="Modifier prompt","'"&amp;B354,IF('Paste Editor (Beta)'!$C$90="Challenge prompt",L354,IF('Paste Editor (Beta)'!$C$90="Reroll class prompt",S353,IF('Paste Editor (Beta)'!$C$90="Swap hero prompt",S353,IF('Paste Editor (Beta)'!$C$90="Anvil prompt",AD353,"")))))))</f>
        <v>0</v>
      </c>
      <c r="AK353" s="283">
        <f>IF('Paste Editor (Beta)'!$C$90="Level-up prompt",G354,IF('Paste Editor (Beta)'!$C$90="Item prompt",E354,IF('Paste Editor (Beta)'!$C$90="Modifier prompt","'"&amp;B354,IF('Paste Editor (Beta)'!$C$90="Challenge prompt",E354,IF('Paste Editor (Beta)'!$C$90="Reroll class prompt",S353,IF('Paste Editor (Beta)'!$C$90="Swap hero prompt",S353,IF('Paste Editor (Beta)'!$C$90="Anvil prompt",AD353,"")))))))</f>
        <v>0</v>
      </c>
    </row>
    <row r="354" spans="2:37" ht="17.25">
      <c r="B354" s="284" t="s">
        <v>3434</v>
      </c>
      <c r="C354" s="284" t="s">
        <v>3434</v>
      </c>
      <c r="D354" s="284" t="s">
        <v>3434</v>
      </c>
      <c r="E354" s="280" t="s">
        <v>915</v>
      </c>
      <c r="AH354" s="280" t="str">
        <f>IF('Paste Editor (Beta)'!$C$82="Level-up prompt",G355,IF('Paste Editor (Beta)'!$C$82="Item prompt",E355,IF('Paste Editor (Beta)'!$C$82="Modifier prompt","'"&amp;B355,IF('Paste Editor (Beta)'!$C$82="Challenge prompt",L355,IF('Paste Editor (Beta)'!$C$82="Reroll class prompt",S354,IF('Paste Editor (Beta)'!$C$82="Swap hero prompt",S354,IF('Paste Editor (Beta)'!$C$82="Anvil prompt",AD354,"")))))))</f>
        <v/>
      </c>
      <c r="AI354" s="280" t="str">
        <f>IF('Paste Editor (Beta)'!$C$82="Level-up prompt",G355,IF('Paste Editor (Beta)'!$C$82="Item prompt",E355,IF('Paste Editor (Beta)'!$C$82="Modifier prompt","'"&amp;B355,IF('Paste Editor (Beta)'!$C$82="Challenge prompt",E355,IF('Paste Editor (Beta)'!$C$82="Reroll class prompt",S354,IF('Paste Editor (Beta)'!$C$82="Swap hero prompt",S354,IF('Paste Editor (Beta)'!$C$82="Anvil prompt",AD354,"")))))))</f>
        <v/>
      </c>
      <c r="AJ354" s="283">
        <f>IF('Paste Editor (Beta)'!$C$90="Level-up prompt",G355,IF('Paste Editor (Beta)'!$C$90="Item prompt",E355,IF('Paste Editor (Beta)'!$C$90="Modifier prompt","'"&amp;B355,IF('Paste Editor (Beta)'!$C$90="Challenge prompt",L355,IF('Paste Editor (Beta)'!$C$90="Reroll class prompt",S354,IF('Paste Editor (Beta)'!$C$90="Swap hero prompt",S354,IF('Paste Editor (Beta)'!$C$90="Anvil prompt",AD354,"")))))))</f>
        <v>0</v>
      </c>
      <c r="AK354" s="283">
        <f>IF('Paste Editor (Beta)'!$C$90="Level-up prompt",G355,IF('Paste Editor (Beta)'!$C$90="Item prompt",E355,IF('Paste Editor (Beta)'!$C$90="Modifier prompt","'"&amp;B355,IF('Paste Editor (Beta)'!$C$90="Challenge prompt",E355,IF('Paste Editor (Beta)'!$C$90="Reroll class prompt",S354,IF('Paste Editor (Beta)'!$C$90="Swap hero prompt",S354,IF('Paste Editor (Beta)'!$C$90="Anvil prompt",AD354,"")))))))</f>
        <v>0</v>
      </c>
    </row>
    <row r="355" spans="2:37" ht="17.25">
      <c r="B355" s="284" t="s">
        <v>3464</v>
      </c>
      <c r="C355" s="284" t="s">
        <v>3464</v>
      </c>
      <c r="D355" s="284" t="s">
        <v>3464</v>
      </c>
      <c r="E355" s="280" t="s">
        <v>1448</v>
      </c>
      <c r="AH355" s="280" t="str">
        <f>IF('Paste Editor (Beta)'!$C$82="Level-up prompt",G356,IF('Paste Editor (Beta)'!$C$82="Item prompt",E356,IF('Paste Editor (Beta)'!$C$82="Modifier prompt","'"&amp;B356,IF('Paste Editor (Beta)'!$C$82="Challenge prompt",L356,IF('Paste Editor (Beta)'!$C$82="Reroll class prompt",S355,IF('Paste Editor (Beta)'!$C$82="Swap hero prompt",S355,IF('Paste Editor (Beta)'!$C$82="Anvil prompt",AD355,"")))))))</f>
        <v/>
      </c>
      <c r="AI355" s="280" t="str">
        <f>IF('Paste Editor (Beta)'!$C$82="Level-up prompt",G356,IF('Paste Editor (Beta)'!$C$82="Item prompt",E356,IF('Paste Editor (Beta)'!$C$82="Modifier prompt","'"&amp;B356,IF('Paste Editor (Beta)'!$C$82="Challenge prompt",E356,IF('Paste Editor (Beta)'!$C$82="Reroll class prompt",S355,IF('Paste Editor (Beta)'!$C$82="Swap hero prompt",S355,IF('Paste Editor (Beta)'!$C$82="Anvil prompt",AD355,"")))))))</f>
        <v/>
      </c>
      <c r="AJ355" s="283">
        <f>IF('Paste Editor (Beta)'!$C$90="Level-up prompt",G356,IF('Paste Editor (Beta)'!$C$90="Item prompt",E356,IF('Paste Editor (Beta)'!$C$90="Modifier prompt","'"&amp;B356,IF('Paste Editor (Beta)'!$C$90="Challenge prompt",L356,IF('Paste Editor (Beta)'!$C$90="Reroll class prompt",S355,IF('Paste Editor (Beta)'!$C$90="Swap hero prompt",S355,IF('Paste Editor (Beta)'!$C$90="Anvil prompt",AD355,"")))))))</f>
        <v>0</v>
      </c>
      <c r="AK355" s="283">
        <f>IF('Paste Editor (Beta)'!$C$90="Level-up prompt",G356,IF('Paste Editor (Beta)'!$C$90="Item prompt",E356,IF('Paste Editor (Beta)'!$C$90="Modifier prompt","'"&amp;B356,IF('Paste Editor (Beta)'!$C$90="Challenge prompt",E356,IF('Paste Editor (Beta)'!$C$90="Reroll class prompt",S355,IF('Paste Editor (Beta)'!$C$90="Swap hero prompt",S355,IF('Paste Editor (Beta)'!$C$90="Anvil prompt",AD355,"")))))))</f>
        <v>0</v>
      </c>
    </row>
    <row r="356" spans="2:37" ht="17.25">
      <c r="B356" s="284" t="s">
        <v>3610</v>
      </c>
      <c r="C356" s="284" t="s">
        <v>3610</v>
      </c>
      <c r="D356" s="284" t="s">
        <v>3610</v>
      </c>
      <c r="E356" s="280" t="s">
        <v>993</v>
      </c>
      <c r="AH356" s="280" t="str">
        <f>IF('Paste Editor (Beta)'!$C$82="Level-up prompt",G357,IF('Paste Editor (Beta)'!$C$82="Item prompt",E357,IF('Paste Editor (Beta)'!$C$82="Modifier prompt","'"&amp;B357,IF('Paste Editor (Beta)'!$C$82="Challenge prompt",L357,IF('Paste Editor (Beta)'!$C$82="Reroll class prompt",S356,IF('Paste Editor (Beta)'!$C$82="Swap hero prompt",S356,IF('Paste Editor (Beta)'!$C$82="Anvil prompt",AD356,"")))))))</f>
        <v/>
      </c>
      <c r="AI356" s="280" t="str">
        <f>IF('Paste Editor (Beta)'!$C$82="Level-up prompt",G357,IF('Paste Editor (Beta)'!$C$82="Item prompt",E357,IF('Paste Editor (Beta)'!$C$82="Modifier prompt","'"&amp;B357,IF('Paste Editor (Beta)'!$C$82="Challenge prompt",E357,IF('Paste Editor (Beta)'!$C$82="Reroll class prompt",S356,IF('Paste Editor (Beta)'!$C$82="Swap hero prompt",S356,IF('Paste Editor (Beta)'!$C$82="Anvil prompt",AD356,"")))))))</f>
        <v/>
      </c>
      <c r="AJ356" s="283">
        <f>IF('Paste Editor (Beta)'!$C$90="Level-up prompt",G357,IF('Paste Editor (Beta)'!$C$90="Item prompt",E357,IF('Paste Editor (Beta)'!$C$90="Modifier prompt","'"&amp;B357,IF('Paste Editor (Beta)'!$C$90="Challenge prompt",L357,IF('Paste Editor (Beta)'!$C$90="Reroll class prompt",S356,IF('Paste Editor (Beta)'!$C$90="Swap hero prompt",S356,IF('Paste Editor (Beta)'!$C$90="Anvil prompt",AD356,"")))))))</f>
        <v>0</v>
      </c>
      <c r="AK356" s="283">
        <f>IF('Paste Editor (Beta)'!$C$90="Level-up prompt",G357,IF('Paste Editor (Beta)'!$C$90="Item prompt",E357,IF('Paste Editor (Beta)'!$C$90="Modifier prompt","'"&amp;B357,IF('Paste Editor (Beta)'!$C$90="Challenge prompt",E357,IF('Paste Editor (Beta)'!$C$90="Reroll class prompt",S356,IF('Paste Editor (Beta)'!$C$90="Swap hero prompt",S356,IF('Paste Editor (Beta)'!$C$90="Anvil prompt",AD356,"")))))))</f>
        <v>0</v>
      </c>
    </row>
    <row r="357" spans="2:37" ht="17.25">
      <c r="B357" s="284" t="s">
        <v>3578</v>
      </c>
      <c r="C357" s="284" t="s">
        <v>3578</v>
      </c>
      <c r="D357" s="284" t="s">
        <v>3578</v>
      </c>
      <c r="E357" s="280" t="s">
        <v>1381</v>
      </c>
      <c r="AH357" s="280" t="str">
        <f>IF('Paste Editor (Beta)'!$C$82="Level-up prompt",G358,IF('Paste Editor (Beta)'!$C$82="Item prompt",E358,IF('Paste Editor (Beta)'!$C$82="Modifier prompt","'"&amp;B358,IF('Paste Editor (Beta)'!$C$82="Challenge prompt",L358,IF('Paste Editor (Beta)'!$C$82="Reroll class prompt",S357,IF('Paste Editor (Beta)'!$C$82="Swap hero prompt",S357,IF('Paste Editor (Beta)'!$C$82="Anvil prompt",AD357,"")))))))</f>
        <v/>
      </c>
      <c r="AI357" s="280" t="str">
        <f>IF('Paste Editor (Beta)'!$C$82="Level-up prompt",G358,IF('Paste Editor (Beta)'!$C$82="Item prompt",E358,IF('Paste Editor (Beta)'!$C$82="Modifier prompt","'"&amp;B358,IF('Paste Editor (Beta)'!$C$82="Challenge prompt",E358,IF('Paste Editor (Beta)'!$C$82="Reroll class prompt",S357,IF('Paste Editor (Beta)'!$C$82="Swap hero prompt",S357,IF('Paste Editor (Beta)'!$C$82="Anvil prompt",AD357,"")))))))</f>
        <v/>
      </c>
      <c r="AJ357" s="283">
        <f>IF('Paste Editor (Beta)'!$C$90="Level-up prompt",G358,IF('Paste Editor (Beta)'!$C$90="Item prompt",E358,IF('Paste Editor (Beta)'!$C$90="Modifier prompt","'"&amp;B358,IF('Paste Editor (Beta)'!$C$90="Challenge prompt",L358,IF('Paste Editor (Beta)'!$C$90="Reroll class prompt",S357,IF('Paste Editor (Beta)'!$C$90="Swap hero prompt",S357,IF('Paste Editor (Beta)'!$C$90="Anvil prompt",AD357,"")))))))</f>
        <v>0</v>
      </c>
      <c r="AK357" s="283">
        <f>IF('Paste Editor (Beta)'!$C$90="Level-up prompt",G358,IF('Paste Editor (Beta)'!$C$90="Item prompt",E358,IF('Paste Editor (Beta)'!$C$90="Modifier prompt","'"&amp;B358,IF('Paste Editor (Beta)'!$C$90="Challenge prompt",E358,IF('Paste Editor (Beta)'!$C$90="Reroll class prompt",S357,IF('Paste Editor (Beta)'!$C$90="Swap hero prompt",S357,IF('Paste Editor (Beta)'!$C$90="Anvil prompt",AD357,"")))))))</f>
        <v>0</v>
      </c>
    </row>
    <row r="358" spans="2:37" ht="17.25">
      <c r="B358" s="284" t="s">
        <v>3266</v>
      </c>
      <c r="C358" s="284" t="s">
        <v>3266</v>
      </c>
      <c r="D358" s="284" t="s">
        <v>3266</v>
      </c>
      <c r="E358" s="280" t="s">
        <v>819</v>
      </c>
      <c r="AH358" s="280" t="str">
        <f>IF('Paste Editor (Beta)'!$C$82="Level-up prompt",G359,IF('Paste Editor (Beta)'!$C$82="Item prompt",E359,IF('Paste Editor (Beta)'!$C$82="Modifier prompt","'"&amp;B359,IF('Paste Editor (Beta)'!$C$82="Challenge prompt",L359,IF('Paste Editor (Beta)'!$C$82="Reroll class prompt",S358,IF('Paste Editor (Beta)'!$C$82="Swap hero prompt",S358,IF('Paste Editor (Beta)'!$C$82="Anvil prompt",AD358,"")))))))</f>
        <v/>
      </c>
      <c r="AI358" s="280" t="str">
        <f>IF('Paste Editor (Beta)'!$C$82="Level-up prompt",G359,IF('Paste Editor (Beta)'!$C$82="Item prompt",E359,IF('Paste Editor (Beta)'!$C$82="Modifier prompt","'"&amp;B359,IF('Paste Editor (Beta)'!$C$82="Challenge prompt",E359,IF('Paste Editor (Beta)'!$C$82="Reroll class prompt",S358,IF('Paste Editor (Beta)'!$C$82="Swap hero prompt",S358,IF('Paste Editor (Beta)'!$C$82="Anvil prompt",AD358,"")))))))</f>
        <v/>
      </c>
      <c r="AJ358" s="283">
        <f>IF('Paste Editor (Beta)'!$C$90="Level-up prompt",G359,IF('Paste Editor (Beta)'!$C$90="Item prompt",E359,IF('Paste Editor (Beta)'!$C$90="Modifier prompt","'"&amp;B359,IF('Paste Editor (Beta)'!$C$90="Challenge prompt",L359,IF('Paste Editor (Beta)'!$C$90="Reroll class prompt",S358,IF('Paste Editor (Beta)'!$C$90="Swap hero prompt",S358,IF('Paste Editor (Beta)'!$C$90="Anvil prompt",AD358,"")))))))</f>
        <v>0</v>
      </c>
      <c r="AK358" s="283">
        <f>IF('Paste Editor (Beta)'!$C$90="Level-up prompt",G359,IF('Paste Editor (Beta)'!$C$90="Item prompt",E359,IF('Paste Editor (Beta)'!$C$90="Modifier prompt","'"&amp;B359,IF('Paste Editor (Beta)'!$C$90="Challenge prompt",E359,IF('Paste Editor (Beta)'!$C$90="Reroll class prompt",S358,IF('Paste Editor (Beta)'!$C$90="Swap hero prompt",S358,IF('Paste Editor (Beta)'!$C$90="Anvil prompt",AD358,"")))))))</f>
        <v>0</v>
      </c>
    </row>
    <row r="359" spans="2:37" ht="17.25">
      <c r="B359" s="284" t="s">
        <v>3340</v>
      </c>
      <c r="C359" s="284" t="s">
        <v>3340</v>
      </c>
      <c r="D359" s="284" t="s">
        <v>3340</v>
      </c>
      <c r="AH359" s="280" t="str">
        <f>IF('Paste Editor (Beta)'!$C$82="Level-up prompt",G360,IF('Paste Editor (Beta)'!$C$82="Item prompt",E360,IF('Paste Editor (Beta)'!$C$82="Modifier prompt","'"&amp;B360,IF('Paste Editor (Beta)'!$C$82="Challenge prompt",L360,IF('Paste Editor (Beta)'!$C$82="Reroll class prompt",S359,IF('Paste Editor (Beta)'!$C$82="Swap hero prompt",S359,IF('Paste Editor (Beta)'!$C$82="Anvil prompt",AD359,"")))))))</f>
        <v/>
      </c>
      <c r="AI359" s="280" t="str">
        <f>IF('Paste Editor (Beta)'!$C$82="Level-up prompt",G360,IF('Paste Editor (Beta)'!$C$82="Item prompt",E360,IF('Paste Editor (Beta)'!$C$82="Modifier prompt","'"&amp;B360,IF('Paste Editor (Beta)'!$C$82="Challenge prompt",E360,IF('Paste Editor (Beta)'!$C$82="Reroll class prompt",S359,IF('Paste Editor (Beta)'!$C$82="Swap hero prompt",S359,IF('Paste Editor (Beta)'!$C$82="Anvil prompt",AD359,"")))))))</f>
        <v/>
      </c>
      <c r="AJ359" s="283">
        <f>IF('Paste Editor (Beta)'!$C$90="Level-up prompt",G360,IF('Paste Editor (Beta)'!$C$90="Item prompt",E360,IF('Paste Editor (Beta)'!$C$90="Modifier prompt","'"&amp;B360,IF('Paste Editor (Beta)'!$C$90="Challenge prompt",L360,IF('Paste Editor (Beta)'!$C$90="Reroll class prompt",S359,IF('Paste Editor (Beta)'!$C$90="Swap hero prompt",S359,IF('Paste Editor (Beta)'!$C$90="Anvil prompt",AD359,"")))))))</f>
        <v>0</v>
      </c>
      <c r="AK359" s="283">
        <f>IF('Paste Editor (Beta)'!$C$90="Level-up prompt",G360,IF('Paste Editor (Beta)'!$C$90="Item prompt",E360,IF('Paste Editor (Beta)'!$C$90="Modifier prompt","'"&amp;B360,IF('Paste Editor (Beta)'!$C$90="Challenge prompt",E360,IF('Paste Editor (Beta)'!$C$90="Reroll class prompt",S359,IF('Paste Editor (Beta)'!$C$90="Swap hero prompt",S359,IF('Paste Editor (Beta)'!$C$90="Anvil prompt",AD359,"")))))))</f>
        <v>0</v>
      </c>
    </row>
    <row r="360" spans="2:37" ht="17.25">
      <c r="B360" s="284" t="s">
        <v>3212</v>
      </c>
      <c r="C360" s="284" t="s">
        <v>3212</v>
      </c>
      <c r="D360" s="284" t="s">
        <v>3212</v>
      </c>
      <c r="AH360" s="280" t="str">
        <f>IF('Paste Editor (Beta)'!$C$82="Level-up prompt",G361,IF('Paste Editor (Beta)'!$C$82="Item prompt",E361,IF('Paste Editor (Beta)'!$C$82="Modifier prompt","'"&amp;B361,IF('Paste Editor (Beta)'!$C$82="Challenge prompt",L361,IF('Paste Editor (Beta)'!$C$82="Reroll class prompt",S360,IF('Paste Editor (Beta)'!$C$82="Swap hero prompt",S360,IF('Paste Editor (Beta)'!$C$82="Anvil prompt",AD360,"")))))))</f>
        <v/>
      </c>
      <c r="AI360" s="280" t="str">
        <f>IF('Paste Editor (Beta)'!$C$82="Level-up prompt",G361,IF('Paste Editor (Beta)'!$C$82="Item prompt",E361,IF('Paste Editor (Beta)'!$C$82="Modifier prompt","'"&amp;B361,IF('Paste Editor (Beta)'!$C$82="Challenge prompt",E361,IF('Paste Editor (Beta)'!$C$82="Reroll class prompt",S360,IF('Paste Editor (Beta)'!$C$82="Swap hero prompt",S360,IF('Paste Editor (Beta)'!$C$82="Anvil prompt",AD360,"")))))))</f>
        <v/>
      </c>
      <c r="AJ360" s="283">
        <f>IF('Paste Editor (Beta)'!$C$90="Level-up prompt",G361,IF('Paste Editor (Beta)'!$C$90="Item prompt",E361,IF('Paste Editor (Beta)'!$C$90="Modifier prompt","'"&amp;B361,IF('Paste Editor (Beta)'!$C$90="Challenge prompt",L361,IF('Paste Editor (Beta)'!$C$90="Reroll class prompt",S360,IF('Paste Editor (Beta)'!$C$90="Swap hero prompt",S360,IF('Paste Editor (Beta)'!$C$90="Anvil prompt",AD360,"")))))))</f>
        <v>0</v>
      </c>
      <c r="AK360" s="283">
        <f>IF('Paste Editor (Beta)'!$C$90="Level-up prompt",G361,IF('Paste Editor (Beta)'!$C$90="Item prompt",E361,IF('Paste Editor (Beta)'!$C$90="Modifier prompt","'"&amp;B361,IF('Paste Editor (Beta)'!$C$90="Challenge prompt",E361,IF('Paste Editor (Beta)'!$C$90="Reroll class prompt",S360,IF('Paste Editor (Beta)'!$C$90="Swap hero prompt",S360,IF('Paste Editor (Beta)'!$C$90="Anvil prompt",AD360,"")))))))</f>
        <v>0</v>
      </c>
    </row>
    <row r="361" spans="2:37" ht="17.25">
      <c r="B361" s="284" t="s">
        <v>3534</v>
      </c>
      <c r="C361" s="284" t="s">
        <v>3534</v>
      </c>
      <c r="D361" s="284" t="s">
        <v>3534</v>
      </c>
      <c r="AH361" s="280" t="str">
        <f>IF('Paste Editor (Beta)'!$C$82="Level-up prompt",G362,IF('Paste Editor (Beta)'!$C$82="Item prompt",E362,IF('Paste Editor (Beta)'!$C$82="Modifier prompt","'"&amp;B362,IF('Paste Editor (Beta)'!$C$82="Challenge prompt",L362,IF('Paste Editor (Beta)'!$C$82="Reroll class prompt",S361,IF('Paste Editor (Beta)'!$C$82="Swap hero prompt",S361,IF('Paste Editor (Beta)'!$C$82="Anvil prompt",AD361,"")))))))</f>
        <v/>
      </c>
      <c r="AI361" s="280" t="str">
        <f>IF('Paste Editor (Beta)'!$C$82="Level-up prompt",G362,IF('Paste Editor (Beta)'!$C$82="Item prompt",E362,IF('Paste Editor (Beta)'!$C$82="Modifier prompt","'"&amp;B362,IF('Paste Editor (Beta)'!$C$82="Challenge prompt",E362,IF('Paste Editor (Beta)'!$C$82="Reroll class prompt",S361,IF('Paste Editor (Beta)'!$C$82="Swap hero prompt",S361,IF('Paste Editor (Beta)'!$C$82="Anvil prompt",AD361,"")))))))</f>
        <v/>
      </c>
      <c r="AJ361" s="283">
        <f>IF('Paste Editor (Beta)'!$C$90="Level-up prompt",G362,IF('Paste Editor (Beta)'!$C$90="Item prompt",E362,IF('Paste Editor (Beta)'!$C$90="Modifier prompt","'"&amp;B362,IF('Paste Editor (Beta)'!$C$90="Challenge prompt",L362,IF('Paste Editor (Beta)'!$C$90="Reroll class prompt",S361,IF('Paste Editor (Beta)'!$C$90="Swap hero prompt",S361,IF('Paste Editor (Beta)'!$C$90="Anvil prompt",AD361,"")))))))</f>
        <v>0</v>
      </c>
      <c r="AK361" s="283">
        <f>IF('Paste Editor (Beta)'!$C$90="Level-up prompt",G362,IF('Paste Editor (Beta)'!$C$90="Item prompt",E362,IF('Paste Editor (Beta)'!$C$90="Modifier prompt","'"&amp;B362,IF('Paste Editor (Beta)'!$C$90="Challenge prompt",E362,IF('Paste Editor (Beta)'!$C$90="Reroll class prompt",S361,IF('Paste Editor (Beta)'!$C$90="Swap hero prompt",S361,IF('Paste Editor (Beta)'!$C$90="Anvil prompt",AD361,"")))))))</f>
        <v>0</v>
      </c>
    </row>
    <row r="362" spans="2:37" ht="17.25">
      <c r="B362" s="284" t="s">
        <v>3528</v>
      </c>
      <c r="C362" s="284" t="s">
        <v>3528</v>
      </c>
      <c r="D362" s="284" t="s">
        <v>3528</v>
      </c>
      <c r="AH362" s="280" t="str">
        <f>IF('Paste Editor (Beta)'!$C$82="Level-up prompt",G363,IF('Paste Editor (Beta)'!$C$82="Item prompt",E363,IF('Paste Editor (Beta)'!$C$82="Modifier prompt","'"&amp;B363,IF('Paste Editor (Beta)'!$C$82="Challenge prompt",L363,IF('Paste Editor (Beta)'!$C$82="Reroll class prompt",S362,IF('Paste Editor (Beta)'!$C$82="Swap hero prompt",S362,IF('Paste Editor (Beta)'!$C$82="Anvil prompt",AD362,"")))))))</f>
        <v/>
      </c>
      <c r="AI362" s="280" t="str">
        <f>IF('Paste Editor (Beta)'!$C$82="Level-up prompt",G363,IF('Paste Editor (Beta)'!$C$82="Item prompt",E363,IF('Paste Editor (Beta)'!$C$82="Modifier prompt","'"&amp;B363,IF('Paste Editor (Beta)'!$C$82="Challenge prompt",E363,IF('Paste Editor (Beta)'!$C$82="Reroll class prompt",S362,IF('Paste Editor (Beta)'!$C$82="Swap hero prompt",S362,IF('Paste Editor (Beta)'!$C$82="Anvil prompt",AD362,"")))))))</f>
        <v/>
      </c>
      <c r="AJ362" s="283">
        <f>IF('Paste Editor (Beta)'!$C$90="Level-up prompt",G363,IF('Paste Editor (Beta)'!$C$90="Item prompt",E363,IF('Paste Editor (Beta)'!$C$90="Modifier prompt","'"&amp;B363,IF('Paste Editor (Beta)'!$C$90="Challenge prompt",L363,IF('Paste Editor (Beta)'!$C$90="Reroll class prompt",S362,IF('Paste Editor (Beta)'!$C$90="Swap hero prompt",S362,IF('Paste Editor (Beta)'!$C$90="Anvil prompt",AD362,"")))))))</f>
        <v>0</v>
      </c>
      <c r="AK362" s="283">
        <f>IF('Paste Editor (Beta)'!$C$90="Level-up prompt",G363,IF('Paste Editor (Beta)'!$C$90="Item prompt",E363,IF('Paste Editor (Beta)'!$C$90="Modifier prompt","'"&amp;B363,IF('Paste Editor (Beta)'!$C$90="Challenge prompt",E363,IF('Paste Editor (Beta)'!$C$90="Reroll class prompt",S362,IF('Paste Editor (Beta)'!$C$90="Swap hero prompt",S362,IF('Paste Editor (Beta)'!$C$90="Anvil prompt",AD362,"")))))))</f>
        <v>0</v>
      </c>
    </row>
    <row r="363" spans="2:37" ht="17.25">
      <c r="B363" s="284" t="s">
        <v>3644</v>
      </c>
      <c r="C363" s="284" t="s">
        <v>3644</v>
      </c>
      <c r="D363" s="284" t="s">
        <v>3644</v>
      </c>
      <c r="AH363" s="280" t="str">
        <f>IF('Paste Editor (Beta)'!$C$82="Level-up prompt",G364,IF('Paste Editor (Beta)'!$C$82="Item prompt",E364,IF('Paste Editor (Beta)'!$C$82="Modifier prompt","'"&amp;B364,IF('Paste Editor (Beta)'!$C$82="Challenge prompt",L364,IF('Paste Editor (Beta)'!$C$82="Reroll class prompt",S363,IF('Paste Editor (Beta)'!$C$82="Swap hero prompt",S363,IF('Paste Editor (Beta)'!$C$82="Anvil prompt",AD363,"")))))))</f>
        <v/>
      </c>
      <c r="AI363" s="280" t="str">
        <f>IF('Paste Editor (Beta)'!$C$82="Level-up prompt",G364,IF('Paste Editor (Beta)'!$C$82="Item prompt",E364,IF('Paste Editor (Beta)'!$C$82="Modifier prompt","'"&amp;B364,IF('Paste Editor (Beta)'!$C$82="Challenge prompt",E364,IF('Paste Editor (Beta)'!$C$82="Reroll class prompt",S363,IF('Paste Editor (Beta)'!$C$82="Swap hero prompt",S363,IF('Paste Editor (Beta)'!$C$82="Anvil prompt",AD363,"")))))))</f>
        <v/>
      </c>
      <c r="AJ363" s="283">
        <f>IF('Paste Editor (Beta)'!$C$90="Level-up prompt",G364,IF('Paste Editor (Beta)'!$C$90="Item prompt",E364,IF('Paste Editor (Beta)'!$C$90="Modifier prompt","'"&amp;B364,IF('Paste Editor (Beta)'!$C$90="Challenge prompt",L364,IF('Paste Editor (Beta)'!$C$90="Reroll class prompt",S363,IF('Paste Editor (Beta)'!$C$90="Swap hero prompt",S363,IF('Paste Editor (Beta)'!$C$90="Anvil prompt",AD363,"")))))))</f>
        <v>0</v>
      </c>
      <c r="AK363" s="283">
        <f>IF('Paste Editor (Beta)'!$C$90="Level-up prompt",G364,IF('Paste Editor (Beta)'!$C$90="Item prompt",E364,IF('Paste Editor (Beta)'!$C$90="Modifier prompt","'"&amp;B364,IF('Paste Editor (Beta)'!$C$90="Challenge prompt",E364,IF('Paste Editor (Beta)'!$C$90="Reroll class prompt",S363,IF('Paste Editor (Beta)'!$C$90="Swap hero prompt",S363,IF('Paste Editor (Beta)'!$C$90="Anvil prompt",AD363,"")))))))</f>
        <v>0</v>
      </c>
    </row>
    <row r="364" spans="2:37" ht="17.25">
      <c r="B364" s="284" t="s">
        <v>3376</v>
      </c>
      <c r="C364" s="284" t="s">
        <v>3376</v>
      </c>
      <c r="D364" s="284" t="s">
        <v>3376</v>
      </c>
      <c r="AH364" s="280" t="str">
        <f>IF('Paste Editor (Beta)'!$C$82="Level-up prompt",G365,IF('Paste Editor (Beta)'!$C$82="Item prompt",E365,IF('Paste Editor (Beta)'!$C$82="Modifier prompt","'"&amp;B365,IF('Paste Editor (Beta)'!$C$82="Challenge prompt",L365,IF('Paste Editor (Beta)'!$C$82="Reroll class prompt",S364,IF('Paste Editor (Beta)'!$C$82="Swap hero prompt",S364,IF('Paste Editor (Beta)'!$C$82="Anvil prompt",AD364,"")))))))</f>
        <v/>
      </c>
      <c r="AI364" s="280" t="str">
        <f>IF('Paste Editor (Beta)'!$C$82="Level-up prompt",G365,IF('Paste Editor (Beta)'!$C$82="Item prompt",E365,IF('Paste Editor (Beta)'!$C$82="Modifier prompt","'"&amp;B365,IF('Paste Editor (Beta)'!$C$82="Challenge prompt",E365,IF('Paste Editor (Beta)'!$C$82="Reroll class prompt",S364,IF('Paste Editor (Beta)'!$C$82="Swap hero prompt",S364,IF('Paste Editor (Beta)'!$C$82="Anvil prompt",AD364,"")))))))</f>
        <v/>
      </c>
      <c r="AJ364" s="283">
        <f>IF('Paste Editor (Beta)'!$C$90="Level-up prompt",G365,IF('Paste Editor (Beta)'!$C$90="Item prompt",E365,IF('Paste Editor (Beta)'!$C$90="Modifier prompt","'"&amp;B365,IF('Paste Editor (Beta)'!$C$90="Challenge prompt",L365,IF('Paste Editor (Beta)'!$C$90="Reroll class prompt",S364,IF('Paste Editor (Beta)'!$C$90="Swap hero prompt",S364,IF('Paste Editor (Beta)'!$C$90="Anvil prompt",AD364,"")))))))</f>
        <v>0</v>
      </c>
      <c r="AK364" s="283">
        <f>IF('Paste Editor (Beta)'!$C$90="Level-up prompt",G365,IF('Paste Editor (Beta)'!$C$90="Item prompt",E365,IF('Paste Editor (Beta)'!$C$90="Modifier prompt","'"&amp;B365,IF('Paste Editor (Beta)'!$C$90="Challenge prompt",E365,IF('Paste Editor (Beta)'!$C$90="Reroll class prompt",S364,IF('Paste Editor (Beta)'!$C$90="Swap hero prompt",S364,IF('Paste Editor (Beta)'!$C$90="Anvil prompt",AD364,"")))))))</f>
        <v>0</v>
      </c>
    </row>
    <row r="365" spans="2:37" ht="17.25">
      <c r="B365" s="284" t="s">
        <v>2085</v>
      </c>
      <c r="C365" s="284" t="s">
        <v>2085</v>
      </c>
      <c r="D365" s="284" t="s">
        <v>2085</v>
      </c>
      <c r="AH365" s="280" t="str">
        <f>IF('Paste Editor (Beta)'!$C$82="Level-up prompt",G366,IF('Paste Editor (Beta)'!$C$82="Item prompt",E366,IF('Paste Editor (Beta)'!$C$82="Modifier prompt","'"&amp;B366,IF('Paste Editor (Beta)'!$C$82="Challenge prompt",L366,IF('Paste Editor (Beta)'!$C$82="Reroll class prompt",S365,IF('Paste Editor (Beta)'!$C$82="Swap hero prompt",S365,IF('Paste Editor (Beta)'!$C$82="Anvil prompt",AD365,"")))))))</f>
        <v/>
      </c>
      <c r="AI365" s="280" t="str">
        <f>IF('Paste Editor (Beta)'!$C$82="Level-up prompt",G366,IF('Paste Editor (Beta)'!$C$82="Item prompt",E366,IF('Paste Editor (Beta)'!$C$82="Modifier prompt","'"&amp;B366,IF('Paste Editor (Beta)'!$C$82="Challenge prompt",E366,IF('Paste Editor (Beta)'!$C$82="Reroll class prompt",S365,IF('Paste Editor (Beta)'!$C$82="Swap hero prompt",S365,IF('Paste Editor (Beta)'!$C$82="Anvil prompt",AD365,"")))))))</f>
        <v/>
      </c>
      <c r="AJ365" s="283">
        <f>IF('Paste Editor (Beta)'!$C$90="Level-up prompt",G366,IF('Paste Editor (Beta)'!$C$90="Item prompt",E366,IF('Paste Editor (Beta)'!$C$90="Modifier prompt","'"&amp;B366,IF('Paste Editor (Beta)'!$C$90="Challenge prompt",L366,IF('Paste Editor (Beta)'!$C$90="Reroll class prompt",S365,IF('Paste Editor (Beta)'!$C$90="Swap hero prompt",S365,IF('Paste Editor (Beta)'!$C$90="Anvil prompt",AD365,"")))))))</f>
        <v>0</v>
      </c>
      <c r="AK365" s="283">
        <f>IF('Paste Editor (Beta)'!$C$90="Level-up prompt",G366,IF('Paste Editor (Beta)'!$C$90="Item prompt",E366,IF('Paste Editor (Beta)'!$C$90="Modifier prompt","'"&amp;B366,IF('Paste Editor (Beta)'!$C$90="Challenge prompt",E366,IF('Paste Editor (Beta)'!$C$90="Reroll class prompt",S365,IF('Paste Editor (Beta)'!$C$90="Swap hero prompt",S365,IF('Paste Editor (Beta)'!$C$90="Anvil prompt",AD365,"")))))))</f>
        <v>0</v>
      </c>
    </row>
    <row r="366" spans="2:37" ht="17.25">
      <c r="B366" s="284" t="s">
        <v>3590</v>
      </c>
      <c r="C366" s="284" t="s">
        <v>3590</v>
      </c>
      <c r="D366" s="284" t="s">
        <v>3590</v>
      </c>
      <c r="AH366" s="280" t="str">
        <f>IF('Paste Editor (Beta)'!$C$82="Level-up prompt",G367,IF('Paste Editor (Beta)'!$C$82="Item prompt",E367,IF('Paste Editor (Beta)'!$C$82="Modifier prompt","'"&amp;B367,IF('Paste Editor (Beta)'!$C$82="Challenge prompt",L367,IF('Paste Editor (Beta)'!$C$82="Reroll class prompt",S366,IF('Paste Editor (Beta)'!$C$82="Swap hero prompt",S366,IF('Paste Editor (Beta)'!$C$82="Anvil prompt",AD366,"")))))))</f>
        <v/>
      </c>
      <c r="AI366" s="280" t="str">
        <f>IF('Paste Editor (Beta)'!$C$82="Level-up prompt",G367,IF('Paste Editor (Beta)'!$C$82="Item prompt",E367,IF('Paste Editor (Beta)'!$C$82="Modifier prompt","'"&amp;B367,IF('Paste Editor (Beta)'!$C$82="Challenge prompt",E367,IF('Paste Editor (Beta)'!$C$82="Reroll class prompt",S366,IF('Paste Editor (Beta)'!$C$82="Swap hero prompt",S366,IF('Paste Editor (Beta)'!$C$82="Anvil prompt",AD366,"")))))))</f>
        <v/>
      </c>
      <c r="AJ366" s="283">
        <f>IF('Paste Editor (Beta)'!$C$90="Level-up prompt",G367,IF('Paste Editor (Beta)'!$C$90="Item prompt",E367,IF('Paste Editor (Beta)'!$C$90="Modifier prompt","'"&amp;B367,IF('Paste Editor (Beta)'!$C$90="Challenge prompt",L367,IF('Paste Editor (Beta)'!$C$90="Reroll class prompt",S366,IF('Paste Editor (Beta)'!$C$90="Swap hero prompt",S366,IF('Paste Editor (Beta)'!$C$90="Anvil prompt",AD366,"")))))))</f>
        <v>0</v>
      </c>
      <c r="AK366" s="283">
        <f>IF('Paste Editor (Beta)'!$C$90="Level-up prompt",G367,IF('Paste Editor (Beta)'!$C$90="Item prompt",E367,IF('Paste Editor (Beta)'!$C$90="Modifier prompt","'"&amp;B367,IF('Paste Editor (Beta)'!$C$90="Challenge prompt",E367,IF('Paste Editor (Beta)'!$C$90="Reroll class prompt",S366,IF('Paste Editor (Beta)'!$C$90="Swap hero prompt",S366,IF('Paste Editor (Beta)'!$C$90="Anvil prompt",AD366,"")))))))</f>
        <v>0</v>
      </c>
    </row>
    <row r="367" spans="2:37" ht="17.25">
      <c r="B367" s="284" t="s">
        <v>3322</v>
      </c>
      <c r="C367" s="284" t="s">
        <v>3322</v>
      </c>
      <c r="D367" s="284" t="s">
        <v>3322</v>
      </c>
      <c r="AH367" s="280" t="str">
        <f>IF('Paste Editor (Beta)'!$C$82="Level-up prompt",G368,IF('Paste Editor (Beta)'!$C$82="Item prompt",E368,IF('Paste Editor (Beta)'!$C$82="Modifier prompt","'"&amp;B368,IF('Paste Editor (Beta)'!$C$82="Challenge prompt",L368,IF('Paste Editor (Beta)'!$C$82="Reroll class prompt",S367,IF('Paste Editor (Beta)'!$C$82="Swap hero prompt",S367,IF('Paste Editor (Beta)'!$C$82="Anvil prompt",AD367,"")))))))</f>
        <v/>
      </c>
      <c r="AI367" s="280" t="str">
        <f>IF('Paste Editor (Beta)'!$C$82="Level-up prompt",G368,IF('Paste Editor (Beta)'!$C$82="Item prompt",E368,IF('Paste Editor (Beta)'!$C$82="Modifier prompt","'"&amp;B368,IF('Paste Editor (Beta)'!$C$82="Challenge prompt",E368,IF('Paste Editor (Beta)'!$C$82="Reroll class prompt",S367,IF('Paste Editor (Beta)'!$C$82="Swap hero prompt",S367,IF('Paste Editor (Beta)'!$C$82="Anvil prompt",AD367,"")))))))</f>
        <v/>
      </c>
      <c r="AJ367" s="283">
        <f>IF('Paste Editor (Beta)'!$C$90="Level-up prompt",G368,IF('Paste Editor (Beta)'!$C$90="Item prompt",E368,IF('Paste Editor (Beta)'!$C$90="Modifier prompt","'"&amp;B368,IF('Paste Editor (Beta)'!$C$90="Challenge prompt",L368,IF('Paste Editor (Beta)'!$C$90="Reroll class prompt",S367,IF('Paste Editor (Beta)'!$C$90="Swap hero prompt",S367,IF('Paste Editor (Beta)'!$C$90="Anvil prompt",AD367,"")))))))</f>
        <v>0</v>
      </c>
      <c r="AK367" s="283">
        <f>IF('Paste Editor (Beta)'!$C$90="Level-up prompt",G368,IF('Paste Editor (Beta)'!$C$90="Item prompt",E368,IF('Paste Editor (Beta)'!$C$90="Modifier prompt","'"&amp;B368,IF('Paste Editor (Beta)'!$C$90="Challenge prompt",E368,IF('Paste Editor (Beta)'!$C$90="Reroll class prompt",S367,IF('Paste Editor (Beta)'!$C$90="Swap hero prompt",S367,IF('Paste Editor (Beta)'!$C$90="Anvil prompt",AD367,"")))))))</f>
        <v>0</v>
      </c>
    </row>
    <row r="368" spans="2:37" ht="17.25">
      <c r="B368" s="284" t="s">
        <v>3636</v>
      </c>
      <c r="C368" s="284" t="s">
        <v>3636</v>
      </c>
      <c r="D368" s="284" t="s">
        <v>3636</v>
      </c>
      <c r="AH368" s="280" t="str">
        <f>IF('Paste Editor (Beta)'!$C$82="Level-up prompt",G369,IF('Paste Editor (Beta)'!$C$82="Item prompt",E369,IF('Paste Editor (Beta)'!$C$82="Modifier prompt","'"&amp;B369,IF('Paste Editor (Beta)'!$C$82="Challenge prompt",L369,IF('Paste Editor (Beta)'!$C$82="Reroll class prompt",S368,IF('Paste Editor (Beta)'!$C$82="Swap hero prompt",S368,IF('Paste Editor (Beta)'!$C$82="Anvil prompt",AD368,"")))))))</f>
        <v/>
      </c>
      <c r="AI368" s="280" t="str">
        <f>IF('Paste Editor (Beta)'!$C$82="Level-up prompt",G369,IF('Paste Editor (Beta)'!$C$82="Item prompt",E369,IF('Paste Editor (Beta)'!$C$82="Modifier prompt","'"&amp;B369,IF('Paste Editor (Beta)'!$C$82="Challenge prompt",E369,IF('Paste Editor (Beta)'!$C$82="Reroll class prompt",S368,IF('Paste Editor (Beta)'!$C$82="Swap hero prompt",S368,IF('Paste Editor (Beta)'!$C$82="Anvil prompt",AD368,"")))))))</f>
        <v/>
      </c>
      <c r="AJ368" s="283">
        <f>IF('Paste Editor (Beta)'!$C$90="Level-up prompt",G369,IF('Paste Editor (Beta)'!$C$90="Item prompt",E369,IF('Paste Editor (Beta)'!$C$90="Modifier prompt","'"&amp;B369,IF('Paste Editor (Beta)'!$C$90="Challenge prompt",L369,IF('Paste Editor (Beta)'!$C$90="Reroll class prompt",S368,IF('Paste Editor (Beta)'!$C$90="Swap hero prompt",S368,IF('Paste Editor (Beta)'!$C$90="Anvil prompt",AD368,"")))))))</f>
        <v>0</v>
      </c>
      <c r="AK368" s="283">
        <f>IF('Paste Editor (Beta)'!$C$90="Level-up prompt",G369,IF('Paste Editor (Beta)'!$C$90="Item prompt",E369,IF('Paste Editor (Beta)'!$C$90="Modifier prompt","'"&amp;B369,IF('Paste Editor (Beta)'!$C$90="Challenge prompt",E369,IF('Paste Editor (Beta)'!$C$90="Reroll class prompt",S368,IF('Paste Editor (Beta)'!$C$90="Swap hero prompt",S368,IF('Paste Editor (Beta)'!$C$90="Anvil prompt",AD368,"")))))))</f>
        <v>0</v>
      </c>
    </row>
    <row r="369" spans="2:37" ht="17.25">
      <c r="B369" s="284" t="s">
        <v>3550</v>
      </c>
      <c r="C369" s="284" t="s">
        <v>3550</v>
      </c>
      <c r="D369" s="284" t="s">
        <v>3550</v>
      </c>
      <c r="AH369" s="280" t="str">
        <f>IF('Paste Editor (Beta)'!$C$82="Level-up prompt",G370,IF('Paste Editor (Beta)'!$C$82="Item prompt",E370,IF('Paste Editor (Beta)'!$C$82="Modifier prompt","'"&amp;B370,IF('Paste Editor (Beta)'!$C$82="Challenge prompt",L370,IF('Paste Editor (Beta)'!$C$82="Reroll class prompt",S369,IF('Paste Editor (Beta)'!$C$82="Swap hero prompt",S369,IF('Paste Editor (Beta)'!$C$82="Anvil prompt",AD369,"")))))))</f>
        <v/>
      </c>
      <c r="AI369" s="280" t="str">
        <f>IF('Paste Editor (Beta)'!$C$82="Level-up prompt",G370,IF('Paste Editor (Beta)'!$C$82="Item prompt",E370,IF('Paste Editor (Beta)'!$C$82="Modifier prompt","'"&amp;B370,IF('Paste Editor (Beta)'!$C$82="Challenge prompt",E370,IF('Paste Editor (Beta)'!$C$82="Reroll class prompt",S369,IF('Paste Editor (Beta)'!$C$82="Swap hero prompt",S369,IF('Paste Editor (Beta)'!$C$82="Anvil prompt",AD369,"")))))))</f>
        <v/>
      </c>
      <c r="AJ369" s="283">
        <f>IF('Paste Editor (Beta)'!$C$90="Level-up prompt",G370,IF('Paste Editor (Beta)'!$C$90="Item prompt",E370,IF('Paste Editor (Beta)'!$C$90="Modifier prompt","'"&amp;B370,IF('Paste Editor (Beta)'!$C$90="Challenge prompt",L370,IF('Paste Editor (Beta)'!$C$90="Reroll class prompt",S369,IF('Paste Editor (Beta)'!$C$90="Swap hero prompt",S369,IF('Paste Editor (Beta)'!$C$90="Anvil prompt",AD369,"")))))))</f>
        <v>0</v>
      </c>
      <c r="AK369" s="283">
        <f>IF('Paste Editor (Beta)'!$C$90="Level-up prompt",G370,IF('Paste Editor (Beta)'!$C$90="Item prompt",E370,IF('Paste Editor (Beta)'!$C$90="Modifier prompt","'"&amp;B370,IF('Paste Editor (Beta)'!$C$90="Challenge prompt",E370,IF('Paste Editor (Beta)'!$C$90="Reroll class prompt",S369,IF('Paste Editor (Beta)'!$C$90="Swap hero prompt",S369,IF('Paste Editor (Beta)'!$C$90="Anvil prompt",AD369,"")))))))</f>
        <v>0</v>
      </c>
    </row>
    <row r="370" spans="2:37" ht="17.25">
      <c r="B370" s="284" t="s">
        <v>3320</v>
      </c>
      <c r="C370" s="284" t="s">
        <v>3320</v>
      </c>
      <c r="D370" s="284" t="s">
        <v>3320</v>
      </c>
      <c r="AH370" s="280" t="str">
        <f>IF('Paste Editor (Beta)'!$C$82="Level-up prompt",G371,IF('Paste Editor (Beta)'!$C$82="Item prompt",E371,IF('Paste Editor (Beta)'!$C$82="Modifier prompt","'"&amp;B371,IF('Paste Editor (Beta)'!$C$82="Challenge prompt",L371,IF('Paste Editor (Beta)'!$C$82="Reroll class prompt",S370,IF('Paste Editor (Beta)'!$C$82="Swap hero prompt",S370,IF('Paste Editor (Beta)'!$C$82="Anvil prompt",AD370,"")))))))</f>
        <v/>
      </c>
      <c r="AI370" s="280" t="str">
        <f>IF('Paste Editor (Beta)'!$C$82="Level-up prompt",G371,IF('Paste Editor (Beta)'!$C$82="Item prompt",E371,IF('Paste Editor (Beta)'!$C$82="Modifier prompt","'"&amp;B371,IF('Paste Editor (Beta)'!$C$82="Challenge prompt",E371,IF('Paste Editor (Beta)'!$C$82="Reroll class prompt",S370,IF('Paste Editor (Beta)'!$C$82="Swap hero prompt",S370,IF('Paste Editor (Beta)'!$C$82="Anvil prompt",AD370,"")))))))</f>
        <v/>
      </c>
      <c r="AJ370" s="283">
        <f>IF('Paste Editor (Beta)'!$C$90="Level-up prompt",G371,IF('Paste Editor (Beta)'!$C$90="Item prompt",E371,IF('Paste Editor (Beta)'!$C$90="Modifier prompt","'"&amp;B371,IF('Paste Editor (Beta)'!$C$90="Challenge prompt",L371,IF('Paste Editor (Beta)'!$C$90="Reroll class prompt",S370,IF('Paste Editor (Beta)'!$C$90="Swap hero prompt",S370,IF('Paste Editor (Beta)'!$C$90="Anvil prompt",AD370,"")))))))</f>
        <v>0</v>
      </c>
      <c r="AK370" s="283">
        <f>IF('Paste Editor (Beta)'!$C$90="Level-up prompt",G371,IF('Paste Editor (Beta)'!$C$90="Item prompt",E371,IF('Paste Editor (Beta)'!$C$90="Modifier prompt","'"&amp;B371,IF('Paste Editor (Beta)'!$C$90="Challenge prompt",E371,IF('Paste Editor (Beta)'!$C$90="Reroll class prompt",S370,IF('Paste Editor (Beta)'!$C$90="Swap hero prompt",S370,IF('Paste Editor (Beta)'!$C$90="Anvil prompt",AD370,"")))))))</f>
        <v>0</v>
      </c>
    </row>
    <row r="371" spans="2:37" ht="17.25">
      <c r="B371" s="284" t="s">
        <v>3216</v>
      </c>
      <c r="C371" s="284" t="s">
        <v>3216</v>
      </c>
      <c r="D371" s="284" t="s">
        <v>3216</v>
      </c>
      <c r="AH371" s="280" t="str">
        <f>IF('Paste Editor (Beta)'!$C$82="Level-up prompt",G372,IF('Paste Editor (Beta)'!$C$82="Item prompt",E372,IF('Paste Editor (Beta)'!$C$82="Modifier prompt","'"&amp;B372,IF('Paste Editor (Beta)'!$C$82="Challenge prompt",L372,IF('Paste Editor (Beta)'!$C$82="Reroll class prompt",S371,IF('Paste Editor (Beta)'!$C$82="Swap hero prompt",S371,IF('Paste Editor (Beta)'!$C$82="Anvil prompt",AD371,"")))))))</f>
        <v/>
      </c>
      <c r="AI371" s="280" t="str">
        <f>IF('Paste Editor (Beta)'!$C$82="Level-up prompt",G372,IF('Paste Editor (Beta)'!$C$82="Item prompt",E372,IF('Paste Editor (Beta)'!$C$82="Modifier prompt","'"&amp;B372,IF('Paste Editor (Beta)'!$C$82="Challenge prompt",E372,IF('Paste Editor (Beta)'!$C$82="Reroll class prompt",S371,IF('Paste Editor (Beta)'!$C$82="Swap hero prompt",S371,IF('Paste Editor (Beta)'!$C$82="Anvil prompt",AD371,"")))))))</f>
        <v/>
      </c>
      <c r="AJ371" s="283">
        <f>IF('Paste Editor (Beta)'!$C$90="Level-up prompt",G372,IF('Paste Editor (Beta)'!$C$90="Item prompt",E372,IF('Paste Editor (Beta)'!$C$90="Modifier prompt","'"&amp;B372,IF('Paste Editor (Beta)'!$C$90="Challenge prompt",L372,IF('Paste Editor (Beta)'!$C$90="Reroll class prompt",S371,IF('Paste Editor (Beta)'!$C$90="Swap hero prompt",S371,IF('Paste Editor (Beta)'!$C$90="Anvil prompt",AD371,"")))))))</f>
        <v>0</v>
      </c>
      <c r="AK371" s="283">
        <f>IF('Paste Editor (Beta)'!$C$90="Level-up prompt",G372,IF('Paste Editor (Beta)'!$C$90="Item prompt",E372,IF('Paste Editor (Beta)'!$C$90="Modifier prompt","'"&amp;B372,IF('Paste Editor (Beta)'!$C$90="Challenge prompt",E372,IF('Paste Editor (Beta)'!$C$90="Reroll class prompt",S371,IF('Paste Editor (Beta)'!$C$90="Swap hero prompt",S371,IF('Paste Editor (Beta)'!$C$90="Anvil prompt",AD371,"")))))))</f>
        <v>0</v>
      </c>
    </row>
    <row r="372" spans="2:37" ht="17.25">
      <c r="B372" s="284" t="s">
        <v>3614</v>
      </c>
      <c r="C372" s="284" t="s">
        <v>3614</v>
      </c>
      <c r="D372" s="284" t="s">
        <v>3614</v>
      </c>
      <c r="AH372" s="280" t="str">
        <f>IF('Paste Editor (Beta)'!$C$82="Level-up prompt",G373,IF('Paste Editor (Beta)'!$C$82="Item prompt",E373,IF('Paste Editor (Beta)'!$C$82="Modifier prompt","'"&amp;B373,IF('Paste Editor (Beta)'!$C$82="Challenge prompt",L373,IF('Paste Editor (Beta)'!$C$82="Reroll class prompt",S372,IF('Paste Editor (Beta)'!$C$82="Swap hero prompt",S372,IF('Paste Editor (Beta)'!$C$82="Anvil prompt",AD372,"")))))))</f>
        <v/>
      </c>
      <c r="AI372" s="280" t="str">
        <f>IF('Paste Editor (Beta)'!$C$82="Level-up prompt",G373,IF('Paste Editor (Beta)'!$C$82="Item prompt",E373,IF('Paste Editor (Beta)'!$C$82="Modifier prompt","'"&amp;B373,IF('Paste Editor (Beta)'!$C$82="Challenge prompt",E373,IF('Paste Editor (Beta)'!$C$82="Reroll class prompt",S372,IF('Paste Editor (Beta)'!$C$82="Swap hero prompt",S372,IF('Paste Editor (Beta)'!$C$82="Anvil prompt",AD372,"")))))))</f>
        <v/>
      </c>
      <c r="AJ372" s="283">
        <f>IF('Paste Editor (Beta)'!$C$90="Level-up prompt",G373,IF('Paste Editor (Beta)'!$C$90="Item prompt",E373,IF('Paste Editor (Beta)'!$C$90="Modifier prompt","'"&amp;B373,IF('Paste Editor (Beta)'!$C$90="Challenge prompt",L373,IF('Paste Editor (Beta)'!$C$90="Reroll class prompt",S372,IF('Paste Editor (Beta)'!$C$90="Swap hero prompt",S372,IF('Paste Editor (Beta)'!$C$90="Anvil prompt",AD372,"")))))))</f>
        <v>0</v>
      </c>
      <c r="AK372" s="283">
        <f>IF('Paste Editor (Beta)'!$C$90="Level-up prompt",G373,IF('Paste Editor (Beta)'!$C$90="Item prompt",E373,IF('Paste Editor (Beta)'!$C$90="Modifier prompt","'"&amp;B373,IF('Paste Editor (Beta)'!$C$90="Challenge prompt",E373,IF('Paste Editor (Beta)'!$C$90="Reroll class prompt",S372,IF('Paste Editor (Beta)'!$C$90="Swap hero prompt",S372,IF('Paste Editor (Beta)'!$C$90="Anvil prompt",AD372,"")))))))</f>
        <v>0</v>
      </c>
    </row>
    <row r="373" spans="2:37" ht="17.25">
      <c r="B373" s="284" t="s">
        <v>3348</v>
      </c>
      <c r="C373" s="284" t="s">
        <v>3348</v>
      </c>
      <c r="D373" s="284" t="s">
        <v>3348</v>
      </c>
      <c r="AH373" s="280" t="str">
        <f>IF('Paste Editor (Beta)'!$C$82="Level-up prompt",G374,IF('Paste Editor (Beta)'!$C$82="Item prompt",E374,IF('Paste Editor (Beta)'!$C$82="Modifier prompt","'"&amp;B374,IF('Paste Editor (Beta)'!$C$82="Challenge prompt",L374,IF('Paste Editor (Beta)'!$C$82="Reroll class prompt",S373,IF('Paste Editor (Beta)'!$C$82="Swap hero prompt",S373,IF('Paste Editor (Beta)'!$C$82="Anvil prompt",AD373,"")))))))</f>
        <v/>
      </c>
      <c r="AI373" s="280" t="str">
        <f>IF('Paste Editor (Beta)'!$C$82="Level-up prompt",G374,IF('Paste Editor (Beta)'!$C$82="Item prompt",E374,IF('Paste Editor (Beta)'!$C$82="Modifier prompt","'"&amp;B374,IF('Paste Editor (Beta)'!$C$82="Challenge prompt",E374,IF('Paste Editor (Beta)'!$C$82="Reroll class prompt",S373,IF('Paste Editor (Beta)'!$C$82="Swap hero prompt",S373,IF('Paste Editor (Beta)'!$C$82="Anvil prompt",AD373,"")))))))</f>
        <v/>
      </c>
      <c r="AJ373" s="283">
        <f>IF('Paste Editor (Beta)'!$C$90="Level-up prompt",G374,IF('Paste Editor (Beta)'!$C$90="Item prompt",E374,IF('Paste Editor (Beta)'!$C$90="Modifier prompt","'"&amp;B374,IF('Paste Editor (Beta)'!$C$90="Challenge prompt",L374,IF('Paste Editor (Beta)'!$C$90="Reroll class prompt",S373,IF('Paste Editor (Beta)'!$C$90="Swap hero prompt",S373,IF('Paste Editor (Beta)'!$C$90="Anvil prompt",AD373,"")))))))</f>
        <v>0</v>
      </c>
      <c r="AK373" s="283">
        <f>IF('Paste Editor (Beta)'!$C$90="Level-up prompt",G374,IF('Paste Editor (Beta)'!$C$90="Item prompt",E374,IF('Paste Editor (Beta)'!$C$90="Modifier prompt","'"&amp;B374,IF('Paste Editor (Beta)'!$C$90="Challenge prompt",E374,IF('Paste Editor (Beta)'!$C$90="Reroll class prompt",S373,IF('Paste Editor (Beta)'!$C$90="Swap hero prompt",S373,IF('Paste Editor (Beta)'!$C$90="Anvil prompt",AD373,"")))))))</f>
        <v>0</v>
      </c>
    </row>
    <row r="374" spans="2:37" ht="17.25">
      <c r="B374" s="284" t="s">
        <v>3638</v>
      </c>
      <c r="C374" s="284" t="s">
        <v>3638</v>
      </c>
      <c r="D374" s="284" t="s">
        <v>3638</v>
      </c>
      <c r="AH374" s="280" t="str">
        <f>IF('Paste Editor (Beta)'!$C$82="Level-up prompt",G375,IF('Paste Editor (Beta)'!$C$82="Item prompt",E375,IF('Paste Editor (Beta)'!$C$82="Modifier prompt","'"&amp;B375,IF('Paste Editor (Beta)'!$C$82="Challenge prompt",L375,IF('Paste Editor (Beta)'!$C$82="Reroll class prompt",S374,IF('Paste Editor (Beta)'!$C$82="Swap hero prompt",S374,IF('Paste Editor (Beta)'!$C$82="Anvil prompt",AD374,"")))))))</f>
        <v/>
      </c>
      <c r="AI374" s="280" t="str">
        <f>IF('Paste Editor (Beta)'!$C$82="Level-up prompt",G375,IF('Paste Editor (Beta)'!$C$82="Item prompt",E375,IF('Paste Editor (Beta)'!$C$82="Modifier prompt","'"&amp;B375,IF('Paste Editor (Beta)'!$C$82="Challenge prompt",E375,IF('Paste Editor (Beta)'!$C$82="Reroll class prompt",S374,IF('Paste Editor (Beta)'!$C$82="Swap hero prompt",S374,IF('Paste Editor (Beta)'!$C$82="Anvil prompt",AD374,"")))))))</f>
        <v/>
      </c>
      <c r="AJ374" s="283">
        <f>IF('Paste Editor (Beta)'!$C$90="Level-up prompt",G375,IF('Paste Editor (Beta)'!$C$90="Item prompt",E375,IF('Paste Editor (Beta)'!$C$90="Modifier prompt","'"&amp;B375,IF('Paste Editor (Beta)'!$C$90="Challenge prompt",L375,IF('Paste Editor (Beta)'!$C$90="Reroll class prompt",S374,IF('Paste Editor (Beta)'!$C$90="Swap hero prompt",S374,IF('Paste Editor (Beta)'!$C$90="Anvil prompt",AD374,"")))))))</f>
        <v>0</v>
      </c>
      <c r="AK374" s="283">
        <f>IF('Paste Editor (Beta)'!$C$90="Level-up prompt",G375,IF('Paste Editor (Beta)'!$C$90="Item prompt",E375,IF('Paste Editor (Beta)'!$C$90="Modifier prompt","'"&amp;B375,IF('Paste Editor (Beta)'!$C$90="Challenge prompt",E375,IF('Paste Editor (Beta)'!$C$90="Reroll class prompt",S374,IF('Paste Editor (Beta)'!$C$90="Swap hero prompt",S374,IF('Paste Editor (Beta)'!$C$90="Anvil prompt",AD374,"")))))))</f>
        <v>0</v>
      </c>
    </row>
    <row r="375" spans="2:37" ht="17.25">
      <c r="B375" s="284" t="s">
        <v>3160</v>
      </c>
      <c r="C375" s="284" t="s">
        <v>3160</v>
      </c>
      <c r="D375" s="284" t="s">
        <v>3160</v>
      </c>
      <c r="AH375" s="280" t="str">
        <f>IF('Paste Editor (Beta)'!$C$82="Level-up prompt",G376,IF('Paste Editor (Beta)'!$C$82="Item prompt",E376,IF('Paste Editor (Beta)'!$C$82="Modifier prompt","'"&amp;B376,IF('Paste Editor (Beta)'!$C$82="Challenge prompt",L376,IF('Paste Editor (Beta)'!$C$82="Reroll class prompt",S375,IF('Paste Editor (Beta)'!$C$82="Swap hero prompt",S375,IF('Paste Editor (Beta)'!$C$82="Anvil prompt",AD375,"")))))))</f>
        <v/>
      </c>
      <c r="AI375" s="280" t="str">
        <f>IF('Paste Editor (Beta)'!$C$82="Level-up prompt",G376,IF('Paste Editor (Beta)'!$C$82="Item prompt",E376,IF('Paste Editor (Beta)'!$C$82="Modifier prompt","'"&amp;B376,IF('Paste Editor (Beta)'!$C$82="Challenge prompt",E376,IF('Paste Editor (Beta)'!$C$82="Reroll class prompt",S375,IF('Paste Editor (Beta)'!$C$82="Swap hero prompt",S375,IF('Paste Editor (Beta)'!$C$82="Anvil prompt",AD375,"")))))))</f>
        <v/>
      </c>
      <c r="AJ375" s="283">
        <f>IF('Paste Editor (Beta)'!$C$90="Level-up prompt",G376,IF('Paste Editor (Beta)'!$C$90="Item prompt",E376,IF('Paste Editor (Beta)'!$C$90="Modifier prompt","'"&amp;B376,IF('Paste Editor (Beta)'!$C$90="Challenge prompt",L376,IF('Paste Editor (Beta)'!$C$90="Reroll class prompt",S375,IF('Paste Editor (Beta)'!$C$90="Swap hero prompt",S375,IF('Paste Editor (Beta)'!$C$90="Anvil prompt",AD375,"")))))))</f>
        <v>0</v>
      </c>
      <c r="AK375" s="283">
        <f>IF('Paste Editor (Beta)'!$C$90="Level-up prompt",G376,IF('Paste Editor (Beta)'!$C$90="Item prompt",E376,IF('Paste Editor (Beta)'!$C$90="Modifier prompt","'"&amp;B376,IF('Paste Editor (Beta)'!$C$90="Challenge prompt",E376,IF('Paste Editor (Beta)'!$C$90="Reroll class prompt",S375,IF('Paste Editor (Beta)'!$C$90="Swap hero prompt",S375,IF('Paste Editor (Beta)'!$C$90="Anvil prompt",AD375,"")))))))</f>
        <v>0</v>
      </c>
    </row>
    <row r="376" spans="2:37" ht="17.25">
      <c r="B376" s="284" t="s">
        <v>3308</v>
      </c>
      <c r="C376" s="284" t="s">
        <v>3308</v>
      </c>
      <c r="D376" s="284" t="s">
        <v>3308</v>
      </c>
      <c r="AH376" s="280" t="str">
        <f>IF('Paste Editor (Beta)'!$C$82="Level-up prompt",G377,IF('Paste Editor (Beta)'!$C$82="Item prompt",E377,IF('Paste Editor (Beta)'!$C$82="Modifier prompt","'"&amp;B377,IF('Paste Editor (Beta)'!$C$82="Challenge prompt",L377,IF('Paste Editor (Beta)'!$C$82="Reroll class prompt",S376,IF('Paste Editor (Beta)'!$C$82="Swap hero prompt",S376,IF('Paste Editor (Beta)'!$C$82="Anvil prompt",AD376,"")))))))</f>
        <v/>
      </c>
      <c r="AI376" s="280" t="str">
        <f>IF('Paste Editor (Beta)'!$C$82="Level-up prompt",G377,IF('Paste Editor (Beta)'!$C$82="Item prompt",E377,IF('Paste Editor (Beta)'!$C$82="Modifier prompt","'"&amp;B377,IF('Paste Editor (Beta)'!$C$82="Challenge prompt",E377,IF('Paste Editor (Beta)'!$C$82="Reroll class prompt",S376,IF('Paste Editor (Beta)'!$C$82="Swap hero prompt",S376,IF('Paste Editor (Beta)'!$C$82="Anvil prompt",AD376,"")))))))</f>
        <v/>
      </c>
      <c r="AJ376" s="283">
        <f>IF('Paste Editor (Beta)'!$C$90="Level-up prompt",G377,IF('Paste Editor (Beta)'!$C$90="Item prompt",E377,IF('Paste Editor (Beta)'!$C$90="Modifier prompt","'"&amp;B377,IF('Paste Editor (Beta)'!$C$90="Challenge prompt",L377,IF('Paste Editor (Beta)'!$C$90="Reroll class prompt",S376,IF('Paste Editor (Beta)'!$C$90="Swap hero prompt",S376,IF('Paste Editor (Beta)'!$C$90="Anvil prompt",AD376,"")))))))</f>
        <v>0</v>
      </c>
      <c r="AK376" s="283">
        <f>IF('Paste Editor (Beta)'!$C$90="Level-up prompt",G377,IF('Paste Editor (Beta)'!$C$90="Item prompt",E377,IF('Paste Editor (Beta)'!$C$90="Modifier prompt","'"&amp;B377,IF('Paste Editor (Beta)'!$C$90="Challenge prompt",E377,IF('Paste Editor (Beta)'!$C$90="Reroll class prompt",S376,IF('Paste Editor (Beta)'!$C$90="Swap hero prompt",S376,IF('Paste Editor (Beta)'!$C$90="Anvil prompt",AD376,"")))))))</f>
        <v>0</v>
      </c>
    </row>
    <row r="377" spans="2:37" ht="17.25">
      <c r="B377" s="284" t="s">
        <v>3170</v>
      </c>
      <c r="C377" s="284" t="s">
        <v>3170</v>
      </c>
      <c r="D377" s="284" t="s">
        <v>3170</v>
      </c>
      <c r="AH377" s="280" t="str">
        <f>IF('Paste Editor (Beta)'!$C$82="Level-up prompt",G378,IF('Paste Editor (Beta)'!$C$82="Item prompt",E378,IF('Paste Editor (Beta)'!$C$82="Modifier prompt","'"&amp;B378,IF('Paste Editor (Beta)'!$C$82="Challenge prompt",L378,IF('Paste Editor (Beta)'!$C$82="Reroll class prompt",S377,IF('Paste Editor (Beta)'!$C$82="Swap hero prompt",S377,IF('Paste Editor (Beta)'!$C$82="Anvil prompt",AD377,"")))))))</f>
        <v/>
      </c>
      <c r="AI377" s="280" t="str">
        <f>IF('Paste Editor (Beta)'!$C$82="Level-up prompt",G378,IF('Paste Editor (Beta)'!$C$82="Item prompt",E378,IF('Paste Editor (Beta)'!$C$82="Modifier prompt","'"&amp;B378,IF('Paste Editor (Beta)'!$C$82="Challenge prompt",E378,IF('Paste Editor (Beta)'!$C$82="Reroll class prompt",S377,IF('Paste Editor (Beta)'!$C$82="Swap hero prompt",S377,IF('Paste Editor (Beta)'!$C$82="Anvil prompt",AD377,"")))))))</f>
        <v/>
      </c>
      <c r="AJ377" s="283">
        <f>IF('Paste Editor (Beta)'!$C$90="Level-up prompt",G378,IF('Paste Editor (Beta)'!$C$90="Item prompt",E378,IF('Paste Editor (Beta)'!$C$90="Modifier prompt","'"&amp;B378,IF('Paste Editor (Beta)'!$C$90="Challenge prompt",L378,IF('Paste Editor (Beta)'!$C$90="Reroll class prompt",S377,IF('Paste Editor (Beta)'!$C$90="Swap hero prompt",S377,IF('Paste Editor (Beta)'!$C$90="Anvil prompt",AD377,"")))))))</f>
        <v>0</v>
      </c>
      <c r="AK377" s="283">
        <f>IF('Paste Editor (Beta)'!$C$90="Level-up prompt",G378,IF('Paste Editor (Beta)'!$C$90="Item prompt",E378,IF('Paste Editor (Beta)'!$C$90="Modifier prompt","'"&amp;B378,IF('Paste Editor (Beta)'!$C$90="Challenge prompt",E378,IF('Paste Editor (Beta)'!$C$90="Reroll class prompt",S377,IF('Paste Editor (Beta)'!$C$90="Swap hero prompt",S377,IF('Paste Editor (Beta)'!$C$90="Anvil prompt",AD377,"")))))))</f>
        <v>0</v>
      </c>
    </row>
    <row r="378" spans="2:37" ht="17.25">
      <c r="B378" s="284" t="s">
        <v>3112</v>
      </c>
      <c r="C378" s="284" t="s">
        <v>3112</v>
      </c>
      <c r="D378" s="284" t="s">
        <v>3112</v>
      </c>
      <c r="AH378" s="280" t="str">
        <f>IF('Paste Editor (Beta)'!$C$82="Level-up prompt",G379,IF('Paste Editor (Beta)'!$C$82="Item prompt",E379,IF('Paste Editor (Beta)'!$C$82="Modifier prompt","'"&amp;B379,IF('Paste Editor (Beta)'!$C$82="Challenge prompt",L379,IF('Paste Editor (Beta)'!$C$82="Reroll class prompt",S378,IF('Paste Editor (Beta)'!$C$82="Swap hero prompt",S378,IF('Paste Editor (Beta)'!$C$82="Anvil prompt",AD378,"")))))))</f>
        <v/>
      </c>
      <c r="AI378" s="280" t="str">
        <f>IF('Paste Editor (Beta)'!$C$82="Level-up prompt",G379,IF('Paste Editor (Beta)'!$C$82="Item prompt",E379,IF('Paste Editor (Beta)'!$C$82="Modifier prompt","'"&amp;B379,IF('Paste Editor (Beta)'!$C$82="Challenge prompt",E379,IF('Paste Editor (Beta)'!$C$82="Reroll class prompt",S378,IF('Paste Editor (Beta)'!$C$82="Swap hero prompt",S378,IF('Paste Editor (Beta)'!$C$82="Anvil prompt",AD378,"")))))))</f>
        <v/>
      </c>
      <c r="AJ378" s="283">
        <f>IF('Paste Editor (Beta)'!$C$90="Level-up prompt",G379,IF('Paste Editor (Beta)'!$C$90="Item prompt",E379,IF('Paste Editor (Beta)'!$C$90="Modifier prompt","'"&amp;B379,IF('Paste Editor (Beta)'!$C$90="Challenge prompt",L379,IF('Paste Editor (Beta)'!$C$90="Reroll class prompt",S378,IF('Paste Editor (Beta)'!$C$90="Swap hero prompt",S378,IF('Paste Editor (Beta)'!$C$90="Anvil prompt",AD378,"")))))))</f>
        <v>0</v>
      </c>
      <c r="AK378" s="283">
        <f>IF('Paste Editor (Beta)'!$C$90="Level-up prompt",G379,IF('Paste Editor (Beta)'!$C$90="Item prompt",E379,IF('Paste Editor (Beta)'!$C$90="Modifier prompt","'"&amp;B379,IF('Paste Editor (Beta)'!$C$90="Challenge prompt",E379,IF('Paste Editor (Beta)'!$C$90="Reroll class prompt",S378,IF('Paste Editor (Beta)'!$C$90="Swap hero prompt",S378,IF('Paste Editor (Beta)'!$C$90="Anvil prompt",AD378,"")))))))</f>
        <v>0</v>
      </c>
    </row>
    <row r="379" spans="2:37" ht="17.25">
      <c r="B379" s="284" t="s">
        <v>3510</v>
      </c>
      <c r="C379" s="284" t="s">
        <v>3510</v>
      </c>
      <c r="D379" s="284" t="s">
        <v>3510</v>
      </c>
      <c r="AH379" s="280" t="str">
        <f>IF('Paste Editor (Beta)'!$C$82="Level-up prompt",G380,IF('Paste Editor (Beta)'!$C$82="Item prompt",E380,IF('Paste Editor (Beta)'!$C$82="Modifier prompt","'"&amp;B380,IF('Paste Editor (Beta)'!$C$82="Challenge prompt",L380,IF('Paste Editor (Beta)'!$C$82="Reroll class prompt",S379,IF('Paste Editor (Beta)'!$C$82="Swap hero prompt",S379,IF('Paste Editor (Beta)'!$C$82="Anvil prompt",AD379,"")))))))</f>
        <v/>
      </c>
      <c r="AI379" s="280" t="str">
        <f>IF('Paste Editor (Beta)'!$C$82="Level-up prompt",G380,IF('Paste Editor (Beta)'!$C$82="Item prompt",E380,IF('Paste Editor (Beta)'!$C$82="Modifier prompt","'"&amp;B380,IF('Paste Editor (Beta)'!$C$82="Challenge prompt",E380,IF('Paste Editor (Beta)'!$C$82="Reroll class prompt",S379,IF('Paste Editor (Beta)'!$C$82="Swap hero prompt",S379,IF('Paste Editor (Beta)'!$C$82="Anvil prompt",AD379,"")))))))</f>
        <v/>
      </c>
      <c r="AJ379" s="283">
        <f>IF('Paste Editor (Beta)'!$C$90="Level-up prompt",G380,IF('Paste Editor (Beta)'!$C$90="Item prompt",E380,IF('Paste Editor (Beta)'!$C$90="Modifier prompt","'"&amp;B380,IF('Paste Editor (Beta)'!$C$90="Challenge prompt",L380,IF('Paste Editor (Beta)'!$C$90="Reroll class prompt",S379,IF('Paste Editor (Beta)'!$C$90="Swap hero prompt",S379,IF('Paste Editor (Beta)'!$C$90="Anvil prompt",AD379,"")))))))</f>
        <v>0</v>
      </c>
      <c r="AK379" s="283">
        <f>IF('Paste Editor (Beta)'!$C$90="Level-up prompt",G380,IF('Paste Editor (Beta)'!$C$90="Item prompt",E380,IF('Paste Editor (Beta)'!$C$90="Modifier prompt","'"&amp;B380,IF('Paste Editor (Beta)'!$C$90="Challenge prompt",E380,IF('Paste Editor (Beta)'!$C$90="Reroll class prompt",S379,IF('Paste Editor (Beta)'!$C$90="Swap hero prompt",S379,IF('Paste Editor (Beta)'!$C$90="Anvil prompt",AD379,"")))))))</f>
        <v>0</v>
      </c>
    </row>
    <row r="380" spans="2:37" ht="17.25">
      <c r="B380" s="284" t="s">
        <v>3162</v>
      </c>
      <c r="C380" s="284" t="s">
        <v>3162</v>
      </c>
      <c r="D380" s="284" t="s">
        <v>3162</v>
      </c>
      <c r="AH380" s="280" t="str">
        <f>IF('Paste Editor (Beta)'!$C$82="Level-up prompt",G381,IF('Paste Editor (Beta)'!$C$82="Item prompt",E381,IF('Paste Editor (Beta)'!$C$82="Modifier prompt","'"&amp;B381,IF('Paste Editor (Beta)'!$C$82="Challenge prompt",L381,IF('Paste Editor (Beta)'!$C$82="Reroll class prompt",S380,IF('Paste Editor (Beta)'!$C$82="Swap hero prompt",S380,IF('Paste Editor (Beta)'!$C$82="Anvil prompt",AD380,"")))))))</f>
        <v/>
      </c>
      <c r="AI380" s="280" t="str">
        <f>IF('Paste Editor (Beta)'!$C$82="Level-up prompt",G381,IF('Paste Editor (Beta)'!$C$82="Item prompt",E381,IF('Paste Editor (Beta)'!$C$82="Modifier prompt","'"&amp;B381,IF('Paste Editor (Beta)'!$C$82="Challenge prompt",E381,IF('Paste Editor (Beta)'!$C$82="Reroll class prompt",S380,IF('Paste Editor (Beta)'!$C$82="Swap hero prompt",S380,IF('Paste Editor (Beta)'!$C$82="Anvil prompt",AD380,"")))))))</f>
        <v/>
      </c>
      <c r="AJ380" s="283">
        <f>IF('Paste Editor (Beta)'!$C$90="Level-up prompt",G381,IF('Paste Editor (Beta)'!$C$90="Item prompt",E381,IF('Paste Editor (Beta)'!$C$90="Modifier prompt","'"&amp;B381,IF('Paste Editor (Beta)'!$C$90="Challenge prompt",L381,IF('Paste Editor (Beta)'!$C$90="Reroll class prompt",S380,IF('Paste Editor (Beta)'!$C$90="Swap hero prompt",S380,IF('Paste Editor (Beta)'!$C$90="Anvil prompt",AD380,"")))))))</f>
        <v>0</v>
      </c>
      <c r="AK380" s="283">
        <f>IF('Paste Editor (Beta)'!$C$90="Level-up prompt",G381,IF('Paste Editor (Beta)'!$C$90="Item prompt",E381,IF('Paste Editor (Beta)'!$C$90="Modifier prompt","'"&amp;B381,IF('Paste Editor (Beta)'!$C$90="Challenge prompt",E381,IF('Paste Editor (Beta)'!$C$90="Reroll class prompt",S380,IF('Paste Editor (Beta)'!$C$90="Swap hero prompt",S380,IF('Paste Editor (Beta)'!$C$90="Anvil prompt",AD380,"")))))))</f>
        <v>0</v>
      </c>
    </row>
    <row r="381" spans="2:37" ht="17.25">
      <c r="B381" s="284" t="s">
        <v>3130</v>
      </c>
      <c r="C381" s="284" t="s">
        <v>3130</v>
      </c>
      <c r="D381" s="284" t="s">
        <v>3130</v>
      </c>
      <c r="AH381" s="280" t="str">
        <f>IF('Paste Editor (Beta)'!$C$82="Level-up prompt",G382,IF('Paste Editor (Beta)'!$C$82="Item prompt",E382,IF('Paste Editor (Beta)'!$C$82="Modifier prompt","'"&amp;B382,IF('Paste Editor (Beta)'!$C$82="Challenge prompt",L382,IF('Paste Editor (Beta)'!$C$82="Reroll class prompt",S381,IF('Paste Editor (Beta)'!$C$82="Swap hero prompt",S381,IF('Paste Editor (Beta)'!$C$82="Anvil prompt",AD381,"")))))))</f>
        <v/>
      </c>
      <c r="AI381" s="280" t="str">
        <f>IF('Paste Editor (Beta)'!$C$82="Level-up prompt",G382,IF('Paste Editor (Beta)'!$C$82="Item prompt",E382,IF('Paste Editor (Beta)'!$C$82="Modifier prompt","'"&amp;B382,IF('Paste Editor (Beta)'!$C$82="Challenge prompt",E382,IF('Paste Editor (Beta)'!$C$82="Reroll class prompt",S381,IF('Paste Editor (Beta)'!$C$82="Swap hero prompt",S381,IF('Paste Editor (Beta)'!$C$82="Anvil prompt",AD381,"")))))))</f>
        <v/>
      </c>
      <c r="AJ381" s="283">
        <f>IF('Paste Editor (Beta)'!$C$90="Level-up prompt",G382,IF('Paste Editor (Beta)'!$C$90="Item prompt",E382,IF('Paste Editor (Beta)'!$C$90="Modifier prompt","'"&amp;B382,IF('Paste Editor (Beta)'!$C$90="Challenge prompt",L382,IF('Paste Editor (Beta)'!$C$90="Reroll class prompt",S381,IF('Paste Editor (Beta)'!$C$90="Swap hero prompt",S381,IF('Paste Editor (Beta)'!$C$90="Anvil prompt",AD381,"")))))))</f>
        <v>0</v>
      </c>
      <c r="AK381" s="283">
        <f>IF('Paste Editor (Beta)'!$C$90="Level-up prompt",G382,IF('Paste Editor (Beta)'!$C$90="Item prompt",E382,IF('Paste Editor (Beta)'!$C$90="Modifier prompt","'"&amp;B382,IF('Paste Editor (Beta)'!$C$90="Challenge prompt",E382,IF('Paste Editor (Beta)'!$C$90="Reroll class prompt",S381,IF('Paste Editor (Beta)'!$C$90="Swap hero prompt",S381,IF('Paste Editor (Beta)'!$C$90="Anvil prompt",AD381,"")))))))</f>
        <v>0</v>
      </c>
    </row>
    <row r="382" spans="2:37" ht="17.25">
      <c r="B382" s="284" t="s">
        <v>3132</v>
      </c>
      <c r="C382" s="284" t="s">
        <v>3132</v>
      </c>
      <c r="D382" s="284" t="s">
        <v>3132</v>
      </c>
      <c r="AH382" s="280" t="str">
        <f>IF('Paste Editor (Beta)'!$C$82="Level-up prompt",G383,IF('Paste Editor (Beta)'!$C$82="Item prompt",E383,IF('Paste Editor (Beta)'!$C$82="Modifier prompt","'"&amp;B383,IF('Paste Editor (Beta)'!$C$82="Challenge prompt",L383,IF('Paste Editor (Beta)'!$C$82="Reroll class prompt",S382,IF('Paste Editor (Beta)'!$C$82="Swap hero prompt",S382,IF('Paste Editor (Beta)'!$C$82="Anvil prompt",AD382,"")))))))</f>
        <v/>
      </c>
      <c r="AI382" s="280" t="str">
        <f>IF('Paste Editor (Beta)'!$C$82="Level-up prompt",G383,IF('Paste Editor (Beta)'!$C$82="Item prompt",E383,IF('Paste Editor (Beta)'!$C$82="Modifier prompt","'"&amp;B383,IF('Paste Editor (Beta)'!$C$82="Challenge prompt",E383,IF('Paste Editor (Beta)'!$C$82="Reroll class prompt",S382,IF('Paste Editor (Beta)'!$C$82="Swap hero prompt",S382,IF('Paste Editor (Beta)'!$C$82="Anvil prompt",AD382,"")))))))</f>
        <v/>
      </c>
      <c r="AJ382" s="283">
        <f>IF('Paste Editor (Beta)'!$C$90="Level-up prompt",G383,IF('Paste Editor (Beta)'!$C$90="Item prompt",E383,IF('Paste Editor (Beta)'!$C$90="Modifier prompt","'"&amp;B383,IF('Paste Editor (Beta)'!$C$90="Challenge prompt",L383,IF('Paste Editor (Beta)'!$C$90="Reroll class prompt",S382,IF('Paste Editor (Beta)'!$C$90="Swap hero prompt",S382,IF('Paste Editor (Beta)'!$C$90="Anvil prompt",AD382,"")))))))</f>
        <v>0</v>
      </c>
      <c r="AK382" s="283">
        <f>IF('Paste Editor (Beta)'!$C$90="Level-up prompt",G383,IF('Paste Editor (Beta)'!$C$90="Item prompt",E383,IF('Paste Editor (Beta)'!$C$90="Modifier prompt","'"&amp;B383,IF('Paste Editor (Beta)'!$C$90="Challenge prompt",E383,IF('Paste Editor (Beta)'!$C$90="Reroll class prompt",S382,IF('Paste Editor (Beta)'!$C$90="Swap hero prompt",S382,IF('Paste Editor (Beta)'!$C$90="Anvil prompt",AD382,"")))))))</f>
        <v>0</v>
      </c>
    </row>
    <row r="383" spans="2:37" ht="17.25">
      <c r="B383" s="284" t="s">
        <v>3552</v>
      </c>
      <c r="C383" s="284" t="s">
        <v>3552</v>
      </c>
      <c r="D383" s="284" t="s">
        <v>3552</v>
      </c>
      <c r="AH383" s="280" t="str">
        <f>IF('Paste Editor (Beta)'!$C$82="Level-up prompt",G384,IF('Paste Editor (Beta)'!$C$82="Item prompt",E384,IF('Paste Editor (Beta)'!$C$82="Modifier prompt","'"&amp;B384,IF('Paste Editor (Beta)'!$C$82="Challenge prompt",L384,IF('Paste Editor (Beta)'!$C$82="Reroll class prompt",S383,IF('Paste Editor (Beta)'!$C$82="Swap hero prompt",S383,IF('Paste Editor (Beta)'!$C$82="Anvil prompt",AD383,"")))))))</f>
        <v/>
      </c>
      <c r="AI383" s="280" t="str">
        <f>IF('Paste Editor (Beta)'!$C$82="Level-up prompt",G384,IF('Paste Editor (Beta)'!$C$82="Item prompt",E384,IF('Paste Editor (Beta)'!$C$82="Modifier prompt","'"&amp;B384,IF('Paste Editor (Beta)'!$C$82="Challenge prompt",E384,IF('Paste Editor (Beta)'!$C$82="Reroll class prompt",S383,IF('Paste Editor (Beta)'!$C$82="Swap hero prompt",S383,IF('Paste Editor (Beta)'!$C$82="Anvil prompt",AD383,"")))))))</f>
        <v/>
      </c>
      <c r="AJ383" s="283">
        <f>IF('Paste Editor (Beta)'!$C$90="Level-up prompt",G384,IF('Paste Editor (Beta)'!$C$90="Item prompt",E384,IF('Paste Editor (Beta)'!$C$90="Modifier prompt","'"&amp;B384,IF('Paste Editor (Beta)'!$C$90="Challenge prompt",L384,IF('Paste Editor (Beta)'!$C$90="Reroll class prompt",S383,IF('Paste Editor (Beta)'!$C$90="Swap hero prompt",S383,IF('Paste Editor (Beta)'!$C$90="Anvil prompt",AD383,"")))))))</f>
        <v>0</v>
      </c>
      <c r="AK383" s="283">
        <f>IF('Paste Editor (Beta)'!$C$90="Level-up prompt",G384,IF('Paste Editor (Beta)'!$C$90="Item prompt",E384,IF('Paste Editor (Beta)'!$C$90="Modifier prompt","'"&amp;B384,IF('Paste Editor (Beta)'!$C$90="Challenge prompt",E384,IF('Paste Editor (Beta)'!$C$90="Reroll class prompt",S383,IF('Paste Editor (Beta)'!$C$90="Swap hero prompt",S383,IF('Paste Editor (Beta)'!$C$90="Anvil prompt",AD383,"")))))))</f>
        <v>0</v>
      </c>
    </row>
    <row r="384" spans="2:37" ht="17.25">
      <c r="B384" s="284" t="s">
        <v>3418</v>
      </c>
      <c r="C384" s="284" t="s">
        <v>3418</v>
      </c>
      <c r="D384" s="284" t="s">
        <v>3418</v>
      </c>
      <c r="AH384" s="280" t="str">
        <f>IF('Paste Editor (Beta)'!$C$82="Level-up prompt",G385,IF('Paste Editor (Beta)'!$C$82="Item prompt",E385,IF('Paste Editor (Beta)'!$C$82="Modifier prompt","'"&amp;B385,IF('Paste Editor (Beta)'!$C$82="Challenge prompt",L385,IF('Paste Editor (Beta)'!$C$82="Reroll class prompt",S384,IF('Paste Editor (Beta)'!$C$82="Swap hero prompt",S384,IF('Paste Editor (Beta)'!$C$82="Anvil prompt",AD384,"")))))))</f>
        <v/>
      </c>
      <c r="AI384" s="280" t="str">
        <f>IF('Paste Editor (Beta)'!$C$82="Level-up prompt",G385,IF('Paste Editor (Beta)'!$C$82="Item prompt",E385,IF('Paste Editor (Beta)'!$C$82="Modifier prompt","'"&amp;B385,IF('Paste Editor (Beta)'!$C$82="Challenge prompt",E385,IF('Paste Editor (Beta)'!$C$82="Reroll class prompt",S384,IF('Paste Editor (Beta)'!$C$82="Swap hero prompt",S384,IF('Paste Editor (Beta)'!$C$82="Anvil prompt",AD384,"")))))))</f>
        <v/>
      </c>
      <c r="AJ384" s="283">
        <f>IF('Paste Editor (Beta)'!$C$90="Level-up prompt",G385,IF('Paste Editor (Beta)'!$C$90="Item prompt",E385,IF('Paste Editor (Beta)'!$C$90="Modifier prompt","'"&amp;B385,IF('Paste Editor (Beta)'!$C$90="Challenge prompt",L385,IF('Paste Editor (Beta)'!$C$90="Reroll class prompt",S384,IF('Paste Editor (Beta)'!$C$90="Swap hero prompt",S384,IF('Paste Editor (Beta)'!$C$90="Anvil prompt",AD384,"")))))))</f>
        <v>0</v>
      </c>
      <c r="AK384" s="283">
        <f>IF('Paste Editor (Beta)'!$C$90="Level-up prompt",G385,IF('Paste Editor (Beta)'!$C$90="Item prompt",E385,IF('Paste Editor (Beta)'!$C$90="Modifier prompt","'"&amp;B385,IF('Paste Editor (Beta)'!$C$90="Challenge prompt",E385,IF('Paste Editor (Beta)'!$C$90="Reroll class prompt",S384,IF('Paste Editor (Beta)'!$C$90="Swap hero prompt",S384,IF('Paste Editor (Beta)'!$C$90="Anvil prompt",AD384,"")))))))</f>
        <v>0</v>
      </c>
    </row>
    <row r="385" spans="2:37" ht="17.25">
      <c r="B385" s="284" t="s">
        <v>3190</v>
      </c>
      <c r="C385" s="284" t="s">
        <v>3190</v>
      </c>
      <c r="D385" s="284" t="s">
        <v>3190</v>
      </c>
      <c r="AH385" s="280" t="str">
        <f>IF('Paste Editor (Beta)'!$C$82="Level-up prompt",G386,IF('Paste Editor (Beta)'!$C$82="Item prompt",E386,IF('Paste Editor (Beta)'!$C$82="Modifier prompt","'"&amp;B386,IF('Paste Editor (Beta)'!$C$82="Challenge prompt",L386,IF('Paste Editor (Beta)'!$C$82="Reroll class prompt",S385,IF('Paste Editor (Beta)'!$C$82="Swap hero prompt",S385,IF('Paste Editor (Beta)'!$C$82="Anvil prompt",AD385,"")))))))</f>
        <v/>
      </c>
      <c r="AI385" s="280" t="str">
        <f>IF('Paste Editor (Beta)'!$C$82="Level-up prompt",G386,IF('Paste Editor (Beta)'!$C$82="Item prompt",E386,IF('Paste Editor (Beta)'!$C$82="Modifier prompt","'"&amp;B386,IF('Paste Editor (Beta)'!$C$82="Challenge prompt",E386,IF('Paste Editor (Beta)'!$C$82="Reroll class prompt",S385,IF('Paste Editor (Beta)'!$C$82="Swap hero prompt",S385,IF('Paste Editor (Beta)'!$C$82="Anvil prompt",AD385,"")))))))</f>
        <v/>
      </c>
      <c r="AJ385" s="283">
        <f>IF('Paste Editor (Beta)'!$C$90="Level-up prompt",G386,IF('Paste Editor (Beta)'!$C$90="Item prompt",E386,IF('Paste Editor (Beta)'!$C$90="Modifier prompt","'"&amp;B386,IF('Paste Editor (Beta)'!$C$90="Challenge prompt",L386,IF('Paste Editor (Beta)'!$C$90="Reroll class prompt",S385,IF('Paste Editor (Beta)'!$C$90="Swap hero prompt",S385,IF('Paste Editor (Beta)'!$C$90="Anvil prompt",AD385,"")))))))</f>
        <v>0</v>
      </c>
      <c r="AK385" s="283">
        <f>IF('Paste Editor (Beta)'!$C$90="Level-up prompt",G386,IF('Paste Editor (Beta)'!$C$90="Item prompt",E386,IF('Paste Editor (Beta)'!$C$90="Modifier prompt","'"&amp;B386,IF('Paste Editor (Beta)'!$C$90="Challenge prompt",E386,IF('Paste Editor (Beta)'!$C$90="Reroll class prompt",S385,IF('Paste Editor (Beta)'!$C$90="Swap hero prompt",S385,IF('Paste Editor (Beta)'!$C$90="Anvil prompt",AD385,"")))))))</f>
        <v>0</v>
      </c>
    </row>
    <row r="386" spans="2:37" ht="17.25">
      <c r="B386" s="284" t="s">
        <v>3444</v>
      </c>
      <c r="C386" s="284" t="s">
        <v>3444</v>
      </c>
      <c r="D386" s="284" t="s">
        <v>3444</v>
      </c>
      <c r="AH386" s="280" t="str">
        <f>IF('Paste Editor (Beta)'!$C$82="Level-up prompt",G387,IF('Paste Editor (Beta)'!$C$82="Item prompt",E387,IF('Paste Editor (Beta)'!$C$82="Modifier prompt","'"&amp;B387,IF('Paste Editor (Beta)'!$C$82="Challenge prompt",L387,IF('Paste Editor (Beta)'!$C$82="Reroll class prompt",S386,IF('Paste Editor (Beta)'!$C$82="Swap hero prompt",S386,IF('Paste Editor (Beta)'!$C$82="Anvil prompt",AD386,"")))))))</f>
        <v/>
      </c>
      <c r="AI386" s="280" t="str">
        <f>IF('Paste Editor (Beta)'!$C$82="Level-up prompt",G387,IF('Paste Editor (Beta)'!$C$82="Item prompt",E387,IF('Paste Editor (Beta)'!$C$82="Modifier prompt","'"&amp;B387,IF('Paste Editor (Beta)'!$C$82="Challenge prompt",E387,IF('Paste Editor (Beta)'!$C$82="Reroll class prompt",S386,IF('Paste Editor (Beta)'!$C$82="Swap hero prompt",S386,IF('Paste Editor (Beta)'!$C$82="Anvil prompt",AD386,"")))))))</f>
        <v/>
      </c>
      <c r="AJ386" s="283">
        <f>IF('Paste Editor (Beta)'!$C$90="Level-up prompt",G387,IF('Paste Editor (Beta)'!$C$90="Item prompt",E387,IF('Paste Editor (Beta)'!$C$90="Modifier prompt","'"&amp;B387,IF('Paste Editor (Beta)'!$C$90="Challenge prompt",L387,IF('Paste Editor (Beta)'!$C$90="Reroll class prompt",S386,IF('Paste Editor (Beta)'!$C$90="Swap hero prompt",S386,IF('Paste Editor (Beta)'!$C$90="Anvil prompt",AD386,"")))))))</f>
        <v>0</v>
      </c>
      <c r="AK386" s="283">
        <f>IF('Paste Editor (Beta)'!$C$90="Level-up prompt",G387,IF('Paste Editor (Beta)'!$C$90="Item prompt",E387,IF('Paste Editor (Beta)'!$C$90="Modifier prompt","'"&amp;B387,IF('Paste Editor (Beta)'!$C$90="Challenge prompt",E387,IF('Paste Editor (Beta)'!$C$90="Reroll class prompt",S386,IF('Paste Editor (Beta)'!$C$90="Swap hero prompt",S386,IF('Paste Editor (Beta)'!$C$90="Anvil prompt",AD386,"")))))))</f>
        <v>0</v>
      </c>
    </row>
    <row r="387" spans="2:37" ht="17.25">
      <c r="B387" s="284" t="s">
        <v>3456</v>
      </c>
      <c r="C387" s="284" t="s">
        <v>3456</v>
      </c>
      <c r="D387" s="284" t="s">
        <v>3456</v>
      </c>
      <c r="AH387" s="280" t="str">
        <f>IF('Paste Editor (Beta)'!$C$82="Level-up prompt",G388,IF('Paste Editor (Beta)'!$C$82="Item prompt",E388,IF('Paste Editor (Beta)'!$C$82="Modifier prompt","'"&amp;B388,IF('Paste Editor (Beta)'!$C$82="Challenge prompt",L388,IF('Paste Editor (Beta)'!$C$82="Reroll class prompt",S387,IF('Paste Editor (Beta)'!$C$82="Swap hero prompt",S387,IF('Paste Editor (Beta)'!$C$82="Anvil prompt",AD387,"")))))))</f>
        <v/>
      </c>
      <c r="AI387" s="280" t="str">
        <f>IF('Paste Editor (Beta)'!$C$82="Level-up prompt",G388,IF('Paste Editor (Beta)'!$C$82="Item prompt",E388,IF('Paste Editor (Beta)'!$C$82="Modifier prompt","'"&amp;B388,IF('Paste Editor (Beta)'!$C$82="Challenge prompt",E388,IF('Paste Editor (Beta)'!$C$82="Reroll class prompt",S387,IF('Paste Editor (Beta)'!$C$82="Swap hero prompt",S387,IF('Paste Editor (Beta)'!$C$82="Anvil prompt",AD387,"")))))))</f>
        <v/>
      </c>
      <c r="AJ387" s="283">
        <f>IF('Paste Editor (Beta)'!$C$90="Level-up prompt",G388,IF('Paste Editor (Beta)'!$C$90="Item prompt",E388,IF('Paste Editor (Beta)'!$C$90="Modifier prompt","'"&amp;B388,IF('Paste Editor (Beta)'!$C$90="Challenge prompt",L388,IF('Paste Editor (Beta)'!$C$90="Reroll class prompt",S387,IF('Paste Editor (Beta)'!$C$90="Swap hero prompt",S387,IF('Paste Editor (Beta)'!$C$90="Anvil prompt",AD387,"")))))))</f>
        <v>0</v>
      </c>
      <c r="AK387" s="283">
        <f>IF('Paste Editor (Beta)'!$C$90="Level-up prompt",G388,IF('Paste Editor (Beta)'!$C$90="Item prompt",E388,IF('Paste Editor (Beta)'!$C$90="Modifier prompt","'"&amp;B388,IF('Paste Editor (Beta)'!$C$90="Challenge prompt",E388,IF('Paste Editor (Beta)'!$C$90="Reroll class prompt",S387,IF('Paste Editor (Beta)'!$C$90="Swap hero prompt",S387,IF('Paste Editor (Beta)'!$C$90="Anvil prompt",AD387,"")))))))</f>
        <v>0</v>
      </c>
    </row>
    <row r="388" spans="2:37" ht="17.25">
      <c r="B388" s="284" t="s">
        <v>3600</v>
      </c>
      <c r="C388" s="284" t="s">
        <v>3600</v>
      </c>
      <c r="D388" s="284" t="s">
        <v>3600</v>
      </c>
      <c r="AH388" s="280" t="str">
        <f>IF('Paste Editor (Beta)'!$C$82="Level-up prompt",G389,IF('Paste Editor (Beta)'!$C$82="Item prompt",E389,IF('Paste Editor (Beta)'!$C$82="Modifier prompt","'"&amp;B389,IF('Paste Editor (Beta)'!$C$82="Challenge prompt",L389,IF('Paste Editor (Beta)'!$C$82="Reroll class prompt",S388,IF('Paste Editor (Beta)'!$C$82="Swap hero prompt",S388,IF('Paste Editor (Beta)'!$C$82="Anvil prompt",AD388,"")))))))</f>
        <v/>
      </c>
      <c r="AI388" s="280" t="str">
        <f>IF('Paste Editor (Beta)'!$C$82="Level-up prompt",G389,IF('Paste Editor (Beta)'!$C$82="Item prompt",E389,IF('Paste Editor (Beta)'!$C$82="Modifier prompt","'"&amp;B389,IF('Paste Editor (Beta)'!$C$82="Challenge prompt",E389,IF('Paste Editor (Beta)'!$C$82="Reroll class prompt",S388,IF('Paste Editor (Beta)'!$C$82="Swap hero prompt",S388,IF('Paste Editor (Beta)'!$C$82="Anvil prompt",AD388,"")))))))</f>
        <v/>
      </c>
      <c r="AJ388" s="283">
        <f>IF('Paste Editor (Beta)'!$C$90="Level-up prompt",G389,IF('Paste Editor (Beta)'!$C$90="Item prompt",E389,IF('Paste Editor (Beta)'!$C$90="Modifier prompt","'"&amp;B389,IF('Paste Editor (Beta)'!$C$90="Challenge prompt",L389,IF('Paste Editor (Beta)'!$C$90="Reroll class prompt",S388,IF('Paste Editor (Beta)'!$C$90="Swap hero prompt",S388,IF('Paste Editor (Beta)'!$C$90="Anvil prompt",AD388,"")))))))</f>
        <v>0</v>
      </c>
      <c r="AK388" s="283">
        <f>IF('Paste Editor (Beta)'!$C$90="Level-up prompt",G389,IF('Paste Editor (Beta)'!$C$90="Item prompt",E389,IF('Paste Editor (Beta)'!$C$90="Modifier prompt","'"&amp;B389,IF('Paste Editor (Beta)'!$C$90="Challenge prompt",E389,IF('Paste Editor (Beta)'!$C$90="Reroll class prompt",S388,IF('Paste Editor (Beta)'!$C$90="Swap hero prompt",S388,IF('Paste Editor (Beta)'!$C$90="Anvil prompt",AD388,"")))))))</f>
        <v>0</v>
      </c>
    </row>
    <row r="389" spans="2:37" ht="17.25">
      <c r="B389" s="284" t="s">
        <v>3630</v>
      </c>
      <c r="C389" s="284" t="s">
        <v>3630</v>
      </c>
      <c r="D389" s="284" t="s">
        <v>3630</v>
      </c>
      <c r="AH389" s="280" t="str">
        <f>IF('Paste Editor (Beta)'!$C$82="Level-up prompt",G390,IF('Paste Editor (Beta)'!$C$82="Item prompt",E390,IF('Paste Editor (Beta)'!$C$82="Modifier prompt","'"&amp;B390,IF('Paste Editor (Beta)'!$C$82="Challenge prompt",L390,IF('Paste Editor (Beta)'!$C$82="Reroll class prompt",S389,IF('Paste Editor (Beta)'!$C$82="Swap hero prompt",S389,IF('Paste Editor (Beta)'!$C$82="Anvil prompt",AD389,"")))))))</f>
        <v/>
      </c>
      <c r="AI389" s="280" t="str">
        <f>IF('Paste Editor (Beta)'!$C$82="Level-up prompt",G390,IF('Paste Editor (Beta)'!$C$82="Item prompt",E390,IF('Paste Editor (Beta)'!$C$82="Modifier prompt","'"&amp;B390,IF('Paste Editor (Beta)'!$C$82="Challenge prompt",E390,IF('Paste Editor (Beta)'!$C$82="Reroll class prompt",S389,IF('Paste Editor (Beta)'!$C$82="Swap hero prompt",S389,IF('Paste Editor (Beta)'!$C$82="Anvil prompt",AD389,"")))))))</f>
        <v/>
      </c>
      <c r="AJ389" s="283">
        <f>IF('Paste Editor (Beta)'!$C$90="Level-up prompt",G390,IF('Paste Editor (Beta)'!$C$90="Item prompt",E390,IF('Paste Editor (Beta)'!$C$90="Modifier prompt","'"&amp;B390,IF('Paste Editor (Beta)'!$C$90="Challenge prompt",L390,IF('Paste Editor (Beta)'!$C$90="Reroll class prompt",S389,IF('Paste Editor (Beta)'!$C$90="Swap hero prompt",S389,IF('Paste Editor (Beta)'!$C$90="Anvil prompt",AD389,"")))))))</f>
        <v>0</v>
      </c>
      <c r="AK389" s="283">
        <f>IF('Paste Editor (Beta)'!$C$90="Level-up prompt",G390,IF('Paste Editor (Beta)'!$C$90="Item prompt",E390,IF('Paste Editor (Beta)'!$C$90="Modifier prompt","'"&amp;B390,IF('Paste Editor (Beta)'!$C$90="Challenge prompt",E390,IF('Paste Editor (Beta)'!$C$90="Reroll class prompt",S389,IF('Paste Editor (Beta)'!$C$90="Swap hero prompt",S389,IF('Paste Editor (Beta)'!$C$90="Anvil prompt",AD389,"")))))))</f>
        <v>0</v>
      </c>
    </row>
    <row r="390" spans="2:37" ht="17.25">
      <c r="B390" s="284" t="s">
        <v>3188</v>
      </c>
      <c r="C390" s="284" t="s">
        <v>3188</v>
      </c>
      <c r="D390" s="284" t="s">
        <v>3188</v>
      </c>
      <c r="AH390" s="280" t="str">
        <f>IF('Paste Editor (Beta)'!$C$82="Level-up prompt",G391,IF('Paste Editor (Beta)'!$C$82="Item prompt",E391,IF('Paste Editor (Beta)'!$C$82="Modifier prompt","'"&amp;B391,IF('Paste Editor (Beta)'!$C$82="Challenge prompt",L391,IF('Paste Editor (Beta)'!$C$82="Reroll class prompt",S390,IF('Paste Editor (Beta)'!$C$82="Swap hero prompt",S390,IF('Paste Editor (Beta)'!$C$82="Anvil prompt",AD390,"")))))))</f>
        <v/>
      </c>
      <c r="AI390" s="280" t="str">
        <f>IF('Paste Editor (Beta)'!$C$82="Level-up prompt",G391,IF('Paste Editor (Beta)'!$C$82="Item prompt",E391,IF('Paste Editor (Beta)'!$C$82="Modifier prompt","'"&amp;B391,IF('Paste Editor (Beta)'!$C$82="Challenge prompt",E391,IF('Paste Editor (Beta)'!$C$82="Reroll class prompt",S390,IF('Paste Editor (Beta)'!$C$82="Swap hero prompt",S390,IF('Paste Editor (Beta)'!$C$82="Anvil prompt",AD390,"")))))))</f>
        <v/>
      </c>
      <c r="AJ390" s="283">
        <f>IF('Paste Editor (Beta)'!$C$90="Level-up prompt",G391,IF('Paste Editor (Beta)'!$C$90="Item prompt",E391,IF('Paste Editor (Beta)'!$C$90="Modifier prompt","'"&amp;B391,IF('Paste Editor (Beta)'!$C$90="Challenge prompt",L391,IF('Paste Editor (Beta)'!$C$90="Reroll class prompt",S390,IF('Paste Editor (Beta)'!$C$90="Swap hero prompt",S390,IF('Paste Editor (Beta)'!$C$90="Anvil prompt",AD390,"")))))))</f>
        <v>0</v>
      </c>
      <c r="AK390" s="283">
        <f>IF('Paste Editor (Beta)'!$C$90="Level-up prompt",G391,IF('Paste Editor (Beta)'!$C$90="Item prompt",E391,IF('Paste Editor (Beta)'!$C$90="Modifier prompt","'"&amp;B391,IF('Paste Editor (Beta)'!$C$90="Challenge prompt",E391,IF('Paste Editor (Beta)'!$C$90="Reroll class prompt",S390,IF('Paste Editor (Beta)'!$C$90="Swap hero prompt",S390,IF('Paste Editor (Beta)'!$C$90="Anvil prompt",AD390,"")))))))</f>
        <v>0</v>
      </c>
    </row>
    <row r="391" spans="2:37" ht="17.25">
      <c r="B391" s="284" t="s">
        <v>3540</v>
      </c>
      <c r="C391" s="284" t="s">
        <v>3540</v>
      </c>
      <c r="D391" s="284" t="s">
        <v>3540</v>
      </c>
      <c r="AH391" s="280" t="str">
        <f>IF('Paste Editor (Beta)'!$C$82="Level-up prompt",G392,IF('Paste Editor (Beta)'!$C$82="Item prompt",E392,IF('Paste Editor (Beta)'!$C$82="Modifier prompt","'"&amp;B392,IF('Paste Editor (Beta)'!$C$82="Challenge prompt",L392,IF('Paste Editor (Beta)'!$C$82="Reroll class prompt",S391,IF('Paste Editor (Beta)'!$C$82="Swap hero prompt",S391,IF('Paste Editor (Beta)'!$C$82="Anvil prompt",AD391,"")))))))</f>
        <v/>
      </c>
      <c r="AI391" s="280" t="str">
        <f>IF('Paste Editor (Beta)'!$C$82="Level-up prompt",G392,IF('Paste Editor (Beta)'!$C$82="Item prompt",E392,IF('Paste Editor (Beta)'!$C$82="Modifier prompt","'"&amp;B392,IF('Paste Editor (Beta)'!$C$82="Challenge prompt",E392,IF('Paste Editor (Beta)'!$C$82="Reroll class prompt",S391,IF('Paste Editor (Beta)'!$C$82="Swap hero prompt",S391,IF('Paste Editor (Beta)'!$C$82="Anvil prompt",AD391,"")))))))</f>
        <v/>
      </c>
      <c r="AJ391" s="283">
        <f>IF('Paste Editor (Beta)'!$C$90="Level-up prompt",G392,IF('Paste Editor (Beta)'!$C$90="Item prompt",E392,IF('Paste Editor (Beta)'!$C$90="Modifier prompt","'"&amp;B392,IF('Paste Editor (Beta)'!$C$90="Challenge prompt",L392,IF('Paste Editor (Beta)'!$C$90="Reroll class prompt",S391,IF('Paste Editor (Beta)'!$C$90="Swap hero prompt",S391,IF('Paste Editor (Beta)'!$C$90="Anvil prompt",AD391,"")))))))</f>
        <v>0</v>
      </c>
      <c r="AK391" s="283">
        <f>IF('Paste Editor (Beta)'!$C$90="Level-up prompt",G392,IF('Paste Editor (Beta)'!$C$90="Item prompt",E392,IF('Paste Editor (Beta)'!$C$90="Modifier prompt","'"&amp;B392,IF('Paste Editor (Beta)'!$C$90="Challenge prompt",E392,IF('Paste Editor (Beta)'!$C$90="Reroll class prompt",S391,IF('Paste Editor (Beta)'!$C$90="Swap hero prompt",S391,IF('Paste Editor (Beta)'!$C$90="Anvil prompt",AD391,"")))))))</f>
        <v>0</v>
      </c>
    </row>
    <row r="392" spans="2:37" ht="17.25">
      <c r="B392" s="284" t="s">
        <v>2095</v>
      </c>
      <c r="C392" s="284" t="s">
        <v>2095</v>
      </c>
      <c r="D392" s="284" t="s">
        <v>2095</v>
      </c>
      <c r="AH392" s="280" t="str">
        <f>IF('Paste Editor (Beta)'!$C$82="Level-up prompt",G393,IF('Paste Editor (Beta)'!$C$82="Item prompt",E393,IF('Paste Editor (Beta)'!$C$82="Modifier prompt","'"&amp;B393,IF('Paste Editor (Beta)'!$C$82="Challenge prompt",L393,IF('Paste Editor (Beta)'!$C$82="Reroll class prompt",S392,IF('Paste Editor (Beta)'!$C$82="Swap hero prompt",S392,IF('Paste Editor (Beta)'!$C$82="Anvil prompt",AD392,"")))))))</f>
        <v/>
      </c>
      <c r="AI392" s="280" t="str">
        <f>IF('Paste Editor (Beta)'!$C$82="Level-up prompt",G393,IF('Paste Editor (Beta)'!$C$82="Item prompt",E393,IF('Paste Editor (Beta)'!$C$82="Modifier prompt","'"&amp;B393,IF('Paste Editor (Beta)'!$C$82="Challenge prompt",E393,IF('Paste Editor (Beta)'!$C$82="Reroll class prompt",S392,IF('Paste Editor (Beta)'!$C$82="Swap hero prompt",S392,IF('Paste Editor (Beta)'!$C$82="Anvil prompt",AD392,"")))))))</f>
        <v/>
      </c>
      <c r="AJ392" s="283">
        <f>IF('Paste Editor (Beta)'!$C$90="Level-up prompt",G393,IF('Paste Editor (Beta)'!$C$90="Item prompt",E393,IF('Paste Editor (Beta)'!$C$90="Modifier prompt","'"&amp;B393,IF('Paste Editor (Beta)'!$C$90="Challenge prompt",L393,IF('Paste Editor (Beta)'!$C$90="Reroll class prompt",S392,IF('Paste Editor (Beta)'!$C$90="Swap hero prompt",S392,IF('Paste Editor (Beta)'!$C$90="Anvil prompt",AD392,"")))))))</f>
        <v>0</v>
      </c>
      <c r="AK392" s="283">
        <f>IF('Paste Editor (Beta)'!$C$90="Level-up prompt",G393,IF('Paste Editor (Beta)'!$C$90="Item prompt",E393,IF('Paste Editor (Beta)'!$C$90="Modifier prompt","'"&amp;B393,IF('Paste Editor (Beta)'!$C$90="Challenge prompt",E393,IF('Paste Editor (Beta)'!$C$90="Reroll class prompt",S392,IF('Paste Editor (Beta)'!$C$90="Swap hero prompt",S392,IF('Paste Editor (Beta)'!$C$90="Anvil prompt",AD392,"")))))))</f>
        <v>0</v>
      </c>
    </row>
    <row r="393" spans="2:37" ht="17.25">
      <c r="B393" s="284" t="s">
        <v>3250</v>
      </c>
      <c r="C393" s="284" t="s">
        <v>3250</v>
      </c>
      <c r="D393" s="284" t="s">
        <v>3250</v>
      </c>
      <c r="AH393" s="280" t="str">
        <f>IF('Paste Editor (Beta)'!$C$82="Level-up prompt",G394,IF('Paste Editor (Beta)'!$C$82="Item prompt",E394,IF('Paste Editor (Beta)'!$C$82="Modifier prompt","'"&amp;B394,IF('Paste Editor (Beta)'!$C$82="Challenge prompt",L394,IF('Paste Editor (Beta)'!$C$82="Reroll class prompt",S393,IF('Paste Editor (Beta)'!$C$82="Swap hero prompt",S393,IF('Paste Editor (Beta)'!$C$82="Anvil prompt",AD393,"")))))))</f>
        <v/>
      </c>
      <c r="AI393" s="280" t="str">
        <f>IF('Paste Editor (Beta)'!$C$82="Level-up prompt",G394,IF('Paste Editor (Beta)'!$C$82="Item prompt",E394,IF('Paste Editor (Beta)'!$C$82="Modifier prompt","'"&amp;B394,IF('Paste Editor (Beta)'!$C$82="Challenge prompt",E394,IF('Paste Editor (Beta)'!$C$82="Reroll class prompt",S393,IF('Paste Editor (Beta)'!$C$82="Swap hero prompt",S393,IF('Paste Editor (Beta)'!$C$82="Anvil prompt",AD393,"")))))))</f>
        <v/>
      </c>
      <c r="AJ393" s="283">
        <f>IF('Paste Editor (Beta)'!$C$90="Level-up prompt",G394,IF('Paste Editor (Beta)'!$C$90="Item prompt",E394,IF('Paste Editor (Beta)'!$C$90="Modifier prompt","'"&amp;B394,IF('Paste Editor (Beta)'!$C$90="Challenge prompt",L394,IF('Paste Editor (Beta)'!$C$90="Reroll class prompt",S393,IF('Paste Editor (Beta)'!$C$90="Swap hero prompt",S393,IF('Paste Editor (Beta)'!$C$90="Anvil prompt",AD393,"")))))))</f>
        <v>0</v>
      </c>
      <c r="AK393" s="283">
        <f>IF('Paste Editor (Beta)'!$C$90="Level-up prompt",G394,IF('Paste Editor (Beta)'!$C$90="Item prompt",E394,IF('Paste Editor (Beta)'!$C$90="Modifier prompt","'"&amp;B394,IF('Paste Editor (Beta)'!$C$90="Challenge prompt",E394,IF('Paste Editor (Beta)'!$C$90="Reroll class prompt",S393,IF('Paste Editor (Beta)'!$C$90="Swap hero prompt",S393,IF('Paste Editor (Beta)'!$C$90="Anvil prompt",AD393,"")))))))</f>
        <v>0</v>
      </c>
    </row>
    <row r="394" spans="2:37" ht="17.25">
      <c r="B394" s="284" t="s">
        <v>3344</v>
      </c>
      <c r="C394" s="284" t="s">
        <v>3344</v>
      </c>
      <c r="D394" s="284" t="s">
        <v>3344</v>
      </c>
      <c r="AH394" s="280" t="str">
        <f>IF('Paste Editor (Beta)'!$C$82="Level-up prompt",G395,IF('Paste Editor (Beta)'!$C$82="Item prompt",E395,IF('Paste Editor (Beta)'!$C$82="Modifier prompt","'"&amp;B395,IF('Paste Editor (Beta)'!$C$82="Challenge prompt",L395,IF('Paste Editor (Beta)'!$C$82="Reroll class prompt",S394,IF('Paste Editor (Beta)'!$C$82="Swap hero prompt",S394,IF('Paste Editor (Beta)'!$C$82="Anvil prompt",AD394,"")))))))</f>
        <v/>
      </c>
      <c r="AI394" s="280" t="str">
        <f>IF('Paste Editor (Beta)'!$C$82="Level-up prompt",G395,IF('Paste Editor (Beta)'!$C$82="Item prompt",E395,IF('Paste Editor (Beta)'!$C$82="Modifier prompt","'"&amp;B395,IF('Paste Editor (Beta)'!$C$82="Challenge prompt",E395,IF('Paste Editor (Beta)'!$C$82="Reroll class prompt",S394,IF('Paste Editor (Beta)'!$C$82="Swap hero prompt",S394,IF('Paste Editor (Beta)'!$C$82="Anvil prompt",AD394,"")))))))</f>
        <v/>
      </c>
      <c r="AJ394" s="283">
        <f>IF('Paste Editor (Beta)'!$C$90="Level-up prompt",G395,IF('Paste Editor (Beta)'!$C$90="Item prompt",E395,IF('Paste Editor (Beta)'!$C$90="Modifier prompt","'"&amp;B395,IF('Paste Editor (Beta)'!$C$90="Challenge prompt",L395,IF('Paste Editor (Beta)'!$C$90="Reroll class prompt",S394,IF('Paste Editor (Beta)'!$C$90="Swap hero prompt",S394,IF('Paste Editor (Beta)'!$C$90="Anvil prompt",AD394,"")))))))</f>
        <v>0</v>
      </c>
      <c r="AK394" s="283">
        <f>IF('Paste Editor (Beta)'!$C$90="Level-up prompt",G395,IF('Paste Editor (Beta)'!$C$90="Item prompt",E395,IF('Paste Editor (Beta)'!$C$90="Modifier prompt","'"&amp;B395,IF('Paste Editor (Beta)'!$C$90="Challenge prompt",E395,IF('Paste Editor (Beta)'!$C$90="Reroll class prompt",S394,IF('Paste Editor (Beta)'!$C$90="Swap hero prompt",S394,IF('Paste Editor (Beta)'!$C$90="Anvil prompt",AD394,"")))))))</f>
        <v>0</v>
      </c>
    </row>
    <row r="395" spans="2:37" ht="17.25">
      <c r="B395" s="284" t="s">
        <v>3602</v>
      </c>
      <c r="C395" s="284" t="s">
        <v>3602</v>
      </c>
      <c r="D395" s="284" t="s">
        <v>3602</v>
      </c>
      <c r="AH395" s="280" t="str">
        <f>IF('Paste Editor (Beta)'!$C$82="Level-up prompt",G396,IF('Paste Editor (Beta)'!$C$82="Item prompt",E396,IF('Paste Editor (Beta)'!$C$82="Modifier prompt","'"&amp;B396,IF('Paste Editor (Beta)'!$C$82="Challenge prompt",L396,IF('Paste Editor (Beta)'!$C$82="Reroll class prompt",S395,IF('Paste Editor (Beta)'!$C$82="Swap hero prompt",S395,IF('Paste Editor (Beta)'!$C$82="Anvil prompt",AD395,"")))))))</f>
        <v/>
      </c>
      <c r="AI395" s="280" t="str">
        <f>IF('Paste Editor (Beta)'!$C$82="Level-up prompt",G396,IF('Paste Editor (Beta)'!$C$82="Item prompt",E396,IF('Paste Editor (Beta)'!$C$82="Modifier prompt","'"&amp;B396,IF('Paste Editor (Beta)'!$C$82="Challenge prompt",E396,IF('Paste Editor (Beta)'!$C$82="Reroll class prompt",S395,IF('Paste Editor (Beta)'!$C$82="Swap hero prompt",S395,IF('Paste Editor (Beta)'!$C$82="Anvil prompt",AD395,"")))))))</f>
        <v/>
      </c>
      <c r="AJ395" s="283">
        <f>IF('Paste Editor (Beta)'!$C$90="Level-up prompt",G396,IF('Paste Editor (Beta)'!$C$90="Item prompt",E396,IF('Paste Editor (Beta)'!$C$90="Modifier prompt","'"&amp;B396,IF('Paste Editor (Beta)'!$C$90="Challenge prompt",L396,IF('Paste Editor (Beta)'!$C$90="Reroll class prompt",S395,IF('Paste Editor (Beta)'!$C$90="Swap hero prompt",S395,IF('Paste Editor (Beta)'!$C$90="Anvil prompt",AD395,"")))))))</f>
        <v>0</v>
      </c>
      <c r="AK395" s="283">
        <f>IF('Paste Editor (Beta)'!$C$90="Level-up prompt",G396,IF('Paste Editor (Beta)'!$C$90="Item prompt",E396,IF('Paste Editor (Beta)'!$C$90="Modifier prompt","'"&amp;B396,IF('Paste Editor (Beta)'!$C$90="Challenge prompt",E396,IF('Paste Editor (Beta)'!$C$90="Reroll class prompt",S395,IF('Paste Editor (Beta)'!$C$90="Swap hero prompt",S395,IF('Paste Editor (Beta)'!$C$90="Anvil prompt",AD395,"")))))))</f>
        <v>0</v>
      </c>
    </row>
    <row r="396" spans="2:37" ht="17.25">
      <c r="B396" s="284" t="s">
        <v>3248</v>
      </c>
      <c r="C396" s="284" t="s">
        <v>3248</v>
      </c>
      <c r="D396" s="284" t="s">
        <v>3248</v>
      </c>
      <c r="AH396" s="280" t="str">
        <f>IF('Paste Editor (Beta)'!$C$82="Level-up prompt",G397,IF('Paste Editor (Beta)'!$C$82="Item prompt",E397,IF('Paste Editor (Beta)'!$C$82="Modifier prompt","'"&amp;B397,IF('Paste Editor (Beta)'!$C$82="Challenge prompt",L397,IF('Paste Editor (Beta)'!$C$82="Reroll class prompt",S396,IF('Paste Editor (Beta)'!$C$82="Swap hero prompt",S396,IF('Paste Editor (Beta)'!$C$82="Anvil prompt",AD396,"")))))))</f>
        <v/>
      </c>
      <c r="AI396" s="280" t="str">
        <f>IF('Paste Editor (Beta)'!$C$82="Level-up prompt",G397,IF('Paste Editor (Beta)'!$C$82="Item prompt",E397,IF('Paste Editor (Beta)'!$C$82="Modifier prompt","'"&amp;B397,IF('Paste Editor (Beta)'!$C$82="Challenge prompt",E397,IF('Paste Editor (Beta)'!$C$82="Reroll class prompt",S396,IF('Paste Editor (Beta)'!$C$82="Swap hero prompt",S396,IF('Paste Editor (Beta)'!$C$82="Anvil prompt",AD396,"")))))))</f>
        <v/>
      </c>
      <c r="AJ396" s="283">
        <f>IF('Paste Editor (Beta)'!$C$90="Level-up prompt",G397,IF('Paste Editor (Beta)'!$C$90="Item prompt",E397,IF('Paste Editor (Beta)'!$C$90="Modifier prompt","'"&amp;B397,IF('Paste Editor (Beta)'!$C$90="Challenge prompt",L397,IF('Paste Editor (Beta)'!$C$90="Reroll class prompt",S396,IF('Paste Editor (Beta)'!$C$90="Swap hero prompt",S396,IF('Paste Editor (Beta)'!$C$90="Anvil prompt",AD396,"")))))))</f>
        <v>0</v>
      </c>
      <c r="AK396" s="283">
        <f>IF('Paste Editor (Beta)'!$C$90="Level-up prompt",G397,IF('Paste Editor (Beta)'!$C$90="Item prompt",E397,IF('Paste Editor (Beta)'!$C$90="Modifier prompt","'"&amp;B397,IF('Paste Editor (Beta)'!$C$90="Challenge prompt",E397,IF('Paste Editor (Beta)'!$C$90="Reroll class prompt",S396,IF('Paste Editor (Beta)'!$C$90="Swap hero prompt",S396,IF('Paste Editor (Beta)'!$C$90="Anvil prompt",AD396,"")))))))</f>
        <v>0</v>
      </c>
    </row>
    <row r="397" spans="2:37" ht="17.25">
      <c r="B397" s="284" t="s">
        <v>3580</v>
      </c>
      <c r="C397" s="284" t="s">
        <v>3580</v>
      </c>
      <c r="D397" s="284" t="s">
        <v>3580</v>
      </c>
      <c r="AH397" s="280" t="str">
        <f>IF('Paste Editor (Beta)'!$C$82="Level-up prompt",G398,IF('Paste Editor (Beta)'!$C$82="Item prompt",E398,IF('Paste Editor (Beta)'!$C$82="Modifier prompt","'"&amp;B398,IF('Paste Editor (Beta)'!$C$82="Challenge prompt",L398,IF('Paste Editor (Beta)'!$C$82="Reroll class prompt",S397,IF('Paste Editor (Beta)'!$C$82="Swap hero prompt",S397,IF('Paste Editor (Beta)'!$C$82="Anvil prompt",AD397,"")))))))</f>
        <v/>
      </c>
      <c r="AI397" s="280" t="str">
        <f>IF('Paste Editor (Beta)'!$C$82="Level-up prompt",G398,IF('Paste Editor (Beta)'!$C$82="Item prompt",E398,IF('Paste Editor (Beta)'!$C$82="Modifier prompt","'"&amp;B398,IF('Paste Editor (Beta)'!$C$82="Challenge prompt",E398,IF('Paste Editor (Beta)'!$C$82="Reroll class prompt",S397,IF('Paste Editor (Beta)'!$C$82="Swap hero prompt",S397,IF('Paste Editor (Beta)'!$C$82="Anvil prompt",AD397,"")))))))</f>
        <v/>
      </c>
      <c r="AJ397" s="283">
        <f>IF('Paste Editor (Beta)'!$C$90="Level-up prompt",G398,IF('Paste Editor (Beta)'!$C$90="Item prompt",E398,IF('Paste Editor (Beta)'!$C$90="Modifier prompt","'"&amp;B398,IF('Paste Editor (Beta)'!$C$90="Challenge prompt",L398,IF('Paste Editor (Beta)'!$C$90="Reroll class prompt",S397,IF('Paste Editor (Beta)'!$C$90="Swap hero prompt",S397,IF('Paste Editor (Beta)'!$C$90="Anvil prompt",AD397,"")))))))</f>
        <v>0</v>
      </c>
      <c r="AK397" s="283">
        <f>IF('Paste Editor (Beta)'!$C$90="Level-up prompt",G398,IF('Paste Editor (Beta)'!$C$90="Item prompt",E398,IF('Paste Editor (Beta)'!$C$90="Modifier prompt","'"&amp;B398,IF('Paste Editor (Beta)'!$C$90="Challenge prompt",E398,IF('Paste Editor (Beta)'!$C$90="Reroll class prompt",S397,IF('Paste Editor (Beta)'!$C$90="Swap hero prompt",S397,IF('Paste Editor (Beta)'!$C$90="Anvil prompt",AD397,"")))))))</f>
        <v>0</v>
      </c>
    </row>
    <row r="398" spans="2:37" ht="17.25">
      <c r="B398" s="284" t="s">
        <v>3412</v>
      </c>
      <c r="C398" s="284" t="s">
        <v>3412</v>
      </c>
      <c r="D398" s="284" t="s">
        <v>3412</v>
      </c>
      <c r="AH398" s="280" t="str">
        <f>IF('Paste Editor (Beta)'!$C$82="Level-up prompt",G399,IF('Paste Editor (Beta)'!$C$82="Item prompt",E399,IF('Paste Editor (Beta)'!$C$82="Modifier prompt","'"&amp;B399,IF('Paste Editor (Beta)'!$C$82="Challenge prompt",L399,IF('Paste Editor (Beta)'!$C$82="Reroll class prompt",S398,IF('Paste Editor (Beta)'!$C$82="Swap hero prompt",S398,IF('Paste Editor (Beta)'!$C$82="Anvil prompt",AD398,"")))))))</f>
        <v/>
      </c>
      <c r="AI398" s="280" t="str">
        <f>IF('Paste Editor (Beta)'!$C$82="Level-up prompt",G399,IF('Paste Editor (Beta)'!$C$82="Item prompt",E399,IF('Paste Editor (Beta)'!$C$82="Modifier prompt","'"&amp;B399,IF('Paste Editor (Beta)'!$C$82="Challenge prompt",E399,IF('Paste Editor (Beta)'!$C$82="Reroll class prompt",S398,IF('Paste Editor (Beta)'!$C$82="Swap hero prompt",S398,IF('Paste Editor (Beta)'!$C$82="Anvil prompt",AD398,"")))))))</f>
        <v/>
      </c>
      <c r="AJ398" s="283">
        <f>IF('Paste Editor (Beta)'!$C$90="Level-up prompt",G399,IF('Paste Editor (Beta)'!$C$90="Item prompt",E399,IF('Paste Editor (Beta)'!$C$90="Modifier prompt","'"&amp;B399,IF('Paste Editor (Beta)'!$C$90="Challenge prompt",L399,IF('Paste Editor (Beta)'!$C$90="Reroll class prompt",S398,IF('Paste Editor (Beta)'!$C$90="Swap hero prompt",S398,IF('Paste Editor (Beta)'!$C$90="Anvil prompt",AD398,"")))))))</f>
        <v>0</v>
      </c>
      <c r="AK398" s="283">
        <f>IF('Paste Editor (Beta)'!$C$90="Level-up prompt",G399,IF('Paste Editor (Beta)'!$C$90="Item prompt",E399,IF('Paste Editor (Beta)'!$C$90="Modifier prompt","'"&amp;B399,IF('Paste Editor (Beta)'!$C$90="Challenge prompt",E399,IF('Paste Editor (Beta)'!$C$90="Reroll class prompt",S398,IF('Paste Editor (Beta)'!$C$90="Swap hero prompt",S398,IF('Paste Editor (Beta)'!$C$90="Anvil prompt",AD398,"")))))))</f>
        <v>0</v>
      </c>
    </row>
    <row r="399" spans="2:37" ht="17.25">
      <c r="B399" s="284" t="s">
        <v>3626</v>
      </c>
      <c r="C399" s="284" t="s">
        <v>3626</v>
      </c>
      <c r="D399" s="284" t="s">
        <v>3626</v>
      </c>
      <c r="AH399" s="280" t="str">
        <f>IF('Paste Editor (Beta)'!$C$82="Level-up prompt",G400,IF('Paste Editor (Beta)'!$C$82="Item prompt",E400,IF('Paste Editor (Beta)'!$C$82="Modifier prompt","'"&amp;B400,IF('Paste Editor (Beta)'!$C$82="Challenge prompt",L400,IF('Paste Editor (Beta)'!$C$82="Reroll class prompt",S399,IF('Paste Editor (Beta)'!$C$82="Swap hero prompt",S399,IF('Paste Editor (Beta)'!$C$82="Anvil prompt",AD399,"")))))))</f>
        <v/>
      </c>
      <c r="AI399" s="280" t="str">
        <f>IF('Paste Editor (Beta)'!$C$82="Level-up prompt",G400,IF('Paste Editor (Beta)'!$C$82="Item prompt",E400,IF('Paste Editor (Beta)'!$C$82="Modifier prompt","'"&amp;B400,IF('Paste Editor (Beta)'!$C$82="Challenge prompt",E400,IF('Paste Editor (Beta)'!$C$82="Reroll class prompt",S399,IF('Paste Editor (Beta)'!$C$82="Swap hero prompt",S399,IF('Paste Editor (Beta)'!$C$82="Anvil prompt",AD399,"")))))))</f>
        <v/>
      </c>
      <c r="AJ399" s="283">
        <f>IF('Paste Editor (Beta)'!$C$90="Level-up prompt",G400,IF('Paste Editor (Beta)'!$C$90="Item prompt",E400,IF('Paste Editor (Beta)'!$C$90="Modifier prompt","'"&amp;B400,IF('Paste Editor (Beta)'!$C$90="Challenge prompt",L400,IF('Paste Editor (Beta)'!$C$90="Reroll class prompt",S399,IF('Paste Editor (Beta)'!$C$90="Swap hero prompt",S399,IF('Paste Editor (Beta)'!$C$90="Anvil prompt",AD399,"")))))))</f>
        <v>0</v>
      </c>
      <c r="AK399" s="283">
        <f>IF('Paste Editor (Beta)'!$C$90="Level-up prompt",G400,IF('Paste Editor (Beta)'!$C$90="Item prompt",E400,IF('Paste Editor (Beta)'!$C$90="Modifier prompt","'"&amp;B400,IF('Paste Editor (Beta)'!$C$90="Challenge prompt",E400,IF('Paste Editor (Beta)'!$C$90="Reroll class prompt",S399,IF('Paste Editor (Beta)'!$C$90="Swap hero prompt",S399,IF('Paste Editor (Beta)'!$C$90="Anvil prompt",AD399,"")))))))</f>
        <v>0</v>
      </c>
    </row>
    <row r="400" spans="2:37" ht="17.25">
      <c r="B400" s="284" t="s">
        <v>3472</v>
      </c>
      <c r="C400" s="284" t="s">
        <v>3472</v>
      </c>
      <c r="D400" s="284" t="s">
        <v>3472</v>
      </c>
      <c r="AH400" s="280" t="str">
        <f>IF('Paste Editor (Beta)'!$C$82="Level-up prompt",G401,IF('Paste Editor (Beta)'!$C$82="Item prompt",E401,IF('Paste Editor (Beta)'!$C$82="Modifier prompt","'"&amp;B401,IF('Paste Editor (Beta)'!$C$82="Challenge prompt",L401,IF('Paste Editor (Beta)'!$C$82="Reroll class prompt",S400,IF('Paste Editor (Beta)'!$C$82="Swap hero prompt",S400,IF('Paste Editor (Beta)'!$C$82="Anvil prompt",AD400,"")))))))</f>
        <v/>
      </c>
      <c r="AI400" s="280" t="str">
        <f>IF('Paste Editor (Beta)'!$C$82="Level-up prompt",G401,IF('Paste Editor (Beta)'!$C$82="Item prompt",E401,IF('Paste Editor (Beta)'!$C$82="Modifier prompt","'"&amp;B401,IF('Paste Editor (Beta)'!$C$82="Challenge prompt",E401,IF('Paste Editor (Beta)'!$C$82="Reroll class prompt",S400,IF('Paste Editor (Beta)'!$C$82="Swap hero prompt",S400,IF('Paste Editor (Beta)'!$C$82="Anvil prompt",AD400,"")))))))</f>
        <v/>
      </c>
      <c r="AJ400" s="283">
        <f>IF('Paste Editor (Beta)'!$C$90="Level-up prompt",G401,IF('Paste Editor (Beta)'!$C$90="Item prompt",E401,IF('Paste Editor (Beta)'!$C$90="Modifier prompt","'"&amp;B401,IF('Paste Editor (Beta)'!$C$90="Challenge prompt",L401,IF('Paste Editor (Beta)'!$C$90="Reroll class prompt",S400,IF('Paste Editor (Beta)'!$C$90="Swap hero prompt",S400,IF('Paste Editor (Beta)'!$C$90="Anvil prompt",AD400,"")))))))</f>
        <v>0</v>
      </c>
      <c r="AK400" s="283">
        <f>IF('Paste Editor (Beta)'!$C$90="Level-up prompt",G401,IF('Paste Editor (Beta)'!$C$90="Item prompt",E401,IF('Paste Editor (Beta)'!$C$90="Modifier prompt","'"&amp;B401,IF('Paste Editor (Beta)'!$C$90="Challenge prompt",E401,IF('Paste Editor (Beta)'!$C$90="Reroll class prompt",S400,IF('Paste Editor (Beta)'!$C$90="Swap hero prompt",S400,IF('Paste Editor (Beta)'!$C$90="Anvil prompt",AD400,"")))))))</f>
        <v>0</v>
      </c>
    </row>
    <row r="401" spans="2:37" ht="17.25">
      <c r="B401" s="284" t="s">
        <v>3224</v>
      </c>
      <c r="C401" s="284" t="s">
        <v>3224</v>
      </c>
      <c r="D401" s="284" t="s">
        <v>3224</v>
      </c>
      <c r="AH401" s="280" t="str">
        <f>IF('Paste Editor (Beta)'!$C$82="Level-up prompt",G402,IF('Paste Editor (Beta)'!$C$82="Item prompt",E402,IF('Paste Editor (Beta)'!$C$82="Modifier prompt","'"&amp;B402,IF('Paste Editor (Beta)'!$C$82="Challenge prompt",L402,IF('Paste Editor (Beta)'!$C$82="Reroll class prompt",S401,IF('Paste Editor (Beta)'!$C$82="Swap hero prompt",S401,IF('Paste Editor (Beta)'!$C$82="Anvil prompt",AD401,"")))))))</f>
        <v/>
      </c>
      <c r="AI401" s="280" t="str">
        <f>IF('Paste Editor (Beta)'!$C$82="Level-up prompt",G402,IF('Paste Editor (Beta)'!$C$82="Item prompt",E402,IF('Paste Editor (Beta)'!$C$82="Modifier prompt","'"&amp;B402,IF('Paste Editor (Beta)'!$C$82="Challenge prompt",E402,IF('Paste Editor (Beta)'!$C$82="Reroll class prompt",S401,IF('Paste Editor (Beta)'!$C$82="Swap hero prompt",S401,IF('Paste Editor (Beta)'!$C$82="Anvil prompt",AD401,"")))))))</f>
        <v/>
      </c>
      <c r="AJ401" s="283">
        <f>IF('Paste Editor (Beta)'!$C$90="Level-up prompt",G402,IF('Paste Editor (Beta)'!$C$90="Item prompt",E402,IF('Paste Editor (Beta)'!$C$90="Modifier prompt","'"&amp;B402,IF('Paste Editor (Beta)'!$C$90="Challenge prompt",L402,IF('Paste Editor (Beta)'!$C$90="Reroll class prompt",S401,IF('Paste Editor (Beta)'!$C$90="Swap hero prompt",S401,IF('Paste Editor (Beta)'!$C$90="Anvil prompt",AD401,"")))))))</f>
        <v>0</v>
      </c>
      <c r="AK401" s="283">
        <f>IF('Paste Editor (Beta)'!$C$90="Level-up prompt",G402,IF('Paste Editor (Beta)'!$C$90="Item prompt",E402,IF('Paste Editor (Beta)'!$C$90="Modifier prompt","'"&amp;B402,IF('Paste Editor (Beta)'!$C$90="Challenge prompt",E402,IF('Paste Editor (Beta)'!$C$90="Reroll class prompt",S401,IF('Paste Editor (Beta)'!$C$90="Swap hero prompt",S401,IF('Paste Editor (Beta)'!$C$90="Anvil prompt",AD401,"")))))))</f>
        <v>0</v>
      </c>
    </row>
    <row r="402" spans="2:37" ht="17.25">
      <c r="B402" s="284" t="s">
        <v>3336</v>
      </c>
      <c r="C402" s="284" t="s">
        <v>3336</v>
      </c>
      <c r="D402" s="284" t="s">
        <v>3336</v>
      </c>
      <c r="AH402" s="280" t="str">
        <f>IF('Paste Editor (Beta)'!$C$82="Level-up prompt",G403,IF('Paste Editor (Beta)'!$C$82="Item prompt",E403,IF('Paste Editor (Beta)'!$C$82="Modifier prompt","'"&amp;B403,IF('Paste Editor (Beta)'!$C$82="Challenge prompt",L403,IF('Paste Editor (Beta)'!$C$82="Reroll class prompt",S402,IF('Paste Editor (Beta)'!$C$82="Swap hero prompt",S402,IF('Paste Editor (Beta)'!$C$82="Anvil prompt",AD402,"")))))))</f>
        <v/>
      </c>
      <c r="AI402" s="280" t="str">
        <f>IF('Paste Editor (Beta)'!$C$82="Level-up prompt",G403,IF('Paste Editor (Beta)'!$C$82="Item prompt",E403,IF('Paste Editor (Beta)'!$C$82="Modifier prompt","'"&amp;B403,IF('Paste Editor (Beta)'!$C$82="Challenge prompt",E403,IF('Paste Editor (Beta)'!$C$82="Reroll class prompt",S402,IF('Paste Editor (Beta)'!$C$82="Swap hero prompt",S402,IF('Paste Editor (Beta)'!$C$82="Anvil prompt",AD402,"")))))))</f>
        <v/>
      </c>
      <c r="AJ402" s="283">
        <f>IF('Paste Editor (Beta)'!$C$90="Level-up prompt",G403,IF('Paste Editor (Beta)'!$C$90="Item prompt",E403,IF('Paste Editor (Beta)'!$C$90="Modifier prompt","'"&amp;B403,IF('Paste Editor (Beta)'!$C$90="Challenge prompt",L403,IF('Paste Editor (Beta)'!$C$90="Reroll class prompt",S402,IF('Paste Editor (Beta)'!$C$90="Swap hero prompt",S402,IF('Paste Editor (Beta)'!$C$90="Anvil prompt",AD402,"")))))))</f>
        <v>0</v>
      </c>
      <c r="AK402" s="283">
        <f>IF('Paste Editor (Beta)'!$C$90="Level-up prompt",G403,IF('Paste Editor (Beta)'!$C$90="Item prompt",E403,IF('Paste Editor (Beta)'!$C$90="Modifier prompt","'"&amp;B403,IF('Paste Editor (Beta)'!$C$90="Challenge prompt",E403,IF('Paste Editor (Beta)'!$C$90="Reroll class prompt",S402,IF('Paste Editor (Beta)'!$C$90="Swap hero prompt",S402,IF('Paste Editor (Beta)'!$C$90="Anvil prompt",AD402,"")))))))</f>
        <v>0</v>
      </c>
    </row>
    <row r="403" spans="2:37" ht="17.25">
      <c r="B403" s="284" t="s">
        <v>3646</v>
      </c>
      <c r="C403" s="284" t="s">
        <v>3646</v>
      </c>
      <c r="D403" s="284" t="s">
        <v>3646</v>
      </c>
      <c r="AH403" s="280" t="str">
        <f>IF('Paste Editor (Beta)'!$C$82="Level-up prompt",G404,IF('Paste Editor (Beta)'!$C$82="Item prompt",E404,IF('Paste Editor (Beta)'!$C$82="Modifier prompt","'"&amp;B404,IF('Paste Editor (Beta)'!$C$82="Challenge prompt",L404,IF('Paste Editor (Beta)'!$C$82="Reroll class prompt",S403,IF('Paste Editor (Beta)'!$C$82="Swap hero prompt",S403,IF('Paste Editor (Beta)'!$C$82="Anvil prompt",AD403,"")))))))</f>
        <v/>
      </c>
      <c r="AI403" s="280" t="str">
        <f>IF('Paste Editor (Beta)'!$C$82="Level-up prompt",G404,IF('Paste Editor (Beta)'!$C$82="Item prompt",E404,IF('Paste Editor (Beta)'!$C$82="Modifier prompt","'"&amp;B404,IF('Paste Editor (Beta)'!$C$82="Challenge prompt",E404,IF('Paste Editor (Beta)'!$C$82="Reroll class prompt",S403,IF('Paste Editor (Beta)'!$C$82="Swap hero prompt",S403,IF('Paste Editor (Beta)'!$C$82="Anvil prompt",AD403,"")))))))</f>
        <v/>
      </c>
      <c r="AJ403" s="283">
        <f>IF('Paste Editor (Beta)'!$C$90="Level-up prompt",G404,IF('Paste Editor (Beta)'!$C$90="Item prompt",E404,IF('Paste Editor (Beta)'!$C$90="Modifier prompt","'"&amp;B404,IF('Paste Editor (Beta)'!$C$90="Challenge prompt",L404,IF('Paste Editor (Beta)'!$C$90="Reroll class prompt",S403,IF('Paste Editor (Beta)'!$C$90="Swap hero prompt",S403,IF('Paste Editor (Beta)'!$C$90="Anvil prompt",AD403,"")))))))</f>
        <v>0</v>
      </c>
      <c r="AK403" s="283">
        <f>IF('Paste Editor (Beta)'!$C$90="Level-up prompt",G404,IF('Paste Editor (Beta)'!$C$90="Item prompt",E404,IF('Paste Editor (Beta)'!$C$90="Modifier prompt","'"&amp;B404,IF('Paste Editor (Beta)'!$C$90="Challenge prompt",E404,IF('Paste Editor (Beta)'!$C$90="Reroll class prompt",S403,IF('Paste Editor (Beta)'!$C$90="Swap hero prompt",S403,IF('Paste Editor (Beta)'!$C$90="Anvil prompt",AD403,"")))))))</f>
        <v>0</v>
      </c>
    </row>
    <row r="404" spans="2:37" ht="17.25">
      <c r="B404" s="284" t="s">
        <v>3184</v>
      </c>
      <c r="C404" s="284" t="s">
        <v>3184</v>
      </c>
      <c r="D404" s="284" t="s">
        <v>3184</v>
      </c>
      <c r="AH404" s="280" t="str">
        <f>IF('Paste Editor (Beta)'!$C$82="Level-up prompt",G405,IF('Paste Editor (Beta)'!$C$82="Item prompt",E405,IF('Paste Editor (Beta)'!$C$82="Modifier prompt","'"&amp;B405,IF('Paste Editor (Beta)'!$C$82="Challenge prompt",L405,IF('Paste Editor (Beta)'!$C$82="Reroll class prompt",S404,IF('Paste Editor (Beta)'!$C$82="Swap hero prompt",S404,IF('Paste Editor (Beta)'!$C$82="Anvil prompt",AD404,"")))))))</f>
        <v/>
      </c>
      <c r="AI404" s="280" t="str">
        <f>IF('Paste Editor (Beta)'!$C$82="Level-up prompt",G405,IF('Paste Editor (Beta)'!$C$82="Item prompt",E405,IF('Paste Editor (Beta)'!$C$82="Modifier prompt","'"&amp;B405,IF('Paste Editor (Beta)'!$C$82="Challenge prompt",E405,IF('Paste Editor (Beta)'!$C$82="Reroll class prompt",S404,IF('Paste Editor (Beta)'!$C$82="Swap hero prompt",S404,IF('Paste Editor (Beta)'!$C$82="Anvil prompt",AD404,"")))))))</f>
        <v/>
      </c>
      <c r="AJ404" s="283">
        <f>IF('Paste Editor (Beta)'!$C$90="Level-up prompt",G405,IF('Paste Editor (Beta)'!$C$90="Item prompt",E405,IF('Paste Editor (Beta)'!$C$90="Modifier prompt","'"&amp;B405,IF('Paste Editor (Beta)'!$C$90="Challenge prompt",L405,IF('Paste Editor (Beta)'!$C$90="Reroll class prompt",S404,IF('Paste Editor (Beta)'!$C$90="Swap hero prompt",S404,IF('Paste Editor (Beta)'!$C$90="Anvil prompt",AD404,"")))))))</f>
        <v>0</v>
      </c>
      <c r="AK404" s="283">
        <f>IF('Paste Editor (Beta)'!$C$90="Level-up prompt",G405,IF('Paste Editor (Beta)'!$C$90="Item prompt",E405,IF('Paste Editor (Beta)'!$C$90="Modifier prompt","'"&amp;B405,IF('Paste Editor (Beta)'!$C$90="Challenge prompt",E405,IF('Paste Editor (Beta)'!$C$90="Reroll class prompt",S404,IF('Paste Editor (Beta)'!$C$90="Swap hero prompt",S404,IF('Paste Editor (Beta)'!$C$90="Anvil prompt",AD404,"")))))))</f>
        <v>0</v>
      </c>
    </row>
    <row r="405" spans="2:37" ht="17.25">
      <c r="B405" s="284" t="s">
        <v>3442</v>
      </c>
      <c r="C405" s="284" t="s">
        <v>3442</v>
      </c>
      <c r="D405" s="284" t="s">
        <v>3442</v>
      </c>
      <c r="AH405" s="280" t="str">
        <f>IF('Paste Editor (Beta)'!$C$82="Level-up prompt",G406,IF('Paste Editor (Beta)'!$C$82="Item prompt",E406,IF('Paste Editor (Beta)'!$C$82="Modifier prompt","'"&amp;B406,IF('Paste Editor (Beta)'!$C$82="Challenge prompt",L406,IF('Paste Editor (Beta)'!$C$82="Reroll class prompt",S405,IF('Paste Editor (Beta)'!$C$82="Swap hero prompt",S405,IF('Paste Editor (Beta)'!$C$82="Anvil prompt",AD405,"")))))))</f>
        <v/>
      </c>
      <c r="AI405" s="280" t="str">
        <f>IF('Paste Editor (Beta)'!$C$82="Level-up prompt",G406,IF('Paste Editor (Beta)'!$C$82="Item prompt",E406,IF('Paste Editor (Beta)'!$C$82="Modifier prompt","'"&amp;B406,IF('Paste Editor (Beta)'!$C$82="Challenge prompt",E406,IF('Paste Editor (Beta)'!$C$82="Reroll class prompt",S405,IF('Paste Editor (Beta)'!$C$82="Swap hero prompt",S405,IF('Paste Editor (Beta)'!$C$82="Anvil prompt",AD405,"")))))))</f>
        <v/>
      </c>
      <c r="AJ405" s="283">
        <f>IF('Paste Editor (Beta)'!$C$90="Level-up prompt",G406,IF('Paste Editor (Beta)'!$C$90="Item prompt",E406,IF('Paste Editor (Beta)'!$C$90="Modifier prompt","'"&amp;B406,IF('Paste Editor (Beta)'!$C$90="Challenge prompt",L406,IF('Paste Editor (Beta)'!$C$90="Reroll class prompt",S405,IF('Paste Editor (Beta)'!$C$90="Swap hero prompt",S405,IF('Paste Editor (Beta)'!$C$90="Anvil prompt",AD405,"")))))))</f>
        <v>0</v>
      </c>
      <c r="AK405" s="283">
        <f>IF('Paste Editor (Beta)'!$C$90="Level-up prompt",G406,IF('Paste Editor (Beta)'!$C$90="Item prompt",E406,IF('Paste Editor (Beta)'!$C$90="Modifier prompt","'"&amp;B406,IF('Paste Editor (Beta)'!$C$90="Challenge prompt",E406,IF('Paste Editor (Beta)'!$C$90="Reroll class prompt",S405,IF('Paste Editor (Beta)'!$C$90="Swap hero prompt",S405,IF('Paste Editor (Beta)'!$C$90="Anvil prompt",AD405,"")))))))</f>
        <v>0</v>
      </c>
    </row>
    <row r="406" spans="2:37" ht="17.25">
      <c r="B406" s="284" t="s">
        <v>3400</v>
      </c>
      <c r="C406" s="284" t="s">
        <v>3400</v>
      </c>
      <c r="D406" s="284" t="s">
        <v>3400</v>
      </c>
      <c r="AH406" s="280" t="str">
        <f>IF('Paste Editor (Beta)'!$C$82="Level-up prompt",G407,IF('Paste Editor (Beta)'!$C$82="Item prompt",E407,IF('Paste Editor (Beta)'!$C$82="Modifier prompt","'"&amp;B407,IF('Paste Editor (Beta)'!$C$82="Challenge prompt",L407,IF('Paste Editor (Beta)'!$C$82="Reroll class prompt",S406,IF('Paste Editor (Beta)'!$C$82="Swap hero prompt",S406,IF('Paste Editor (Beta)'!$C$82="Anvil prompt",AD406,"")))))))</f>
        <v/>
      </c>
      <c r="AI406" s="280" t="str">
        <f>IF('Paste Editor (Beta)'!$C$82="Level-up prompt",G407,IF('Paste Editor (Beta)'!$C$82="Item prompt",E407,IF('Paste Editor (Beta)'!$C$82="Modifier prompt","'"&amp;B407,IF('Paste Editor (Beta)'!$C$82="Challenge prompt",E407,IF('Paste Editor (Beta)'!$C$82="Reroll class prompt",S406,IF('Paste Editor (Beta)'!$C$82="Swap hero prompt",S406,IF('Paste Editor (Beta)'!$C$82="Anvil prompt",AD406,"")))))))</f>
        <v/>
      </c>
      <c r="AJ406" s="283">
        <f>IF('Paste Editor (Beta)'!$C$90="Level-up prompt",G407,IF('Paste Editor (Beta)'!$C$90="Item prompt",E407,IF('Paste Editor (Beta)'!$C$90="Modifier prompt","'"&amp;B407,IF('Paste Editor (Beta)'!$C$90="Challenge prompt",L407,IF('Paste Editor (Beta)'!$C$90="Reroll class prompt",S406,IF('Paste Editor (Beta)'!$C$90="Swap hero prompt",S406,IF('Paste Editor (Beta)'!$C$90="Anvil prompt",AD406,"")))))))</f>
        <v>0</v>
      </c>
      <c r="AK406" s="283">
        <f>IF('Paste Editor (Beta)'!$C$90="Level-up prompt",G407,IF('Paste Editor (Beta)'!$C$90="Item prompt",E407,IF('Paste Editor (Beta)'!$C$90="Modifier prompt","'"&amp;B407,IF('Paste Editor (Beta)'!$C$90="Challenge prompt",E407,IF('Paste Editor (Beta)'!$C$90="Reroll class prompt",S406,IF('Paste Editor (Beta)'!$C$90="Swap hero prompt",S406,IF('Paste Editor (Beta)'!$C$90="Anvil prompt",AD406,"")))))))</f>
        <v>0</v>
      </c>
    </row>
    <row r="407" spans="2:37" ht="17.25">
      <c r="B407" s="284" t="s">
        <v>3598</v>
      </c>
      <c r="C407" s="284" t="s">
        <v>3598</v>
      </c>
      <c r="D407" s="284" t="s">
        <v>3598</v>
      </c>
      <c r="AH407" s="280" t="str">
        <f>IF('Paste Editor (Beta)'!$C$82="Level-up prompt",G408,IF('Paste Editor (Beta)'!$C$82="Item prompt",E408,IF('Paste Editor (Beta)'!$C$82="Modifier prompt","'"&amp;B408,IF('Paste Editor (Beta)'!$C$82="Challenge prompt",L408,IF('Paste Editor (Beta)'!$C$82="Reroll class prompt",S407,IF('Paste Editor (Beta)'!$C$82="Swap hero prompt",S407,IF('Paste Editor (Beta)'!$C$82="Anvil prompt",AD407,"")))))))</f>
        <v/>
      </c>
      <c r="AI407" s="280" t="str">
        <f>IF('Paste Editor (Beta)'!$C$82="Level-up prompt",G408,IF('Paste Editor (Beta)'!$C$82="Item prompt",E408,IF('Paste Editor (Beta)'!$C$82="Modifier prompt","'"&amp;B408,IF('Paste Editor (Beta)'!$C$82="Challenge prompt",E408,IF('Paste Editor (Beta)'!$C$82="Reroll class prompt",S407,IF('Paste Editor (Beta)'!$C$82="Swap hero prompt",S407,IF('Paste Editor (Beta)'!$C$82="Anvil prompt",AD407,"")))))))</f>
        <v/>
      </c>
      <c r="AJ407" s="283">
        <f>IF('Paste Editor (Beta)'!$C$90="Level-up prompt",G408,IF('Paste Editor (Beta)'!$C$90="Item prompt",E408,IF('Paste Editor (Beta)'!$C$90="Modifier prompt","'"&amp;B408,IF('Paste Editor (Beta)'!$C$90="Challenge prompt",L408,IF('Paste Editor (Beta)'!$C$90="Reroll class prompt",S407,IF('Paste Editor (Beta)'!$C$90="Swap hero prompt",S407,IF('Paste Editor (Beta)'!$C$90="Anvil prompt",AD407,"")))))))</f>
        <v>0</v>
      </c>
      <c r="AK407" s="283">
        <f>IF('Paste Editor (Beta)'!$C$90="Level-up prompt",G408,IF('Paste Editor (Beta)'!$C$90="Item prompt",E408,IF('Paste Editor (Beta)'!$C$90="Modifier prompt","'"&amp;B408,IF('Paste Editor (Beta)'!$C$90="Challenge prompt",E408,IF('Paste Editor (Beta)'!$C$90="Reroll class prompt",S407,IF('Paste Editor (Beta)'!$C$90="Swap hero prompt",S407,IF('Paste Editor (Beta)'!$C$90="Anvil prompt",AD407,"")))))))</f>
        <v>0</v>
      </c>
    </row>
    <row r="408" spans="2:37" ht="17.25">
      <c r="B408" s="284" t="s">
        <v>3182</v>
      </c>
      <c r="C408" s="284" t="s">
        <v>3182</v>
      </c>
      <c r="D408" s="284" t="s">
        <v>3182</v>
      </c>
      <c r="AH408" s="280" t="str">
        <f>IF('Paste Editor (Beta)'!$C$82="Level-up prompt",G409,IF('Paste Editor (Beta)'!$C$82="Item prompt",E409,IF('Paste Editor (Beta)'!$C$82="Modifier prompt","'"&amp;B409,IF('Paste Editor (Beta)'!$C$82="Challenge prompt",L409,IF('Paste Editor (Beta)'!$C$82="Reroll class prompt",S408,IF('Paste Editor (Beta)'!$C$82="Swap hero prompt",S408,IF('Paste Editor (Beta)'!$C$82="Anvil prompt",AD408,"")))))))</f>
        <v/>
      </c>
      <c r="AI408" s="280" t="str">
        <f>IF('Paste Editor (Beta)'!$C$82="Level-up prompt",G409,IF('Paste Editor (Beta)'!$C$82="Item prompt",E409,IF('Paste Editor (Beta)'!$C$82="Modifier prompt","'"&amp;B409,IF('Paste Editor (Beta)'!$C$82="Challenge prompt",E409,IF('Paste Editor (Beta)'!$C$82="Reroll class prompt",S408,IF('Paste Editor (Beta)'!$C$82="Swap hero prompt",S408,IF('Paste Editor (Beta)'!$C$82="Anvil prompt",AD408,"")))))))</f>
        <v/>
      </c>
      <c r="AJ408" s="283">
        <f>IF('Paste Editor (Beta)'!$C$90="Level-up prompt",G409,IF('Paste Editor (Beta)'!$C$90="Item prompt",E409,IF('Paste Editor (Beta)'!$C$90="Modifier prompt","'"&amp;B409,IF('Paste Editor (Beta)'!$C$90="Challenge prompt",L409,IF('Paste Editor (Beta)'!$C$90="Reroll class prompt",S408,IF('Paste Editor (Beta)'!$C$90="Swap hero prompt",S408,IF('Paste Editor (Beta)'!$C$90="Anvil prompt",AD408,"")))))))</f>
        <v>0</v>
      </c>
      <c r="AK408" s="283">
        <f>IF('Paste Editor (Beta)'!$C$90="Level-up prompt",G409,IF('Paste Editor (Beta)'!$C$90="Item prompt",E409,IF('Paste Editor (Beta)'!$C$90="Modifier prompt","'"&amp;B409,IF('Paste Editor (Beta)'!$C$90="Challenge prompt",E409,IF('Paste Editor (Beta)'!$C$90="Reroll class prompt",S408,IF('Paste Editor (Beta)'!$C$90="Swap hero prompt",S408,IF('Paste Editor (Beta)'!$C$90="Anvil prompt",AD408,"")))))))</f>
        <v>0</v>
      </c>
    </row>
    <row r="409" spans="2:37" ht="17.25">
      <c r="B409" s="284" t="s">
        <v>3488</v>
      </c>
      <c r="C409" s="284" t="s">
        <v>3488</v>
      </c>
      <c r="D409" s="284" t="s">
        <v>3488</v>
      </c>
      <c r="AH409" s="280" t="str">
        <f>IF('Paste Editor (Beta)'!$C$82="Level-up prompt",G410,IF('Paste Editor (Beta)'!$C$82="Item prompt",E410,IF('Paste Editor (Beta)'!$C$82="Modifier prompt","'"&amp;B410,IF('Paste Editor (Beta)'!$C$82="Challenge prompt",L410,IF('Paste Editor (Beta)'!$C$82="Reroll class prompt",S409,IF('Paste Editor (Beta)'!$C$82="Swap hero prompt",S409,IF('Paste Editor (Beta)'!$C$82="Anvil prompt",AD409,"")))))))</f>
        <v/>
      </c>
      <c r="AI409" s="280" t="str">
        <f>IF('Paste Editor (Beta)'!$C$82="Level-up prompt",G410,IF('Paste Editor (Beta)'!$C$82="Item prompt",E410,IF('Paste Editor (Beta)'!$C$82="Modifier prompt","'"&amp;B410,IF('Paste Editor (Beta)'!$C$82="Challenge prompt",E410,IF('Paste Editor (Beta)'!$C$82="Reroll class prompt",S409,IF('Paste Editor (Beta)'!$C$82="Swap hero prompt",S409,IF('Paste Editor (Beta)'!$C$82="Anvil prompt",AD409,"")))))))</f>
        <v/>
      </c>
      <c r="AJ409" s="283">
        <f>IF('Paste Editor (Beta)'!$C$90="Level-up prompt",G410,IF('Paste Editor (Beta)'!$C$90="Item prompt",E410,IF('Paste Editor (Beta)'!$C$90="Modifier prompt","'"&amp;B410,IF('Paste Editor (Beta)'!$C$90="Challenge prompt",L410,IF('Paste Editor (Beta)'!$C$90="Reroll class prompt",S409,IF('Paste Editor (Beta)'!$C$90="Swap hero prompt",S409,IF('Paste Editor (Beta)'!$C$90="Anvil prompt",AD409,"")))))))</f>
        <v>0</v>
      </c>
      <c r="AK409" s="283">
        <f>IF('Paste Editor (Beta)'!$C$90="Level-up prompt",G410,IF('Paste Editor (Beta)'!$C$90="Item prompt",E410,IF('Paste Editor (Beta)'!$C$90="Modifier prompt","'"&amp;B410,IF('Paste Editor (Beta)'!$C$90="Challenge prompt",E410,IF('Paste Editor (Beta)'!$C$90="Reroll class prompt",S409,IF('Paste Editor (Beta)'!$C$90="Swap hero prompt",S409,IF('Paste Editor (Beta)'!$C$90="Anvil prompt",AD409,"")))))))</f>
        <v>0</v>
      </c>
    </row>
    <row r="410" spans="2:37" ht="17.25">
      <c r="B410" s="284" t="s">
        <v>3206</v>
      </c>
      <c r="C410" s="284" t="s">
        <v>3206</v>
      </c>
      <c r="D410" s="284" t="s">
        <v>3206</v>
      </c>
      <c r="AH410" s="280" t="str">
        <f>IF('Paste Editor (Beta)'!$C$82="Level-up prompt",G411,IF('Paste Editor (Beta)'!$C$82="Item prompt",E411,IF('Paste Editor (Beta)'!$C$82="Modifier prompt","'"&amp;B411,IF('Paste Editor (Beta)'!$C$82="Challenge prompt",L411,IF('Paste Editor (Beta)'!$C$82="Reroll class prompt",S410,IF('Paste Editor (Beta)'!$C$82="Swap hero prompt",S410,IF('Paste Editor (Beta)'!$C$82="Anvil prompt",AD410,"")))))))</f>
        <v/>
      </c>
      <c r="AI410" s="280" t="str">
        <f>IF('Paste Editor (Beta)'!$C$82="Level-up prompt",G411,IF('Paste Editor (Beta)'!$C$82="Item prompt",E411,IF('Paste Editor (Beta)'!$C$82="Modifier prompt","'"&amp;B411,IF('Paste Editor (Beta)'!$C$82="Challenge prompt",E411,IF('Paste Editor (Beta)'!$C$82="Reroll class prompt",S410,IF('Paste Editor (Beta)'!$C$82="Swap hero prompt",S410,IF('Paste Editor (Beta)'!$C$82="Anvil prompt",AD410,"")))))))</f>
        <v/>
      </c>
      <c r="AJ410" s="283">
        <f>IF('Paste Editor (Beta)'!$C$90="Level-up prompt",G411,IF('Paste Editor (Beta)'!$C$90="Item prompt",E411,IF('Paste Editor (Beta)'!$C$90="Modifier prompt","'"&amp;B411,IF('Paste Editor (Beta)'!$C$90="Challenge prompt",L411,IF('Paste Editor (Beta)'!$C$90="Reroll class prompt",S410,IF('Paste Editor (Beta)'!$C$90="Swap hero prompt",S410,IF('Paste Editor (Beta)'!$C$90="Anvil prompt",AD410,"")))))))</f>
        <v>0</v>
      </c>
      <c r="AK410" s="283">
        <f>IF('Paste Editor (Beta)'!$C$90="Level-up prompt",G411,IF('Paste Editor (Beta)'!$C$90="Item prompt",E411,IF('Paste Editor (Beta)'!$C$90="Modifier prompt","'"&amp;B411,IF('Paste Editor (Beta)'!$C$90="Challenge prompt",E411,IF('Paste Editor (Beta)'!$C$90="Reroll class prompt",S410,IF('Paste Editor (Beta)'!$C$90="Swap hero prompt",S410,IF('Paste Editor (Beta)'!$C$90="Anvil prompt",AD410,"")))))))</f>
        <v>0</v>
      </c>
    </row>
    <row r="411" spans="2:37" ht="17.25">
      <c r="B411" s="284" t="s">
        <v>3560</v>
      </c>
      <c r="C411" s="284" t="s">
        <v>3560</v>
      </c>
      <c r="D411" s="284" t="s">
        <v>3560</v>
      </c>
      <c r="AH411" s="280" t="str">
        <f>IF('Paste Editor (Beta)'!$C$82="Level-up prompt",G412,IF('Paste Editor (Beta)'!$C$82="Item prompt",E412,IF('Paste Editor (Beta)'!$C$82="Modifier prompt","'"&amp;B412,IF('Paste Editor (Beta)'!$C$82="Challenge prompt",L412,IF('Paste Editor (Beta)'!$C$82="Reroll class prompt",S411,IF('Paste Editor (Beta)'!$C$82="Swap hero prompt",S411,IF('Paste Editor (Beta)'!$C$82="Anvil prompt",AD411,"")))))))</f>
        <v/>
      </c>
      <c r="AI411" s="280" t="str">
        <f>IF('Paste Editor (Beta)'!$C$82="Level-up prompt",G412,IF('Paste Editor (Beta)'!$C$82="Item prompt",E412,IF('Paste Editor (Beta)'!$C$82="Modifier prompt","'"&amp;B412,IF('Paste Editor (Beta)'!$C$82="Challenge prompt",E412,IF('Paste Editor (Beta)'!$C$82="Reroll class prompt",S411,IF('Paste Editor (Beta)'!$C$82="Swap hero prompt",S411,IF('Paste Editor (Beta)'!$C$82="Anvil prompt",AD411,"")))))))</f>
        <v/>
      </c>
      <c r="AJ411" s="283">
        <f>IF('Paste Editor (Beta)'!$C$90="Level-up prompt",G412,IF('Paste Editor (Beta)'!$C$90="Item prompt",E412,IF('Paste Editor (Beta)'!$C$90="Modifier prompt","'"&amp;B412,IF('Paste Editor (Beta)'!$C$90="Challenge prompt",L412,IF('Paste Editor (Beta)'!$C$90="Reroll class prompt",S411,IF('Paste Editor (Beta)'!$C$90="Swap hero prompt",S411,IF('Paste Editor (Beta)'!$C$90="Anvil prompt",AD411,"")))))))</f>
        <v>0</v>
      </c>
      <c r="AK411" s="283">
        <f>IF('Paste Editor (Beta)'!$C$90="Level-up prompt",G412,IF('Paste Editor (Beta)'!$C$90="Item prompt",E412,IF('Paste Editor (Beta)'!$C$90="Modifier prompt","'"&amp;B412,IF('Paste Editor (Beta)'!$C$90="Challenge prompt",E412,IF('Paste Editor (Beta)'!$C$90="Reroll class prompt",S411,IF('Paste Editor (Beta)'!$C$90="Swap hero prompt",S411,IF('Paste Editor (Beta)'!$C$90="Anvil prompt",AD411,"")))))))</f>
        <v>0</v>
      </c>
    </row>
    <row r="412" spans="2:37" ht="17.25">
      <c r="B412" s="284" t="s">
        <v>3288</v>
      </c>
      <c r="C412" s="284" t="s">
        <v>3288</v>
      </c>
      <c r="D412" s="284" t="s">
        <v>3288</v>
      </c>
      <c r="AH412" s="280" t="str">
        <f>IF('Paste Editor (Beta)'!$C$82="Level-up prompt",G413,IF('Paste Editor (Beta)'!$C$82="Item prompt",E413,IF('Paste Editor (Beta)'!$C$82="Modifier prompt","'"&amp;B413,IF('Paste Editor (Beta)'!$C$82="Challenge prompt",L413,IF('Paste Editor (Beta)'!$C$82="Reroll class prompt",S412,IF('Paste Editor (Beta)'!$C$82="Swap hero prompt",S412,IF('Paste Editor (Beta)'!$C$82="Anvil prompt",AD412,"")))))))</f>
        <v/>
      </c>
      <c r="AI412" s="280" t="str">
        <f>IF('Paste Editor (Beta)'!$C$82="Level-up prompt",G413,IF('Paste Editor (Beta)'!$C$82="Item prompt",E413,IF('Paste Editor (Beta)'!$C$82="Modifier prompt","'"&amp;B413,IF('Paste Editor (Beta)'!$C$82="Challenge prompt",E413,IF('Paste Editor (Beta)'!$C$82="Reroll class prompt",S412,IF('Paste Editor (Beta)'!$C$82="Swap hero prompt",S412,IF('Paste Editor (Beta)'!$C$82="Anvil prompt",AD412,"")))))))</f>
        <v/>
      </c>
      <c r="AJ412" s="283">
        <f>IF('Paste Editor (Beta)'!$C$90="Level-up prompt",G413,IF('Paste Editor (Beta)'!$C$90="Item prompt",E413,IF('Paste Editor (Beta)'!$C$90="Modifier prompt","'"&amp;B413,IF('Paste Editor (Beta)'!$C$90="Challenge prompt",L413,IF('Paste Editor (Beta)'!$C$90="Reroll class prompt",S412,IF('Paste Editor (Beta)'!$C$90="Swap hero prompt",S412,IF('Paste Editor (Beta)'!$C$90="Anvil prompt",AD412,"")))))))</f>
        <v>0</v>
      </c>
      <c r="AK412" s="283">
        <f>IF('Paste Editor (Beta)'!$C$90="Level-up prompt",G413,IF('Paste Editor (Beta)'!$C$90="Item prompt",E413,IF('Paste Editor (Beta)'!$C$90="Modifier prompt","'"&amp;B413,IF('Paste Editor (Beta)'!$C$90="Challenge prompt",E413,IF('Paste Editor (Beta)'!$C$90="Reroll class prompt",S412,IF('Paste Editor (Beta)'!$C$90="Swap hero prompt",S412,IF('Paste Editor (Beta)'!$C$90="Anvil prompt",AD412,"")))))))</f>
        <v>0</v>
      </c>
    </row>
    <row r="413" spans="2:37" ht="17.25">
      <c r="B413" s="284" t="s">
        <v>3404</v>
      </c>
      <c r="C413" s="284" t="s">
        <v>3404</v>
      </c>
      <c r="D413" s="284" t="s">
        <v>3404</v>
      </c>
      <c r="AH413" s="280" t="str">
        <f>IF('Paste Editor (Beta)'!$C$82="Level-up prompt",G414,IF('Paste Editor (Beta)'!$C$82="Item prompt",E414,IF('Paste Editor (Beta)'!$C$82="Modifier prompt","'"&amp;B414,IF('Paste Editor (Beta)'!$C$82="Challenge prompt",L414,IF('Paste Editor (Beta)'!$C$82="Reroll class prompt",S413,IF('Paste Editor (Beta)'!$C$82="Swap hero prompt",S413,IF('Paste Editor (Beta)'!$C$82="Anvil prompt",AD413,"")))))))</f>
        <v/>
      </c>
      <c r="AI413" s="280" t="str">
        <f>IF('Paste Editor (Beta)'!$C$82="Level-up prompt",G414,IF('Paste Editor (Beta)'!$C$82="Item prompt",E414,IF('Paste Editor (Beta)'!$C$82="Modifier prompt","'"&amp;B414,IF('Paste Editor (Beta)'!$C$82="Challenge prompt",E414,IF('Paste Editor (Beta)'!$C$82="Reroll class prompt",S413,IF('Paste Editor (Beta)'!$C$82="Swap hero prompt",S413,IF('Paste Editor (Beta)'!$C$82="Anvil prompt",AD413,"")))))))</f>
        <v/>
      </c>
      <c r="AJ413" s="283">
        <f>IF('Paste Editor (Beta)'!$C$90="Level-up prompt",G414,IF('Paste Editor (Beta)'!$C$90="Item prompt",E414,IF('Paste Editor (Beta)'!$C$90="Modifier prompt","'"&amp;B414,IF('Paste Editor (Beta)'!$C$90="Challenge prompt",L414,IF('Paste Editor (Beta)'!$C$90="Reroll class prompt",S413,IF('Paste Editor (Beta)'!$C$90="Swap hero prompt",S413,IF('Paste Editor (Beta)'!$C$90="Anvil prompt",AD413,"")))))))</f>
        <v>0</v>
      </c>
      <c r="AK413" s="283">
        <f>IF('Paste Editor (Beta)'!$C$90="Level-up prompt",G414,IF('Paste Editor (Beta)'!$C$90="Item prompt",E414,IF('Paste Editor (Beta)'!$C$90="Modifier prompt","'"&amp;B414,IF('Paste Editor (Beta)'!$C$90="Challenge prompt",E414,IF('Paste Editor (Beta)'!$C$90="Reroll class prompt",S413,IF('Paste Editor (Beta)'!$C$90="Swap hero prompt",S413,IF('Paste Editor (Beta)'!$C$90="Anvil prompt",AD413,"")))))))</f>
        <v>0</v>
      </c>
    </row>
    <row r="414" spans="2:37" ht="17.25">
      <c r="B414" s="284" t="s">
        <v>3372</v>
      </c>
      <c r="C414" s="284" t="s">
        <v>3372</v>
      </c>
      <c r="D414" s="284" t="s">
        <v>3372</v>
      </c>
      <c r="AH414" s="280" t="str">
        <f>IF('Paste Editor (Beta)'!$C$82="Level-up prompt",G415,IF('Paste Editor (Beta)'!$C$82="Item prompt",E415,IF('Paste Editor (Beta)'!$C$82="Modifier prompt","'"&amp;B415,IF('Paste Editor (Beta)'!$C$82="Challenge prompt",L415,IF('Paste Editor (Beta)'!$C$82="Reroll class prompt",S414,IF('Paste Editor (Beta)'!$C$82="Swap hero prompt",S414,IF('Paste Editor (Beta)'!$C$82="Anvil prompt",AD414,"")))))))</f>
        <v/>
      </c>
      <c r="AI414" s="280" t="str">
        <f>IF('Paste Editor (Beta)'!$C$82="Level-up prompt",G415,IF('Paste Editor (Beta)'!$C$82="Item prompt",E415,IF('Paste Editor (Beta)'!$C$82="Modifier prompt","'"&amp;B415,IF('Paste Editor (Beta)'!$C$82="Challenge prompt",E415,IF('Paste Editor (Beta)'!$C$82="Reroll class prompt",S414,IF('Paste Editor (Beta)'!$C$82="Swap hero prompt",S414,IF('Paste Editor (Beta)'!$C$82="Anvil prompt",AD414,"")))))))</f>
        <v/>
      </c>
      <c r="AJ414" s="283">
        <f>IF('Paste Editor (Beta)'!$C$90="Level-up prompt",G415,IF('Paste Editor (Beta)'!$C$90="Item prompt",E415,IF('Paste Editor (Beta)'!$C$90="Modifier prompt","'"&amp;B415,IF('Paste Editor (Beta)'!$C$90="Challenge prompt",L415,IF('Paste Editor (Beta)'!$C$90="Reroll class prompt",S414,IF('Paste Editor (Beta)'!$C$90="Swap hero prompt",S414,IF('Paste Editor (Beta)'!$C$90="Anvil prompt",AD414,"")))))))</f>
        <v>0</v>
      </c>
      <c r="AK414" s="283">
        <f>IF('Paste Editor (Beta)'!$C$90="Level-up prompt",G415,IF('Paste Editor (Beta)'!$C$90="Item prompt",E415,IF('Paste Editor (Beta)'!$C$90="Modifier prompt","'"&amp;B415,IF('Paste Editor (Beta)'!$C$90="Challenge prompt",E415,IF('Paste Editor (Beta)'!$C$90="Reroll class prompt",S414,IF('Paste Editor (Beta)'!$C$90="Swap hero prompt",S414,IF('Paste Editor (Beta)'!$C$90="Anvil prompt",AD414,"")))))))</f>
        <v>0</v>
      </c>
    </row>
    <row r="415" spans="2:37" ht="17.25">
      <c r="B415" s="284" t="s">
        <v>3200</v>
      </c>
      <c r="C415" s="284" t="s">
        <v>3200</v>
      </c>
      <c r="D415" s="284" t="s">
        <v>3200</v>
      </c>
      <c r="AH415" s="280" t="str">
        <f>IF('Paste Editor (Beta)'!$C$82="Level-up prompt",G416,IF('Paste Editor (Beta)'!$C$82="Item prompt",E416,IF('Paste Editor (Beta)'!$C$82="Modifier prompt","'"&amp;B416,IF('Paste Editor (Beta)'!$C$82="Challenge prompt",L416,IF('Paste Editor (Beta)'!$C$82="Reroll class prompt",S415,IF('Paste Editor (Beta)'!$C$82="Swap hero prompt",S415,IF('Paste Editor (Beta)'!$C$82="Anvil prompt",AD415,"")))))))</f>
        <v/>
      </c>
      <c r="AI415" s="280" t="str">
        <f>IF('Paste Editor (Beta)'!$C$82="Level-up prompt",G416,IF('Paste Editor (Beta)'!$C$82="Item prompt",E416,IF('Paste Editor (Beta)'!$C$82="Modifier prompt","'"&amp;B416,IF('Paste Editor (Beta)'!$C$82="Challenge prompt",E416,IF('Paste Editor (Beta)'!$C$82="Reroll class prompt",S415,IF('Paste Editor (Beta)'!$C$82="Swap hero prompt",S415,IF('Paste Editor (Beta)'!$C$82="Anvil prompt",AD415,"")))))))</f>
        <v/>
      </c>
      <c r="AJ415" s="283">
        <f>IF('Paste Editor (Beta)'!$C$90="Level-up prompt",G416,IF('Paste Editor (Beta)'!$C$90="Item prompt",E416,IF('Paste Editor (Beta)'!$C$90="Modifier prompt","'"&amp;B416,IF('Paste Editor (Beta)'!$C$90="Challenge prompt",L416,IF('Paste Editor (Beta)'!$C$90="Reroll class prompt",S415,IF('Paste Editor (Beta)'!$C$90="Swap hero prompt",S415,IF('Paste Editor (Beta)'!$C$90="Anvil prompt",AD415,"")))))))</f>
        <v>0</v>
      </c>
      <c r="AK415" s="283">
        <f>IF('Paste Editor (Beta)'!$C$90="Level-up prompt",G416,IF('Paste Editor (Beta)'!$C$90="Item prompt",E416,IF('Paste Editor (Beta)'!$C$90="Modifier prompt","'"&amp;B416,IF('Paste Editor (Beta)'!$C$90="Challenge prompt",E416,IF('Paste Editor (Beta)'!$C$90="Reroll class prompt",S415,IF('Paste Editor (Beta)'!$C$90="Swap hero prompt",S415,IF('Paste Editor (Beta)'!$C$90="Anvil prompt",AD415,"")))))))</f>
        <v>0</v>
      </c>
    </row>
    <row r="416" spans="2:37" ht="17.25">
      <c r="B416" s="284" t="s">
        <v>2097</v>
      </c>
      <c r="C416" s="284" t="s">
        <v>2097</v>
      </c>
      <c r="D416" s="284" t="s">
        <v>2097</v>
      </c>
      <c r="AH416" s="280" t="str">
        <f>IF('Paste Editor (Beta)'!$C$82="Level-up prompt",G417,IF('Paste Editor (Beta)'!$C$82="Item prompt",E417,IF('Paste Editor (Beta)'!$C$82="Modifier prompt","'"&amp;B417,IF('Paste Editor (Beta)'!$C$82="Challenge prompt",L417,IF('Paste Editor (Beta)'!$C$82="Reroll class prompt",S416,IF('Paste Editor (Beta)'!$C$82="Swap hero prompt",S416,IF('Paste Editor (Beta)'!$C$82="Anvil prompt",AD416,"")))))))</f>
        <v/>
      </c>
      <c r="AI416" s="280" t="str">
        <f>IF('Paste Editor (Beta)'!$C$82="Level-up prompt",G417,IF('Paste Editor (Beta)'!$C$82="Item prompt",E417,IF('Paste Editor (Beta)'!$C$82="Modifier prompt","'"&amp;B417,IF('Paste Editor (Beta)'!$C$82="Challenge prompt",E417,IF('Paste Editor (Beta)'!$C$82="Reroll class prompt",S416,IF('Paste Editor (Beta)'!$C$82="Swap hero prompt",S416,IF('Paste Editor (Beta)'!$C$82="Anvil prompt",AD416,"")))))))</f>
        <v/>
      </c>
      <c r="AJ416" s="283">
        <f>IF('Paste Editor (Beta)'!$C$90="Level-up prompt",G417,IF('Paste Editor (Beta)'!$C$90="Item prompt",E417,IF('Paste Editor (Beta)'!$C$90="Modifier prompt","'"&amp;B417,IF('Paste Editor (Beta)'!$C$90="Challenge prompt",L417,IF('Paste Editor (Beta)'!$C$90="Reroll class prompt",S416,IF('Paste Editor (Beta)'!$C$90="Swap hero prompt",S416,IF('Paste Editor (Beta)'!$C$90="Anvil prompt",AD416,"")))))))</f>
        <v>0</v>
      </c>
      <c r="AK416" s="283">
        <f>IF('Paste Editor (Beta)'!$C$90="Level-up prompt",G417,IF('Paste Editor (Beta)'!$C$90="Item prompt",E417,IF('Paste Editor (Beta)'!$C$90="Modifier prompt","'"&amp;B417,IF('Paste Editor (Beta)'!$C$90="Challenge prompt",E417,IF('Paste Editor (Beta)'!$C$90="Reroll class prompt",S416,IF('Paste Editor (Beta)'!$C$90="Swap hero prompt",S416,IF('Paste Editor (Beta)'!$C$90="Anvil prompt",AD416,"")))))))</f>
        <v>0</v>
      </c>
    </row>
    <row r="417" spans="2:37" ht="17.25">
      <c r="B417" s="284" t="s">
        <v>3410</v>
      </c>
      <c r="C417" s="284" t="s">
        <v>3410</v>
      </c>
      <c r="D417" s="284" t="s">
        <v>3410</v>
      </c>
      <c r="AH417" s="280" t="str">
        <f>IF('Paste Editor (Beta)'!$C$82="Level-up prompt",G418,IF('Paste Editor (Beta)'!$C$82="Item prompt",E418,IF('Paste Editor (Beta)'!$C$82="Modifier prompt","'"&amp;B418,IF('Paste Editor (Beta)'!$C$82="Challenge prompt",L418,IF('Paste Editor (Beta)'!$C$82="Reroll class prompt",S417,IF('Paste Editor (Beta)'!$C$82="Swap hero prompt",S417,IF('Paste Editor (Beta)'!$C$82="Anvil prompt",AD417,"")))))))</f>
        <v/>
      </c>
      <c r="AI417" s="280" t="str">
        <f>IF('Paste Editor (Beta)'!$C$82="Level-up prompt",G418,IF('Paste Editor (Beta)'!$C$82="Item prompt",E418,IF('Paste Editor (Beta)'!$C$82="Modifier prompt","'"&amp;B418,IF('Paste Editor (Beta)'!$C$82="Challenge prompt",E418,IF('Paste Editor (Beta)'!$C$82="Reroll class prompt",S417,IF('Paste Editor (Beta)'!$C$82="Swap hero prompt",S417,IF('Paste Editor (Beta)'!$C$82="Anvil prompt",AD417,"")))))))</f>
        <v/>
      </c>
      <c r="AJ417" s="283">
        <f>IF('Paste Editor (Beta)'!$C$90="Level-up prompt",G418,IF('Paste Editor (Beta)'!$C$90="Item prompt",E418,IF('Paste Editor (Beta)'!$C$90="Modifier prompt","'"&amp;B418,IF('Paste Editor (Beta)'!$C$90="Challenge prompt",L418,IF('Paste Editor (Beta)'!$C$90="Reroll class prompt",S417,IF('Paste Editor (Beta)'!$C$90="Swap hero prompt",S417,IF('Paste Editor (Beta)'!$C$90="Anvil prompt",AD417,"")))))))</f>
        <v>0</v>
      </c>
      <c r="AK417" s="283">
        <f>IF('Paste Editor (Beta)'!$C$90="Level-up prompt",G418,IF('Paste Editor (Beta)'!$C$90="Item prompt",E418,IF('Paste Editor (Beta)'!$C$90="Modifier prompt","'"&amp;B418,IF('Paste Editor (Beta)'!$C$90="Challenge prompt",E418,IF('Paste Editor (Beta)'!$C$90="Reroll class prompt",S417,IF('Paste Editor (Beta)'!$C$90="Swap hero prompt",S417,IF('Paste Editor (Beta)'!$C$90="Anvil prompt",AD417,"")))))))</f>
        <v>0</v>
      </c>
    </row>
    <row r="418" spans="2:37" ht="17.25">
      <c r="B418" s="284" t="s">
        <v>3178</v>
      </c>
      <c r="C418" s="284" t="s">
        <v>3178</v>
      </c>
      <c r="D418" s="284" t="s">
        <v>3178</v>
      </c>
      <c r="AH418" s="280" t="str">
        <f>IF('Paste Editor (Beta)'!$C$82="Level-up prompt",G419,IF('Paste Editor (Beta)'!$C$82="Item prompt",E419,IF('Paste Editor (Beta)'!$C$82="Modifier prompt","'"&amp;B419,IF('Paste Editor (Beta)'!$C$82="Challenge prompt",L419,IF('Paste Editor (Beta)'!$C$82="Reroll class prompt",S418,IF('Paste Editor (Beta)'!$C$82="Swap hero prompt",S418,IF('Paste Editor (Beta)'!$C$82="Anvil prompt",AD418,"")))))))</f>
        <v/>
      </c>
      <c r="AI418" s="280" t="str">
        <f>IF('Paste Editor (Beta)'!$C$82="Level-up prompt",G419,IF('Paste Editor (Beta)'!$C$82="Item prompt",E419,IF('Paste Editor (Beta)'!$C$82="Modifier prompt","'"&amp;B419,IF('Paste Editor (Beta)'!$C$82="Challenge prompt",E419,IF('Paste Editor (Beta)'!$C$82="Reroll class prompt",S418,IF('Paste Editor (Beta)'!$C$82="Swap hero prompt",S418,IF('Paste Editor (Beta)'!$C$82="Anvil prompt",AD418,"")))))))</f>
        <v/>
      </c>
      <c r="AJ418" s="283">
        <f>IF('Paste Editor (Beta)'!$C$90="Level-up prompt",G419,IF('Paste Editor (Beta)'!$C$90="Item prompt",E419,IF('Paste Editor (Beta)'!$C$90="Modifier prompt","'"&amp;B419,IF('Paste Editor (Beta)'!$C$90="Challenge prompt",L419,IF('Paste Editor (Beta)'!$C$90="Reroll class prompt",S418,IF('Paste Editor (Beta)'!$C$90="Swap hero prompt",S418,IF('Paste Editor (Beta)'!$C$90="Anvil prompt",AD418,"")))))))</f>
        <v>0</v>
      </c>
      <c r="AK418" s="283">
        <f>IF('Paste Editor (Beta)'!$C$90="Level-up prompt",G419,IF('Paste Editor (Beta)'!$C$90="Item prompt",E419,IF('Paste Editor (Beta)'!$C$90="Modifier prompt","'"&amp;B419,IF('Paste Editor (Beta)'!$C$90="Challenge prompt",E419,IF('Paste Editor (Beta)'!$C$90="Reroll class prompt",S418,IF('Paste Editor (Beta)'!$C$90="Swap hero prompt",S418,IF('Paste Editor (Beta)'!$C$90="Anvil prompt",AD418,"")))))))</f>
        <v>0</v>
      </c>
    </row>
    <row r="419" spans="2:37" ht="17.25">
      <c r="B419" s="284" t="s">
        <v>3450</v>
      </c>
      <c r="C419" s="284" t="s">
        <v>3450</v>
      </c>
      <c r="D419" s="284" t="s">
        <v>3450</v>
      </c>
      <c r="AH419" s="280" t="str">
        <f>IF('Paste Editor (Beta)'!$C$82="Level-up prompt",G420,IF('Paste Editor (Beta)'!$C$82="Item prompt",E420,IF('Paste Editor (Beta)'!$C$82="Modifier prompt","'"&amp;B420,IF('Paste Editor (Beta)'!$C$82="Challenge prompt",L420,IF('Paste Editor (Beta)'!$C$82="Reroll class prompt",S419,IF('Paste Editor (Beta)'!$C$82="Swap hero prompt",S419,IF('Paste Editor (Beta)'!$C$82="Anvil prompt",AD419,"")))))))</f>
        <v/>
      </c>
      <c r="AI419" s="280" t="str">
        <f>IF('Paste Editor (Beta)'!$C$82="Level-up prompt",G420,IF('Paste Editor (Beta)'!$C$82="Item prompt",E420,IF('Paste Editor (Beta)'!$C$82="Modifier prompt","'"&amp;B420,IF('Paste Editor (Beta)'!$C$82="Challenge prompt",E420,IF('Paste Editor (Beta)'!$C$82="Reroll class prompt",S419,IF('Paste Editor (Beta)'!$C$82="Swap hero prompt",S419,IF('Paste Editor (Beta)'!$C$82="Anvil prompt",AD419,"")))))))</f>
        <v/>
      </c>
      <c r="AJ419" s="283">
        <f>IF('Paste Editor (Beta)'!$C$90="Level-up prompt",G420,IF('Paste Editor (Beta)'!$C$90="Item prompt",E420,IF('Paste Editor (Beta)'!$C$90="Modifier prompt","'"&amp;B420,IF('Paste Editor (Beta)'!$C$90="Challenge prompt",L420,IF('Paste Editor (Beta)'!$C$90="Reroll class prompt",S419,IF('Paste Editor (Beta)'!$C$90="Swap hero prompt",S419,IF('Paste Editor (Beta)'!$C$90="Anvil prompt",AD419,"")))))))</f>
        <v>0</v>
      </c>
      <c r="AK419" s="283">
        <f>IF('Paste Editor (Beta)'!$C$90="Level-up prompt",G420,IF('Paste Editor (Beta)'!$C$90="Item prompt",E420,IF('Paste Editor (Beta)'!$C$90="Modifier prompt","'"&amp;B420,IF('Paste Editor (Beta)'!$C$90="Challenge prompt",E420,IF('Paste Editor (Beta)'!$C$90="Reroll class prompt",S419,IF('Paste Editor (Beta)'!$C$90="Swap hero prompt",S419,IF('Paste Editor (Beta)'!$C$90="Anvil prompt",AD419,"")))))))</f>
        <v>0</v>
      </c>
    </row>
    <row r="420" spans="2:37" ht="17.25">
      <c r="B420" s="284" t="s">
        <v>3242</v>
      </c>
      <c r="C420" s="284" t="s">
        <v>3242</v>
      </c>
      <c r="D420" s="284" t="s">
        <v>3242</v>
      </c>
      <c r="AH420" s="280" t="str">
        <f>IF('Paste Editor (Beta)'!$C$82="Level-up prompt",G421,IF('Paste Editor (Beta)'!$C$82="Item prompt",E421,IF('Paste Editor (Beta)'!$C$82="Modifier prompt","'"&amp;B421,IF('Paste Editor (Beta)'!$C$82="Challenge prompt",L421,IF('Paste Editor (Beta)'!$C$82="Reroll class prompt",S420,IF('Paste Editor (Beta)'!$C$82="Swap hero prompt",S420,IF('Paste Editor (Beta)'!$C$82="Anvil prompt",AD420,"")))))))</f>
        <v/>
      </c>
      <c r="AI420" s="280" t="str">
        <f>IF('Paste Editor (Beta)'!$C$82="Level-up prompt",G421,IF('Paste Editor (Beta)'!$C$82="Item prompt",E421,IF('Paste Editor (Beta)'!$C$82="Modifier prompt","'"&amp;B421,IF('Paste Editor (Beta)'!$C$82="Challenge prompt",E421,IF('Paste Editor (Beta)'!$C$82="Reroll class prompt",S420,IF('Paste Editor (Beta)'!$C$82="Swap hero prompt",S420,IF('Paste Editor (Beta)'!$C$82="Anvil prompt",AD420,"")))))))</f>
        <v/>
      </c>
      <c r="AJ420" s="283">
        <f>IF('Paste Editor (Beta)'!$C$90="Level-up prompt",G421,IF('Paste Editor (Beta)'!$C$90="Item prompt",E421,IF('Paste Editor (Beta)'!$C$90="Modifier prompt","'"&amp;B421,IF('Paste Editor (Beta)'!$C$90="Challenge prompt",L421,IF('Paste Editor (Beta)'!$C$90="Reroll class prompt",S420,IF('Paste Editor (Beta)'!$C$90="Swap hero prompt",S420,IF('Paste Editor (Beta)'!$C$90="Anvil prompt",AD420,"")))))))</f>
        <v>0</v>
      </c>
      <c r="AK420" s="283">
        <f>IF('Paste Editor (Beta)'!$C$90="Level-up prompt",G421,IF('Paste Editor (Beta)'!$C$90="Item prompt",E421,IF('Paste Editor (Beta)'!$C$90="Modifier prompt","'"&amp;B421,IF('Paste Editor (Beta)'!$C$90="Challenge prompt",E421,IF('Paste Editor (Beta)'!$C$90="Reroll class prompt",S420,IF('Paste Editor (Beta)'!$C$90="Swap hero prompt",S420,IF('Paste Editor (Beta)'!$C$90="Anvil prompt",AD420,"")))))))</f>
        <v>0</v>
      </c>
    </row>
    <row r="421" spans="2:37" ht="17.25">
      <c r="B421" s="284" t="s">
        <v>3240</v>
      </c>
      <c r="C421" s="284" t="s">
        <v>3240</v>
      </c>
      <c r="D421" s="284" t="s">
        <v>3240</v>
      </c>
      <c r="AH421" s="280" t="str">
        <f>IF('Paste Editor (Beta)'!$C$82="Level-up prompt",G422,IF('Paste Editor (Beta)'!$C$82="Item prompt",E422,IF('Paste Editor (Beta)'!$C$82="Modifier prompt","'"&amp;B422,IF('Paste Editor (Beta)'!$C$82="Challenge prompt",L422,IF('Paste Editor (Beta)'!$C$82="Reroll class prompt",S421,IF('Paste Editor (Beta)'!$C$82="Swap hero prompt",S421,IF('Paste Editor (Beta)'!$C$82="Anvil prompt",AD421,"")))))))</f>
        <v/>
      </c>
      <c r="AI421" s="280" t="str">
        <f>IF('Paste Editor (Beta)'!$C$82="Level-up prompt",G422,IF('Paste Editor (Beta)'!$C$82="Item prompt",E422,IF('Paste Editor (Beta)'!$C$82="Modifier prompt","'"&amp;B422,IF('Paste Editor (Beta)'!$C$82="Challenge prompt",E422,IF('Paste Editor (Beta)'!$C$82="Reroll class prompt",S421,IF('Paste Editor (Beta)'!$C$82="Swap hero prompt",S421,IF('Paste Editor (Beta)'!$C$82="Anvil prompt",AD421,"")))))))</f>
        <v/>
      </c>
      <c r="AJ421" s="283">
        <f>IF('Paste Editor (Beta)'!$C$90="Level-up prompt",G422,IF('Paste Editor (Beta)'!$C$90="Item prompt",E422,IF('Paste Editor (Beta)'!$C$90="Modifier prompt","'"&amp;B422,IF('Paste Editor (Beta)'!$C$90="Challenge prompt",L422,IF('Paste Editor (Beta)'!$C$90="Reroll class prompt",S421,IF('Paste Editor (Beta)'!$C$90="Swap hero prompt",S421,IF('Paste Editor (Beta)'!$C$90="Anvil prompt",AD421,"")))))))</f>
        <v>0</v>
      </c>
      <c r="AK421" s="283">
        <f>IF('Paste Editor (Beta)'!$C$90="Level-up prompt",G422,IF('Paste Editor (Beta)'!$C$90="Item prompt",E422,IF('Paste Editor (Beta)'!$C$90="Modifier prompt","'"&amp;B422,IF('Paste Editor (Beta)'!$C$90="Challenge prompt",E422,IF('Paste Editor (Beta)'!$C$90="Reroll class prompt",S421,IF('Paste Editor (Beta)'!$C$90="Swap hero prompt",S421,IF('Paste Editor (Beta)'!$C$90="Anvil prompt",AD421,"")))))))</f>
        <v>0</v>
      </c>
    </row>
    <row r="422" spans="2:37" ht="17.25">
      <c r="B422" s="284" t="s">
        <v>3276</v>
      </c>
      <c r="C422" s="284" t="s">
        <v>3276</v>
      </c>
      <c r="D422" s="284" t="s">
        <v>3276</v>
      </c>
      <c r="AH422" s="280" t="str">
        <f>IF('Paste Editor (Beta)'!$C$82="Level-up prompt",G423,IF('Paste Editor (Beta)'!$C$82="Item prompt",E423,IF('Paste Editor (Beta)'!$C$82="Modifier prompt","'"&amp;B423,IF('Paste Editor (Beta)'!$C$82="Challenge prompt",L423,IF('Paste Editor (Beta)'!$C$82="Reroll class prompt",S422,IF('Paste Editor (Beta)'!$C$82="Swap hero prompt",S422,IF('Paste Editor (Beta)'!$C$82="Anvil prompt",AD422,"")))))))</f>
        <v/>
      </c>
      <c r="AI422" s="280" t="str">
        <f>IF('Paste Editor (Beta)'!$C$82="Level-up prompt",G423,IF('Paste Editor (Beta)'!$C$82="Item prompt",E423,IF('Paste Editor (Beta)'!$C$82="Modifier prompt","'"&amp;B423,IF('Paste Editor (Beta)'!$C$82="Challenge prompt",E423,IF('Paste Editor (Beta)'!$C$82="Reroll class prompt",S422,IF('Paste Editor (Beta)'!$C$82="Swap hero prompt",S422,IF('Paste Editor (Beta)'!$C$82="Anvil prompt",AD422,"")))))))</f>
        <v/>
      </c>
      <c r="AJ422" s="283">
        <f>IF('Paste Editor (Beta)'!$C$90="Level-up prompt",G423,IF('Paste Editor (Beta)'!$C$90="Item prompt",E423,IF('Paste Editor (Beta)'!$C$90="Modifier prompt","'"&amp;B423,IF('Paste Editor (Beta)'!$C$90="Challenge prompt",L423,IF('Paste Editor (Beta)'!$C$90="Reroll class prompt",S422,IF('Paste Editor (Beta)'!$C$90="Swap hero prompt",S422,IF('Paste Editor (Beta)'!$C$90="Anvil prompt",AD422,"")))))))</f>
        <v>0</v>
      </c>
      <c r="AK422" s="283">
        <f>IF('Paste Editor (Beta)'!$C$90="Level-up prompt",G423,IF('Paste Editor (Beta)'!$C$90="Item prompt",E423,IF('Paste Editor (Beta)'!$C$90="Modifier prompt","'"&amp;B423,IF('Paste Editor (Beta)'!$C$90="Challenge prompt",E423,IF('Paste Editor (Beta)'!$C$90="Reroll class prompt",S422,IF('Paste Editor (Beta)'!$C$90="Swap hero prompt",S422,IF('Paste Editor (Beta)'!$C$90="Anvil prompt",AD422,"")))))))</f>
        <v>0</v>
      </c>
    </row>
    <row r="423" spans="2:37" ht="17.25">
      <c r="B423" s="284" t="s">
        <v>3204</v>
      </c>
      <c r="C423" s="284" t="s">
        <v>3204</v>
      </c>
      <c r="D423" s="284" t="s">
        <v>3204</v>
      </c>
      <c r="AH423" s="280" t="str">
        <f>IF('Paste Editor (Beta)'!$C$82="Level-up prompt",G424,IF('Paste Editor (Beta)'!$C$82="Item prompt",E424,IF('Paste Editor (Beta)'!$C$82="Modifier prompt","'"&amp;B424,IF('Paste Editor (Beta)'!$C$82="Challenge prompt",L424,IF('Paste Editor (Beta)'!$C$82="Reroll class prompt",S423,IF('Paste Editor (Beta)'!$C$82="Swap hero prompt",S423,IF('Paste Editor (Beta)'!$C$82="Anvil prompt",AD423,"")))))))</f>
        <v/>
      </c>
      <c r="AI423" s="280" t="str">
        <f>IF('Paste Editor (Beta)'!$C$82="Level-up prompt",G424,IF('Paste Editor (Beta)'!$C$82="Item prompt",E424,IF('Paste Editor (Beta)'!$C$82="Modifier prompt","'"&amp;B424,IF('Paste Editor (Beta)'!$C$82="Challenge prompt",E424,IF('Paste Editor (Beta)'!$C$82="Reroll class prompt",S423,IF('Paste Editor (Beta)'!$C$82="Swap hero prompt",S423,IF('Paste Editor (Beta)'!$C$82="Anvil prompt",AD423,"")))))))</f>
        <v/>
      </c>
      <c r="AJ423" s="283">
        <f>IF('Paste Editor (Beta)'!$C$90="Level-up prompt",G424,IF('Paste Editor (Beta)'!$C$90="Item prompt",E424,IF('Paste Editor (Beta)'!$C$90="Modifier prompt","'"&amp;B424,IF('Paste Editor (Beta)'!$C$90="Challenge prompt",L424,IF('Paste Editor (Beta)'!$C$90="Reroll class prompt",S423,IF('Paste Editor (Beta)'!$C$90="Swap hero prompt",S423,IF('Paste Editor (Beta)'!$C$90="Anvil prompt",AD423,"")))))))</f>
        <v>0</v>
      </c>
      <c r="AK423" s="283">
        <f>IF('Paste Editor (Beta)'!$C$90="Level-up prompt",G424,IF('Paste Editor (Beta)'!$C$90="Item prompt",E424,IF('Paste Editor (Beta)'!$C$90="Modifier prompt","'"&amp;B424,IF('Paste Editor (Beta)'!$C$90="Challenge prompt",E424,IF('Paste Editor (Beta)'!$C$90="Reroll class prompt",S423,IF('Paste Editor (Beta)'!$C$90="Swap hero prompt",S423,IF('Paste Editor (Beta)'!$C$90="Anvil prompt",AD423,"")))))))</f>
        <v>0</v>
      </c>
    </row>
    <row r="424" spans="2:37" ht="17.25">
      <c r="B424" s="284" t="s">
        <v>3152</v>
      </c>
      <c r="C424" s="284" t="s">
        <v>3152</v>
      </c>
      <c r="D424" s="284" t="s">
        <v>3152</v>
      </c>
      <c r="AH424" s="280" t="str">
        <f>IF('Paste Editor (Beta)'!$C$82="Level-up prompt",G425,IF('Paste Editor (Beta)'!$C$82="Item prompt",E425,IF('Paste Editor (Beta)'!$C$82="Modifier prompt","'"&amp;B425,IF('Paste Editor (Beta)'!$C$82="Challenge prompt",L425,IF('Paste Editor (Beta)'!$C$82="Reroll class prompt",S424,IF('Paste Editor (Beta)'!$C$82="Swap hero prompt",S424,IF('Paste Editor (Beta)'!$C$82="Anvil prompt",AD424,"")))))))</f>
        <v/>
      </c>
      <c r="AI424" s="280" t="str">
        <f>IF('Paste Editor (Beta)'!$C$82="Level-up prompt",G425,IF('Paste Editor (Beta)'!$C$82="Item prompt",E425,IF('Paste Editor (Beta)'!$C$82="Modifier prompt","'"&amp;B425,IF('Paste Editor (Beta)'!$C$82="Challenge prompt",E425,IF('Paste Editor (Beta)'!$C$82="Reroll class prompt",S424,IF('Paste Editor (Beta)'!$C$82="Swap hero prompt",S424,IF('Paste Editor (Beta)'!$C$82="Anvil prompt",AD424,"")))))))</f>
        <v/>
      </c>
      <c r="AJ424" s="283">
        <f>IF('Paste Editor (Beta)'!$C$90="Level-up prompt",G425,IF('Paste Editor (Beta)'!$C$90="Item prompt",E425,IF('Paste Editor (Beta)'!$C$90="Modifier prompt","'"&amp;B425,IF('Paste Editor (Beta)'!$C$90="Challenge prompt",L425,IF('Paste Editor (Beta)'!$C$90="Reroll class prompt",S424,IF('Paste Editor (Beta)'!$C$90="Swap hero prompt",S424,IF('Paste Editor (Beta)'!$C$90="Anvil prompt",AD424,"")))))))</f>
        <v>0</v>
      </c>
      <c r="AK424" s="283">
        <f>IF('Paste Editor (Beta)'!$C$90="Level-up prompt",G425,IF('Paste Editor (Beta)'!$C$90="Item prompt",E425,IF('Paste Editor (Beta)'!$C$90="Modifier prompt","'"&amp;B425,IF('Paste Editor (Beta)'!$C$90="Challenge prompt",E425,IF('Paste Editor (Beta)'!$C$90="Reroll class prompt",S424,IF('Paste Editor (Beta)'!$C$90="Swap hero prompt",S424,IF('Paste Editor (Beta)'!$C$90="Anvil prompt",AD424,"")))))))</f>
        <v>0</v>
      </c>
    </row>
    <row r="425" spans="2:37" ht="17.25">
      <c r="B425" s="284" t="s">
        <v>3146</v>
      </c>
      <c r="C425" s="284" t="s">
        <v>3146</v>
      </c>
      <c r="D425" s="284" t="s">
        <v>3146</v>
      </c>
      <c r="AH425" s="280" t="str">
        <f>IF('Paste Editor (Beta)'!$C$82="Level-up prompt",G426,IF('Paste Editor (Beta)'!$C$82="Item prompt",E426,IF('Paste Editor (Beta)'!$C$82="Modifier prompt","'"&amp;B426,IF('Paste Editor (Beta)'!$C$82="Challenge prompt",L426,IF('Paste Editor (Beta)'!$C$82="Reroll class prompt",S425,IF('Paste Editor (Beta)'!$C$82="Swap hero prompt",S425,IF('Paste Editor (Beta)'!$C$82="Anvil prompt",AD425,"")))))))</f>
        <v/>
      </c>
      <c r="AI425" s="280" t="str">
        <f>IF('Paste Editor (Beta)'!$C$82="Level-up prompt",G426,IF('Paste Editor (Beta)'!$C$82="Item prompt",E426,IF('Paste Editor (Beta)'!$C$82="Modifier prompt","'"&amp;B426,IF('Paste Editor (Beta)'!$C$82="Challenge prompt",E426,IF('Paste Editor (Beta)'!$C$82="Reroll class prompt",S425,IF('Paste Editor (Beta)'!$C$82="Swap hero prompt",S425,IF('Paste Editor (Beta)'!$C$82="Anvil prompt",AD425,"")))))))</f>
        <v/>
      </c>
      <c r="AJ425" s="283">
        <f>IF('Paste Editor (Beta)'!$C$90="Level-up prompt",G426,IF('Paste Editor (Beta)'!$C$90="Item prompt",E426,IF('Paste Editor (Beta)'!$C$90="Modifier prompt","'"&amp;B426,IF('Paste Editor (Beta)'!$C$90="Challenge prompt",L426,IF('Paste Editor (Beta)'!$C$90="Reroll class prompt",S425,IF('Paste Editor (Beta)'!$C$90="Swap hero prompt",S425,IF('Paste Editor (Beta)'!$C$90="Anvil prompt",AD425,"")))))))</f>
        <v>0</v>
      </c>
      <c r="AK425" s="283">
        <f>IF('Paste Editor (Beta)'!$C$90="Level-up prompt",G426,IF('Paste Editor (Beta)'!$C$90="Item prompt",E426,IF('Paste Editor (Beta)'!$C$90="Modifier prompt","'"&amp;B426,IF('Paste Editor (Beta)'!$C$90="Challenge prompt",E426,IF('Paste Editor (Beta)'!$C$90="Reroll class prompt",S425,IF('Paste Editor (Beta)'!$C$90="Swap hero prompt",S425,IF('Paste Editor (Beta)'!$C$90="Anvil prompt",AD425,"")))))))</f>
        <v>0</v>
      </c>
    </row>
    <row r="426" spans="2:37" ht="17.25">
      <c r="B426" s="284" t="s">
        <v>3286</v>
      </c>
      <c r="C426" s="284" t="s">
        <v>3286</v>
      </c>
      <c r="D426" s="284" t="s">
        <v>3286</v>
      </c>
      <c r="AH426" s="280" t="str">
        <f>IF('Paste Editor (Beta)'!$C$82="Level-up prompt",G427,IF('Paste Editor (Beta)'!$C$82="Item prompt",E427,IF('Paste Editor (Beta)'!$C$82="Modifier prompt","'"&amp;B427,IF('Paste Editor (Beta)'!$C$82="Challenge prompt",L427,IF('Paste Editor (Beta)'!$C$82="Reroll class prompt",S426,IF('Paste Editor (Beta)'!$C$82="Swap hero prompt",S426,IF('Paste Editor (Beta)'!$C$82="Anvil prompt",AD426,"")))))))</f>
        <v/>
      </c>
      <c r="AI426" s="280" t="str">
        <f>IF('Paste Editor (Beta)'!$C$82="Level-up prompt",G427,IF('Paste Editor (Beta)'!$C$82="Item prompt",E427,IF('Paste Editor (Beta)'!$C$82="Modifier prompt","'"&amp;B427,IF('Paste Editor (Beta)'!$C$82="Challenge prompt",E427,IF('Paste Editor (Beta)'!$C$82="Reroll class prompt",S426,IF('Paste Editor (Beta)'!$C$82="Swap hero prompt",S426,IF('Paste Editor (Beta)'!$C$82="Anvil prompt",AD426,"")))))))</f>
        <v/>
      </c>
      <c r="AJ426" s="283">
        <f>IF('Paste Editor (Beta)'!$C$90="Level-up prompt",G427,IF('Paste Editor (Beta)'!$C$90="Item prompt",E427,IF('Paste Editor (Beta)'!$C$90="Modifier prompt","'"&amp;B427,IF('Paste Editor (Beta)'!$C$90="Challenge prompt",L427,IF('Paste Editor (Beta)'!$C$90="Reroll class prompt",S426,IF('Paste Editor (Beta)'!$C$90="Swap hero prompt",S426,IF('Paste Editor (Beta)'!$C$90="Anvil prompt",AD426,"")))))))</f>
        <v>0</v>
      </c>
      <c r="AK426" s="283">
        <f>IF('Paste Editor (Beta)'!$C$90="Level-up prompt",G427,IF('Paste Editor (Beta)'!$C$90="Item prompt",E427,IF('Paste Editor (Beta)'!$C$90="Modifier prompt","'"&amp;B427,IF('Paste Editor (Beta)'!$C$90="Challenge prompt",E427,IF('Paste Editor (Beta)'!$C$90="Reroll class prompt",S426,IF('Paste Editor (Beta)'!$C$90="Swap hero prompt",S426,IF('Paste Editor (Beta)'!$C$90="Anvil prompt",AD426,"")))))))</f>
        <v>0</v>
      </c>
    </row>
    <row r="427" spans="2:37" ht="17.25">
      <c r="B427" s="284" t="s">
        <v>3234</v>
      </c>
      <c r="C427" s="284" t="s">
        <v>3234</v>
      </c>
      <c r="D427" s="284" t="s">
        <v>3234</v>
      </c>
      <c r="AH427" s="280" t="str">
        <f>IF('Paste Editor (Beta)'!$C$82="Level-up prompt",G428,IF('Paste Editor (Beta)'!$C$82="Item prompt",E428,IF('Paste Editor (Beta)'!$C$82="Modifier prompt","'"&amp;B428,IF('Paste Editor (Beta)'!$C$82="Challenge prompt",L428,IF('Paste Editor (Beta)'!$C$82="Reroll class prompt",S427,IF('Paste Editor (Beta)'!$C$82="Swap hero prompt",S427,IF('Paste Editor (Beta)'!$C$82="Anvil prompt",AD427,"")))))))</f>
        <v/>
      </c>
      <c r="AI427" s="280" t="str">
        <f>IF('Paste Editor (Beta)'!$C$82="Level-up prompt",G428,IF('Paste Editor (Beta)'!$C$82="Item prompt",E428,IF('Paste Editor (Beta)'!$C$82="Modifier prompt","'"&amp;B428,IF('Paste Editor (Beta)'!$C$82="Challenge prompt",E428,IF('Paste Editor (Beta)'!$C$82="Reroll class prompt",S427,IF('Paste Editor (Beta)'!$C$82="Swap hero prompt",S427,IF('Paste Editor (Beta)'!$C$82="Anvil prompt",AD427,"")))))))</f>
        <v/>
      </c>
      <c r="AJ427" s="283">
        <f>IF('Paste Editor (Beta)'!$C$90="Level-up prompt",G428,IF('Paste Editor (Beta)'!$C$90="Item prompt",E428,IF('Paste Editor (Beta)'!$C$90="Modifier prompt","'"&amp;B428,IF('Paste Editor (Beta)'!$C$90="Challenge prompt",L428,IF('Paste Editor (Beta)'!$C$90="Reroll class prompt",S427,IF('Paste Editor (Beta)'!$C$90="Swap hero prompt",S427,IF('Paste Editor (Beta)'!$C$90="Anvil prompt",AD427,"")))))))</f>
        <v>0</v>
      </c>
      <c r="AK427" s="283">
        <f>IF('Paste Editor (Beta)'!$C$90="Level-up prompt",G428,IF('Paste Editor (Beta)'!$C$90="Item prompt",E428,IF('Paste Editor (Beta)'!$C$90="Modifier prompt","'"&amp;B428,IF('Paste Editor (Beta)'!$C$90="Challenge prompt",E428,IF('Paste Editor (Beta)'!$C$90="Reroll class prompt",S427,IF('Paste Editor (Beta)'!$C$90="Swap hero prompt",S427,IF('Paste Editor (Beta)'!$C$90="Anvil prompt",AD427,"")))))))</f>
        <v>0</v>
      </c>
    </row>
    <row r="428" spans="2:37" ht="17.25">
      <c r="B428" s="284" t="s">
        <v>3252</v>
      </c>
      <c r="C428" s="284" t="s">
        <v>3252</v>
      </c>
      <c r="D428" s="284" t="s">
        <v>3252</v>
      </c>
      <c r="AH428" s="280" t="str">
        <f>IF('Paste Editor (Beta)'!$C$82="Level-up prompt",G429,IF('Paste Editor (Beta)'!$C$82="Item prompt",E429,IF('Paste Editor (Beta)'!$C$82="Modifier prompt","'"&amp;B429,IF('Paste Editor (Beta)'!$C$82="Challenge prompt",L429,IF('Paste Editor (Beta)'!$C$82="Reroll class prompt",S428,IF('Paste Editor (Beta)'!$C$82="Swap hero prompt",S428,IF('Paste Editor (Beta)'!$C$82="Anvil prompt",AD428,"")))))))</f>
        <v/>
      </c>
      <c r="AI428" s="280" t="str">
        <f>IF('Paste Editor (Beta)'!$C$82="Level-up prompt",G429,IF('Paste Editor (Beta)'!$C$82="Item prompt",E429,IF('Paste Editor (Beta)'!$C$82="Modifier prompt","'"&amp;B429,IF('Paste Editor (Beta)'!$C$82="Challenge prompt",E429,IF('Paste Editor (Beta)'!$C$82="Reroll class prompt",S428,IF('Paste Editor (Beta)'!$C$82="Swap hero prompt",S428,IF('Paste Editor (Beta)'!$C$82="Anvil prompt",AD428,"")))))))</f>
        <v/>
      </c>
      <c r="AJ428" s="283">
        <f>IF('Paste Editor (Beta)'!$C$90="Level-up prompt",G429,IF('Paste Editor (Beta)'!$C$90="Item prompt",E429,IF('Paste Editor (Beta)'!$C$90="Modifier prompt","'"&amp;B429,IF('Paste Editor (Beta)'!$C$90="Challenge prompt",L429,IF('Paste Editor (Beta)'!$C$90="Reroll class prompt",S428,IF('Paste Editor (Beta)'!$C$90="Swap hero prompt",S428,IF('Paste Editor (Beta)'!$C$90="Anvil prompt",AD428,"")))))))</f>
        <v>0</v>
      </c>
      <c r="AK428" s="283">
        <f>IF('Paste Editor (Beta)'!$C$90="Level-up prompt",G429,IF('Paste Editor (Beta)'!$C$90="Item prompt",E429,IF('Paste Editor (Beta)'!$C$90="Modifier prompt","'"&amp;B429,IF('Paste Editor (Beta)'!$C$90="Challenge prompt",E429,IF('Paste Editor (Beta)'!$C$90="Reroll class prompt",S428,IF('Paste Editor (Beta)'!$C$90="Swap hero prompt",S428,IF('Paste Editor (Beta)'!$C$90="Anvil prompt",AD428,"")))))))</f>
        <v>0</v>
      </c>
    </row>
    <row r="429" spans="2:37" ht="17.25">
      <c r="B429" s="284" t="s">
        <v>3298</v>
      </c>
      <c r="C429" s="284" t="s">
        <v>3298</v>
      </c>
      <c r="D429" s="284" t="s">
        <v>3298</v>
      </c>
      <c r="AH429" s="280" t="str">
        <f>IF('Paste Editor (Beta)'!$C$82="Level-up prompt",G430,IF('Paste Editor (Beta)'!$C$82="Item prompt",E430,IF('Paste Editor (Beta)'!$C$82="Modifier prompt","'"&amp;B430,IF('Paste Editor (Beta)'!$C$82="Challenge prompt",L430,IF('Paste Editor (Beta)'!$C$82="Reroll class prompt",S429,IF('Paste Editor (Beta)'!$C$82="Swap hero prompt",S429,IF('Paste Editor (Beta)'!$C$82="Anvil prompt",AD429,"")))))))</f>
        <v/>
      </c>
      <c r="AI429" s="280" t="str">
        <f>IF('Paste Editor (Beta)'!$C$82="Level-up prompt",G430,IF('Paste Editor (Beta)'!$C$82="Item prompt",E430,IF('Paste Editor (Beta)'!$C$82="Modifier prompt","'"&amp;B430,IF('Paste Editor (Beta)'!$C$82="Challenge prompt",E430,IF('Paste Editor (Beta)'!$C$82="Reroll class prompt",S429,IF('Paste Editor (Beta)'!$C$82="Swap hero prompt",S429,IF('Paste Editor (Beta)'!$C$82="Anvil prompt",AD429,"")))))))</f>
        <v/>
      </c>
      <c r="AJ429" s="283">
        <f>IF('Paste Editor (Beta)'!$C$90="Level-up prompt",G430,IF('Paste Editor (Beta)'!$C$90="Item prompt",E430,IF('Paste Editor (Beta)'!$C$90="Modifier prompt","'"&amp;B430,IF('Paste Editor (Beta)'!$C$90="Challenge prompt",L430,IF('Paste Editor (Beta)'!$C$90="Reroll class prompt",S429,IF('Paste Editor (Beta)'!$C$90="Swap hero prompt",S429,IF('Paste Editor (Beta)'!$C$90="Anvil prompt",AD429,"")))))))</f>
        <v>0</v>
      </c>
      <c r="AK429" s="283">
        <f>IF('Paste Editor (Beta)'!$C$90="Level-up prompt",G430,IF('Paste Editor (Beta)'!$C$90="Item prompt",E430,IF('Paste Editor (Beta)'!$C$90="Modifier prompt","'"&amp;B430,IF('Paste Editor (Beta)'!$C$90="Challenge prompt",E430,IF('Paste Editor (Beta)'!$C$90="Reroll class prompt",S429,IF('Paste Editor (Beta)'!$C$90="Swap hero prompt",S429,IF('Paste Editor (Beta)'!$C$90="Anvil prompt",AD429,"")))))))</f>
        <v>0</v>
      </c>
    </row>
    <row r="430" spans="2:37" ht="17.25">
      <c r="B430" s="284" t="s">
        <v>3284</v>
      </c>
      <c r="C430" s="284" t="s">
        <v>3284</v>
      </c>
      <c r="D430" s="284" t="s">
        <v>3284</v>
      </c>
      <c r="AH430" s="280" t="str">
        <f>IF('Paste Editor (Beta)'!$C$82="Level-up prompt",G431,IF('Paste Editor (Beta)'!$C$82="Item prompt",E431,IF('Paste Editor (Beta)'!$C$82="Modifier prompt","'"&amp;B431,IF('Paste Editor (Beta)'!$C$82="Challenge prompt",L431,IF('Paste Editor (Beta)'!$C$82="Reroll class prompt",S430,IF('Paste Editor (Beta)'!$C$82="Swap hero prompt",S430,IF('Paste Editor (Beta)'!$C$82="Anvil prompt",AD430,"")))))))</f>
        <v/>
      </c>
      <c r="AI430" s="280" t="str">
        <f>IF('Paste Editor (Beta)'!$C$82="Level-up prompt",G431,IF('Paste Editor (Beta)'!$C$82="Item prompt",E431,IF('Paste Editor (Beta)'!$C$82="Modifier prompt","'"&amp;B431,IF('Paste Editor (Beta)'!$C$82="Challenge prompt",E431,IF('Paste Editor (Beta)'!$C$82="Reroll class prompt",S430,IF('Paste Editor (Beta)'!$C$82="Swap hero prompt",S430,IF('Paste Editor (Beta)'!$C$82="Anvil prompt",AD430,"")))))))</f>
        <v/>
      </c>
      <c r="AJ430" s="283">
        <f>IF('Paste Editor (Beta)'!$C$90="Level-up prompt",G431,IF('Paste Editor (Beta)'!$C$90="Item prompt",E431,IF('Paste Editor (Beta)'!$C$90="Modifier prompt","'"&amp;B431,IF('Paste Editor (Beta)'!$C$90="Challenge prompt",L431,IF('Paste Editor (Beta)'!$C$90="Reroll class prompt",S430,IF('Paste Editor (Beta)'!$C$90="Swap hero prompt",S430,IF('Paste Editor (Beta)'!$C$90="Anvil prompt",AD430,"")))))))</f>
        <v>0</v>
      </c>
      <c r="AK430" s="283">
        <f>IF('Paste Editor (Beta)'!$C$90="Level-up prompt",G431,IF('Paste Editor (Beta)'!$C$90="Item prompt",E431,IF('Paste Editor (Beta)'!$C$90="Modifier prompt","'"&amp;B431,IF('Paste Editor (Beta)'!$C$90="Challenge prompt",E431,IF('Paste Editor (Beta)'!$C$90="Reroll class prompt",S430,IF('Paste Editor (Beta)'!$C$90="Swap hero prompt",S430,IF('Paste Editor (Beta)'!$C$90="Anvil prompt",AD430,"")))))))</f>
        <v>0</v>
      </c>
    </row>
    <row r="431" spans="2:37" ht="17.25">
      <c r="B431" s="284" t="s">
        <v>3156</v>
      </c>
      <c r="C431" s="284" t="s">
        <v>3156</v>
      </c>
      <c r="D431" s="284" t="s">
        <v>3156</v>
      </c>
      <c r="AH431" s="280" t="str">
        <f>IF('Paste Editor (Beta)'!$C$82="Level-up prompt",G432,IF('Paste Editor (Beta)'!$C$82="Item prompt",E432,IF('Paste Editor (Beta)'!$C$82="Modifier prompt","'"&amp;B432,IF('Paste Editor (Beta)'!$C$82="Challenge prompt",L432,IF('Paste Editor (Beta)'!$C$82="Reroll class prompt",S431,IF('Paste Editor (Beta)'!$C$82="Swap hero prompt",S431,IF('Paste Editor (Beta)'!$C$82="Anvil prompt",AD431,"")))))))</f>
        <v/>
      </c>
      <c r="AI431" s="280" t="str">
        <f>IF('Paste Editor (Beta)'!$C$82="Level-up prompt",G432,IF('Paste Editor (Beta)'!$C$82="Item prompt",E432,IF('Paste Editor (Beta)'!$C$82="Modifier prompt","'"&amp;B432,IF('Paste Editor (Beta)'!$C$82="Challenge prompt",E432,IF('Paste Editor (Beta)'!$C$82="Reroll class prompt",S431,IF('Paste Editor (Beta)'!$C$82="Swap hero prompt",S431,IF('Paste Editor (Beta)'!$C$82="Anvil prompt",AD431,"")))))))</f>
        <v/>
      </c>
      <c r="AJ431" s="283">
        <f>IF('Paste Editor (Beta)'!$C$90="Level-up prompt",G432,IF('Paste Editor (Beta)'!$C$90="Item prompt",E432,IF('Paste Editor (Beta)'!$C$90="Modifier prompt","'"&amp;B432,IF('Paste Editor (Beta)'!$C$90="Challenge prompt",L432,IF('Paste Editor (Beta)'!$C$90="Reroll class prompt",S431,IF('Paste Editor (Beta)'!$C$90="Swap hero prompt",S431,IF('Paste Editor (Beta)'!$C$90="Anvil prompt",AD431,"")))))))</f>
        <v>0</v>
      </c>
      <c r="AK431" s="283">
        <f>IF('Paste Editor (Beta)'!$C$90="Level-up prompt",G432,IF('Paste Editor (Beta)'!$C$90="Item prompt",E432,IF('Paste Editor (Beta)'!$C$90="Modifier prompt","'"&amp;B432,IF('Paste Editor (Beta)'!$C$90="Challenge prompt",E432,IF('Paste Editor (Beta)'!$C$90="Reroll class prompt",S431,IF('Paste Editor (Beta)'!$C$90="Swap hero prompt",S431,IF('Paste Editor (Beta)'!$C$90="Anvil prompt",AD431,"")))))))</f>
        <v>0</v>
      </c>
    </row>
    <row r="432" spans="2:37" ht="17.25">
      <c r="B432" s="284" t="s">
        <v>2093</v>
      </c>
      <c r="C432" s="284" t="s">
        <v>2093</v>
      </c>
      <c r="D432" s="284" t="s">
        <v>2093</v>
      </c>
      <c r="AH432" s="280" t="str">
        <f>IF('Paste Editor (Beta)'!$C$82="Level-up prompt",G433,IF('Paste Editor (Beta)'!$C$82="Item prompt",E433,IF('Paste Editor (Beta)'!$C$82="Modifier prompt","'"&amp;B433,IF('Paste Editor (Beta)'!$C$82="Challenge prompt",L433,IF('Paste Editor (Beta)'!$C$82="Reroll class prompt",S432,IF('Paste Editor (Beta)'!$C$82="Swap hero prompt",S432,IF('Paste Editor (Beta)'!$C$82="Anvil prompt",AD432,"")))))))</f>
        <v/>
      </c>
      <c r="AI432" s="280" t="str">
        <f>IF('Paste Editor (Beta)'!$C$82="Level-up prompt",G433,IF('Paste Editor (Beta)'!$C$82="Item prompt",E433,IF('Paste Editor (Beta)'!$C$82="Modifier prompt","'"&amp;B433,IF('Paste Editor (Beta)'!$C$82="Challenge prompt",E433,IF('Paste Editor (Beta)'!$C$82="Reroll class prompt",S432,IF('Paste Editor (Beta)'!$C$82="Swap hero prompt",S432,IF('Paste Editor (Beta)'!$C$82="Anvil prompt",AD432,"")))))))</f>
        <v/>
      </c>
      <c r="AJ432" s="283">
        <f>IF('Paste Editor (Beta)'!$C$90="Level-up prompt",G433,IF('Paste Editor (Beta)'!$C$90="Item prompt",E433,IF('Paste Editor (Beta)'!$C$90="Modifier prompt","'"&amp;B433,IF('Paste Editor (Beta)'!$C$90="Challenge prompt",L433,IF('Paste Editor (Beta)'!$C$90="Reroll class prompt",S432,IF('Paste Editor (Beta)'!$C$90="Swap hero prompt",S432,IF('Paste Editor (Beta)'!$C$90="Anvil prompt",AD432,"")))))))</f>
        <v>0</v>
      </c>
      <c r="AK432" s="283">
        <f>IF('Paste Editor (Beta)'!$C$90="Level-up prompt",G433,IF('Paste Editor (Beta)'!$C$90="Item prompt",E433,IF('Paste Editor (Beta)'!$C$90="Modifier prompt","'"&amp;B433,IF('Paste Editor (Beta)'!$C$90="Challenge prompt",E433,IF('Paste Editor (Beta)'!$C$90="Reroll class prompt",S432,IF('Paste Editor (Beta)'!$C$90="Swap hero prompt",S432,IF('Paste Editor (Beta)'!$C$90="Anvil prompt",AD432,"")))))))</f>
        <v>0</v>
      </c>
    </row>
    <row r="433" spans="2:37" ht="17.25">
      <c r="B433" s="284" t="s">
        <v>3494</v>
      </c>
      <c r="C433" s="284" t="s">
        <v>3494</v>
      </c>
      <c r="D433" s="284" t="s">
        <v>3494</v>
      </c>
      <c r="AH433" s="280" t="str">
        <f>IF('Paste Editor (Beta)'!$C$82="Level-up prompt",G434,IF('Paste Editor (Beta)'!$C$82="Item prompt",E434,IF('Paste Editor (Beta)'!$C$82="Modifier prompt","'"&amp;B434,IF('Paste Editor (Beta)'!$C$82="Challenge prompt",L434,IF('Paste Editor (Beta)'!$C$82="Reroll class prompt",S433,IF('Paste Editor (Beta)'!$C$82="Swap hero prompt",S433,IF('Paste Editor (Beta)'!$C$82="Anvil prompt",AD433,"")))))))</f>
        <v/>
      </c>
      <c r="AI433" s="280" t="str">
        <f>IF('Paste Editor (Beta)'!$C$82="Level-up prompt",G434,IF('Paste Editor (Beta)'!$C$82="Item prompt",E434,IF('Paste Editor (Beta)'!$C$82="Modifier prompt","'"&amp;B434,IF('Paste Editor (Beta)'!$C$82="Challenge prompt",E434,IF('Paste Editor (Beta)'!$C$82="Reroll class prompt",S433,IF('Paste Editor (Beta)'!$C$82="Swap hero prompt",S433,IF('Paste Editor (Beta)'!$C$82="Anvil prompt",AD433,"")))))))</f>
        <v/>
      </c>
      <c r="AJ433" s="283">
        <f>IF('Paste Editor (Beta)'!$C$90="Level-up prompt",G434,IF('Paste Editor (Beta)'!$C$90="Item prompt",E434,IF('Paste Editor (Beta)'!$C$90="Modifier prompt","'"&amp;B434,IF('Paste Editor (Beta)'!$C$90="Challenge prompt",L434,IF('Paste Editor (Beta)'!$C$90="Reroll class prompt",S433,IF('Paste Editor (Beta)'!$C$90="Swap hero prompt",S433,IF('Paste Editor (Beta)'!$C$90="Anvil prompt",AD433,"")))))))</f>
        <v>0</v>
      </c>
      <c r="AK433" s="283">
        <f>IF('Paste Editor (Beta)'!$C$90="Level-up prompt",G434,IF('Paste Editor (Beta)'!$C$90="Item prompt",E434,IF('Paste Editor (Beta)'!$C$90="Modifier prompt","'"&amp;B434,IF('Paste Editor (Beta)'!$C$90="Challenge prompt",E434,IF('Paste Editor (Beta)'!$C$90="Reroll class prompt",S433,IF('Paste Editor (Beta)'!$C$90="Swap hero prompt",S433,IF('Paste Editor (Beta)'!$C$90="Anvil prompt",AD433,"")))))))</f>
        <v>0</v>
      </c>
    </row>
    <row r="434" spans="2:37" ht="17.25">
      <c r="B434" s="284" t="s">
        <v>3262</v>
      </c>
      <c r="C434" s="284" t="s">
        <v>3262</v>
      </c>
      <c r="D434" s="284" t="s">
        <v>3262</v>
      </c>
      <c r="AH434" s="280" t="str">
        <f>IF('Paste Editor (Beta)'!$C$82="Level-up prompt",G435,IF('Paste Editor (Beta)'!$C$82="Item prompt",E435,IF('Paste Editor (Beta)'!$C$82="Modifier prompt","'"&amp;B435,IF('Paste Editor (Beta)'!$C$82="Challenge prompt",L435,IF('Paste Editor (Beta)'!$C$82="Reroll class prompt",S434,IF('Paste Editor (Beta)'!$C$82="Swap hero prompt",S434,IF('Paste Editor (Beta)'!$C$82="Anvil prompt",AD434,"")))))))</f>
        <v/>
      </c>
      <c r="AI434" s="280" t="str">
        <f>IF('Paste Editor (Beta)'!$C$82="Level-up prompt",G435,IF('Paste Editor (Beta)'!$C$82="Item prompt",E435,IF('Paste Editor (Beta)'!$C$82="Modifier prompt","'"&amp;B435,IF('Paste Editor (Beta)'!$C$82="Challenge prompt",E435,IF('Paste Editor (Beta)'!$C$82="Reroll class prompt",S434,IF('Paste Editor (Beta)'!$C$82="Swap hero prompt",S434,IF('Paste Editor (Beta)'!$C$82="Anvil prompt",AD434,"")))))))</f>
        <v/>
      </c>
      <c r="AJ434" s="283">
        <f>IF('Paste Editor (Beta)'!$C$90="Level-up prompt",G435,IF('Paste Editor (Beta)'!$C$90="Item prompt",E435,IF('Paste Editor (Beta)'!$C$90="Modifier prompt","'"&amp;B435,IF('Paste Editor (Beta)'!$C$90="Challenge prompt",L435,IF('Paste Editor (Beta)'!$C$90="Reroll class prompt",S434,IF('Paste Editor (Beta)'!$C$90="Swap hero prompt",S434,IF('Paste Editor (Beta)'!$C$90="Anvil prompt",AD434,"")))))))</f>
        <v>0</v>
      </c>
      <c r="AK434" s="283">
        <f>IF('Paste Editor (Beta)'!$C$90="Level-up prompt",G435,IF('Paste Editor (Beta)'!$C$90="Item prompt",E435,IF('Paste Editor (Beta)'!$C$90="Modifier prompt","'"&amp;B435,IF('Paste Editor (Beta)'!$C$90="Challenge prompt",E435,IF('Paste Editor (Beta)'!$C$90="Reroll class prompt",S434,IF('Paste Editor (Beta)'!$C$90="Swap hero prompt",S434,IF('Paste Editor (Beta)'!$C$90="Anvil prompt",AD434,"")))))))</f>
        <v>0</v>
      </c>
    </row>
    <row r="435" spans="2:37" ht="17.25">
      <c r="B435" s="284" t="s">
        <v>3536</v>
      </c>
      <c r="C435" s="284" t="s">
        <v>3536</v>
      </c>
      <c r="D435" s="284" t="s">
        <v>3536</v>
      </c>
      <c r="AH435" s="280" t="str">
        <f>IF('Paste Editor (Beta)'!$C$82="Level-up prompt",G436,IF('Paste Editor (Beta)'!$C$82="Item prompt",E436,IF('Paste Editor (Beta)'!$C$82="Modifier prompt","'"&amp;B436,IF('Paste Editor (Beta)'!$C$82="Challenge prompt",L436,IF('Paste Editor (Beta)'!$C$82="Reroll class prompt",S435,IF('Paste Editor (Beta)'!$C$82="Swap hero prompt",S435,IF('Paste Editor (Beta)'!$C$82="Anvil prompt",AD435,"")))))))</f>
        <v/>
      </c>
      <c r="AI435" s="280" t="str">
        <f>IF('Paste Editor (Beta)'!$C$82="Level-up prompt",G436,IF('Paste Editor (Beta)'!$C$82="Item prompt",E436,IF('Paste Editor (Beta)'!$C$82="Modifier prompt","'"&amp;B436,IF('Paste Editor (Beta)'!$C$82="Challenge prompt",E436,IF('Paste Editor (Beta)'!$C$82="Reroll class prompt",S435,IF('Paste Editor (Beta)'!$C$82="Swap hero prompt",S435,IF('Paste Editor (Beta)'!$C$82="Anvil prompt",AD435,"")))))))</f>
        <v/>
      </c>
      <c r="AJ435" s="283">
        <f>IF('Paste Editor (Beta)'!$C$90="Level-up prompt",G436,IF('Paste Editor (Beta)'!$C$90="Item prompt",E436,IF('Paste Editor (Beta)'!$C$90="Modifier prompt","'"&amp;B436,IF('Paste Editor (Beta)'!$C$90="Challenge prompt",L436,IF('Paste Editor (Beta)'!$C$90="Reroll class prompt",S435,IF('Paste Editor (Beta)'!$C$90="Swap hero prompt",S435,IF('Paste Editor (Beta)'!$C$90="Anvil prompt",AD435,"")))))))</f>
        <v>0</v>
      </c>
      <c r="AK435" s="283">
        <f>IF('Paste Editor (Beta)'!$C$90="Level-up prompt",G436,IF('Paste Editor (Beta)'!$C$90="Item prompt",E436,IF('Paste Editor (Beta)'!$C$90="Modifier prompt","'"&amp;B436,IF('Paste Editor (Beta)'!$C$90="Challenge prompt",E436,IF('Paste Editor (Beta)'!$C$90="Reroll class prompt",S435,IF('Paste Editor (Beta)'!$C$90="Swap hero prompt",S435,IF('Paste Editor (Beta)'!$C$90="Anvil prompt",AD435,"")))))))</f>
        <v>0</v>
      </c>
    </row>
    <row r="436" spans="2:37" ht="17.25">
      <c r="B436" s="284" t="s">
        <v>3616</v>
      </c>
      <c r="C436" s="284" t="s">
        <v>3616</v>
      </c>
      <c r="D436" s="284" t="s">
        <v>3616</v>
      </c>
      <c r="AH436" s="280" t="str">
        <f>IF('Paste Editor (Beta)'!$C$82="Level-up prompt",G437,IF('Paste Editor (Beta)'!$C$82="Item prompt",E437,IF('Paste Editor (Beta)'!$C$82="Modifier prompt","'"&amp;B437,IF('Paste Editor (Beta)'!$C$82="Challenge prompt",L437,IF('Paste Editor (Beta)'!$C$82="Reroll class prompt",S436,IF('Paste Editor (Beta)'!$C$82="Swap hero prompt",S436,IF('Paste Editor (Beta)'!$C$82="Anvil prompt",AD436,"")))))))</f>
        <v/>
      </c>
      <c r="AI436" s="280" t="str">
        <f>IF('Paste Editor (Beta)'!$C$82="Level-up prompt",G437,IF('Paste Editor (Beta)'!$C$82="Item prompt",E437,IF('Paste Editor (Beta)'!$C$82="Modifier prompt","'"&amp;B437,IF('Paste Editor (Beta)'!$C$82="Challenge prompt",E437,IF('Paste Editor (Beta)'!$C$82="Reroll class prompt",S436,IF('Paste Editor (Beta)'!$C$82="Swap hero prompt",S436,IF('Paste Editor (Beta)'!$C$82="Anvil prompt",AD436,"")))))))</f>
        <v/>
      </c>
      <c r="AJ436" s="283">
        <f>IF('Paste Editor (Beta)'!$C$90="Level-up prompt",G437,IF('Paste Editor (Beta)'!$C$90="Item prompt",E437,IF('Paste Editor (Beta)'!$C$90="Modifier prompt","'"&amp;B437,IF('Paste Editor (Beta)'!$C$90="Challenge prompt",L437,IF('Paste Editor (Beta)'!$C$90="Reroll class prompt",S436,IF('Paste Editor (Beta)'!$C$90="Swap hero prompt",S436,IF('Paste Editor (Beta)'!$C$90="Anvil prompt",AD436,"")))))))</f>
        <v>0</v>
      </c>
      <c r="AK436" s="283">
        <f>IF('Paste Editor (Beta)'!$C$90="Level-up prompt",G437,IF('Paste Editor (Beta)'!$C$90="Item prompt",E437,IF('Paste Editor (Beta)'!$C$90="Modifier prompt","'"&amp;B437,IF('Paste Editor (Beta)'!$C$90="Challenge prompt",E437,IF('Paste Editor (Beta)'!$C$90="Reroll class prompt",S436,IF('Paste Editor (Beta)'!$C$90="Swap hero prompt",S436,IF('Paste Editor (Beta)'!$C$90="Anvil prompt",AD436,"")))))))</f>
        <v>0</v>
      </c>
    </row>
    <row r="437" spans="2:37" ht="17.25">
      <c r="B437" s="284" t="s">
        <v>3352</v>
      </c>
      <c r="C437" s="284" t="s">
        <v>3352</v>
      </c>
      <c r="D437" s="284" t="s">
        <v>3352</v>
      </c>
      <c r="AH437" s="280" t="str">
        <f>IF('Paste Editor (Beta)'!$C$82="Level-up prompt",G438,IF('Paste Editor (Beta)'!$C$82="Item prompt",E438,IF('Paste Editor (Beta)'!$C$82="Modifier prompt","'"&amp;B438,IF('Paste Editor (Beta)'!$C$82="Challenge prompt",L438,IF('Paste Editor (Beta)'!$C$82="Reroll class prompt",S437,IF('Paste Editor (Beta)'!$C$82="Swap hero prompt",S437,IF('Paste Editor (Beta)'!$C$82="Anvil prompt",AD437,"")))))))</f>
        <v/>
      </c>
      <c r="AI437" s="280" t="str">
        <f>IF('Paste Editor (Beta)'!$C$82="Level-up prompt",G438,IF('Paste Editor (Beta)'!$C$82="Item prompt",E438,IF('Paste Editor (Beta)'!$C$82="Modifier prompt","'"&amp;B438,IF('Paste Editor (Beta)'!$C$82="Challenge prompt",E438,IF('Paste Editor (Beta)'!$C$82="Reroll class prompt",S437,IF('Paste Editor (Beta)'!$C$82="Swap hero prompt",S437,IF('Paste Editor (Beta)'!$C$82="Anvil prompt",AD437,"")))))))</f>
        <v/>
      </c>
      <c r="AJ437" s="283">
        <f>IF('Paste Editor (Beta)'!$C$90="Level-up prompt",G438,IF('Paste Editor (Beta)'!$C$90="Item prompt",E438,IF('Paste Editor (Beta)'!$C$90="Modifier prompt","'"&amp;B438,IF('Paste Editor (Beta)'!$C$90="Challenge prompt",L438,IF('Paste Editor (Beta)'!$C$90="Reroll class prompt",S437,IF('Paste Editor (Beta)'!$C$90="Swap hero prompt",S437,IF('Paste Editor (Beta)'!$C$90="Anvil prompt",AD437,"")))))))</f>
        <v>0</v>
      </c>
      <c r="AK437" s="283">
        <f>IF('Paste Editor (Beta)'!$C$90="Level-up prompt",G438,IF('Paste Editor (Beta)'!$C$90="Item prompt",E438,IF('Paste Editor (Beta)'!$C$90="Modifier prompt","'"&amp;B438,IF('Paste Editor (Beta)'!$C$90="Challenge prompt",E438,IF('Paste Editor (Beta)'!$C$90="Reroll class prompt",S437,IF('Paste Editor (Beta)'!$C$90="Swap hero prompt",S437,IF('Paste Editor (Beta)'!$C$90="Anvil prompt",AD437,"")))))))</f>
        <v>0</v>
      </c>
    </row>
    <row r="438" spans="2:37" ht="17.25">
      <c r="B438" s="284" t="s">
        <v>2100</v>
      </c>
      <c r="C438" s="284" t="s">
        <v>2100</v>
      </c>
      <c r="D438" s="284" t="s">
        <v>2100</v>
      </c>
      <c r="AH438" s="280" t="str">
        <f>IF('Paste Editor (Beta)'!$C$82="Level-up prompt",G439,IF('Paste Editor (Beta)'!$C$82="Item prompt",E439,IF('Paste Editor (Beta)'!$C$82="Modifier prompt","'"&amp;B439,IF('Paste Editor (Beta)'!$C$82="Challenge prompt",L439,IF('Paste Editor (Beta)'!$C$82="Reroll class prompt",S438,IF('Paste Editor (Beta)'!$C$82="Swap hero prompt",S438,IF('Paste Editor (Beta)'!$C$82="Anvil prompt",AD438,"")))))))</f>
        <v/>
      </c>
      <c r="AI438" s="280" t="str">
        <f>IF('Paste Editor (Beta)'!$C$82="Level-up prompt",G439,IF('Paste Editor (Beta)'!$C$82="Item prompt",E439,IF('Paste Editor (Beta)'!$C$82="Modifier prompt","'"&amp;B439,IF('Paste Editor (Beta)'!$C$82="Challenge prompt",E439,IF('Paste Editor (Beta)'!$C$82="Reroll class prompt",S438,IF('Paste Editor (Beta)'!$C$82="Swap hero prompt",S438,IF('Paste Editor (Beta)'!$C$82="Anvil prompt",AD438,"")))))))</f>
        <v/>
      </c>
      <c r="AJ438" s="283">
        <f>IF('Paste Editor (Beta)'!$C$90="Level-up prompt",G439,IF('Paste Editor (Beta)'!$C$90="Item prompt",E439,IF('Paste Editor (Beta)'!$C$90="Modifier prompt","'"&amp;B439,IF('Paste Editor (Beta)'!$C$90="Challenge prompt",L439,IF('Paste Editor (Beta)'!$C$90="Reroll class prompt",S438,IF('Paste Editor (Beta)'!$C$90="Swap hero prompt",S438,IF('Paste Editor (Beta)'!$C$90="Anvil prompt",AD438,"")))))))</f>
        <v>0</v>
      </c>
      <c r="AK438" s="283">
        <f>IF('Paste Editor (Beta)'!$C$90="Level-up prompt",G439,IF('Paste Editor (Beta)'!$C$90="Item prompt",E439,IF('Paste Editor (Beta)'!$C$90="Modifier prompt","'"&amp;B439,IF('Paste Editor (Beta)'!$C$90="Challenge prompt",E439,IF('Paste Editor (Beta)'!$C$90="Reroll class prompt",S438,IF('Paste Editor (Beta)'!$C$90="Swap hero prompt",S438,IF('Paste Editor (Beta)'!$C$90="Anvil prompt",AD438,"")))))))</f>
        <v>0</v>
      </c>
    </row>
    <row r="439" spans="2:37" ht="17.25">
      <c r="B439" s="284" t="s">
        <v>3506</v>
      </c>
      <c r="C439" s="284" t="s">
        <v>3506</v>
      </c>
      <c r="D439" s="284" t="s">
        <v>3506</v>
      </c>
      <c r="AH439" s="280" t="str">
        <f>IF('Paste Editor (Beta)'!$C$82="Level-up prompt",G440,IF('Paste Editor (Beta)'!$C$82="Item prompt",E440,IF('Paste Editor (Beta)'!$C$82="Modifier prompt","'"&amp;B440,IF('Paste Editor (Beta)'!$C$82="Challenge prompt",L440,IF('Paste Editor (Beta)'!$C$82="Reroll class prompt",S439,IF('Paste Editor (Beta)'!$C$82="Swap hero prompt",S439,IF('Paste Editor (Beta)'!$C$82="Anvil prompt",AD439,"")))))))</f>
        <v/>
      </c>
      <c r="AI439" s="280" t="str">
        <f>IF('Paste Editor (Beta)'!$C$82="Level-up prompt",G440,IF('Paste Editor (Beta)'!$C$82="Item prompt",E440,IF('Paste Editor (Beta)'!$C$82="Modifier prompt","'"&amp;B440,IF('Paste Editor (Beta)'!$C$82="Challenge prompt",E440,IF('Paste Editor (Beta)'!$C$82="Reroll class prompt",S439,IF('Paste Editor (Beta)'!$C$82="Swap hero prompt",S439,IF('Paste Editor (Beta)'!$C$82="Anvil prompt",AD439,"")))))))</f>
        <v/>
      </c>
      <c r="AJ439" s="283">
        <f>IF('Paste Editor (Beta)'!$C$90="Level-up prompt",G440,IF('Paste Editor (Beta)'!$C$90="Item prompt",E440,IF('Paste Editor (Beta)'!$C$90="Modifier prompt","'"&amp;B440,IF('Paste Editor (Beta)'!$C$90="Challenge prompt",L440,IF('Paste Editor (Beta)'!$C$90="Reroll class prompt",S439,IF('Paste Editor (Beta)'!$C$90="Swap hero prompt",S439,IF('Paste Editor (Beta)'!$C$90="Anvil prompt",AD439,"")))))))</f>
        <v>0</v>
      </c>
      <c r="AK439" s="283">
        <f>IF('Paste Editor (Beta)'!$C$90="Level-up prompt",G440,IF('Paste Editor (Beta)'!$C$90="Item prompt",E440,IF('Paste Editor (Beta)'!$C$90="Modifier prompt","'"&amp;B440,IF('Paste Editor (Beta)'!$C$90="Challenge prompt",E440,IF('Paste Editor (Beta)'!$C$90="Reroll class prompt",S439,IF('Paste Editor (Beta)'!$C$90="Swap hero prompt",S439,IF('Paste Editor (Beta)'!$C$90="Anvil prompt",AD439,"")))))))</f>
        <v>0</v>
      </c>
    </row>
    <row r="440" spans="2:37" ht="17.25">
      <c r="B440" s="284" t="s">
        <v>3294</v>
      </c>
      <c r="C440" s="284" t="s">
        <v>3294</v>
      </c>
      <c r="D440" s="284" t="s">
        <v>3294</v>
      </c>
      <c r="AH440" s="280" t="str">
        <f>IF('Paste Editor (Beta)'!$C$82="Level-up prompt",G441,IF('Paste Editor (Beta)'!$C$82="Item prompt",E441,IF('Paste Editor (Beta)'!$C$82="Modifier prompt","'"&amp;B441,IF('Paste Editor (Beta)'!$C$82="Challenge prompt",L441,IF('Paste Editor (Beta)'!$C$82="Reroll class prompt",S440,IF('Paste Editor (Beta)'!$C$82="Swap hero prompt",S440,IF('Paste Editor (Beta)'!$C$82="Anvil prompt",AD440,"")))))))</f>
        <v/>
      </c>
      <c r="AI440" s="280" t="str">
        <f>IF('Paste Editor (Beta)'!$C$82="Level-up prompt",G441,IF('Paste Editor (Beta)'!$C$82="Item prompt",E441,IF('Paste Editor (Beta)'!$C$82="Modifier prompt","'"&amp;B441,IF('Paste Editor (Beta)'!$C$82="Challenge prompt",E441,IF('Paste Editor (Beta)'!$C$82="Reroll class prompt",S440,IF('Paste Editor (Beta)'!$C$82="Swap hero prompt",S440,IF('Paste Editor (Beta)'!$C$82="Anvil prompt",AD440,"")))))))</f>
        <v/>
      </c>
      <c r="AJ440" s="283">
        <f>IF('Paste Editor (Beta)'!$C$90="Level-up prompt",G441,IF('Paste Editor (Beta)'!$C$90="Item prompt",E441,IF('Paste Editor (Beta)'!$C$90="Modifier prompt","'"&amp;B441,IF('Paste Editor (Beta)'!$C$90="Challenge prompt",L441,IF('Paste Editor (Beta)'!$C$90="Reroll class prompt",S440,IF('Paste Editor (Beta)'!$C$90="Swap hero prompt",S440,IF('Paste Editor (Beta)'!$C$90="Anvil prompt",AD440,"")))))))</f>
        <v>0</v>
      </c>
      <c r="AK440" s="283">
        <f>IF('Paste Editor (Beta)'!$C$90="Level-up prompt",G441,IF('Paste Editor (Beta)'!$C$90="Item prompt",E441,IF('Paste Editor (Beta)'!$C$90="Modifier prompt","'"&amp;B441,IF('Paste Editor (Beta)'!$C$90="Challenge prompt",E441,IF('Paste Editor (Beta)'!$C$90="Reroll class prompt",S440,IF('Paste Editor (Beta)'!$C$90="Swap hero prompt",S440,IF('Paste Editor (Beta)'!$C$90="Anvil prompt",AD440,"")))))))</f>
        <v>0</v>
      </c>
    </row>
    <row r="441" spans="2:37" ht="17.25">
      <c r="B441" s="284" t="s">
        <v>3392</v>
      </c>
      <c r="C441" s="284" t="s">
        <v>3392</v>
      </c>
      <c r="D441" s="284" t="s">
        <v>3392</v>
      </c>
      <c r="AH441" s="280" t="str">
        <f>IF('Paste Editor (Beta)'!$C$82="Level-up prompt",G442,IF('Paste Editor (Beta)'!$C$82="Item prompt",E442,IF('Paste Editor (Beta)'!$C$82="Modifier prompt","'"&amp;B442,IF('Paste Editor (Beta)'!$C$82="Challenge prompt",L442,IF('Paste Editor (Beta)'!$C$82="Reroll class prompt",S441,IF('Paste Editor (Beta)'!$C$82="Swap hero prompt",S441,IF('Paste Editor (Beta)'!$C$82="Anvil prompt",AD441,"")))))))</f>
        <v/>
      </c>
      <c r="AI441" s="280" t="str">
        <f>IF('Paste Editor (Beta)'!$C$82="Level-up prompt",G442,IF('Paste Editor (Beta)'!$C$82="Item prompt",E442,IF('Paste Editor (Beta)'!$C$82="Modifier prompt","'"&amp;B442,IF('Paste Editor (Beta)'!$C$82="Challenge prompt",E442,IF('Paste Editor (Beta)'!$C$82="Reroll class prompt",S441,IF('Paste Editor (Beta)'!$C$82="Swap hero prompt",S441,IF('Paste Editor (Beta)'!$C$82="Anvil prompt",AD441,"")))))))</f>
        <v/>
      </c>
      <c r="AJ441" s="283">
        <f>IF('Paste Editor (Beta)'!$C$90="Level-up prompt",G442,IF('Paste Editor (Beta)'!$C$90="Item prompt",E442,IF('Paste Editor (Beta)'!$C$90="Modifier prompt","'"&amp;B442,IF('Paste Editor (Beta)'!$C$90="Challenge prompt",L442,IF('Paste Editor (Beta)'!$C$90="Reroll class prompt",S441,IF('Paste Editor (Beta)'!$C$90="Swap hero prompt",S441,IF('Paste Editor (Beta)'!$C$90="Anvil prompt",AD441,"")))))))</f>
        <v>0</v>
      </c>
      <c r="AK441" s="283">
        <f>IF('Paste Editor (Beta)'!$C$90="Level-up prompt",G442,IF('Paste Editor (Beta)'!$C$90="Item prompt",E442,IF('Paste Editor (Beta)'!$C$90="Modifier prompt","'"&amp;B442,IF('Paste Editor (Beta)'!$C$90="Challenge prompt",E442,IF('Paste Editor (Beta)'!$C$90="Reroll class prompt",S441,IF('Paste Editor (Beta)'!$C$90="Swap hero prompt",S441,IF('Paste Editor (Beta)'!$C$90="Anvil prompt",AD441,"")))))))</f>
        <v>0</v>
      </c>
    </row>
    <row r="442" spans="2:37" ht="17.25">
      <c r="B442" s="284" t="s">
        <v>3440</v>
      </c>
      <c r="C442" s="284" t="s">
        <v>3440</v>
      </c>
      <c r="D442" s="284" t="s">
        <v>3440</v>
      </c>
      <c r="AH442" s="280" t="str">
        <f>IF('Paste Editor (Beta)'!$C$82="Level-up prompt",G443,IF('Paste Editor (Beta)'!$C$82="Item prompt",E443,IF('Paste Editor (Beta)'!$C$82="Modifier prompt","'"&amp;B443,IF('Paste Editor (Beta)'!$C$82="Challenge prompt",L443,IF('Paste Editor (Beta)'!$C$82="Reroll class prompt",S442,IF('Paste Editor (Beta)'!$C$82="Swap hero prompt",S442,IF('Paste Editor (Beta)'!$C$82="Anvil prompt",AD442,"")))))))</f>
        <v/>
      </c>
      <c r="AI442" s="280" t="str">
        <f>IF('Paste Editor (Beta)'!$C$82="Level-up prompt",G443,IF('Paste Editor (Beta)'!$C$82="Item prompt",E443,IF('Paste Editor (Beta)'!$C$82="Modifier prompt","'"&amp;B443,IF('Paste Editor (Beta)'!$C$82="Challenge prompt",E443,IF('Paste Editor (Beta)'!$C$82="Reroll class prompt",S442,IF('Paste Editor (Beta)'!$C$82="Swap hero prompt",S442,IF('Paste Editor (Beta)'!$C$82="Anvil prompt",AD442,"")))))))</f>
        <v/>
      </c>
      <c r="AJ442" s="283">
        <f>IF('Paste Editor (Beta)'!$C$90="Level-up prompt",G443,IF('Paste Editor (Beta)'!$C$90="Item prompt",E443,IF('Paste Editor (Beta)'!$C$90="Modifier prompt","'"&amp;B443,IF('Paste Editor (Beta)'!$C$90="Challenge prompt",L443,IF('Paste Editor (Beta)'!$C$90="Reroll class prompt",S442,IF('Paste Editor (Beta)'!$C$90="Swap hero prompt",S442,IF('Paste Editor (Beta)'!$C$90="Anvil prompt",AD442,"")))))))</f>
        <v>0</v>
      </c>
      <c r="AK442" s="283">
        <f>IF('Paste Editor (Beta)'!$C$90="Level-up prompt",G443,IF('Paste Editor (Beta)'!$C$90="Item prompt",E443,IF('Paste Editor (Beta)'!$C$90="Modifier prompt","'"&amp;B443,IF('Paste Editor (Beta)'!$C$90="Challenge prompt",E443,IF('Paste Editor (Beta)'!$C$90="Reroll class prompt",S442,IF('Paste Editor (Beta)'!$C$90="Swap hero prompt",S442,IF('Paste Editor (Beta)'!$C$90="Anvil prompt",AD442,"")))))))</f>
        <v>0</v>
      </c>
    </row>
    <row r="443" spans="2:37" ht="17.25">
      <c r="B443" s="284" t="s">
        <v>3478</v>
      </c>
      <c r="C443" s="284" t="s">
        <v>3478</v>
      </c>
      <c r="D443" s="284" t="s">
        <v>3478</v>
      </c>
      <c r="AH443" s="280" t="str">
        <f>IF('Paste Editor (Beta)'!$C$82="Level-up prompt",G444,IF('Paste Editor (Beta)'!$C$82="Item prompt",E444,IF('Paste Editor (Beta)'!$C$82="Modifier prompt","'"&amp;B444,IF('Paste Editor (Beta)'!$C$82="Challenge prompt",L444,IF('Paste Editor (Beta)'!$C$82="Reroll class prompt",S443,IF('Paste Editor (Beta)'!$C$82="Swap hero prompt",S443,IF('Paste Editor (Beta)'!$C$82="Anvil prompt",AD443,"")))))))</f>
        <v/>
      </c>
      <c r="AI443" s="280" t="str">
        <f>IF('Paste Editor (Beta)'!$C$82="Level-up prompt",G444,IF('Paste Editor (Beta)'!$C$82="Item prompt",E444,IF('Paste Editor (Beta)'!$C$82="Modifier prompt","'"&amp;B444,IF('Paste Editor (Beta)'!$C$82="Challenge prompt",E444,IF('Paste Editor (Beta)'!$C$82="Reroll class prompt",S443,IF('Paste Editor (Beta)'!$C$82="Swap hero prompt",S443,IF('Paste Editor (Beta)'!$C$82="Anvil prompt",AD443,"")))))))</f>
        <v/>
      </c>
      <c r="AJ443" s="283">
        <f>IF('Paste Editor (Beta)'!$C$90="Level-up prompt",G444,IF('Paste Editor (Beta)'!$C$90="Item prompt",E444,IF('Paste Editor (Beta)'!$C$90="Modifier prompt","'"&amp;B444,IF('Paste Editor (Beta)'!$C$90="Challenge prompt",L444,IF('Paste Editor (Beta)'!$C$90="Reroll class prompt",S443,IF('Paste Editor (Beta)'!$C$90="Swap hero prompt",S443,IF('Paste Editor (Beta)'!$C$90="Anvil prompt",AD443,"")))))))</f>
        <v>0</v>
      </c>
      <c r="AK443" s="283">
        <f>IF('Paste Editor (Beta)'!$C$90="Level-up prompt",G444,IF('Paste Editor (Beta)'!$C$90="Item prompt",E444,IF('Paste Editor (Beta)'!$C$90="Modifier prompt","'"&amp;B444,IF('Paste Editor (Beta)'!$C$90="Challenge prompt",E444,IF('Paste Editor (Beta)'!$C$90="Reroll class prompt",S443,IF('Paste Editor (Beta)'!$C$90="Swap hero prompt",S443,IF('Paste Editor (Beta)'!$C$90="Anvil prompt",AD443,"")))))))</f>
        <v>0</v>
      </c>
    </row>
    <row r="444" spans="2:37" ht="17.25">
      <c r="B444" s="284" t="s">
        <v>3564</v>
      </c>
      <c r="C444" s="284" t="s">
        <v>3564</v>
      </c>
      <c r="D444" s="284" t="s">
        <v>3564</v>
      </c>
      <c r="AH444" s="280" t="str">
        <f>IF('Paste Editor (Beta)'!$C$82="Level-up prompt",G445,IF('Paste Editor (Beta)'!$C$82="Item prompt",E445,IF('Paste Editor (Beta)'!$C$82="Modifier prompt","'"&amp;B445,IF('Paste Editor (Beta)'!$C$82="Challenge prompt",L445,IF('Paste Editor (Beta)'!$C$82="Reroll class prompt",S444,IF('Paste Editor (Beta)'!$C$82="Swap hero prompt",S444,IF('Paste Editor (Beta)'!$C$82="Anvil prompt",AD444,"")))))))</f>
        <v/>
      </c>
      <c r="AI444" s="280" t="str">
        <f>IF('Paste Editor (Beta)'!$C$82="Level-up prompt",G445,IF('Paste Editor (Beta)'!$C$82="Item prompt",E445,IF('Paste Editor (Beta)'!$C$82="Modifier prompt","'"&amp;B445,IF('Paste Editor (Beta)'!$C$82="Challenge prompt",E445,IF('Paste Editor (Beta)'!$C$82="Reroll class prompt",S444,IF('Paste Editor (Beta)'!$C$82="Swap hero prompt",S444,IF('Paste Editor (Beta)'!$C$82="Anvil prompt",AD444,"")))))))</f>
        <v/>
      </c>
      <c r="AJ444" s="283">
        <f>IF('Paste Editor (Beta)'!$C$90="Level-up prompt",G445,IF('Paste Editor (Beta)'!$C$90="Item prompt",E445,IF('Paste Editor (Beta)'!$C$90="Modifier prompt","'"&amp;B445,IF('Paste Editor (Beta)'!$C$90="Challenge prompt",L445,IF('Paste Editor (Beta)'!$C$90="Reroll class prompt",S444,IF('Paste Editor (Beta)'!$C$90="Swap hero prompt",S444,IF('Paste Editor (Beta)'!$C$90="Anvil prompt",AD444,"")))))))</f>
        <v>0</v>
      </c>
      <c r="AK444" s="283">
        <f>IF('Paste Editor (Beta)'!$C$90="Level-up prompt",G445,IF('Paste Editor (Beta)'!$C$90="Item prompt",E445,IF('Paste Editor (Beta)'!$C$90="Modifier prompt","'"&amp;B445,IF('Paste Editor (Beta)'!$C$90="Challenge prompt",E445,IF('Paste Editor (Beta)'!$C$90="Reroll class prompt",S444,IF('Paste Editor (Beta)'!$C$90="Swap hero prompt",S444,IF('Paste Editor (Beta)'!$C$90="Anvil prompt",AD444,"")))))))</f>
        <v>0</v>
      </c>
    </row>
    <row r="445" spans="2:37" ht="17.25">
      <c r="B445" s="284" t="s">
        <v>3350</v>
      </c>
      <c r="C445" s="284" t="s">
        <v>3350</v>
      </c>
      <c r="D445" s="284" t="s">
        <v>3350</v>
      </c>
      <c r="AH445" s="280" t="str">
        <f>IF('Paste Editor (Beta)'!$C$82="Level-up prompt",G446,IF('Paste Editor (Beta)'!$C$82="Item prompt",E446,IF('Paste Editor (Beta)'!$C$82="Modifier prompt","'"&amp;B446,IF('Paste Editor (Beta)'!$C$82="Challenge prompt",L446,IF('Paste Editor (Beta)'!$C$82="Reroll class prompt",S445,IF('Paste Editor (Beta)'!$C$82="Swap hero prompt",S445,IF('Paste Editor (Beta)'!$C$82="Anvil prompt",AD445,"")))))))</f>
        <v/>
      </c>
      <c r="AI445" s="280" t="str">
        <f>IF('Paste Editor (Beta)'!$C$82="Level-up prompt",G446,IF('Paste Editor (Beta)'!$C$82="Item prompt",E446,IF('Paste Editor (Beta)'!$C$82="Modifier prompt","'"&amp;B446,IF('Paste Editor (Beta)'!$C$82="Challenge prompt",E446,IF('Paste Editor (Beta)'!$C$82="Reroll class prompt",S445,IF('Paste Editor (Beta)'!$C$82="Swap hero prompt",S445,IF('Paste Editor (Beta)'!$C$82="Anvil prompt",AD445,"")))))))</f>
        <v/>
      </c>
      <c r="AJ445" s="283">
        <f>IF('Paste Editor (Beta)'!$C$90="Level-up prompt",G446,IF('Paste Editor (Beta)'!$C$90="Item prompt",E446,IF('Paste Editor (Beta)'!$C$90="Modifier prompt","'"&amp;B446,IF('Paste Editor (Beta)'!$C$90="Challenge prompt",L446,IF('Paste Editor (Beta)'!$C$90="Reroll class prompt",S445,IF('Paste Editor (Beta)'!$C$90="Swap hero prompt",S445,IF('Paste Editor (Beta)'!$C$90="Anvil prompt",AD445,"")))))))</f>
        <v>0</v>
      </c>
      <c r="AK445" s="283">
        <f>IF('Paste Editor (Beta)'!$C$90="Level-up prompt",G446,IF('Paste Editor (Beta)'!$C$90="Item prompt",E446,IF('Paste Editor (Beta)'!$C$90="Modifier prompt","'"&amp;B446,IF('Paste Editor (Beta)'!$C$90="Challenge prompt",E446,IF('Paste Editor (Beta)'!$C$90="Reroll class prompt",S445,IF('Paste Editor (Beta)'!$C$90="Swap hero prompt",S445,IF('Paste Editor (Beta)'!$C$90="Anvil prompt",AD445,"")))))))</f>
        <v>0</v>
      </c>
    </row>
    <row r="446" spans="2:37" ht="17.25">
      <c r="B446" s="284" t="s">
        <v>3120</v>
      </c>
      <c r="C446" s="284" t="s">
        <v>3120</v>
      </c>
      <c r="D446" s="284" t="s">
        <v>3120</v>
      </c>
      <c r="AH446" s="280" t="str">
        <f>IF('Paste Editor (Beta)'!$C$82="Level-up prompt",G447,IF('Paste Editor (Beta)'!$C$82="Item prompt",E447,IF('Paste Editor (Beta)'!$C$82="Modifier prompt","'"&amp;B447,IF('Paste Editor (Beta)'!$C$82="Challenge prompt",L447,IF('Paste Editor (Beta)'!$C$82="Reroll class prompt",S446,IF('Paste Editor (Beta)'!$C$82="Swap hero prompt",S446,IF('Paste Editor (Beta)'!$C$82="Anvil prompt",AD446,"")))))))</f>
        <v/>
      </c>
      <c r="AI446" s="280" t="str">
        <f>IF('Paste Editor (Beta)'!$C$82="Level-up prompt",G447,IF('Paste Editor (Beta)'!$C$82="Item prompt",E447,IF('Paste Editor (Beta)'!$C$82="Modifier prompt","'"&amp;B447,IF('Paste Editor (Beta)'!$C$82="Challenge prompt",E447,IF('Paste Editor (Beta)'!$C$82="Reroll class prompt",S446,IF('Paste Editor (Beta)'!$C$82="Swap hero prompt",S446,IF('Paste Editor (Beta)'!$C$82="Anvil prompt",AD446,"")))))))</f>
        <v/>
      </c>
      <c r="AJ446" s="283">
        <f>IF('Paste Editor (Beta)'!$C$90="Level-up prompt",G447,IF('Paste Editor (Beta)'!$C$90="Item prompt",E447,IF('Paste Editor (Beta)'!$C$90="Modifier prompt","'"&amp;B447,IF('Paste Editor (Beta)'!$C$90="Challenge prompt",L447,IF('Paste Editor (Beta)'!$C$90="Reroll class prompt",S446,IF('Paste Editor (Beta)'!$C$90="Swap hero prompt",S446,IF('Paste Editor (Beta)'!$C$90="Anvil prompt",AD446,"")))))))</f>
        <v>0</v>
      </c>
      <c r="AK446" s="283">
        <f>IF('Paste Editor (Beta)'!$C$90="Level-up prompt",G447,IF('Paste Editor (Beta)'!$C$90="Item prompt",E447,IF('Paste Editor (Beta)'!$C$90="Modifier prompt","'"&amp;B447,IF('Paste Editor (Beta)'!$C$90="Challenge prompt",E447,IF('Paste Editor (Beta)'!$C$90="Reroll class prompt",S446,IF('Paste Editor (Beta)'!$C$90="Swap hero prompt",S446,IF('Paste Editor (Beta)'!$C$90="Anvil prompt",AD446,"")))))))</f>
        <v>0</v>
      </c>
    </row>
    <row r="447" spans="2:37" ht="17.25">
      <c r="B447" s="284" t="s">
        <v>3338</v>
      </c>
      <c r="C447" s="284" t="s">
        <v>3338</v>
      </c>
      <c r="D447" s="284" t="s">
        <v>3338</v>
      </c>
      <c r="AH447" s="280" t="str">
        <f>IF('Paste Editor (Beta)'!$C$82="Level-up prompt",G448,IF('Paste Editor (Beta)'!$C$82="Item prompt",E448,IF('Paste Editor (Beta)'!$C$82="Modifier prompt","'"&amp;B448,IF('Paste Editor (Beta)'!$C$82="Challenge prompt",L448,IF('Paste Editor (Beta)'!$C$82="Reroll class prompt",S447,IF('Paste Editor (Beta)'!$C$82="Swap hero prompt",S447,IF('Paste Editor (Beta)'!$C$82="Anvil prompt",AD447,"")))))))</f>
        <v/>
      </c>
      <c r="AI447" s="280" t="str">
        <f>IF('Paste Editor (Beta)'!$C$82="Level-up prompt",G448,IF('Paste Editor (Beta)'!$C$82="Item prompt",E448,IF('Paste Editor (Beta)'!$C$82="Modifier prompt","'"&amp;B448,IF('Paste Editor (Beta)'!$C$82="Challenge prompt",E448,IF('Paste Editor (Beta)'!$C$82="Reroll class prompt",S447,IF('Paste Editor (Beta)'!$C$82="Swap hero prompt",S447,IF('Paste Editor (Beta)'!$C$82="Anvil prompt",AD447,"")))))))</f>
        <v/>
      </c>
      <c r="AJ447" s="283">
        <f>IF('Paste Editor (Beta)'!$C$90="Level-up prompt",G448,IF('Paste Editor (Beta)'!$C$90="Item prompt",E448,IF('Paste Editor (Beta)'!$C$90="Modifier prompt","'"&amp;B448,IF('Paste Editor (Beta)'!$C$90="Challenge prompt",L448,IF('Paste Editor (Beta)'!$C$90="Reroll class prompt",S447,IF('Paste Editor (Beta)'!$C$90="Swap hero prompt",S447,IF('Paste Editor (Beta)'!$C$90="Anvil prompt",AD447,"")))))))</f>
        <v>0</v>
      </c>
      <c r="AK447" s="283">
        <f>IF('Paste Editor (Beta)'!$C$90="Level-up prompt",G448,IF('Paste Editor (Beta)'!$C$90="Item prompt",E448,IF('Paste Editor (Beta)'!$C$90="Modifier prompt","'"&amp;B448,IF('Paste Editor (Beta)'!$C$90="Challenge prompt",E448,IF('Paste Editor (Beta)'!$C$90="Reroll class prompt",S447,IF('Paste Editor (Beta)'!$C$90="Swap hero prompt",S447,IF('Paste Editor (Beta)'!$C$90="Anvil prompt",AD447,"")))))))</f>
        <v>0</v>
      </c>
    </row>
    <row r="448" spans="2:37" ht="17.25">
      <c r="B448" s="284" t="s">
        <v>3426</v>
      </c>
      <c r="C448" s="284" t="s">
        <v>3426</v>
      </c>
      <c r="D448" s="284" t="s">
        <v>3426</v>
      </c>
      <c r="AH448" s="280" t="str">
        <f>IF('Paste Editor (Beta)'!$C$82="Level-up prompt",G449,IF('Paste Editor (Beta)'!$C$82="Item prompt",E449,IF('Paste Editor (Beta)'!$C$82="Modifier prompt","'"&amp;B449,IF('Paste Editor (Beta)'!$C$82="Challenge prompt",L449,IF('Paste Editor (Beta)'!$C$82="Reroll class prompt",S448,IF('Paste Editor (Beta)'!$C$82="Swap hero prompt",S448,IF('Paste Editor (Beta)'!$C$82="Anvil prompt",AD448,"")))))))</f>
        <v/>
      </c>
      <c r="AI448" s="280" t="str">
        <f>IF('Paste Editor (Beta)'!$C$82="Level-up prompt",G449,IF('Paste Editor (Beta)'!$C$82="Item prompt",E449,IF('Paste Editor (Beta)'!$C$82="Modifier prompt","'"&amp;B449,IF('Paste Editor (Beta)'!$C$82="Challenge prompt",E449,IF('Paste Editor (Beta)'!$C$82="Reroll class prompt",S448,IF('Paste Editor (Beta)'!$C$82="Swap hero prompt",S448,IF('Paste Editor (Beta)'!$C$82="Anvil prompt",AD448,"")))))))</f>
        <v/>
      </c>
      <c r="AJ448" s="283">
        <f>IF('Paste Editor (Beta)'!$C$90="Level-up prompt",G449,IF('Paste Editor (Beta)'!$C$90="Item prompt",E449,IF('Paste Editor (Beta)'!$C$90="Modifier prompt","'"&amp;B449,IF('Paste Editor (Beta)'!$C$90="Challenge prompt",L449,IF('Paste Editor (Beta)'!$C$90="Reroll class prompt",S448,IF('Paste Editor (Beta)'!$C$90="Swap hero prompt",S448,IF('Paste Editor (Beta)'!$C$90="Anvil prompt",AD448,"")))))))</f>
        <v>0</v>
      </c>
      <c r="AK448" s="283">
        <f>IF('Paste Editor (Beta)'!$C$90="Level-up prompt",G449,IF('Paste Editor (Beta)'!$C$90="Item prompt",E449,IF('Paste Editor (Beta)'!$C$90="Modifier prompt","'"&amp;B449,IF('Paste Editor (Beta)'!$C$90="Challenge prompt",E449,IF('Paste Editor (Beta)'!$C$90="Reroll class prompt",S448,IF('Paste Editor (Beta)'!$C$90="Swap hero prompt",S448,IF('Paste Editor (Beta)'!$C$90="Anvil prompt",AD448,"")))))))</f>
        <v>0</v>
      </c>
    </row>
    <row r="449" spans="2:37" ht="17.25">
      <c r="B449" s="284" t="s">
        <v>3470</v>
      </c>
      <c r="C449" s="284" t="s">
        <v>3470</v>
      </c>
      <c r="D449" s="284" t="s">
        <v>3470</v>
      </c>
      <c r="AH449" s="280" t="str">
        <f>IF('Paste Editor (Beta)'!$C$82="Level-up prompt",G450,IF('Paste Editor (Beta)'!$C$82="Item prompt",E450,IF('Paste Editor (Beta)'!$C$82="Modifier prompt","'"&amp;B450,IF('Paste Editor (Beta)'!$C$82="Challenge prompt",L450,IF('Paste Editor (Beta)'!$C$82="Reroll class prompt",S449,IF('Paste Editor (Beta)'!$C$82="Swap hero prompt",S449,IF('Paste Editor (Beta)'!$C$82="Anvil prompt",AD449,"")))))))</f>
        <v/>
      </c>
      <c r="AI449" s="280" t="str">
        <f>IF('Paste Editor (Beta)'!$C$82="Level-up prompt",G450,IF('Paste Editor (Beta)'!$C$82="Item prompt",E450,IF('Paste Editor (Beta)'!$C$82="Modifier prompt","'"&amp;B450,IF('Paste Editor (Beta)'!$C$82="Challenge prompt",E450,IF('Paste Editor (Beta)'!$C$82="Reroll class prompt",S449,IF('Paste Editor (Beta)'!$C$82="Swap hero prompt",S449,IF('Paste Editor (Beta)'!$C$82="Anvil prompt",AD449,"")))))))</f>
        <v/>
      </c>
      <c r="AJ449" s="283">
        <f>IF('Paste Editor (Beta)'!$C$90="Level-up prompt",G450,IF('Paste Editor (Beta)'!$C$90="Item prompt",E450,IF('Paste Editor (Beta)'!$C$90="Modifier prompt","'"&amp;B450,IF('Paste Editor (Beta)'!$C$90="Challenge prompt",L450,IF('Paste Editor (Beta)'!$C$90="Reroll class prompt",S449,IF('Paste Editor (Beta)'!$C$90="Swap hero prompt",S449,IF('Paste Editor (Beta)'!$C$90="Anvil prompt",AD449,"")))))))</f>
        <v>0</v>
      </c>
      <c r="AK449" s="283">
        <f>IF('Paste Editor (Beta)'!$C$90="Level-up prompt",G450,IF('Paste Editor (Beta)'!$C$90="Item prompt",E450,IF('Paste Editor (Beta)'!$C$90="Modifier prompt","'"&amp;B450,IF('Paste Editor (Beta)'!$C$90="Challenge prompt",E450,IF('Paste Editor (Beta)'!$C$90="Reroll class prompt",S449,IF('Paste Editor (Beta)'!$C$90="Swap hero prompt",S449,IF('Paste Editor (Beta)'!$C$90="Anvil prompt",AD449,"")))))))</f>
        <v>0</v>
      </c>
    </row>
    <row r="450" spans="2:37" ht="17.25">
      <c r="B450" s="284" t="s">
        <v>3330</v>
      </c>
      <c r="C450" s="284" t="s">
        <v>3330</v>
      </c>
      <c r="D450" s="284" t="s">
        <v>3330</v>
      </c>
      <c r="AH450" s="280" t="str">
        <f>IF('Paste Editor (Beta)'!$C$82="Level-up prompt",G451,IF('Paste Editor (Beta)'!$C$82="Item prompt",E451,IF('Paste Editor (Beta)'!$C$82="Modifier prompt","'"&amp;B451,IF('Paste Editor (Beta)'!$C$82="Challenge prompt",L451,IF('Paste Editor (Beta)'!$C$82="Reroll class prompt",S450,IF('Paste Editor (Beta)'!$C$82="Swap hero prompt",S450,IF('Paste Editor (Beta)'!$C$82="Anvil prompt",AD450,"")))))))</f>
        <v/>
      </c>
      <c r="AI450" s="280" t="str">
        <f>IF('Paste Editor (Beta)'!$C$82="Level-up prompt",G451,IF('Paste Editor (Beta)'!$C$82="Item prompt",E451,IF('Paste Editor (Beta)'!$C$82="Modifier prompt","'"&amp;B451,IF('Paste Editor (Beta)'!$C$82="Challenge prompt",E451,IF('Paste Editor (Beta)'!$C$82="Reroll class prompt",S450,IF('Paste Editor (Beta)'!$C$82="Swap hero prompt",S450,IF('Paste Editor (Beta)'!$C$82="Anvil prompt",AD450,"")))))))</f>
        <v/>
      </c>
      <c r="AJ450" s="283">
        <f>IF('Paste Editor (Beta)'!$C$90="Level-up prompt",G451,IF('Paste Editor (Beta)'!$C$90="Item prompt",E451,IF('Paste Editor (Beta)'!$C$90="Modifier prompt","'"&amp;B451,IF('Paste Editor (Beta)'!$C$90="Challenge prompt",L451,IF('Paste Editor (Beta)'!$C$90="Reroll class prompt",S450,IF('Paste Editor (Beta)'!$C$90="Swap hero prompt",S450,IF('Paste Editor (Beta)'!$C$90="Anvil prompt",AD450,"")))))))</f>
        <v>0</v>
      </c>
      <c r="AK450" s="283">
        <f>IF('Paste Editor (Beta)'!$C$90="Level-up prompt",G451,IF('Paste Editor (Beta)'!$C$90="Item prompt",E451,IF('Paste Editor (Beta)'!$C$90="Modifier prompt","'"&amp;B451,IF('Paste Editor (Beta)'!$C$90="Challenge prompt",E451,IF('Paste Editor (Beta)'!$C$90="Reroll class prompt",S450,IF('Paste Editor (Beta)'!$C$90="Swap hero prompt",S450,IF('Paste Editor (Beta)'!$C$90="Anvil prompt",AD450,"")))))))</f>
        <v>0</v>
      </c>
    </row>
    <row r="451" spans="2:37" ht="17.25">
      <c r="B451" s="284" t="s">
        <v>3628</v>
      </c>
      <c r="C451" s="284" t="s">
        <v>3628</v>
      </c>
      <c r="D451" s="284" t="s">
        <v>3628</v>
      </c>
      <c r="AH451" s="280" t="str">
        <f>IF('Paste Editor (Beta)'!$C$82="Level-up prompt",G452,IF('Paste Editor (Beta)'!$C$82="Item prompt",E452,IF('Paste Editor (Beta)'!$C$82="Modifier prompt","'"&amp;B452,IF('Paste Editor (Beta)'!$C$82="Challenge prompt",L452,IF('Paste Editor (Beta)'!$C$82="Reroll class prompt",S451,IF('Paste Editor (Beta)'!$C$82="Swap hero prompt",S451,IF('Paste Editor (Beta)'!$C$82="Anvil prompt",AD451,"")))))))</f>
        <v/>
      </c>
      <c r="AI451" s="280" t="str">
        <f>IF('Paste Editor (Beta)'!$C$82="Level-up prompt",G452,IF('Paste Editor (Beta)'!$C$82="Item prompt",E452,IF('Paste Editor (Beta)'!$C$82="Modifier prompt","'"&amp;B452,IF('Paste Editor (Beta)'!$C$82="Challenge prompt",E452,IF('Paste Editor (Beta)'!$C$82="Reroll class prompt",S451,IF('Paste Editor (Beta)'!$C$82="Swap hero prompt",S451,IF('Paste Editor (Beta)'!$C$82="Anvil prompt",AD451,"")))))))</f>
        <v/>
      </c>
      <c r="AJ451" s="283">
        <f>IF('Paste Editor (Beta)'!$C$90="Level-up prompt",G452,IF('Paste Editor (Beta)'!$C$90="Item prompt",E452,IF('Paste Editor (Beta)'!$C$90="Modifier prompt","'"&amp;B452,IF('Paste Editor (Beta)'!$C$90="Challenge prompt",L452,IF('Paste Editor (Beta)'!$C$90="Reroll class prompt",S451,IF('Paste Editor (Beta)'!$C$90="Swap hero prompt",S451,IF('Paste Editor (Beta)'!$C$90="Anvil prompt",AD451,"")))))))</f>
        <v>0</v>
      </c>
      <c r="AK451" s="283">
        <f>IF('Paste Editor (Beta)'!$C$90="Level-up prompt",G452,IF('Paste Editor (Beta)'!$C$90="Item prompt",E452,IF('Paste Editor (Beta)'!$C$90="Modifier prompt","'"&amp;B452,IF('Paste Editor (Beta)'!$C$90="Challenge prompt",E452,IF('Paste Editor (Beta)'!$C$90="Reroll class prompt",S451,IF('Paste Editor (Beta)'!$C$90="Swap hero prompt",S451,IF('Paste Editor (Beta)'!$C$90="Anvil prompt",AD451,"")))))))</f>
        <v>0</v>
      </c>
    </row>
    <row r="452" spans="2:37" ht="17.25">
      <c r="B452" s="284" t="s">
        <v>2197</v>
      </c>
      <c r="C452" s="284" t="s">
        <v>2197</v>
      </c>
      <c r="D452" s="284" t="s">
        <v>2197</v>
      </c>
      <c r="AH452" s="280" t="str">
        <f>IF('Paste Editor (Beta)'!$C$82="Level-up prompt",G453,IF('Paste Editor (Beta)'!$C$82="Item prompt",E453,IF('Paste Editor (Beta)'!$C$82="Modifier prompt","'"&amp;B453,IF('Paste Editor (Beta)'!$C$82="Challenge prompt",L453,IF('Paste Editor (Beta)'!$C$82="Reroll class prompt",S452,IF('Paste Editor (Beta)'!$C$82="Swap hero prompt",S452,IF('Paste Editor (Beta)'!$C$82="Anvil prompt",AD452,"")))))))</f>
        <v/>
      </c>
      <c r="AI452" s="280" t="str">
        <f>IF('Paste Editor (Beta)'!$C$82="Level-up prompt",G453,IF('Paste Editor (Beta)'!$C$82="Item prompt",E453,IF('Paste Editor (Beta)'!$C$82="Modifier prompt","'"&amp;B453,IF('Paste Editor (Beta)'!$C$82="Challenge prompt",E453,IF('Paste Editor (Beta)'!$C$82="Reroll class prompt",S452,IF('Paste Editor (Beta)'!$C$82="Swap hero prompt",S452,IF('Paste Editor (Beta)'!$C$82="Anvil prompt",AD452,"")))))))</f>
        <v/>
      </c>
      <c r="AJ452" s="283">
        <f>IF('Paste Editor (Beta)'!$C$90="Level-up prompt",G453,IF('Paste Editor (Beta)'!$C$90="Item prompt",E453,IF('Paste Editor (Beta)'!$C$90="Modifier prompt","'"&amp;B453,IF('Paste Editor (Beta)'!$C$90="Challenge prompt",L453,IF('Paste Editor (Beta)'!$C$90="Reroll class prompt",S452,IF('Paste Editor (Beta)'!$C$90="Swap hero prompt",S452,IF('Paste Editor (Beta)'!$C$90="Anvil prompt",AD452,"")))))))</f>
        <v>0</v>
      </c>
      <c r="AK452" s="283">
        <f>IF('Paste Editor (Beta)'!$C$90="Level-up prompt",G453,IF('Paste Editor (Beta)'!$C$90="Item prompt",E453,IF('Paste Editor (Beta)'!$C$90="Modifier prompt","'"&amp;B453,IF('Paste Editor (Beta)'!$C$90="Challenge prompt",E453,IF('Paste Editor (Beta)'!$C$90="Reroll class prompt",S452,IF('Paste Editor (Beta)'!$C$90="Swap hero prompt",S452,IF('Paste Editor (Beta)'!$C$90="Anvil prompt",AD452,"")))))))</f>
        <v>0</v>
      </c>
    </row>
    <row r="453" spans="2:37" ht="17.25">
      <c r="B453" s="284" t="s">
        <v>3302</v>
      </c>
      <c r="C453" s="284" t="s">
        <v>3302</v>
      </c>
      <c r="D453" s="284" t="s">
        <v>3302</v>
      </c>
      <c r="AH453" s="280" t="str">
        <f>IF('Paste Editor (Beta)'!$C$82="Level-up prompt",G454,IF('Paste Editor (Beta)'!$C$82="Item prompt",E454,IF('Paste Editor (Beta)'!$C$82="Modifier prompt","'"&amp;B454,IF('Paste Editor (Beta)'!$C$82="Challenge prompt",L454,IF('Paste Editor (Beta)'!$C$82="Reroll class prompt",S453,IF('Paste Editor (Beta)'!$C$82="Swap hero prompt",S453,IF('Paste Editor (Beta)'!$C$82="Anvil prompt",AD453,"")))))))</f>
        <v/>
      </c>
      <c r="AI453" s="280" t="str">
        <f>IF('Paste Editor (Beta)'!$C$82="Level-up prompt",G454,IF('Paste Editor (Beta)'!$C$82="Item prompt",E454,IF('Paste Editor (Beta)'!$C$82="Modifier prompt","'"&amp;B454,IF('Paste Editor (Beta)'!$C$82="Challenge prompt",E454,IF('Paste Editor (Beta)'!$C$82="Reroll class prompt",S453,IF('Paste Editor (Beta)'!$C$82="Swap hero prompt",S453,IF('Paste Editor (Beta)'!$C$82="Anvil prompt",AD453,"")))))))</f>
        <v/>
      </c>
      <c r="AJ453" s="283">
        <f>IF('Paste Editor (Beta)'!$C$90="Level-up prompt",G454,IF('Paste Editor (Beta)'!$C$90="Item prompt",E454,IF('Paste Editor (Beta)'!$C$90="Modifier prompt","'"&amp;B454,IF('Paste Editor (Beta)'!$C$90="Challenge prompt",L454,IF('Paste Editor (Beta)'!$C$90="Reroll class prompt",S453,IF('Paste Editor (Beta)'!$C$90="Swap hero prompt",S453,IF('Paste Editor (Beta)'!$C$90="Anvil prompt",AD453,"")))))))</f>
        <v>0</v>
      </c>
      <c r="AK453" s="283">
        <f>IF('Paste Editor (Beta)'!$C$90="Level-up prompt",G454,IF('Paste Editor (Beta)'!$C$90="Item prompt",E454,IF('Paste Editor (Beta)'!$C$90="Modifier prompt","'"&amp;B454,IF('Paste Editor (Beta)'!$C$90="Challenge prompt",E454,IF('Paste Editor (Beta)'!$C$90="Reroll class prompt",S453,IF('Paste Editor (Beta)'!$C$90="Swap hero prompt",S453,IF('Paste Editor (Beta)'!$C$90="Anvil prompt",AD453,"")))))))</f>
        <v>0</v>
      </c>
    </row>
    <row r="454" spans="2:37" ht="17.25">
      <c r="B454" s="284" t="s">
        <v>3640</v>
      </c>
      <c r="C454" s="284" t="s">
        <v>3640</v>
      </c>
      <c r="D454" s="284" t="s">
        <v>3640</v>
      </c>
      <c r="AH454" s="280" t="str">
        <f>IF('Paste Editor (Beta)'!$C$82="Level-up prompt",G455,IF('Paste Editor (Beta)'!$C$82="Item prompt",E455,IF('Paste Editor (Beta)'!$C$82="Modifier prompt","'"&amp;B455,IF('Paste Editor (Beta)'!$C$82="Challenge prompt",L455,IF('Paste Editor (Beta)'!$C$82="Reroll class prompt",S454,IF('Paste Editor (Beta)'!$C$82="Swap hero prompt",S454,IF('Paste Editor (Beta)'!$C$82="Anvil prompt",AD454,"")))))))</f>
        <v/>
      </c>
      <c r="AI454" s="280" t="str">
        <f>IF('Paste Editor (Beta)'!$C$82="Level-up prompt",G455,IF('Paste Editor (Beta)'!$C$82="Item prompt",E455,IF('Paste Editor (Beta)'!$C$82="Modifier prompt","'"&amp;B455,IF('Paste Editor (Beta)'!$C$82="Challenge prompt",E455,IF('Paste Editor (Beta)'!$C$82="Reroll class prompt",S454,IF('Paste Editor (Beta)'!$C$82="Swap hero prompt",S454,IF('Paste Editor (Beta)'!$C$82="Anvil prompt",AD454,"")))))))</f>
        <v/>
      </c>
      <c r="AJ454" s="283">
        <f>IF('Paste Editor (Beta)'!$C$90="Level-up prompt",G455,IF('Paste Editor (Beta)'!$C$90="Item prompt",E455,IF('Paste Editor (Beta)'!$C$90="Modifier prompt","'"&amp;B455,IF('Paste Editor (Beta)'!$C$90="Challenge prompt",L455,IF('Paste Editor (Beta)'!$C$90="Reroll class prompt",S454,IF('Paste Editor (Beta)'!$C$90="Swap hero prompt",S454,IF('Paste Editor (Beta)'!$C$90="Anvil prompt",AD454,"")))))))</f>
        <v>0</v>
      </c>
      <c r="AK454" s="283">
        <f>IF('Paste Editor (Beta)'!$C$90="Level-up prompt",G455,IF('Paste Editor (Beta)'!$C$90="Item prompt",E455,IF('Paste Editor (Beta)'!$C$90="Modifier prompt","'"&amp;B455,IF('Paste Editor (Beta)'!$C$90="Challenge prompt",E455,IF('Paste Editor (Beta)'!$C$90="Reroll class prompt",S454,IF('Paste Editor (Beta)'!$C$90="Swap hero prompt",S454,IF('Paste Editor (Beta)'!$C$90="Anvil prompt",AD454,"")))))))</f>
        <v>0</v>
      </c>
    </row>
    <row r="455" spans="2:37" ht="17.25">
      <c r="B455" s="284" t="s">
        <v>3500</v>
      </c>
      <c r="C455" s="284" t="s">
        <v>3500</v>
      </c>
      <c r="D455" s="284" t="s">
        <v>3500</v>
      </c>
      <c r="AH455" s="280" t="str">
        <f>IF('Paste Editor (Beta)'!$C$82="Level-up prompt",G456,IF('Paste Editor (Beta)'!$C$82="Item prompt",E456,IF('Paste Editor (Beta)'!$C$82="Modifier prompt","'"&amp;B456,IF('Paste Editor (Beta)'!$C$82="Challenge prompt",L456,IF('Paste Editor (Beta)'!$C$82="Reroll class prompt",S455,IF('Paste Editor (Beta)'!$C$82="Swap hero prompt",S455,IF('Paste Editor (Beta)'!$C$82="Anvil prompt",AD455,"")))))))</f>
        <v/>
      </c>
      <c r="AI455" s="280" t="str">
        <f>IF('Paste Editor (Beta)'!$C$82="Level-up prompt",G456,IF('Paste Editor (Beta)'!$C$82="Item prompt",E456,IF('Paste Editor (Beta)'!$C$82="Modifier prompt","'"&amp;B456,IF('Paste Editor (Beta)'!$C$82="Challenge prompt",E456,IF('Paste Editor (Beta)'!$C$82="Reroll class prompt",S455,IF('Paste Editor (Beta)'!$C$82="Swap hero prompt",S455,IF('Paste Editor (Beta)'!$C$82="Anvil prompt",AD455,"")))))))</f>
        <v/>
      </c>
      <c r="AJ455" s="283">
        <f>IF('Paste Editor (Beta)'!$C$90="Level-up prompt",G456,IF('Paste Editor (Beta)'!$C$90="Item prompt",E456,IF('Paste Editor (Beta)'!$C$90="Modifier prompt","'"&amp;B456,IF('Paste Editor (Beta)'!$C$90="Challenge prompt",L456,IF('Paste Editor (Beta)'!$C$90="Reroll class prompt",S455,IF('Paste Editor (Beta)'!$C$90="Swap hero prompt",S455,IF('Paste Editor (Beta)'!$C$90="Anvil prompt",AD455,"")))))))</f>
        <v>0</v>
      </c>
      <c r="AK455" s="283">
        <f>IF('Paste Editor (Beta)'!$C$90="Level-up prompt",G456,IF('Paste Editor (Beta)'!$C$90="Item prompt",E456,IF('Paste Editor (Beta)'!$C$90="Modifier prompt","'"&amp;B456,IF('Paste Editor (Beta)'!$C$90="Challenge prompt",E456,IF('Paste Editor (Beta)'!$C$90="Reroll class prompt",S455,IF('Paste Editor (Beta)'!$C$90="Swap hero prompt",S455,IF('Paste Editor (Beta)'!$C$90="Anvil prompt",AD455,"")))))))</f>
        <v>0</v>
      </c>
    </row>
    <row r="456" spans="2:37" ht="17.25">
      <c r="B456" s="284" t="s">
        <v>3218</v>
      </c>
      <c r="C456" s="284" t="s">
        <v>3218</v>
      </c>
      <c r="D456" s="284" t="s">
        <v>3218</v>
      </c>
      <c r="AH456" s="280" t="str">
        <f>IF('Paste Editor (Beta)'!$C$82="Level-up prompt",G457,IF('Paste Editor (Beta)'!$C$82="Item prompt",E457,IF('Paste Editor (Beta)'!$C$82="Modifier prompt","'"&amp;B457,IF('Paste Editor (Beta)'!$C$82="Challenge prompt",L457,IF('Paste Editor (Beta)'!$C$82="Reroll class prompt",S456,IF('Paste Editor (Beta)'!$C$82="Swap hero prompt",S456,IF('Paste Editor (Beta)'!$C$82="Anvil prompt",AD456,"")))))))</f>
        <v/>
      </c>
      <c r="AI456" s="280" t="str">
        <f>IF('Paste Editor (Beta)'!$C$82="Level-up prompt",G457,IF('Paste Editor (Beta)'!$C$82="Item prompt",E457,IF('Paste Editor (Beta)'!$C$82="Modifier prompt","'"&amp;B457,IF('Paste Editor (Beta)'!$C$82="Challenge prompt",E457,IF('Paste Editor (Beta)'!$C$82="Reroll class prompt",S456,IF('Paste Editor (Beta)'!$C$82="Swap hero prompt",S456,IF('Paste Editor (Beta)'!$C$82="Anvil prompt",AD456,"")))))))</f>
        <v/>
      </c>
      <c r="AJ456" s="283">
        <f>IF('Paste Editor (Beta)'!$C$90="Level-up prompt",G457,IF('Paste Editor (Beta)'!$C$90="Item prompt",E457,IF('Paste Editor (Beta)'!$C$90="Modifier prompt","'"&amp;B457,IF('Paste Editor (Beta)'!$C$90="Challenge prompt",L457,IF('Paste Editor (Beta)'!$C$90="Reroll class prompt",S456,IF('Paste Editor (Beta)'!$C$90="Swap hero prompt",S456,IF('Paste Editor (Beta)'!$C$90="Anvil prompt",AD456,"")))))))</f>
        <v>0</v>
      </c>
      <c r="AK456" s="283">
        <f>IF('Paste Editor (Beta)'!$C$90="Level-up prompt",G457,IF('Paste Editor (Beta)'!$C$90="Item prompt",E457,IF('Paste Editor (Beta)'!$C$90="Modifier prompt","'"&amp;B457,IF('Paste Editor (Beta)'!$C$90="Challenge prompt",E457,IF('Paste Editor (Beta)'!$C$90="Reroll class prompt",S456,IF('Paste Editor (Beta)'!$C$90="Swap hero prompt",S456,IF('Paste Editor (Beta)'!$C$90="Anvil prompt",AD456,"")))))))</f>
        <v>0</v>
      </c>
    </row>
    <row r="457" spans="2:37" ht="17.25">
      <c r="B457" s="284" t="s">
        <v>3458</v>
      </c>
      <c r="C457" s="284" t="s">
        <v>3458</v>
      </c>
      <c r="D457" s="284" t="s">
        <v>3458</v>
      </c>
      <c r="AH457" s="280" t="str">
        <f>IF('Paste Editor (Beta)'!$C$82="Level-up prompt",G458,IF('Paste Editor (Beta)'!$C$82="Item prompt",E458,IF('Paste Editor (Beta)'!$C$82="Modifier prompt","'"&amp;B458,IF('Paste Editor (Beta)'!$C$82="Challenge prompt",L458,IF('Paste Editor (Beta)'!$C$82="Reroll class prompt",S457,IF('Paste Editor (Beta)'!$C$82="Swap hero prompt",S457,IF('Paste Editor (Beta)'!$C$82="Anvil prompt",AD457,"")))))))</f>
        <v/>
      </c>
      <c r="AI457" s="280" t="str">
        <f>IF('Paste Editor (Beta)'!$C$82="Level-up prompt",G458,IF('Paste Editor (Beta)'!$C$82="Item prompt",E458,IF('Paste Editor (Beta)'!$C$82="Modifier prompt","'"&amp;B458,IF('Paste Editor (Beta)'!$C$82="Challenge prompt",E458,IF('Paste Editor (Beta)'!$C$82="Reroll class prompt",S457,IF('Paste Editor (Beta)'!$C$82="Swap hero prompt",S457,IF('Paste Editor (Beta)'!$C$82="Anvil prompt",AD457,"")))))))</f>
        <v/>
      </c>
      <c r="AJ457" s="283">
        <f>IF('Paste Editor (Beta)'!$C$90="Level-up prompt",G458,IF('Paste Editor (Beta)'!$C$90="Item prompt",E458,IF('Paste Editor (Beta)'!$C$90="Modifier prompt","'"&amp;B458,IF('Paste Editor (Beta)'!$C$90="Challenge prompt",L458,IF('Paste Editor (Beta)'!$C$90="Reroll class prompt",S457,IF('Paste Editor (Beta)'!$C$90="Swap hero prompt",S457,IF('Paste Editor (Beta)'!$C$90="Anvil prompt",AD457,"")))))))</f>
        <v>0</v>
      </c>
      <c r="AK457" s="283">
        <f>IF('Paste Editor (Beta)'!$C$90="Level-up prompt",G458,IF('Paste Editor (Beta)'!$C$90="Item prompt",E458,IF('Paste Editor (Beta)'!$C$90="Modifier prompt","'"&amp;B458,IF('Paste Editor (Beta)'!$C$90="Challenge prompt",E458,IF('Paste Editor (Beta)'!$C$90="Reroll class prompt",S457,IF('Paste Editor (Beta)'!$C$90="Swap hero prompt",S457,IF('Paste Editor (Beta)'!$C$90="Anvil prompt",AD457,"")))))))</f>
        <v>0</v>
      </c>
    </row>
    <row r="458" spans="2:37" ht="17.25">
      <c r="B458" s="284" t="s">
        <v>3492</v>
      </c>
      <c r="C458" s="284" t="s">
        <v>3492</v>
      </c>
      <c r="D458" s="284" t="s">
        <v>3492</v>
      </c>
      <c r="AH458" s="280" t="str">
        <f>IF('Paste Editor (Beta)'!$C$82="Level-up prompt",G459,IF('Paste Editor (Beta)'!$C$82="Item prompt",E459,IF('Paste Editor (Beta)'!$C$82="Modifier prompt","'"&amp;B459,IF('Paste Editor (Beta)'!$C$82="Challenge prompt",L459,IF('Paste Editor (Beta)'!$C$82="Reroll class prompt",S458,IF('Paste Editor (Beta)'!$C$82="Swap hero prompt",S458,IF('Paste Editor (Beta)'!$C$82="Anvil prompt",AD458,"")))))))</f>
        <v/>
      </c>
      <c r="AI458" s="280" t="str">
        <f>IF('Paste Editor (Beta)'!$C$82="Level-up prompt",G459,IF('Paste Editor (Beta)'!$C$82="Item prompt",E459,IF('Paste Editor (Beta)'!$C$82="Modifier prompt","'"&amp;B459,IF('Paste Editor (Beta)'!$C$82="Challenge prompt",E459,IF('Paste Editor (Beta)'!$C$82="Reroll class prompt",S458,IF('Paste Editor (Beta)'!$C$82="Swap hero prompt",S458,IF('Paste Editor (Beta)'!$C$82="Anvil prompt",AD458,"")))))))</f>
        <v/>
      </c>
      <c r="AJ458" s="283">
        <f>IF('Paste Editor (Beta)'!$C$90="Level-up prompt",G459,IF('Paste Editor (Beta)'!$C$90="Item prompt",E459,IF('Paste Editor (Beta)'!$C$90="Modifier prompt","'"&amp;B459,IF('Paste Editor (Beta)'!$C$90="Challenge prompt",L459,IF('Paste Editor (Beta)'!$C$90="Reroll class prompt",S458,IF('Paste Editor (Beta)'!$C$90="Swap hero prompt",S458,IF('Paste Editor (Beta)'!$C$90="Anvil prompt",AD458,"")))))))</f>
        <v>0</v>
      </c>
      <c r="AK458" s="283">
        <f>IF('Paste Editor (Beta)'!$C$90="Level-up prompt",G459,IF('Paste Editor (Beta)'!$C$90="Item prompt",E459,IF('Paste Editor (Beta)'!$C$90="Modifier prompt","'"&amp;B459,IF('Paste Editor (Beta)'!$C$90="Challenge prompt",E459,IF('Paste Editor (Beta)'!$C$90="Reroll class prompt",S458,IF('Paste Editor (Beta)'!$C$90="Swap hero prompt",S458,IF('Paste Editor (Beta)'!$C$90="Anvil prompt",AD458,"")))))))</f>
        <v>0</v>
      </c>
    </row>
    <row r="459" spans="2:37" ht="17.25">
      <c r="B459" s="284" t="s">
        <v>3368</v>
      </c>
      <c r="C459" s="284" t="s">
        <v>3368</v>
      </c>
      <c r="D459" s="284" t="s">
        <v>3368</v>
      </c>
      <c r="AH459" s="280" t="str">
        <f>IF('Paste Editor (Beta)'!$C$82="Level-up prompt",G460,IF('Paste Editor (Beta)'!$C$82="Item prompt",E460,IF('Paste Editor (Beta)'!$C$82="Modifier prompt","'"&amp;B460,IF('Paste Editor (Beta)'!$C$82="Challenge prompt",L460,IF('Paste Editor (Beta)'!$C$82="Reroll class prompt",S459,IF('Paste Editor (Beta)'!$C$82="Swap hero prompt",S459,IF('Paste Editor (Beta)'!$C$82="Anvil prompt",AD459,"")))))))</f>
        <v/>
      </c>
      <c r="AI459" s="280" t="str">
        <f>IF('Paste Editor (Beta)'!$C$82="Level-up prompt",G460,IF('Paste Editor (Beta)'!$C$82="Item prompt",E460,IF('Paste Editor (Beta)'!$C$82="Modifier prompt","'"&amp;B460,IF('Paste Editor (Beta)'!$C$82="Challenge prompt",E460,IF('Paste Editor (Beta)'!$C$82="Reroll class prompt",S459,IF('Paste Editor (Beta)'!$C$82="Swap hero prompt",S459,IF('Paste Editor (Beta)'!$C$82="Anvil prompt",AD459,"")))))))</f>
        <v/>
      </c>
      <c r="AJ459" s="283">
        <f>IF('Paste Editor (Beta)'!$C$90="Level-up prompt",G460,IF('Paste Editor (Beta)'!$C$90="Item prompt",E460,IF('Paste Editor (Beta)'!$C$90="Modifier prompt","'"&amp;B460,IF('Paste Editor (Beta)'!$C$90="Challenge prompt",L460,IF('Paste Editor (Beta)'!$C$90="Reroll class prompt",S459,IF('Paste Editor (Beta)'!$C$90="Swap hero prompt",S459,IF('Paste Editor (Beta)'!$C$90="Anvil prompt",AD459,"")))))))</f>
        <v>0</v>
      </c>
      <c r="AK459" s="283">
        <f>IF('Paste Editor (Beta)'!$C$90="Level-up prompt",G460,IF('Paste Editor (Beta)'!$C$90="Item prompt",E460,IF('Paste Editor (Beta)'!$C$90="Modifier prompt","'"&amp;B460,IF('Paste Editor (Beta)'!$C$90="Challenge prompt",E460,IF('Paste Editor (Beta)'!$C$90="Reroll class prompt",S459,IF('Paste Editor (Beta)'!$C$90="Swap hero prompt",S459,IF('Paste Editor (Beta)'!$C$90="Anvil prompt",AD459,"")))))))</f>
        <v>0</v>
      </c>
    </row>
    <row r="460" spans="2:37" ht="17.25">
      <c r="B460" s="284" t="s">
        <v>3408</v>
      </c>
      <c r="C460" s="284" t="s">
        <v>3408</v>
      </c>
      <c r="D460" s="284" t="s">
        <v>3408</v>
      </c>
      <c r="AH460" s="280" t="str">
        <f>IF('Paste Editor (Beta)'!$C$82="Level-up prompt",G461,IF('Paste Editor (Beta)'!$C$82="Item prompt",E461,IF('Paste Editor (Beta)'!$C$82="Modifier prompt","'"&amp;B461,IF('Paste Editor (Beta)'!$C$82="Challenge prompt",L461,IF('Paste Editor (Beta)'!$C$82="Reroll class prompt",S460,IF('Paste Editor (Beta)'!$C$82="Swap hero prompt",S460,IF('Paste Editor (Beta)'!$C$82="Anvil prompt",AD460,"")))))))</f>
        <v/>
      </c>
      <c r="AI460" s="280" t="str">
        <f>IF('Paste Editor (Beta)'!$C$82="Level-up prompt",G461,IF('Paste Editor (Beta)'!$C$82="Item prompt",E461,IF('Paste Editor (Beta)'!$C$82="Modifier prompt","'"&amp;B461,IF('Paste Editor (Beta)'!$C$82="Challenge prompt",E461,IF('Paste Editor (Beta)'!$C$82="Reroll class prompt",S460,IF('Paste Editor (Beta)'!$C$82="Swap hero prompt",S460,IF('Paste Editor (Beta)'!$C$82="Anvil prompt",AD460,"")))))))</f>
        <v/>
      </c>
      <c r="AJ460" s="283">
        <f>IF('Paste Editor (Beta)'!$C$90="Level-up prompt",G461,IF('Paste Editor (Beta)'!$C$90="Item prompt",E461,IF('Paste Editor (Beta)'!$C$90="Modifier prompt","'"&amp;B461,IF('Paste Editor (Beta)'!$C$90="Challenge prompt",L461,IF('Paste Editor (Beta)'!$C$90="Reroll class prompt",S460,IF('Paste Editor (Beta)'!$C$90="Swap hero prompt",S460,IF('Paste Editor (Beta)'!$C$90="Anvil prompt",AD460,"")))))))</f>
        <v>0</v>
      </c>
      <c r="AK460" s="283">
        <f>IF('Paste Editor (Beta)'!$C$90="Level-up prompt",G461,IF('Paste Editor (Beta)'!$C$90="Item prompt",E461,IF('Paste Editor (Beta)'!$C$90="Modifier prompt","'"&amp;B461,IF('Paste Editor (Beta)'!$C$90="Challenge prompt",E461,IF('Paste Editor (Beta)'!$C$90="Reroll class prompt",S460,IF('Paste Editor (Beta)'!$C$90="Swap hero prompt",S460,IF('Paste Editor (Beta)'!$C$90="Anvil prompt",AD460,"")))))))</f>
        <v>0</v>
      </c>
    </row>
    <row r="461" spans="2:37" ht="17.25">
      <c r="B461" s="284" t="s">
        <v>3606</v>
      </c>
      <c r="C461" s="284" t="s">
        <v>3606</v>
      </c>
      <c r="D461" s="284" t="s">
        <v>3606</v>
      </c>
      <c r="AH461" s="280" t="str">
        <f>IF('Paste Editor (Beta)'!$C$82="Level-up prompt",G462,IF('Paste Editor (Beta)'!$C$82="Item prompt",E462,IF('Paste Editor (Beta)'!$C$82="Modifier prompt","'"&amp;B462,IF('Paste Editor (Beta)'!$C$82="Challenge prompt",L462,IF('Paste Editor (Beta)'!$C$82="Reroll class prompt",S461,IF('Paste Editor (Beta)'!$C$82="Swap hero prompt",S461,IF('Paste Editor (Beta)'!$C$82="Anvil prompt",AD461,"")))))))</f>
        <v/>
      </c>
      <c r="AI461" s="280" t="str">
        <f>IF('Paste Editor (Beta)'!$C$82="Level-up prompt",G462,IF('Paste Editor (Beta)'!$C$82="Item prompt",E462,IF('Paste Editor (Beta)'!$C$82="Modifier prompt","'"&amp;B462,IF('Paste Editor (Beta)'!$C$82="Challenge prompt",E462,IF('Paste Editor (Beta)'!$C$82="Reroll class prompt",S461,IF('Paste Editor (Beta)'!$C$82="Swap hero prompt",S461,IF('Paste Editor (Beta)'!$C$82="Anvil prompt",AD461,"")))))))</f>
        <v/>
      </c>
      <c r="AJ461" s="283">
        <f>IF('Paste Editor (Beta)'!$C$90="Level-up prompt",G462,IF('Paste Editor (Beta)'!$C$90="Item prompt",E462,IF('Paste Editor (Beta)'!$C$90="Modifier prompt","'"&amp;B462,IF('Paste Editor (Beta)'!$C$90="Challenge prompt",L462,IF('Paste Editor (Beta)'!$C$90="Reroll class prompt",S461,IF('Paste Editor (Beta)'!$C$90="Swap hero prompt",S461,IF('Paste Editor (Beta)'!$C$90="Anvil prompt",AD461,"")))))))</f>
        <v>0</v>
      </c>
      <c r="AK461" s="283">
        <f>IF('Paste Editor (Beta)'!$C$90="Level-up prompt",G462,IF('Paste Editor (Beta)'!$C$90="Item prompt",E462,IF('Paste Editor (Beta)'!$C$90="Modifier prompt","'"&amp;B462,IF('Paste Editor (Beta)'!$C$90="Challenge prompt",E462,IF('Paste Editor (Beta)'!$C$90="Reroll class prompt",S461,IF('Paste Editor (Beta)'!$C$90="Swap hero prompt",S461,IF('Paste Editor (Beta)'!$C$90="Anvil prompt",AD461,"")))))))</f>
        <v>0</v>
      </c>
    </row>
    <row r="462" spans="2:37" ht="17.25">
      <c r="B462" s="284" t="s">
        <v>3134</v>
      </c>
      <c r="C462" s="284" t="s">
        <v>3134</v>
      </c>
      <c r="D462" s="284" t="s">
        <v>3134</v>
      </c>
      <c r="AH462" s="280" t="str">
        <f>IF('Paste Editor (Beta)'!$C$82="Level-up prompt",G463,IF('Paste Editor (Beta)'!$C$82="Item prompt",E463,IF('Paste Editor (Beta)'!$C$82="Modifier prompt","'"&amp;B463,IF('Paste Editor (Beta)'!$C$82="Challenge prompt",L463,IF('Paste Editor (Beta)'!$C$82="Reroll class prompt",S462,IF('Paste Editor (Beta)'!$C$82="Swap hero prompt",S462,IF('Paste Editor (Beta)'!$C$82="Anvil prompt",AD462,"")))))))</f>
        <v/>
      </c>
      <c r="AI462" s="280" t="str">
        <f>IF('Paste Editor (Beta)'!$C$82="Level-up prompt",G463,IF('Paste Editor (Beta)'!$C$82="Item prompt",E463,IF('Paste Editor (Beta)'!$C$82="Modifier prompt","'"&amp;B463,IF('Paste Editor (Beta)'!$C$82="Challenge prompt",E463,IF('Paste Editor (Beta)'!$C$82="Reroll class prompt",S462,IF('Paste Editor (Beta)'!$C$82="Swap hero prompt",S462,IF('Paste Editor (Beta)'!$C$82="Anvil prompt",AD462,"")))))))</f>
        <v/>
      </c>
      <c r="AJ462" s="283">
        <f>IF('Paste Editor (Beta)'!$C$90="Level-up prompt",G463,IF('Paste Editor (Beta)'!$C$90="Item prompt",E463,IF('Paste Editor (Beta)'!$C$90="Modifier prompt","'"&amp;B463,IF('Paste Editor (Beta)'!$C$90="Challenge prompt",L463,IF('Paste Editor (Beta)'!$C$90="Reroll class prompt",S462,IF('Paste Editor (Beta)'!$C$90="Swap hero prompt",S462,IF('Paste Editor (Beta)'!$C$90="Anvil prompt",AD462,"")))))))</f>
        <v>0</v>
      </c>
      <c r="AK462" s="283">
        <f>IF('Paste Editor (Beta)'!$C$90="Level-up prompt",G463,IF('Paste Editor (Beta)'!$C$90="Item prompt",E463,IF('Paste Editor (Beta)'!$C$90="Modifier prompt","'"&amp;B463,IF('Paste Editor (Beta)'!$C$90="Challenge prompt",E463,IF('Paste Editor (Beta)'!$C$90="Reroll class prompt",S462,IF('Paste Editor (Beta)'!$C$90="Swap hero prompt",S462,IF('Paste Editor (Beta)'!$C$90="Anvil prompt",AD462,"")))))))</f>
        <v>0</v>
      </c>
    </row>
    <row r="463" spans="2:37" ht="17.25">
      <c r="B463" s="284" t="s">
        <v>3312</v>
      </c>
      <c r="C463" s="284" t="s">
        <v>3312</v>
      </c>
      <c r="D463" s="284" t="s">
        <v>3312</v>
      </c>
      <c r="AH463" s="280" t="str">
        <f>IF('Paste Editor (Beta)'!$C$82="Level-up prompt",G464,IF('Paste Editor (Beta)'!$C$82="Item prompt",E464,IF('Paste Editor (Beta)'!$C$82="Modifier prompt","'"&amp;B464,IF('Paste Editor (Beta)'!$C$82="Challenge prompt",L464,IF('Paste Editor (Beta)'!$C$82="Reroll class prompt",S463,IF('Paste Editor (Beta)'!$C$82="Swap hero prompt",S463,IF('Paste Editor (Beta)'!$C$82="Anvil prompt",AD463,"")))))))</f>
        <v/>
      </c>
      <c r="AI463" s="280" t="str">
        <f>IF('Paste Editor (Beta)'!$C$82="Level-up prompt",G464,IF('Paste Editor (Beta)'!$C$82="Item prompt",E464,IF('Paste Editor (Beta)'!$C$82="Modifier prompt","'"&amp;B464,IF('Paste Editor (Beta)'!$C$82="Challenge prompt",E464,IF('Paste Editor (Beta)'!$C$82="Reroll class prompt",S463,IF('Paste Editor (Beta)'!$C$82="Swap hero prompt",S463,IF('Paste Editor (Beta)'!$C$82="Anvil prompt",AD463,"")))))))</f>
        <v/>
      </c>
      <c r="AJ463" s="283">
        <f>IF('Paste Editor (Beta)'!$C$90="Level-up prompt",G464,IF('Paste Editor (Beta)'!$C$90="Item prompt",E464,IF('Paste Editor (Beta)'!$C$90="Modifier prompt","'"&amp;B464,IF('Paste Editor (Beta)'!$C$90="Challenge prompt",L464,IF('Paste Editor (Beta)'!$C$90="Reroll class prompt",S463,IF('Paste Editor (Beta)'!$C$90="Swap hero prompt",S463,IF('Paste Editor (Beta)'!$C$90="Anvil prompt",AD463,"")))))))</f>
        <v>0</v>
      </c>
      <c r="AK463" s="283">
        <f>IF('Paste Editor (Beta)'!$C$90="Level-up prompt",G464,IF('Paste Editor (Beta)'!$C$90="Item prompt",E464,IF('Paste Editor (Beta)'!$C$90="Modifier prompt","'"&amp;B464,IF('Paste Editor (Beta)'!$C$90="Challenge prompt",E464,IF('Paste Editor (Beta)'!$C$90="Reroll class prompt",S463,IF('Paste Editor (Beta)'!$C$90="Swap hero prompt",S463,IF('Paste Editor (Beta)'!$C$90="Anvil prompt",AD463,"")))))))</f>
        <v>0</v>
      </c>
    </row>
    <row r="464" spans="2:37" ht="17.25">
      <c r="B464" s="284" t="s">
        <v>3532</v>
      </c>
      <c r="C464" s="284" t="s">
        <v>3532</v>
      </c>
      <c r="D464" s="284" t="s">
        <v>3532</v>
      </c>
      <c r="AH464" s="280" t="str">
        <f>IF('Paste Editor (Beta)'!$C$82="Level-up prompt",G465,IF('Paste Editor (Beta)'!$C$82="Item prompt",E465,IF('Paste Editor (Beta)'!$C$82="Modifier prompt","'"&amp;B465,IF('Paste Editor (Beta)'!$C$82="Challenge prompt",L465,IF('Paste Editor (Beta)'!$C$82="Reroll class prompt",S464,IF('Paste Editor (Beta)'!$C$82="Swap hero prompt",S464,IF('Paste Editor (Beta)'!$C$82="Anvil prompt",AD464,"")))))))</f>
        <v/>
      </c>
      <c r="AI464" s="280" t="str">
        <f>IF('Paste Editor (Beta)'!$C$82="Level-up prompt",G465,IF('Paste Editor (Beta)'!$C$82="Item prompt",E465,IF('Paste Editor (Beta)'!$C$82="Modifier prompt","'"&amp;B465,IF('Paste Editor (Beta)'!$C$82="Challenge prompt",E465,IF('Paste Editor (Beta)'!$C$82="Reroll class prompt",S464,IF('Paste Editor (Beta)'!$C$82="Swap hero prompt",S464,IF('Paste Editor (Beta)'!$C$82="Anvil prompt",AD464,"")))))))</f>
        <v/>
      </c>
      <c r="AJ464" s="283">
        <f>IF('Paste Editor (Beta)'!$C$90="Level-up prompt",G465,IF('Paste Editor (Beta)'!$C$90="Item prompt",E465,IF('Paste Editor (Beta)'!$C$90="Modifier prompt","'"&amp;B465,IF('Paste Editor (Beta)'!$C$90="Challenge prompt",L465,IF('Paste Editor (Beta)'!$C$90="Reroll class prompt",S464,IF('Paste Editor (Beta)'!$C$90="Swap hero prompt",S464,IF('Paste Editor (Beta)'!$C$90="Anvil prompt",AD464,"")))))))</f>
        <v>0</v>
      </c>
      <c r="AK464" s="283">
        <f>IF('Paste Editor (Beta)'!$C$90="Level-up prompt",G465,IF('Paste Editor (Beta)'!$C$90="Item prompt",E465,IF('Paste Editor (Beta)'!$C$90="Modifier prompt","'"&amp;B465,IF('Paste Editor (Beta)'!$C$90="Challenge prompt",E465,IF('Paste Editor (Beta)'!$C$90="Reroll class prompt",S464,IF('Paste Editor (Beta)'!$C$90="Swap hero prompt",S464,IF('Paste Editor (Beta)'!$C$90="Anvil prompt",AD464,"")))))))</f>
        <v>0</v>
      </c>
    </row>
    <row r="465" spans="2:37" ht="17.25">
      <c r="B465" s="284" t="s">
        <v>3194</v>
      </c>
      <c r="C465" s="284" t="s">
        <v>3194</v>
      </c>
      <c r="D465" s="284" t="s">
        <v>3194</v>
      </c>
      <c r="AH465" s="280" t="str">
        <f>IF('Paste Editor (Beta)'!$C$82="Level-up prompt",G466,IF('Paste Editor (Beta)'!$C$82="Item prompt",E466,IF('Paste Editor (Beta)'!$C$82="Modifier prompt","'"&amp;B466,IF('Paste Editor (Beta)'!$C$82="Challenge prompt",L466,IF('Paste Editor (Beta)'!$C$82="Reroll class prompt",S465,IF('Paste Editor (Beta)'!$C$82="Swap hero prompt",S465,IF('Paste Editor (Beta)'!$C$82="Anvil prompt",AD465,"")))))))</f>
        <v/>
      </c>
      <c r="AI465" s="280" t="str">
        <f>IF('Paste Editor (Beta)'!$C$82="Level-up prompt",G466,IF('Paste Editor (Beta)'!$C$82="Item prompt",E466,IF('Paste Editor (Beta)'!$C$82="Modifier prompt","'"&amp;B466,IF('Paste Editor (Beta)'!$C$82="Challenge prompt",E466,IF('Paste Editor (Beta)'!$C$82="Reroll class prompt",S465,IF('Paste Editor (Beta)'!$C$82="Swap hero prompt",S465,IF('Paste Editor (Beta)'!$C$82="Anvil prompt",AD465,"")))))))</f>
        <v/>
      </c>
      <c r="AJ465" s="283">
        <f>IF('Paste Editor (Beta)'!$C$90="Level-up prompt",G466,IF('Paste Editor (Beta)'!$C$90="Item prompt",E466,IF('Paste Editor (Beta)'!$C$90="Modifier prompt","'"&amp;B466,IF('Paste Editor (Beta)'!$C$90="Challenge prompt",L466,IF('Paste Editor (Beta)'!$C$90="Reroll class prompt",S465,IF('Paste Editor (Beta)'!$C$90="Swap hero prompt",S465,IF('Paste Editor (Beta)'!$C$90="Anvil prompt",AD465,"")))))))</f>
        <v>0</v>
      </c>
      <c r="AK465" s="283">
        <f>IF('Paste Editor (Beta)'!$C$90="Level-up prompt",G466,IF('Paste Editor (Beta)'!$C$90="Item prompt",E466,IF('Paste Editor (Beta)'!$C$90="Modifier prompt","'"&amp;B466,IF('Paste Editor (Beta)'!$C$90="Challenge prompt",E466,IF('Paste Editor (Beta)'!$C$90="Reroll class prompt",S465,IF('Paste Editor (Beta)'!$C$90="Swap hero prompt",S465,IF('Paste Editor (Beta)'!$C$90="Anvil prompt",AD465,"")))))))</f>
        <v>0</v>
      </c>
    </row>
    <row r="466" spans="2:37" ht="17.25">
      <c r="B466" s="284" t="s">
        <v>3300</v>
      </c>
      <c r="C466" s="284" t="s">
        <v>3300</v>
      </c>
      <c r="D466" s="284" t="s">
        <v>3300</v>
      </c>
      <c r="AH466" s="280" t="str">
        <f>IF('Paste Editor (Beta)'!$C$82="Level-up prompt",G467,IF('Paste Editor (Beta)'!$C$82="Item prompt",E467,IF('Paste Editor (Beta)'!$C$82="Modifier prompt","'"&amp;B467,IF('Paste Editor (Beta)'!$C$82="Challenge prompt",L467,IF('Paste Editor (Beta)'!$C$82="Reroll class prompt",S466,IF('Paste Editor (Beta)'!$C$82="Swap hero prompt",S466,IF('Paste Editor (Beta)'!$C$82="Anvil prompt",AD466,"")))))))</f>
        <v/>
      </c>
      <c r="AI466" s="280" t="str">
        <f>IF('Paste Editor (Beta)'!$C$82="Level-up prompt",G467,IF('Paste Editor (Beta)'!$C$82="Item prompt",E467,IF('Paste Editor (Beta)'!$C$82="Modifier prompt","'"&amp;B467,IF('Paste Editor (Beta)'!$C$82="Challenge prompt",E467,IF('Paste Editor (Beta)'!$C$82="Reroll class prompt",S466,IF('Paste Editor (Beta)'!$C$82="Swap hero prompt",S466,IF('Paste Editor (Beta)'!$C$82="Anvil prompt",AD466,"")))))))</f>
        <v/>
      </c>
      <c r="AJ466" s="283">
        <f>IF('Paste Editor (Beta)'!$C$90="Level-up prompt",G467,IF('Paste Editor (Beta)'!$C$90="Item prompt",E467,IF('Paste Editor (Beta)'!$C$90="Modifier prompt","'"&amp;B467,IF('Paste Editor (Beta)'!$C$90="Challenge prompt",L467,IF('Paste Editor (Beta)'!$C$90="Reroll class prompt",S466,IF('Paste Editor (Beta)'!$C$90="Swap hero prompt",S466,IF('Paste Editor (Beta)'!$C$90="Anvil prompt",AD466,"")))))))</f>
        <v>0</v>
      </c>
      <c r="AK466" s="283">
        <f>IF('Paste Editor (Beta)'!$C$90="Level-up prompt",G467,IF('Paste Editor (Beta)'!$C$90="Item prompt",E467,IF('Paste Editor (Beta)'!$C$90="Modifier prompt","'"&amp;B467,IF('Paste Editor (Beta)'!$C$90="Challenge prompt",E467,IF('Paste Editor (Beta)'!$C$90="Reroll class prompt",S466,IF('Paste Editor (Beta)'!$C$90="Swap hero prompt",S466,IF('Paste Editor (Beta)'!$C$90="Anvil prompt",AD466,"")))))))</f>
        <v>0</v>
      </c>
    </row>
    <row r="467" spans="2:37" ht="17.25">
      <c r="B467" s="284" t="s">
        <v>3198</v>
      </c>
      <c r="C467" s="284" t="s">
        <v>3198</v>
      </c>
      <c r="D467" s="284" t="s">
        <v>3198</v>
      </c>
      <c r="AH467" s="280" t="str">
        <f>IF('Paste Editor (Beta)'!$C$82="Level-up prompt",G468,IF('Paste Editor (Beta)'!$C$82="Item prompt",E468,IF('Paste Editor (Beta)'!$C$82="Modifier prompt","'"&amp;B468,IF('Paste Editor (Beta)'!$C$82="Challenge prompt",L468,IF('Paste Editor (Beta)'!$C$82="Reroll class prompt",S467,IF('Paste Editor (Beta)'!$C$82="Swap hero prompt",S467,IF('Paste Editor (Beta)'!$C$82="Anvil prompt",AD467,"")))))))</f>
        <v/>
      </c>
      <c r="AI467" s="280" t="str">
        <f>IF('Paste Editor (Beta)'!$C$82="Level-up prompt",G468,IF('Paste Editor (Beta)'!$C$82="Item prompt",E468,IF('Paste Editor (Beta)'!$C$82="Modifier prompt","'"&amp;B468,IF('Paste Editor (Beta)'!$C$82="Challenge prompt",E468,IF('Paste Editor (Beta)'!$C$82="Reroll class prompt",S467,IF('Paste Editor (Beta)'!$C$82="Swap hero prompt",S467,IF('Paste Editor (Beta)'!$C$82="Anvil prompt",AD467,"")))))))</f>
        <v/>
      </c>
      <c r="AJ467" s="283">
        <f>IF('Paste Editor (Beta)'!$C$90="Level-up prompt",G468,IF('Paste Editor (Beta)'!$C$90="Item prompt",E468,IF('Paste Editor (Beta)'!$C$90="Modifier prompt","'"&amp;B468,IF('Paste Editor (Beta)'!$C$90="Challenge prompt",L468,IF('Paste Editor (Beta)'!$C$90="Reroll class prompt",S467,IF('Paste Editor (Beta)'!$C$90="Swap hero prompt",S467,IF('Paste Editor (Beta)'!$C$90="Anvil prompt",AD467,"")))))))</f>
        <v>0</v>
      </c>
      <c r="AK467" s="283">
        <f>IF('Paste Editor (Beta)'!$C$90="Level-up prompt",G468,IF('Paste Editor (Beta)'!$C$90="Item prompt",E468,IF('Paste Editor (Beta)'!$C$90="Modifier prompt","'"&amp;B468,IF('Paste Editor (Beta)'!$C$90="Challenge prompt",E468,IF('Paste Editor (Beta)'!$C$90="Reroll class prompt",S467,IF('Paste Editor (Beta)'!$C$90="Swap hero prompt",S467,IF('Paste Editor (Beta)'!$C$90="Anvil prompt",AD467,"")))))))</f>
        <v>0</v>
      </c>
    </row>
    <row r="468" spans="2:37" ht="17.25">
      <c r="B468" s="284" t="s">
        <v>3346</v>
      </c>
      <c r="C468" s="284" t="s">
        <v>3346</v>
      </c>
      <c r="D468" s="284" t="s">
        <v>3346</v>
      </c>
      <c r="AH468" s="280" t="str">
        <f>IF('Paste Editor (Beta)'!$C$82="Level-up prompt",G469,IF('Paste Editor (Beta)'!$C$82="Item prompt",E469,IF('Paste Editor (Beta)'!$C$82="Modifier prompt","'"&amp;B469,IF('Paste Editor (Beta)'!$C$82="Challenge prompt",L469,IF('Paste Editor (Beta)'!$C$82="Reroll class prompt",S468,IF('Paste Editor (Beta)'!$C$82="Swap hero prompt",S468,IF('Paste Editor (Beta)'!$C$82="Anvil prompt",AD468,"")))))))</f>
        <v/>
      </c>
      <c r="AI468" s="280" t="str">
        <f>IF('Paste Editor (Beta)'!$C$82="Level-up prompt",G469,IF('Paste Editor (Beta)'!$C$82="Item prompt",E469,IF('Paste Editor (Beta)'!$C$82="Modifier prompt","'"&amp;B469,IF('Paste Editor (Beta)'!$C$82="Challenge prompt",E469,IF('Paste Editor (Beta)'!$C$82="Reroll class prompt",S468,IF('Paste Editor (Beta)'!$C$82="Swap hero prompt",S468,IF('Paste Editor (Beta)'!$C$82="Anvil prompt",AD468,"")))))))</f>
        <v/>
      </c>
      <c r="AJ468" s="283">
        <f>IF('Paste Editor (Beta)'!$C$90="Level-up prompt",G469,IF('Paste Editor (Beta)'!$C$90="Item prompt",E469,IF('Paste Editor (Beta)'!$C$90="Modifier prompt","'"&amp;B469,IF('Paste Editor (Beta)'!$C$90="Challenge prompt",L469,IF('Paste Editor (Beta)'!$C$90="Reroll class prompt",S468,IF('Paste Editor (Beta)'!$C$90="Swap hero prompt",S468,IF('Paste Editor (Beta)'!$C$90="Anvil prompt",AD468,"")))))))</f>
        <v>0</v>
      </c>
      <c r="AK468" s="283">
        <f>IF('Paste Editor (Beta)'!$C$90="Level-up prompt",G469,IF('Paste Editor (Beta)'!$C$90="Item prompt",E469,IF('Paste Editor (Beta)'!$C$90="Modifier prompt","'"&amp;B469,IF('Paste Editor (Beta)'!$C$90="Challenge prompt",E469,IF('Paste Editor (Beta)'!$C$90="Reroll class prompt",S468,IF('Paste Editor (Beta)'!$C$90="Swap hero prompt",S468,IF('Paste Editor (Beta)'!$C$90="Anvil prompt",AD468,"")))))))</f>
        <v>0</v>
      </c>
    </row>
    <row r="469" spans="2:37" ht="17.25">
      <c r="B469" s="284" t="s">
        <v>3180</v>
      </c>
      <c r="C469" s="284" t="s">
        <v>3180</v>
      </c>
      <c r="D469" s="284" t="s">
        <v>3180</v>
      </c>
      <c r="AH469" s="280" t="str">
        <f>IF('Paste Editor (Beta)'!$C$82="Level-up prompt",G470,IF('Paste Editor (Beta)'!$C$82="Item prompt",E470,IF('Paste Editor (Beta)'!$C$82="Modifier prompt","'"&amp;B470,IF('Paste Editor (Beta)'!$C$82="Challenge prompt",L470,IF('Paste Editor (Beta)'!$C$82="Reroll class prompt",S469,IF('Paste Editor (Beta)'!$C$82="Swap hero prompt",S469,IF('Paste Editor (Beta)'!$C$82="Anvil prompt",AD469,"")))))))</f>
        <v/>
      </c>
      <c r="AI469" s="280" t="str">
        <f>IF('Paste Editor (Beta)'!$C$82="Level-up prompt",G470,IF('Paste Editor (Beta)'!$C$82="Item prompt",E470,IF('Paste Editor (Beta)'!$C$82="Modifier prompt","'"&amp;B470,IF('Paste Editor (Beta)'!$C$82="Challenge prompt",E470,IF('Paste Editor (Beta)'!$C$82="Reroll class prompt",S469,IF('Paste Editor (Beta)'!$C$82="Swap hero prompt",S469,IF('Paste Editor (Beta)'!$C$82="Anvil prompt",AD469,"")))))))</f>
        <v/>
      </c>
      <c r="AJ469" s="283">
        <f>IF('Paste Editor (Beta)'!$C$90="Level-up prompt",G470,IF('Paste Editor (Beta)'!$C$90="Item prompt",E470,IF('Paste Editor (Beta)'!$C$90="Modifier prompt","'"&amp;B470,IF('Paste Editor (Beta)'!$C$90="Challenge prompt",L470,IF('Paste Editor (Beta)'!$C$90="Reroll class prompt",S469,IF('Paste Editor (Beta)'!$C$90="Swap hero prompt",S469,IF('Paste Editor (Beta)'!$C$90="Anvil prompt",AD469,"")))))))</f>
        <v>0</v>
      </c>
      <c r="AK469" s="283">
        <f>IF('Paste Editor (Beta)'!$C$90="Level-up prompt",G470,IF('Paste Editor (Beta)'!$C$90="Item prompt",E470,IF('Paste Editor (Beta)'!$C$90="Modifier prompt","'"&amp;B470,IF('Paste Editor (Beta)'!$C$90="Challenge prompt",E470,IF('Paste Editor (Beta)'!$C$90="Reroll class prompt",S469,IF('Paste Editor (Beta)'!$C$90="Swap hero prompt",S469,IF('Paste Editor (Beta)'!$C$90="Anvil prompt",AD469,"")))))))</f>
        <v>0</v>
      </c>
    </row>
    <row r="470" spans="2:37" ht="17.25">
      <c r="B470" s="284" t="s">
        <v>3232</v>
      </c>
      <c r="C470" s="284" t="s">
        <v>3232</v>
      </c>
      <c r="D470" s="284" t="s">
        <v>3232</v>
      </c>
      <c r="AH470" s="280" t="str">
        <f>IF('Paste Editor (Beta)'!$C$82="Level-up prompt",G471,IF('Paste Editor (Beta)'!$C$82="Item prompt",E471,IF('Paste Editor (Beta)'!$C$82="Modifier prompt","'"&amp;B471,IF('Paste Editor (Beta)'!$C$82="Challenge prompt",L471,IF('Paste Editor (Beta)'!$C$82="Reroll class prompt",S470,IF('Paste Editor (Beta)'!$C$82="Swap hero prompt",S470,IF('Paste Editor (Beta)'!$C$82="Anvil prompt",AD470,"")))))))</f>
        <v/>
      </c>
      <c r="AI470" s="280" t="str">
        <f>IF('Paste Editor (Beta)'!$C$82="Level-up prompt",G471,IF('Paste Editor (Beta)'!$C$82="Item prompt",E471,IF('Paste Editor (Beta)'!$C$82="Modifier prompt","'"&amp;B471,IF('Paste Editor (Beta)'!$C$82="Challenge prompt",E471,IF('Paste Editor (Beta)'!$C$82="Reroll class prompt",S470,IF('Paste Editor (Beta)'!$C$82="Swap hero prompt",S470,IF('Paste Editor (Beta)'!$C$82="Anvil prompt",AD470,"")))))))</f>
        <v/>
      </c>
      <c r="AJ470" s="283">
        <f>IF('Paste Editor (Beta)'!$C$90="Level-up prompt",G471,IF('Paste Editor (Beta)'!$C$90="Item prompt",E471,IF('Paste Editor (Beta)'!$C$90="Modifier prompt","'"&amp;B471,IF('Paste Editor (Beta)'!$C$90="Challenge prompt",L471,IF('Paste Editor (Beta)'!$C$90="Reroll class prompt",S470,IF('Paste Editor (Beta)'!$C$90="Swap hero prompt",S470,IF('Paste Editor (Beta)'!$C$90="Anvil prompt",AD470,"")))))))</f>
        <v>0</v>
      </c>
      <c r="AK470" s="283">
        <f>IF('Paste Editor (Beta)'!$C$90="Level-up prompt",G471,IF('Paste Editor (Beta)'!$C$90="Item prompt",E471,IF('Paste Editor (Beta)'!$C$90="Modifier prompt","'"&amp;B471,IF('Paste Editor (Beta)'!$C$90="Challenge prompt",E471,IF('Paste Editor (Beta)'!$C$90="Reroll class prompt",S470,IF('Paste Editor (Beta)'!$C$90="Swap hero prompt",S470,IF('Paste Editor (Beta)'!$C$90="Anvil prompt",AD470,"")))))))</f>
        <v>0</v>
      </c>
    </row>
    <row r="471" spans="2:37" ht="17.25">
      <c r="B471" s="284" t="s">
        <v>3142</v>
      </c>
      <c r="C471" s="284" t="s">
        <v>3142</v>
      </c>
      <c r="D471" s="284" t="s">
        <v>3142</v>
      </c>
      <c r="AH471" s="280" t="str">
        <f>IF('Paste Editor (Beta)'!$C$82="Level-up prompt",G472,IF('Paste Editor (Beta)'!$C$82="Item prompt",E472,IF('Paste Editor (Beta)'!$C$82="Modifier prompt","'"&amp;B472,IF('Paste Editor (Beta)'!$C$82="Challenge prompt",L472,IF('Paste Editor (Beta)'!$C$82="Reroll class prompt",S471,IF('Paste Editor (Beta)'!$C$82="Swap hero prompt",S471,IF('Paste Editor (Beta)'!$C$82="Anvil prompt",AD471,"")))))))</f>
        <v/>
      </c>
      <c r="AI471" s="280" t="str">
        <f>IF('Paste Editor (Beta)'!$C$82="Level-up prompt",G472,IF('Paste Editor (Beta)'!$C$82="Item prompt",E472,IF('Paste Editor (Beta)'!$C$82="Modifier prompt","'"&amp;B472,IF('Paste Editor (Beta)'!$C$82="Challenge prompt",E472,IF('Paste Editor (Beta)'!$C$82="Reroll class prompt",S471,IF('Paste Editor (Beta)'!$C$82="Swap hero prompt",S471,IF('Paste Editor (Beta)'!$C$82="Anvil prompt",AD471,"")))))))</f>
        <v/>
      </c>
      <c r="AJ471" s="283">
        <f>IF('Paste Editor (Beta)'!$C$90="Level-up prompt",G472,IF('Paste Editor (Beta)'!$C$90="Item prompt",E472,IF('Paste Editor (Beta)'!$C$90="Modifier prompt","'"&amp;B472,IF('Paste Editor (Beta)'!$C$90="Challenge prompt",L472,IF('Paste Editor (Beta)'!$C$90="Reroll class prompt",S471,IF('Paste Editor (Beta)'!$C$90="Swap hero prompt",S471,IF('Paste Editor (Beta)'!$C$90="Anvil prompt",AD471,"")))))))</f>
        <v>0</v>
      </c>
      <c r="AK471" s="283">
        <f>IF('Paste Editor (Beta)'!$C$90="Level-up prompt",G472,IF('Paste Editor (Beta)'!$C$90="Item prompt",E472,IF('Paste Editor (Beta)'!$C$90="Modifier prompt","'"&amp;B472,IF('Paste Editor (Beta)'!$C$90="Challenge prompt",E472,IF('Paste Editor (Beta)'!$C$90="Reroll class prompt",S471,IF('Paste Editor (Beta)'!$C$90="Swap hero prompt",S471,IF('Paste Editor (Beta)'!$C$90="Anvil prompt",AD471,"")))))))</f>
        <v>0</v>
      </c>
    </row>
    <row r="472" spans="2:37" ht="17.25">
      <c r="B472" s="284" t="s">
        <v>3244</v>
      </c>
      <c r="C472" s="284" t="s">
        <v>3244</v>
      </c>
      <c r="D472" s="284" t="s">
        <v>3244</v>
      </c>
      <c r="AH472" s="280" t="str">
        <f>IF('Paste Editor (Beta)'!$C$82="Level-up prompt",G473,IF('Paste Editor (Beta)'!$C$82="Item prompt",E473,IF('Paste Editor (Beta)'!$C$82="Modifier prompt","'"&amp;B473,IF('Paste Editor (Beta)'!$C$82="Challenge prompt",L473,IF('Paste Editor (Beta)'!$C$82="Reroll class prompt",S472,IF('Paste Editor (Beta)'!$C$82="Swap hero prompt",S472,IF('Paste Editor (Beta)'!$C$82="Anvil prompt",AD472,"")))))))</f>
        <v/>
      </c>
      <c r="AI472" s="280" t="str">
        <f>IF('Paste Editor (Beta)'!$C$82="Level-up prompt",G473,IF('Paste Editor (Beta)'!$C$82="Item prompt",E473,IF('Paste Editor (Beta)'!$C$82="Modifier prompt","'"&amp;B473,IF('Paste Editor (Beta)'!$C$82="Challenge prompt",E473,IF('Paste Editor (Beta)'!$C$82="Reroll class prompt",S472,IF('Paste Editor (Beta)'!$C$82="Swap hero prompt",S472,IF('Paste Editor (Beta)'!$C$82="Anvil prompt",AD472,"")))))))</f>
        <v/>
      </c>
      <c r="AJ472" s="283">
        <f>IF('Paste Editor (Beta)'!$C$90="Level-up prompt",G473,IF('Paste Editor (Beta)'!$C$90="Item prompt",E473,IF('Paste Editor (Beta)'!$C$90="Modifier prompt","'"&amp;B473,IF('Paste Editor (Beta)'!$C$90="Challenge prompt",L473,IF('Paste Editor (Beta)'!$C$90="Reroll class prompt",S472,IF('Paste Editor (Beta)'!$C$90="Swap hero prompt",S472,IF('Paste Editor (Beta)'!$C$90="Anvil prompt",AD472,"")))))))</f>
        <v>0</v>
      </c>
      <c r="AK472" s="283">
        <f>IF('Paste Editor (Beta)'!$C$90="Level-up prompt",G473,IF('Paste Editor (Beta)'!$C$90="Item prompt",E473,IF('Paste Editor (Beta)'!$C$90="Modifier prompt","'"&amp;B473,IF('Paste Editor (Beta)'!$C$90="Challenge prompt",E473,IF('Paste Editor (Beta)'!$C$90="Reroll class prompt",S472,IF('Paste Editor (Beta)'!$C$90="Swap hero prompt",S472,IF('Paste Editor (Beta)'!$C$90="Anvil prompt",AD472,"")))))))</f>
        <v>0</v>
      </c>
    </row>
    <row r="473" spans="2:37" ht="17.25">
      <c r="B473" s="284" t="s">
        <v>3364</v>
      </c>
      <c r="C473" s="284" t="s">
        <v>3364</v>
      </c>
      <c r="D473" s="284" t="s">
        <v>3364</v>
      </c>
      <c r="AH473" s="280" t="str">
        <f>IF('Paste Editor (Beta)'!$C$82="Level-up prompt",G474,IF('Paste Editor (Beta)'!$C$82="Item prompt",E474,IF('Paste Editor (Beta)'!$C$82="Modifier prompt","'"&amp;B474,IF('Paste Editor (Beta)'!$C$82="Challenge prompt",L474,IF('Paste Editor (Beta)'!$C$82="Reroll class prompt",S473,IF('Paste Editor (Beta)'!$C$82="Swap hero prompt",S473,IF('Paste Editor (Beta)'!$C$82="Anvil prompt",AD473,"")))))))</f>
        <v/>
      </c>
      <c r="AI473" s="280" t="str">
        <f>IF('Paste Editor (Beta)'!$C$82="Level-up prompt",G474,IF('Paste Editor (Beta)'!$C$82="Item prompt",E474,IF('Paste Editor (Beta)'!$C$82="Modifier prompt","'"&amp;B474,IF('Paste Editor (Beta)'!$C$82="Challenge prompt",E474,IF('Paste Editor (Beta)'!$C$82="Reroll class prompt",S473,IF('Paste Editor (Beta)'!$C$82="Swap hero prompt",S473,IF('Paste Editor (Beta)'!$C$82="Anvil prompt",AD473,"")))))))</f>
        <v/>
      </c>
      <c r="AJ473" s="283">
        <f>IF('Paste Editor (Beta)'!$C$90="Level-up prompt",G474,IF('Paste Editor (Beta)'!$C$90="Item prompt",E474,IF('Paste Editor (Beta)'!$C$90="Modifier prompt","'"&amp;B474,IF('Paste Editor (Beta)'!$C$90="Challenge prompt",L474,IF('Paste Editor (Beta)'!$C$90="Reroll class prompt",S473,IF('Paste Editor (Beta)'!$C$90="Swap hero prompt",S473,IF('Paste Editor (Beta)'!$C$90="Anvil prompt",AD473,"")))))))</f>
        <v>0</v>
      </c>
      <c r="AK473" s="283">
        <f>IF('Paste Editor (Beta)'!$C$90="Level-up prompt",G474,IF('Paste Editor (Beta)'!$C$90="Item prompt",E474,IF('Paste Editor (Beta)'!$C$90="Modifier prompt","'"&amp;B474,IF('Paste Editor (Beta)'!$C$90="Challenge prompt",E474,IF('Paste Editor (Beta)'!$C$90="Reroll class prompt",S473,IF('Paste Editor (Beta)'!$C$90="Swap hero prompt",S473,IF('Paste Editor (Beta)'!$C$90="Anvil prompt",AD473,"")))))))</f>
        <v>0</v>
      </c>
    </row>
    <row r="474" spans="2:37" ht="17.25">
      <c r="B474" s="284" t="s">
        <v>3624</v>
      </c>
      <c r="C474" s="284" t="s">
        <v>3624</v>
      </c>
      <c r="D474" s="284" t="s">
        <v>3624</v>
      </c>
      <c r="AH474" s="280" t="str">
        <f>IF('Paste Editor (Beta)'!$C$82="Level-up prompt",G475,IF('Paste Editor (Beta)'!$C$82="Item prompt",E475,IF('Paste Editor (Beta)'!$C$82="Modifier prompt","'"&amp;B475,IF('Paste Editor (Beta)'!$C$82="Challenge prompt",L475,IF('Paste Editor (Beta)'!$C$82="Reroll class prompt",S474,IF('Paste Editor (Beta)'!$C$82="Swap hero prompt",S474,IF('Paste Editor (Beta)'!$C$82="Anvil prompt",AD474,"")))))))</f>
        <v/>
      </c>
      <c r="AI474" s="280" t="str">
        <f>IF('Paste Editor (Beta)'!$C$82="Level-up prompt",G475,IF('Paste Editor (Beta)'!$C$82="Item prompt",E475,IF('Paste Editor (Beta)'!$C$82="Modifier prompt","'"&amp;B475,IF('Paste Editor (Beta)'!$C$82="Challenge prompt",E475,IF('Paste Editor (Beta)'!$C$82="Reroll class prompt",S474,IF('Paste Editor (Beta)'!$C$82="Swap hero prompt",S474,IF('Paste Editor (Beta)'!$C$82="Anvil prompt",AD474,"")))))))</f>
        <v/>
      </c>
      <c r="AJ474" s="283">
        <f>IF('Paste Editor (Beta)'!$C$90="Level-up prompt",G475,IF('Paste Editor (Beta)'!$C$90="Item prompt",E475,IF('Paste Editor (Beta)'!$C$90="Modifier prompt","'"&amp;B475,IF('Paste Editor (Beta)'!$C$90="Challenge prompt",L475,IF('Paste Editor (Beta)'!$C$90="Reroll class prompt",S474,IF('Paste Editor (Beta)'!$C$90="Swap hero prompt",S474,IF('Paste Editor (Beta)'!$C$90="Anvil prompt",AD474,"")))))))</f>
        <v>0</v>
      </c>
      <c r="AK474" s="283">
        <f>IF('Paste Editor (Beta)'!$C$90="Level-up prompt",G475,IF('Paste Editor (Beta)'!$C$90="Item prompt",E475,IF('Paste Editor (Beta)'!$C$90="Modifier prompt","'"&amp;B475,IF('Paste Editor (Beta)'!$C$90="Challenge prompt",E475,IF('Paste Editor (Beta)'!$C$90="Reroll class prompt",S474,IF('Paste Editor (Beta)'!$C$90="Swap hero prompt",S474,IF('Paste Editor (Beta)'!$C$90="Anvil prompt",AD474,"")))))))</f>
        <v>0</v>
      </c>
    </row>
    <row r="475" spans="2:37" ht="17.25">
      <c r="B475" s="284" t="s">
        <v>3334</v>
      </c>
      <c r="C475" s="284" t="s">
        <v>3334</v>
      </c>
      <c r="D475" s="284" t="s">
        <v>3334</v>
      </c>
      <c r="AH475" s="280" t="str">
        <f>IF('Paste Editor (Beta)'!$C$82="Level-up prompt",G476,IF('Paste Editor (Beta)'!$C$82="Item prompt",E476,IF('Paste Editor (Beta)'!$C$82="Modifier prompt","'"&amp;B476,IF('Paste Editor (Beta)'!$C$82="Challenge prompt",L476,IF('Paste Editor (Beta)'!$C$82="Reroll class prompt",S475,IF('Paste Editor (Beta)'!$C$82="Swap hero prompt",S475,IF('Paste Editor (Beta)'!$C$82="Anvil prompt",AD475,"")))))))</f>
        <v/>
      </c>
      <c r="AI475" s="280" t="str">
        <f>IF('Paste Editor (Beta)'!$C$82="Level-up prompt",G476,IF('Paste Editor (Beta)'!$C$82="Item prompt",E476,IF('Paste Editor (Beta)'!$C$82="Modifier prompt","'"&amp;B476,IF('Paste Editor (Beta)'!$C$82="Challenge prompt",E476,IF('Paste Editor (Beta)'!$C$82="Reroll class prompt",S475,IF('Paste Editor (Beta)'!$C$82="Swap hero prompt",S475,IF('Paste Editor (Beta)'!$C$82="Anvil prompt",AD475,"")))))))</f>
        <v/>
      </c>
      <c r="AJ475" s="283">
        <f>IF('Paste Editor (Beta)'!$C$90="Level-up prompt",G476,IF('Paste Editor (Beta)'!$C$90="Item prompt",E476,IF('Paste Editor (Beta)'!$C$90="Modifier prompt","'"&amp;B476,IF('Paste Editor (Beta)'!$C$90="Challenge prompt",L476,IF('Paste Editor (Beta)'!$C$90="Reroll class prompt",S475,IF('Paste Editor (Beta)'!$C$90="Swap hero prompt",S475,IF('Paste Editor (Beta)'!$C$90="Anvil prompt",AD475,"")))))))</f>
        <v>0</v>
      </c>
      <c r="AK475" s="283">
        <f>IF('Paste Editor (Beta)'!$C$90="Level-up prompt",G476,IF('Paste Editor (Beta)'!$C$90="Item prompt",E476,IF('Paste Editor (Beta)'!$C$90="Modifier prompt","'"&amp;B476,IF('Paste Editor (Beta)'!$C$90="Challenge prompt",E476,IF('Paste Editor (Beta)'!$C$90="Reroll class prompt",S475,IF('Paste Editor (Beta)'!$C$90="Swap hero prompt",S475,IF('Paste Editor (Beta)'!$C$90="Anvil prompt",AD475,"")))))))</f>
        <v>0</v>
      </c>
    </row>
    <row r="476" spans="2:37" ht="17.25">
      <c r="B476" s="284" t="s">
        <v>3126</v>
      </c>
      <c r="C476" s="284" t="s">
        <v>3126</v>
      </c>
      <c r="D476" s="284" t="s">
        <v>3126</v>
      </c>
      <c r="AH476" s="280" t="str">
        <f>IF('Paste Editor (Beta)'!$C$82="Level-up prompt",G477,IF('Paste Editor (Beta)'!$C$82="Item prompt",E477,IF('Paste Editor (Beta)'!$C$82="Modifier prompt","'"&amp;B477,IF('Paste Editor (Beta)'!$C$82="Challenge prompt",L477,IF('Paste Editor (Beta)'!$C$82="Reroll class prompt",S476,IF('Paste Editor (Beta)'!$C$82="Swap hero prompt",S476,IF('Paste Editor (Beta)'!$C$82="Anvil prompt",AD476,"")))))))</f>
        <v/>
      </c>
      <c r="AI476" s="280" t="str">
        <f>IF('Paste Editor (Beta)'!$C$82="Level-up prompt",G477,IF('Paste Editor (Beta)'!$C$82="Item prompt",E477,IF('Paste Editor (Beta)'!$C$82="Modifier prompt","'"&amp;B477,IF('Paste Editor (Beta)'!$C$82="Challenge prompt",E477,IF('Paste Editor (Beta)'!$C$82="Reroll class prompt",S476,IF('Paste Editor (Beta)'!$C$82="Swap hero prompt",S476,IF('Paste Editor (Beta)'!$C$82="Anvil prompt",AD476,"")))))))</f>
        <v/>
      </c>
      <c r="AJ476" s="283">
        <f>IF('Paste Editor (Beta)'!$C$90="Level-up prompt",G477,IF('Paste Editor (Beta)'!$C$90="Item prompt",E477,IF('Paste Editor (Beta)'!$C$90="Modifier prompt","'"&amp;B477,IF('Paste Editor (Beta)'!$C$90="Challenge prompt",L477,IF('Paste Editor (Beta)'!$C$90="Reroll class prompt",S476,IF('Paste Editor (Beta)'!$C$90="Swap hero prompt",S476,IF('Paste Editor (Beta)'!$C$90="Anvil prompt",AD476,"")))))))</f>
        <v>0</v>
      </c>
      <c r="AK476" s="283">
        <f>IF('Paste Editor (Beta)'!$C$90="Level-up prompt",G477,IF('Paste Editor (Beta)'!$C$90="Item prompt",E477,IF('Paste Editor (Beta)'!$C$90="Modifier prompt","'"&amp;B477,IF('Paste Editor (Beta)'!$C$90="Challenge prompt",E477,IF('Paste Editor (Beta)'!$C$90="Reroll class prompt",S476,IF('Paste Editor (Beta)'!$C$90="Swap hero prompt",S476,IF('Paste Editor (Beta)'!$C$90="Anvil prompt",AD476,"")))))))</f>
        <v>0</v>
      </c>
    </row>
    <row r="477" spans="2:37" ht="17.25">
      <c r="B477" s="284" t="s">
        <v>3548</v>
      </c>
      <c r="C477" s="284" t="s">
        <v>3548</v>
      </c>
      <c r="D477" s="284" t="s">
        <v>3548</v>
      </c>
      <c r="AH477" s="280" t="str">
        <f>IF('Paste Editor (Beta)'!$C$82="Level-up prompt",G478,IF('Paste Editor (Beta)'!$C$82="Item prompt",E478,IF('Paste Editor (Beta)'!$C$82="Modifier prompt","'"&amp;B478,IF('Paste Editor (Beta)'!$C$82="Challenge prompt",L478,IF('Paste Editor (Beta)'!$C$82="Reroll class prompt",S477,IF('Paste Editor (Beta)'!$C$82="Swap hero prompt",S477,IF('Paste Editor (Beta)'!$C$82="Anvil prompt",AD477,"")))))))</f>
        <v/>
      </c>
      <c r="AI477" s="280" t="str">
        <f>IF('Paste Editor (Beta)'!$C$82="Level-up prompt",G478,IF('Paste Editor (Beta)'!$C$82="Item prompt",E478,IF('Paste Editor (Beta)'!$C$82="Modifier prompt","'"&amp;B478,IF('Paste Editor (Beta)'!$C$82="Challenge prompt",E478,IF('Paste Editor (Beta)'!$C$82="Reroll class prompt",S477,IF('Paste Editor (Beta)'!$C$82="Swap hero prompt",S477,IF('Paste Editor (Beta)'!$C$82="Anvil prompt",AD477,"")))))))</f>
        <v/>
      </c>
      <c r="AJ477" s="283">
        <f>IF('Paste Editor (Beta)'!$C$90="Level-up prompt",G478,IF('Paste Editor (Beta)'!$C$90="Item prompt",E478,IF('Paste Editor (Beta)'!$C$90="Modifier prompt","'"&amp;B478,IF('Paste Editor (Beta)'!$C$90="Challenge prompt",L478,IF('Paste Editor (Beta)'!$C$90="Reroll class prompt",S477,IF('Paste Editor (Beta)'!$C$90="Swap hero prompt",S477,IF('Paste Editor (Beta)'!$C$90="Anvil prompt",AD477,"")))))))</f>
        <v>0</v>
      </c>
      <c r="AK477" s="283">
        <f>IF('Paste Editor (Beta)'!$C$90="Level-up prompt",G478,IF('Paste Editor (Beta)'!$C$90="Item prompt",E478,IF('Paste Editor (Beta)'!$C$90="Modifier prompt","'"&amp;B478,IF('Paste Editor (Beta)'!$C$90="Challenge prompt",E478,IF('Paste Editor (Beta)'!$C$90="Reroll class prompt",S477,IF('Paste Editor (Beta)'!$C$90="Swap hero prompt",S477,IF('Paste Editor (Beta)'!$C$90="Anvil prompt",AD477,"")))))))</f>
        <v>0</v>
      </c>
    </row>
    <row r="478" spans="2:37" ht="17.25">
      <c r="B478" s="284" t="s">
        <v>3154</v>
      </c>
      <c r="C478" s="284" t="s">
        <v>3154</v>
      </c>
      <c r="D478" s="284" t="s">
        <v>3154</v>
      </c>
      <c r="AH478" s="280" t="str">
        <f>IF('Paste Editor (Beta)'!$C$82="Level-up prompt",G479,IF('Paste Editor (Beta)'!$C$82="Item prompt",E479,IF('Paste Editor (Beta)'!$C$82="Modifier prompt","'"&amp;B479,IF('Paste Editor (Beta)'!$C$82="Challenge prompt",L479,IF('Paste Editor (Beta)'!$C$82="Reroll class prompt",S478,IF('Paste Editor (Beta)'!$C$82="Swap hero prompt",S478,IF('Paste Editor (Beta)'!$C$82="Anvil prompt",AD478,"")))))))</f>
        <v/>
      </c>
      <c r="AI478" s="280" t="str">
        <f>IF('Paste Editor (Beta)'!$C$82="Level-up prompt",G479,IF('Paste Editor (Beta)'!$C$82="Item prompt",E479,IF('Paste Editor (Beta)'!$C$82="Modifier prompt","'"&amp;B479,IF('Paste Editor (Beta)'!$C$82="Challenge prompt",E479,IF('Paste Editor (Beta)'!$C$82="Reroll class prompt",S478,IF('Paste Editor (Beta)'!$C$82="Swap hero prompt",S478,IF('Paste Editor (Beta)'!$C$82="Anvil prompt",AD478,"")))))))</f>
        <v/>
      </c>
      <c r="AJ478" s="283">
        <f>IF('Paste Editor (Beta)'!$C$90="Level-up prompt",G479,IF('Paste Editor (Beta)'!$C$90="Item prompt",E479,IF('Paste Editor (Beta)'!$C$90="Modifier prompt","'"&amp;B479,IF('Paste Editor (Beta)'!$C$90="Challenge prompt",L479,IF('Paste Editor (Beta)'!$C$90="Reroll class prompt",S478,IF('Paste Editor (Beta)'!$C$90="Swap hero prompt",S478,IF('Paste Editor (Beta)'!$C$90="Anvil prompt",AD478,"")))))))</f>
        <v>0</v>
      </c>
      <c r="AK478" s="283">
        <f>IF('Paste Editor (Beta)'!$C$90="Level-up prompt",G479,IF('Paste Editor (Beta)'!$C$90="Item prompt",E479,IF('Paste Editor (Beta)'!$C$90="Modifier prompt","'"&amp;B479,IF('Paste Editor (Beta)'!$C$90="Challenge prompt",E479,IF('Paste Editor (Beta)'!$C$90="Reroll class prompt",S478,IF('Paste Editor (Beta)'!$C$90="Swap hero prompt",S478,IF('Paste Editor (Beta)'!$C$90="Anvil prompt",AD478,"")))))))</f>
        <v>0</v>
      </c>
    </row>
    <row r="479" spans="2:37" ht="17.25">
      <c r="B479" s="284" t="s">
        <v>3462</v>
      </c>
      <c r="C479" s="284" t="s">
        <v>3462</v>
      </c>
      <c r="D479" s="284" t="s">
        <v>3462</v>
      </c>
      <c r="AH479" s="280" t="str">
        <f>IF('Paste Editor (Beta)'!$C$82="Level-up prompt",G480,IF('Paste Editor (Beta)'!$C$82="Item prompt",E480,IF('Paste Editor (Beta)'!$C$82="Modifier prompt","'"&amp;B480,IF('Paste Editor (Beta)'!$C$82="Challenge prompt",L480,IF('Paste Editor (Beta)'!$C$82="Reroll class prompt",S479,IF('Paste Editor (Beta)'!$C$82="Swap hero prompt",S479,IF('Paste Editor (Beta)'!$C$82="Anvil prompt",AD479,"")))))))</f>
        <v/>
      </c>
      <c r="AI479" s="280" t="str">
        <f>IF('Paste Editor (Beta)'!$C$82="Level-up prompt",G480,IF('Paste Editor (Beta)'!$C$82="Item prompt",E480,IF('Paste Editor (Beta)'!$C$82="Modifier prompt","'"&amp;B480,IF('Paste Editor (Beta)'!$C$82="Challenge prompt",E480,IF('Paste Editor (Beta)'!$C$82="Reroll class prompt",S479,IF('Paste Editor (Beta)'!$C$82="Swap hero prompt",S479,IF('Paste Editor (Beta)'!$C$82="Anvil prompt",AD479,"")))))))</f>
        <v/>
      </c>
      <c r="AJ479" s="283">
        <f>IF('Paste Editor (Beta)'!$C$90="Level-up prompt",G480,IF('Paste Editor (Beta)'!$C$90="Item prompt",E480,IF('Paste Editor (Beta)'!$C$90="Modifier prompt","'"&amp;B480,IF('Paste Editor (Beta)'!$C$90="Challenge prompt",L480,IF('Paste Editor (Beta)'!$C$90="Reroll class prompt",S479,IF('Paste Editor (Beta)'!$C$90="Swap hero prompt",S479,IF('Paste Editor (Beta)'!$C$90="Anvil prompt",AD479,"")))))))</f>
        <v>0</v>
      </c>
      <c r="AK479" s="283">
        <f>IF('Paste Editor (Beta)'!$C$90="Level-up prompt",G480,IF('Paste Editor (Beta)'!$C$90="Item prompt",E480,IF('Paste Editor (Beta)'!$C$90="Modifier prompt","'"&amp;B480,IF('Paste Editor (Beta)'!$C$90="Challenge prompt",E480,IF('Paste Editor (Beta)'!$C$90="Reroll class prompt",S479,IF('Paste Editor (Beta)'!$C$90="Swap hero prompt",S479,IF('Paste Editor (Beta)'!$C$90="Anvil prompt",AD479,"")))))))</f>
        <v>0</v>
      </c>
    </row>
    <row r="480" spans="2:37" ht="17.25">
      <c r="B480" s="284" t="s">
        <v>3196</v>
      </c>
      <c r="C480" s="284" t="s">
        <v>3196</v>
      </c>
      <c r="D480" s="284" t="s">
        <v>3196</v>
      </c>
      <c r="AH480" s="280" t="str">
        <f>IF('Paste Editor (Beta)'!$C$82="Level-up prompt",G481,IF('Paste Editor (Beta)'!$C$82="Item prompt",E481,IF('Paste Editor (Beta)'!$C$82="Modifier prompt","'"&amp;B481,IF('Paste Editor (Beta)'!$C$82="Challenge prompt",L481,IF('Paste Editor (Beta)'!$C$82="Reroll class prompt",S480,IF('Paste Editor (Beta)'!$C$82="Swap hero prompt",S480,IF('Paste Editor (Beta)'!$C$82="Anvil prompt",AD480,"")))))))</f>
        <v/>
      </c>
      <c r="AI480" s="280" t="str">
        <f>IF('Paste Editor (Beta)'!$C$82="Level-up prompt",G481,IF('Paste Editor (Beta)'!$C$82="Item prompt",E481,IF('Paste Editor (Beta)'!$C$82="Modifier prompt","'"&amp;B481,IF('Paste Editor (Beta)'!$C$82="Challenge prompt",E481,IF('Paste Editor (Beta)'!$C$82="Reroll class prompt",S480,IF('Paste Editor (Beta)'!$C$82="Swap hero prompt",S480,IF('Paste Editor (Beta)'!$C$82="Anvil prompt",AD480,"")))))))</f>
        <v/>
      </c>
      <c r="AJ480" s="283">
        <f>IF('Paste Editor (Beta)'!$C$90="Level-up prompt",G481,IF('Paste Editor (Beta)'!$C$90="Item prompt",E481,IF('Paste Editor (Beta)'!$C$90="Modifier prompt","'"&amp;B481,IF('Paste Editor (Beta)'!$C$90="Challenge prompt",L481,IF('Paste Editor (Beta)'!$C$90="Reroll class prompt",S480,IF('Paste Editor (Beta)'!$C$90="Swap hero prompt",S480,IF('Paste Editor (Beta)'!$C$90="Anvil prompt",AD480,"")))))))</f>
        <v>0</v>
      </c>
      <c r="AK480" s="283">
        <f>IF('Paste Editor (Beta)'!$C$90="Level-up prompt",G481,IF('Paste Editor (Beta)'!$C$90="Item prompt",E481,IF('Paste Editor (Beta)'!$C$90="Modifier prompt","'"&amp;B481,IF('Paste Editor (Beta)'!$C$90="Challenge prompt",E481,IF('Paste Editor (Beta)'!$C$90="Reroll class prompt",S480,IF('Paste Editor (Beta)'!$C$90="Swap hero prompt",S480,IF('Paste Editor (Beta)'!$C$90="Anvil prompt",AD480,"")))))))</f>
        <v>0</v>
      </c>
    </row>
    <row r="481" spans="2:37" ht="17.25">
      <c r="B481" s="284" t="s">
        <v>3538</v>
      </c>
      <c r="C481" s="284" t="s">
        <v>3538</v>
      </c>
      <c r="D481" s="284" t="s">
        <v>3538</v>
      </c>
      <c r="AH481" s="280" t="str">
        <f>IF('Paste Editor (Beta)'!$C$82="Level-up prompt",G482,IF('Paste Editor (Beta)'!$C$82="Item prompt",E482,IF('Paste Editor (Beta)'!$C$82="Modifier prompt","'"&amp;B482,IF('Paste Editor (Beta)'!$C$82="Challenge prompt",L482,IF('Paste Editor (Beta)'!$C$82="Reroll class prompt",S481,IF('Paste Editor (Beta)'!$C$82="Swap hero prompt",S481,IF('Paste Editor (Beta)'!$C$82="Anvil prompt",AD481,"")))))))</f>
        <v/>
      </c>
      <c r="AI481" s="280" t="str">
        <f>IF('Paste Editor (Beta)'!$C$82="Level-up prompt",G482,IF('Paste Editor (Beta)'!$C$82="Item prompt",E482,IF('Paste Editor (Beta)'!$C$82="Modifier prompt","'"&amp;B482,IF('Paste Editor (Beta)'!$C$82="Challenge prompt",E482,IF('Paste Editor (Beta)'!$C$82="Reroll class prompt",S481,IF('Paste Editor (Beta)'!$C$82="Swap hero prompt",S481,IF('Paste Editor (Beta)'!$C$82="Anvil prompt",AD481,"")))))))</f>
        <v/>
      </c>
      <c r="AJ481" s="283">
        <f>IF('Paste Editor (Beta)'!$C$90="Level-up prompt",G482,IF('Paste Editor (Beta)'!$C$90="Item prompt",E482,IF('Paste Editor (Beta)'!$C$90="Modifier prompt","'"&amp;B482,IF('Paste Editor (Beta)'!$C$90="Challenge prompt",L482,IF('Paste Editor (Beta)'!$C$90="Reroll class prompt",S481,IF('Paste Editor (Beta)'!$C$90="Swap hero prompt",S481,IF('Paste Editor (Beta)'!$C$90="Anvil prompt",AD481,"")))))))</f>
        <v>0</v>
      </c>
      <c r="AK481" s="283">
        <f>IF('Paste Editor (Beta)'!$C$90="Level-up prompt",G482,IF('Paste Editor (Beta)'!$C$90="Item prompt",E482,IF('Paste Editor (Beta)'!$C$90="Modifier prompt","'"&amp;B482,IF('Paste Editor (Beta)'!$C$90="Challenge prompt",E482,IF('Paste Editor (Beta)'!$C$90="Reroll class prompt",S481,IF('Paste Editor (Beta)'!$C$90="Swap hero prompt",S481,IF('Paste Editor (Beta)'!$C$90="Anvil prompt",AD481,"")))))))</f>
        <v>0</v>
      </c>
    </row>
    <row r="482" spans="2:37" ht="17.25">
      <c r="B482" s="284" t="s">
        <v>3496</v>
      </c>
      <c r="C482" s="284" t="s">
        <v>3496</v>
      </c>
      <c r="D482" s="284" t="s">
        <v>3496</v>
      </c>
      <c r="AH482" s="280" t="str">
        <f>IF('Paste Editor (Beta)'!$C$82="Level-up prompt",G483,IF('Paste Editor (Beta)'!$C$82="Item prompt",E483,IF('Paste Editor (Beta)'!$C$82="Modifier prompt","'"&amp;B483,IF('Paste Editor (Beta)'!$C$82="Challenge prompt",L483,IF('Paste Editor (Beta)'!$C$82="Reroll class prompt",S482,IF('Paste Editor (Beta)'!$C$82="Swap hero prompt",S482,IF('Paste Editor (Beta)'!$C$82="Anvil prompt",AD482,"")))))))</f>
        <v/>
      </c>
      <c r="AI482" s="280" t="str">
        <f>IF('Paste Editor (Beta)'!$C$82="Level-up prompt",G483,IF('Paste Editor (Beta)'!$C$82="Item prompt",E483,IF('Paste Editor (Beta)'!$C$82="Modifier prompt","'"&amp;B483,IF('Paste Editor (Beta)'!$C$82="Challenge prompt",E483,IF('Paste Editor (Beta)'!$C$82="Reroll class prompt",S482,IF('Paste Editor (Beta)'!$C$82="Swap hero prompt",S482,IF('Paste Editor (Beta)'!$C$82="Anvil prompt",AD482,"")))))))</f>
        <v/>
      </c>
      <c r="AJ482" s="283">
        <f>IF('Paste Editor (Beta)'!$C$90="Level-up prompt",G483,IF('Paste Editor (Beta)'!$C$90="Item prompt",E483,IF('Paste Editor (Beta)'!$C$90="Modifier prompt","'"&amp;B483,IF('Paste Editor (Beta)'!$C$90="Challenge prompt",L483,IF('Paste Editor (Beta)'!$C$90="Reroll class prompt",S482,IF('Paste Editor (Beta)'!$C$90="Swap hero prompt",S482,IF('Paste Editor (Beta)'!$C$90="Anvil prompt",AD482,"")))))))</f>
        <v>0</v>
      </c>
      <c r="AK482" s="283">
        <f>IF('Paste Editor (Beta)'!$C$90="Level-up prompt",G483,IF('Paste Editor (Beta)'!$C$90="Item prompt",E483,IF('Paste Editor (Beta)'!$C$90="Modifier prompt","'"&amp;B483,IF('Paste Editor (Beta)'!$C$90="Challenge prompt",E483,IF('Paste Editor (Beta)'!$C$90="Reroll class prompt",S482,IF('Paste Editor (Beta)'!$C$90="Swap hero prompt",S482,IF('Paste Editor (Beta)'!$C$90="Anvil prompt",AD482,"")))))))</f>
        <v>0</v>
      </c>
    </row>
    <row r="483" spans="2:37" ht="17.25">
      <c r="B483" s="284" t="s">
        <v>3558</v>
      </c>
      <c r="C483" s="284" t="s">
        <v>3558</v>
      </c>
      <c r="D483" s="284" t="s">
        <v>3558</v>
      </c>
      <c r="AH483" s="280" t="str">
        <f>IF('Paste Editor (Beta)'!$C$82="Level-up prompt",G484,IF('Paste Editor (Beta)'!$C$82="Item prompt",E484,IF('Paste Editor (Beta)'!$C$82="Modifier prompt","'"&amp;B484,IF('Paste Editor (Beta)'!$C$82="Challenge prompt",L484,IF('Paste Editor (Beta)'!$C$82="Reroll class prompt",S483,IF('Paste Editor (Beta)'!$C$82="Swap hero prompt",S483,IF('Paste Editor (Beta)'!$C$82="Anvil prompt",AD483,"")))))))</f>
        <v/>
      </c>
      <c r="AI483" s="280" t="str">
        <f>IF('Paste Editor (Beta)'!$C$82="Level-up prompt",G484,IF('Paste Editor (Beta)'!$C$82="Item prompt",E484,IF('Paste Editor (Beta)'!$C$82="Modifier prompt","'"&amp;B484,IF('Paste Editor (Beta)'!$C$82="Challenge prompt",E484,IF('Paste Editor (Beta)'!$C$82="Reroll class prompt",S483,IF('Paste Editor (Beta)'!$C$82="Swap hero prompt",S483,IF('Paste Editor (Beta)'!$C$82="Anvil prompt",AD483,"")))))))</f>
        <v/>
      </c>
      <c r="AJ483" s="283">
        <f>IF('Paste Editor (Beta)'!$C$90="Level-up prompt",G484,IF('Paste Editor (Beta)'!$C$90="Item prompt",E484,IF('Paste Editor (Beta)'!$C$90="Modifier prompt","'"&amp;B484,IF('Paste Editor (Beta)'!$C$90="Challenge prompt",L484,IF('Paste Editor (Beta)'!$C$90="Reroll class prompt",S483,IF('Paste Editor (Beta)'!$C$90="Swap hero prompt",S483,IF('Paste Editor (Beta)'!$C$90="Anvil prompt",AD483,"")))))))</f>
        <v>0</v>
      </c>
      <c r="AK483" s="283">
        <f>IF('Paste Editor (Beta)'!$C$90="Level-up prompt",G484,IF('Paste Editor (Beta)'!$C$90="Item prompt",E484,IF('Paste Editor (Beta)'!$C$90="Modifier prompt","'"&amp;B484,IF('Paste Editor (Beta)'!$C$90="Challenge prompt",E484,IF('Paste Editor (Beta)'!$C$90="Reroll class prompt",S483,IF('Paste Editor (Beta)'!$C$90="Swap hero prompt",S483,IF('Paste Editor (Beta)'!$C$90="Anvil prompt",AD483,"")))))))</f>
        <v>0</v>
      </c>
    </row>
    <row r="484" spans="2:37" ht="17.25">
      <c r="B484" s="284" t="s">
        <v>3476</v>
      </c>
      <c r="C484" s="284" t="s">
        <v>3476</v>
      </c>
      <c r="D484" s="284" t="s">
        <v>3476</v>
      </c>
      <c r="AH484" s="280" t="str">
        <f>IF('Paste Editor (Beta)'!$C$82="Level-up prompt",G485,IF('Paste Editor (Beta)'!$C$82="Item prompt",E485,IF('Paste Editor (Beta)'!$C$82="Modifier prompt","'"&amp;B485,IF('Paste Editor (Beta)'!$C$82="Challenge prompt",L485,IF('Paste Editor (Beta)'!$C$82="Reroll class prompt",S484,IF('Paste Editor (Beta)'!$C$82="Swap hero prompt",S484,IF('Paste Editor (Beta)'!$C$82="Anvil prompt",AD484,"")))))))</f>
        <v/>
      </c>
      <c r="AI484" s="280" t="str">
        <f>IF('Paste Editor (Beta)'!$C$82="Level-up prompt",G485,IF('Paste Editor (Beta)'!$C$82="Item prompt",E485,IF('Paste Editor (Beta)'!$C$82="Modifier prompt","'"&amp;B485,IF('Paste Editor (Beta)'!$C$82="Challenge prompt",E485,IF('Paste Editor (Beta)'!$C$82="Reroll class prompt",S484,IF('Paste Editor (Beta)'!$C$82="Swap hero prompt",S484,IF('Paste Editor (Beta)'!$C$82="Anvil prompt",AD484,"")))))))</f>
        <v/>
      </c>
      <c r="AJ484" s="283">
        <f>IF('Paste Editor (Beta)'!$C$90="Level-up prompt",G485,IF('Paste Editor (Beta)'!$C$90="Item prompt",E485,IF('Paste Editor (Beta)'!$C$90="Modifier prompt","'"&amp;B485,IF('Paste Editor (Beta)'!$C$90="Challenge prompt",L485,IF('Paste Editor (Beta)'!$C$90="Reroll class prompt",S484,IF('Paste Editor (Beta)'!$C$90="Swap hero prompt",S484,IF('Paste Editor (Beta)'!$C$90="Anvil prompt",AD484,"")))))))</f>
        <v>0</v>
      </c>
      <c r="AK484" s="283">
        <f>IF('Paste Editor (Beta)'!$C$90="Level-up prompt",G485,IF('Paste Editor (Beta)'!$C$90="Item prompt",E485,IF('Paste Editor (Beta)'!$C$90="Modifier prompt","'"&amp;B485,IF('Paste Editor (Beta)'!$C$90="Challenge prompt",E485,IF('Paste Editor (Beta)'!$C$90="Reroll class prompt",S484,IF('Paste Editor (Beta)'!$C$90="Swap hero prompt",S484,IF('Paste Editor (Beta)'!$C$90="Anvil prompt",AD484,"")))))))</f>
        <v>0</v>
      </c>
    </row>
    <row r="485" spans="2:37" ht="17.25">
      <c r="B485" s="284" t="s">
        <v>3428</v>
      </c>
      <c r="C485" s="284" t="s">
        <v>3428</v>
      </c>
      <c r="D485" s="284" t="s">
        <v>3428</v>
      </c>
      <c r="AH485" s="280" t="str">
        <f>IF('Paste Editor (Beta)'!$C$82="Level-up prompt",G486,IF('Paste Editor (Beta)'!$C$82="Item prompt",E486,IF('Paste Editor (Beta)'!$C$82="Modifier prompt","'"&amp;B486,IF('Paste Editor (Beta)'!$C$82="Challenge prompt",L486,IF('Paste Editor (Beta)'!$C$82="Reroll class prompt",S485,IF('Paste Editor (Beta)'!$C$82="Swap hero prompt",S485,IF('Paste Editor (Beta)'!$C$82="Anvil prompt",AD485,"")))))))</f>
        <v/>
      </c>
      <c r="AI485" s="280" t="str">
        <f>IF('Paste Editor (Beta)'!$C$82="Level-up prompt",G486,IF('Paste Editor (Beta)'!$C$82="Item prompt",E486,IF('Paste Editor (Beta)'!$C$82="Modifier prompt","'"&amp;B486,IF('Paste Editor (Beta)'!$C$82="Challenge prompt",E486,IF('Paste Editor (Beta)'!$C$82="Reroll class prompt",S485,IF('Paste Editor (Beta)'!$C$82="Swap hero prompt",S485,IF('Paste Editor (Beta)'!$C$82="Anvil prompt",AD485,"")))))))</f>
        <v/>
      </c>
      <c r="AJ485" s="283">
        <f>IF('Paste Editor (Beta)'!$C$90="Level-up prompt",G486,IF('Paste Editor (Beta)'!$C$90="Item prompt",E486,IF('Paste Editor (Beta)'!$C$90="Modifier prompt","'"&amp;B486,IF('Paste Editor (Beta)'!$C$90="Challenge prompt",L486,IF('Paste Editor (Beta)'!$C$90="Reroll class prompt",S485,IF('Paste Editor (Beta)'!$C$90="Swap hero prompt",S485,IF('Paste Editor (Beta)'!$C$90="Anvil prompt",AD485,"")))))))</f>
        <v>0</v>
      </c>
      <c r="AK485" s="283">
        <f>IF('Paste Editor (Beta)'!$C$90="Level-up prompt",G486,IF('Paste Editor (Beta)'!$C$90="Item prompt",E486,IF('Paste Editor (Beta)'!$C$90="Modifier prompt","'"&amp;B486,IF('Paste Editor (Beta)'!$C$90="Challenge prompt",E486,IF('Paste Editor (Beta)'!$C$90="Reroll class prompt",S485,IF('Paste Editor (Beta)'!$C$90="Swap hero prompt",S485,IF('Paste Editor (Beta)'!$C$90="Anvil prompt",AD485,"")))))))</f>
        <v>0</v>
      </c>
    </row>
    <row r="486" spans="2:37" ht="17.25">
      <c r="B486" s="284" t="s">
        <v>3384</v>
      </c>
      <c r="C486" s="284" t="s">
        <v>3384</v>
      </c>
      <c r="D486" s="284" t="s">
        <v>3384</v>
      </c>
      <c r="AH486" s="280" t="str">
        <f>IF('Paste Editor (Beta)'!$C$82="Level-up prompt",G487,IF('Paste Editor (Beta)'!$C$82="Item prompt",E487,IF('Paste Editor (Beta)'!$C$82="Modifier prompt","'"&amp;B487,IF('Paste Editor (Beta)'!$C$82="Challenge prompt",L487,IF('Paste Editor (Beta)'!$C$82="Reroll class prompt",S486,IF('Paste Editor (Beta)'!$C$82="Swap hero prompt",S486,IF('Paste Editor (Beta)'!$C$82="Anvil prompt",AD486,"")))))))</f>
        <v/>
      </c>
      <c r="AI486" s="280" t="str">
        <f>IF('Paste Editor (Beta)'!$C$82="Level-up prompt",G487,IF('Paste Editor (Beta)'!$C$82="Item prompt",E487,IF('Paste Editor (Beta)'!$C$82="Modifier prompt","'"&amp;B487,IF('Paste Editor (Beta)'!$C$82="Challenge prompt",E487,IF('Paste Editor (Beta)'!$C$82="Reroll class prompt",S486,IF('Paste Editor (Beta)'!$C$82="Swap hero prompt",S486,IF('Paste Editor (Beta)'!$C$82="Anvil prompt",AD486,"")))))))</f>
        <v/>
      </c>
      <c r="AJ486" s="283">
        <f>IF('Paste Editor (Beta)'!$C$90="Level-up prompt",G487,IF('Paste Editor (Beta)'!$C$90="Item prompt",E487,IF('Paste Editor (Beta)'!$C$90="Modifier prompt","'"&amp;B487,IF('Paste Editor (Beta)'!$C$90="Challenge prompt",L487,IF('Paste Editor (Beta)'!$C$90="Reroll class prompt",S486,IF('Paste Editor (Beta)'!$C$90="Swap hero prompt",S486,IF('Paste Editor (Beta)'!$C$90="Anvil prompt",AD486,"")))))))</f>
        <v>0</v>
      </c>
      <c r="AK486" s="283">
        <f>IF('Paste Editor (Beta)'!$C$90="Level-up prompt",G487,IF('Paste Editor (Beta)'!$C$90="Item prompt",E487,IF('Paste Editor (Beta)'!$C$90="Modifier prompt","'"&amp;B487,IF('Paste Editor (Beta)'!$C$90="Challenge prompt",E487,IF('Paste Editor (Beta)'!$C$90="Reroll class prompt",S486,IF('Paste Editor (Beta)'!$C$90="Swap hero prompt",S486,IF('Paste Editor (Beta)'!$C$90="Anvil prompt",AD486,"")))))))</f>
        <v>0</v>
      </c>
    </row>
    <row r="487" spans="2:37" ht="17.25">
      <c r="B487" s="284" t="s">
        <v>3128</v>
      </c>
      <c r="C487" s="284" t="s">
        <v>3128</v>
      </c>
      <c r="D487" s="284" t="s">
        <v>3128</v>
      </c>
      <c r="AH487" s="280" t="str">
        <f>IF('Paste Editor (Beta)'!$C$82="Level-up prompt",G488,IF('Paste Editor (Beta)'!$C$82="Item prompt",E488,IF('Paste Editor (Beta)'!$C$82="Modifier prompt","'"&amp;B488,IF('Paste Editor (Beta)'!$C$82="Challenge prompt",L488,IF('Paste Editor (Beta)'!$C$82="Reroll class prompt",S487,IF('Paste Editor (Beta)'!$C$82="Swap hero prompt",S487,IF('Paste Editor (Beta)'!$C$82="Anvil prompt",AD487,"")))))))</f>
        <v/>
      </c>
      <c r="AI487" s="280" t="str">
        <f>IF('Paste Editor (Beta)'!$C$82="Level-up prompt",G488,IF('Paste Editor (Beta)'!$C$82="Item prompt",E488,IF('Paste Editor (Beta)'!$C$82="Modifier prompt","'"&amp;B488,IF('Paste Editor (Beta)'!$C$82="Challenge prompt",E488,IF('Paste Editor (Beta)'!$C$82="Reroll class prompt",S487,IF('Paste Editor (Beta)'!$C$82="Swap hero prompt",S487,IF('Paste Editor (Beta)'!$C$82="Anvil prompt",AD487,"")))))))</f>
        <v/>
      </c>
      <c r="AJ487" s="283">
        <f>IF('Paste Editor (Beta)'!$C$90="Level-up prompt",G488,IF('Paste Editor (Beta)'!$C$90="Item prompt",E488,IF('Paste Editor (Beta)'!$C$90="Modifier prompt","'"&amp;B488,IF('Paste Editor (Beta)'!$C$90="Challenge prompt",L488,IF('Paste Editor (Beta)'!$C$90="Reroll class prompt",S487,IF('Paste Editor (Beta)'!$C$90="Swap hero prompt",S487,IF('Paste Editor (Beta)'!$C$90="Anvil prompt",AD487,"")))))))</f>
        <v>0</v>
      </c>
      <c r="AK487" s="283">
        <f>IF('Paste Editor (Beta)'!$C$90="Level-up prompt",G488,IF('Paste Editor (Beta)'!$C$90="Item prompt",E488,IF('Paste Editor (Beta)'!$C$90="Modifier prompt","'"&amp;B488,IF('Paste Editor (Beta)'!$C$90="Challenge prompt",E488,IF('Paste Editor (Beta)'!$C$90="Reroll class prompt",S487,IF('Paste Editor (Beta)'!$C$90="Swap hero prompt",S487,IF('Paste Editor (Beta)'!$C$90="Anvil prompt",AD487,"")))))))</f>
        <v>0</v>
      </c>
    </row>
    <row r="488" spans="2:37" ht="17.25">
      <c r="B488" s="284" t="s">
        <v>3388</v>
      </c>
      <c r="C488" s="284" t="s">
        <v>3388</v>
      </c>
      <c r="D488" s="284" t="s">
        <v>3388</v>
      </c>
      <c r="AH488" s="280" t="str">
        <f>IF('Paste Editor (Beta)'!$C$82="Level-up prompt",G489,IF('Paste Editor (Beta)'!$C$82="Item prompt",E489,IF('Paste Editor (Beta)'!$C$82="Modifier prompt","'"&amp;B489,IF('Paste Editor (Beta)'!$C$82="Challenge prompt",L489,IF('Paste Editor (Beta)'!$C$82="Reroll class prompt",S488,IF('Paste Editor (Beta)'!$C$82="Swap hero prompt",S488,IF('Paste Editor (Beta)'!$C$82="Anvil prompt",AD488,"")))))))</f>
        <v/>
      </c>
      <c r="AI488" s="280" t="str">
        <f>IF('Paste Editor (Beta)'!$C$82="Level-up prompt",G489,IF('Paste Editor (Beta)'!$C$82="Item prompt",E489,IF('Paste Editor (Beta)'!$C$82="Modifier prompt","'"&amp;B489,IF('Paste Editor (Beta)'!$C$82="Challenge prompt",E489,IF('Paste Editor (Beta)'!$C$82="Reroll class prompt",S488,IF('Paste Editor (Beta)'!$C$82="Swap hero prompt",S488,IF('Paste Editor (Beta)'!$C$82="Anvil prompt",AD488,"")))))))</f>
        <v/>
      </c>
      <c r="AJ488" s="283">
        <f>IF('Paste Editor (Beta)'!$C$90="Level-up prompt",G489,IF('Paste Editor (Beta)'!$C$90="Item prompt",E489,IF('Paste Editor (Beta)'!$C$90="Modifier prompt","'"&amp;B489,IF('Paste Editor (Beta)'!$C$90="Challenge prompt",L489,IF('Paste Editor (Beta)'!$C$90="Reroll class prompt",S488,IF('Paste Editor (Beta)'!$C$90="Swap hero prompt",S488,IF('Paste Editor (Beta)'!$C$90="Anvil prompt",AD488,"")))))))</f>
        <v>0</v>
      </c>
      <c r="AK488" s="283">
        <f>IF('Paste Editor (Beta)'!$C$90="Level-up prompt",G489,IF('Paste Editor (Beta)'!$C$90="Item prompt",E489,IF('Paste Editor (Beta)'!$C$90="Modifier prompt","'"&amp;B489,IF('Paste Editor (Beta)'!$C$90="Challenge prompt",E489,IF('Paste Editor (Beta)'!$C$90="Reroll class prompt",S488,IF('Paste Editor (Beta)'!$C$90="Swap hero prompt",S488,IF('Paste Editor (Beta)'!$C$90="Anvil prompt",AD488,"")))))))</f>
        <v>0</v>
      </c>
    </row>
    <row r="489" spans="2:37" ht="17.25">
      <c r="B489" s="284" t="s">
        <v>3504</v>
      </c>
      <c r="C489" s="284" t="s">
        <v>3504</v>
      </c>
      <c r="D489" s="284" t="s">
        <v>3504</v>
      </c>
      <c r="AH489" s="280" t="str">
        <f>IF('Paste Editor (Beta)'!$C$82="Level-up prompt",G490,IF('Paste Editor (Beta)'!$C$82="Item prompt",E490,IF('Paste Editor (Beta)'!$C$82="Modifier prompt","'"&amp;B490,IF('Paste Editor (Beta)'!$C$82="Challenge prompt",L490,IF('Paste Editor (Beta)'!$C$82="Reroll class prompt",S489,IF('Paste Editor (Beta)'!$C$82="Swap hero prompt",S489,IF('Paste Editor (Beta)'!$C$82="Anvil prompt",AD489,"")))))))</f>
        <v/>
      </c>
      <c r="AI489" s="280" t="str">
        <f>IF('Paste Editor (Beta)'!$C$82="Level-up prompt",G490,IF('Paste Editor (Beta)'!$C$82="Item prompt",E490,IF('Paste Editor (Beta)'!$C$82="Modifier prompt","'"&amp;B490,IF('Paste Editor (Beta)'!$C$82="Challenge prompt",E490,IF('Paste Editor (Beta)'!$C$82="Reroll class prompt",S489,IF('Paste Editor (Beta)'!$C$82="Swap hero prompt",S489,IF('Paste Editor (Beta)'!$C$82="Anvil prompt",AD489,"")))))))</f>
        <v/>
      </c>
      <c r="AJ489" s="283">
        <f>IF('Paste Editor (Beta)'!$C$90="Level-up prompt",G490,IF('Paste Editor (Beta)'!$C$90="Item prompt",E490,IF('Paste Editor (Beta)'!$C$90="Modifier prompt","'"&amp;B490,IF('Paste Editor (Beta)'!$C$90="Challenge prompt",L490,IF('Paste Editor (Beta)'!$C$90="Reroll class prompt",S489,IF('Paste Editor (Beta)'!$C$90="Swap hero prompt",S489,IF('Paste Editor (Beta)'!$C$90="Anvil prompt",AD489,"")))))))</f>
        <v>0</v>
      </c>
      <c r="AK489" s="283">
        <f>IF('Paste Editor (Beta)'!$C$90="Level-up prompt",G490,IF('Paste Editor (Beta)'!$C$90="Item prompt",E490,IF('Paste Editor (Beta)'!$C$90="Modifier prompt","'"&amp;B490,IF('Paste Editor (Beta)'!$C$90="Challenge prompt",E490,IF('Paste Editor (Beta)'!$C$90="Reroll class prompt",S489,IF('Paste Editor (Beta)'!$C$90="Swap hero prompt",S489,IF('Paste Editor (Beta)'!$C$90="Anvil prompt",AD489,"")))))))</f>
        <v>0</v>
      </c>
    </row>
    <row r="490" spans="2:37" ht="17.25">
      <c r="B490" s="284" t="s">
        <v>3576</v>
      </c>
      <c r="C490" s="284" t="s">
        <v>3576</v>
      </c>
      <c r="D490" s="284" t="s">
        <v>3576</v>
      </c>
      <c r="AH490" s="280" t="str">
        <f>IF('Paste Editor (Beta)'!$C$82="Level-up prompt",G491,IF('Paste Editor (Beta)'!$C$82="Item prompt",E491,IF('Paste Editor (Beta)'!$C$82="Modifier prompt","'"&amp;B491,IF('Paste Editor (Beta)'!$C$82="Challenge prompt",L491,IF('Paste Editor (Beta)'!$C$82="Reroll class prompt",S490,IF('Paste Editor (Beta)'!$C$82="Swap hero prompt",S490,IF('Paste Editor (Beta)'!$C$82="Anvil prompt",AD490,"")))))))</f>
        <v/>
      </c>
      <c r="AI490" s="280" t="str">
        <f>IF('Paste Editor (Beta)'!$C$82="Level-up prompt",G491,IF('Paste Editor (Beta)'!$C$82="Item prompt",E491,IF('Paste Editor (Beta)'!$C$82="Modifier prompt","'"&amp;B491,IF('Paste Editor (Beta)'!$C$82="Challenge prompt",E491,IF('Paste Editor (Beta)'!$C$82="Reroll class prompt",S490,IF('Paste Editor (Beta)'!$C$82="Swap hero prompt",S490,IF('Paste Editor (Beta)'!$C$82="Anvil prompt",AD490,"")))))))</f>
        <v/>
      </c>
      <c r="AJ490" s="283">
        <f>IF('Paste Editor (Beta)'!$C$90="Level-up prompt",G491,IF('Paste Editor (Beta)'!$C$90="Item prompt",E491,IF('Paste Editor (Beta)'!$C$90="Modifier prompt","'"&amp;B491,IF('Paste Editor (Beta)'!$C$90="Challenge prompt",L491,IF('Paste Editor (Beta)'!$C$90="Reroll class prompt",S490,IF('Paste Editor (Beta)'!$C$90="Swap hero prompt",S490,IF('Paste Editor (Beta)'!$C$90="Anvil prompt",AD490,"")))))))</f>
        <v>0</v>
      </c>
      <c r="AK490" s="283">
        <f>IF('Paste Editor (Beta)'!$C$90="Level-up prompt",G491,IF('Paste Editor (Beta)'!$C$90="Item prompt",E491,IF('Paste Editor (Beta)'!$C$90="Modifier prompt","'"&amp;B491,IF('Paste Editor (Beta)'!$C$90="Challenge prompt",E491,IF('Paste Editor (Beta)'!$C$90="Reroll class prompt",S490,IF('Paste Editor (Beta)'!$C$90="Swap hero prompt",S490,IF('Paste Editor (Beta)'!$C$90="Anvil prompt",AD490,"")))))))</f>
        <v>0</v>
      </c>
    </row>
    <row r="491" spans="2:37" ht="17.25">
      <c r="B491" s="284" t="s">
        <v>3168</v>
      </c>
      <c r="C491" s="284" t="s">
        <v>3168</v>
      </c>
      <c r="D491" s="284" t="s">
        <v>3168</v>
      </c>
      <c r="AH491" s="280" t="str">
        <f>IF('Paste Editor (Beta)'!$C$82="Level-up prompt",G492,IF('Paste Editor (Beta)'!$C$82="Item prompt",E492,IF('Paste Editor (Beta)'!$C$82="Modifier prompt","'"&amp;B492,IF('Paste Editor (Beta)'!$C$82="Challenge prompt",L492,IF('Paste Editor (Beta)'!$C$82="Reroll class prompt",S491,IF('Paste Editor (Beta)'!$C$82="Swap hero prompt",S491,IF('Paste Editor (Beta)'!$C$82="Anvil prompt",AD491,"")))))))</f>
        <v/>
      </c>
      <c r="AI491" s="280" t="str">
        <f>IF('Paste Editor (Beta)'!$C$82="Level-up prompt",G492,IF('Paste Editor (Beta)'!$C$82="Item prompt",E492,IF('Paste Editor (Beta)'!$C$82="Modifier prompt","'"&amp;B492,IF('Paste Editor (Beta)'!$C$82="Challenge prompt",E492,IF('Paste Editor (Beta)'!$C$82="Reroll class prompt",S491,IF('Paste Editor (Beta)'!$C$82="Swap hero prompt",S491,IF('Paste Editor (Beta)'!$C$82="Anvil prompt",AD491,"")))))))</f>
        <v/>
      </c>
      <c r="AJ491" s="283">
        <f>IF('Paste Editor (Beta)'!$C$90="Level-up prompt",G492,IF('Paste Editor (Beta)'!$C$90="Item prompt",E492,IF('Paste Editor (Beta)'!$C$90="Modifier prompt","'"&amp;B492,IF('Paste Editor (Beta)'!$C$90="Challenge prompt",L492,IF('Paste Editor (Beta)'!$C$90="Reroll class prompt",S491,IF('Paste Editor (Beta)'!$C$90="Swap hero prompt",S491,IF('Paste Editor (Beta)'!$C$90="Anvil prompt",AD491,"")))))))</f>
        <v>0</v>
      </c>
      <c r="AK491" s="283">
        <f>IF('Paste Editor (Beta)'!$C$90="Level-up prompt",G492,IF('Paste Editor (Beta)'!$C$90="Item prompt",E492,IF('Paste Editor (Beta)'!$C$90="Modifier prompt","'"&amp;B492,IF('Paste Editor (Beta)'!$C$90="Challenge prompt",E492,IF('Paste Editor (Beta)'!$C$90="Reroll class prompt",S491,IF('Paste Editor (Beta)'!$C$90="Swap hero prompt",S491,IF('Paste Editor (Beta)'!$C$90="Anvil prompt",AD491,"")))))))</f>
        <v>0</v>
      </c>
    </row>
    <row r="492" spans="2:37" ht="17.25">
      <c r="B492" s="284" t="s">
        <v>3416</v>
      </c>
      <c r="C492" s="284" t="s">
        <v>3416</v>
      </c>
      <c r="D492" s="284" t="s">
        <v>3416</v>
      </c>
      <c r="AH492" s="280" t="str">
        <f>IF('Paste Editor (Beta)'!$C$82="Level-up prompt",G493,IF('Paste Editor (Beta)'!$C$82="Item prompt",E493,IF('Paste Editor (Beta)'!$C$82="Modifier prompt","'"&amp;B493,IF('Paste Editor (Beta)'!$C$82="Challenge prompt",L493,IF('Paste Editor (Beta)'!$C$82="Reroll class prompt",S492,IF('Paste Editor (Beta)'!$C$82="Swap hero prompt",S492,IF('Paste Editor (Beta)'!$C$82="Anvil prompt",AD492,"")))))))</f>
        <v/>
      </c>
      <c r="AI492" s="280" t="str">
        <f>IF('Paste Editor (Beta)'!$C$82="Level-up prompt",G493,IF('Paste Editor (Beta)'!$C$82="Item prompt",E493,IF('Paste Editor (Beta)'!$C$82="Modifier prompt","'"&amp;B493,IF('Paste Editor (Beta)'!$C$82="Challenge prompt",E493,IF('Paste Editor (Beta)'!$C$82="Reroll class prompt",S492,IF('Paste Editor (Beta)'!$C$82="Swap hero prompt",S492,IF('Paste Editor (Beta)'!$C$82="Anvil prompt",AD492,"")))))))</f>
        <v/>
      </c>
      <c r="AJ492" s="283">
        <f>IF('Paste Editor (Beta)'!$C$90="Level-up prompt",G493,IF('Paste Editor (Beta)'!$C$90="Item prompt",E493,IF('Paste Editor (Beta)'!$C$90="Modifier prompt","'"&amp;B493,IF('Paste Editor (Beta)'!$C$90="Challenge prompt",L493,IF('Paste Editor (Beta)'!$C$90="Reroll class prompt",S492,IF('Paste Editor (Beta)'!$C$90="Swap hero prompt",S492,IF('Paste Editor (Beta)'!$C$90="Anvil prompt",AD492,"")))))))</f>
        <v>0</v>
      </c>
      <c r="AK492" s="283">
        <f>IF('Paste Editor (Beta)'!$C$90="Level-up prompt",G493,IF('Paste Editor (Beta)'!$C$90="Item prompt",E493,IF('Paste Editor (Beta)'!$C$90="Modifier prompt","'"&amp;B493,IF('Paste Editor (Beta)'!$C$90="Challenge prompt",E493,IF('Paste Editor (Beta)'!$C$90="Reroll class prompt",S492,IF('Paste Editor (Beta)'!$C$90="Swap hero prompt",S492,IF('Paste Editor (Beta)'!$C$90="Anvil prompt",AD492,"")))))))</f>
        <v>0</v>
      </c>
    </row>
    <row r="493" spans="2:37" ht="17.25">
      <c r="B493" s="284" t="s">
        <v>3354</v>
      </c>
      <c r="C493" s="284" t="s">
        <v>3354</v>
      </c>
      <c r="D493" s="284" t="s">
        <v>3354</v>
      </c>
      <c r="AH493" s="280" t="str">
        <f>IF('Paste Editor (Beta)'!$C$82="Level-up prompt",G494,IF('Paste Editor (Beta)'!$C$82="Item prompt",E494,IF('Paste Editor (Beta)'!$C$82="Modifier prompt","'"&amp;B494,IF('Paste Editor (Beta)'!$C$82="Challenge prompt",L494,IF('Paste Editor (Beta)'!$C$82="Reroll class prompt",S493,IF('Paste Editor (Beta)'!$C$82="Swap hero prompt",S493,IF('Paste Editor (Beta)'!$C$82="Anvil prompt",AD493,"")))))))</f>
        <v/>
      </c>
      <c r="AI493" s="280" t="str">
        <f>IF('Paste Editor (Beta)'!$C$82="Level-up prompt",G494,IF('Paste Editor (Beta)'!$C$82="Item prompt",E494,IF('Paste Editor (Beta)'!$C$82="Modifier prompt","'"&amp;B494,IF('Paste Editor (Beta)'!$C$82="Challenge prompt",E494,IF('Paste Editor (Beta)'!$C$82="Reroll class prompt",S493,IF('Paste Editor (Beta)'!$C$82="Swap hero prompt",S493,IF('Paste Editor (Beta)'!$C$82="Anvil prompt",AD493,"")))))))</f>
        <v/>
      </c>
      <c r="AJ493" s="283">
        <f>IF('Paste Editor (Beta)'!$C$90="Level-up prompt",G494,IF('Paste Editor (Beta)'!$C$90="Item prompt",E494,IF('Paste Editor (Beta)'!$C$90="Modifier prompt","'"&amp;B494,IF('Paste Editor (Beta)'!$C$90="Challenge prompt",L494,IF('Paste Editor (Beta)'!$C$90="Reroll class prompt",S493,IF('Paste Editor (Beta)'!$C$90="Swap hero prompt",S493,IF('Paste Editor (Beta)'!$C$90="Anvil prompt",AD493,"")))))))</f>
        <v>0</v>
      </c>
      <c r="AK493" s="283">
        <f>IF('Paste Editor (Beta)'!$C$90="Level-up prompt",G494,IF('Paste Editor (Beta)'!$C$90="Item prompt",E494,IF('Paste Editor (Beta)'!$C$90="Modifier prompt","'"&amp;B494,IF('Paste Editor (Beta)'!$C$90="Challenge prompt",E494,IF('Paste Editor (Beta)'!$C$90="Reroll class prompt",S493,IF('Paste Editor (Beta)'!$C$90="Swap hero prompt",S493,IF('Paste Editor (Beta)'!$C$90="Anvil prompt",AD493,"")))))))</f>
        <v>0</v>
      </c>
    </row>
    <row r="494" spans="2:37" ht="17.25">
      <c r="B494" s="284" t="s">
        <v>3556</v>
      </c>
      <c r="C494" s="284" t="s">
        <v>3556</v>
      </c>
      <c r="D494" s="284" t="s">
        <v>3556</v>
      </c>
      <c r="AH494" s="280" t="str">
        <f>IF('Paste Editor (Beta)'!$C$82="Level-up prompt",G495,IF('Paste Editor (Beta)'!$C$82="Item prompt",E495,IF('Paste Editor (Beta)'!$C$82="Modifier prompt","'"&amp;B495,IF('Paste Editor (Beta)'!$C$82="Challenge prompt",L495,IF('Paste Editor (Beta)'!$C$82="Reroll class prompt",S494,IF('Paste Editor (Beta)'!$C$82="Swap hero prompt",S494,IF('Paste Editor (Beta)'!$C$82="Anvil prompt",AD494,"")))))))</f>
        <v/>
      </c>
      <c r="AI494" s="280" t="str">
        <f>IF('Paste Editor (Beta)'!$C$82="Level-up prompt",G495,IF('Paste Editor (Beta)'!$C$82="Item prompt",E495,IF('Paste Editor (Beta)'!$C$82="Modifier prompt","'"&amp;B495,IF('Paste Editor (Beta)'!$C$82="Challenge prompt",E495,IF('Paste Editor (Beta)'!$C$82="Reroll class prompt",S494,IF('Paste Editor (Beta)'!$C$82="Swap hero prompt",S494,IF('Paste Editor (Beta)'!$C$82="Anvil prompt",AD494,"")))))))</f>
        <v/>
      </c>
      <c r="AJ494" s="283">
        <f>IF('Paste Editor (Beta)'!$C$90="Level-up prompt",G495,IF('Paste Editor (Beta)'!$C$90="Item prompt",E495,IF('Paste Editor (Beta)'!$C$90="Modifier prompt","'"&amp;B495,IF('Paste Editor (Beta)'!$C$90="Challenge prompt",L495,IF('Paste Editor (Beta)'!$C$90="Reroll class prompt",S494,IF('Paste Editor (Beta)'!$C$90="Swap hero prompt",S494,IF('Paste Editor (Beta)'!$C$90="Anvil prompt",AD494,"")))))))</f>
        <v>0</v>
      </c>
      <c r="AK494" s="283">
        <f>IF('Paste Editor (Beta)'!$C$90="Level-up prompt",G495,IF('Paste Editor (Beta)'!$C$90="Item prompt",E495,IF('Paste Editor (Beta)'!$C$90="Modifier prompt","'"&amp;B495,IF('Paste Editor (Beta)'!$C$90="Challenge prompt",E495,IF('Paste Editor (Beta)'!$C$90="Reroll class prompt",S494,IF('Paste Editor (Beta)'!$C$90="Swap hero prompt",S494,IF('Paste Editor (Beta)'!$C$90="Anvil prompt",AD494,"")))))))</f>
        <v>0</v>
      </c>
    </row>
    <row r="495" spans="2:37" ht="17.25">
      <c r="B495" s="284" t="s">
        <v>3292</v>
      </c>
      <c r="C495" s="284" t="s">
        <v>3292</v>
      </c>
      <c r="D495" s="284" t="s">
        <v>3292</v>
      </c>
      <c r="AH495" s="280" t="str">
        <f>IF('Paste Editor (Beta)'!$C$82="Level-up prompt",G496,IF('Paste Editor (Beta)'!$C$82="Item prompt",E496,IF('Paste Editor (Beta)'!$C$82="Modifier prompt","'"&amp;B496,IF('Paste Editor (Beta)'!$C$82="Challenge prompt",L496,IF('Paste Editor (Beta)'!$C$82="Reroll class prompt",S495,IF('Paste Editor (Beta)'!$C$82="Swap hero prompt",S495,IF('Paste Editor (Beta)'!$C$82="Anvil prompt",AD495,"")))))))</f>
        <v/>
      </c>
      <c r="AI495" s="280" t="str">
        <f>IF('Paste Editor (Beta)'!$C$82="Level-up prompt",G496,IF('Paste Editor (Beta)'!$C$82="Item prompt",E496,IF('Paste Editor (Beta)'!$C$82="Modifier prompt","'"&amp;B496,IF('Paste Editor (Beta)'!$C$82="Challenge prompt",E496,IF('Paste Editor (Beta)'!$C$82="Reroll class prompt",S495,IF('Paste Editor (Beta)'!$C$82="Swap hero prompt",S495,IF('Paste Editor (Beta)'!$C$82="Anvil prompt",AD495,"")))))))</f>
        <v/>
      </c>
      <c r="AJ495" s="283">
        <f>IF('Paste Editor (Beta)'!$C$90="Level-up prompt",G496,IF('Paste Editor (Beta)'!$C$90="Item prompt",E496,IF('Paste Editor (Beta)'!$C$90="Modifier prompt","'"&amp;B496,IF('Paste Editor (Beta)'!$C$90="Challenge prompt",L496,IF('Paste Editor (Beta)'!$C$90="Reroll class prompt",S495,IF('Paste Editor (Beta)'!$C$90="Swap hero prompt",S495,IF('Paste Editor (Beta)'!$C$90="Anvil prompt",AD495,"")))))))</f>
        <v>0</v>
      </c>
      <c r="AK495" s="283">
        <f>IF('Paste Editor (Beta)'!$C$90="Level-up prompt",G496,IF('Paste Editor (Beta)'!$C$90="Item prompt",E496,IF('Paste Editor (Beta)'!$C$90="Modifier prompt","'"&amp;B496,IF('Paste Editor (Beta)'!$C$90="Challenge prompt",E496,IF('Paste Editor (Beta)'!$C$90="Reroll class prompt",S495,IF('Paste Editor (Beta)'!$C$90="Swap hero prompt",S495,IF('Paste Editor (Beta)'!$C$90="Anvil prompt",AD495,"")))))))</f>
        <v>0</v>
      </c>
    </row>
    <row r="496" spans="2:37" ht="17.25">
      <c r="B496" s="284" t="s">
        <v>2199</v>
      </c>
      <c r="C496" s="284" t="s">
        <v>2199</v>
      </c>
      <c r="D496" s="284" t="s">
        <v>2199</v>
      </c>
      <c r="AH496" s="280" t="str">
        <f>IF('Paste Editor (Beta)'!$C$82="Level-up prompt",G497,IF('Paste Editor (Beta)'!$C$82="Item prompt",E497,IF('Paste Editor (Beta)'!$C$82="Modifier prompt","'"&amp;B497,IF('Paste Editor (Beta)'!$C$82="Challenge prompt",L497,IF('Paste Editor (Beta)'!$C$82="Reroll class prompt",S496,IF('Paste Editor (Beta)'!$C$82="Swap hero prompt",S496,IF('Paste Editor (Beta)'!$C$82="Anvil prompt",AD496,"")))))))</f>
        <v/>
      </c>
      <c r="AI496" s="280" t="str">
        <f>IF('Paste Editor (Beta)'!$C$82="Level-up prompt",G497,IF('Paste Editor (Beta)'!$C$82="Item prompt",E497,IF('Paste Editor (Beta)'!$C$82="Modifier prompt","'"&amp;B497,IF('Paste Editor (Beta)'!$C$82="Challenge prompt",E497,IF('Paste Editor (Beta)'!$C$82="Reroll class prompt",S496,IF('Paste Editor (Beta)'!$C$82="Swap hero prompt",S496,IF('Paste Editor (Beta)'!$C$82="Anvil prompt",AD496,"")))))))</f>
        <v/>
      </c>
      <c r="AJ496" s="283">
        <f>IF('Paste Editor (Beta)'!$C$90="Level-up prompt",G497,IF('Paste Editor (Beta)'!$C$90="Item prompt",E497,IF('Paste Editor (Beta)'!$C$90="Modifier prompt","'"&amp;B497,IF('Paste Editor (Beta)'!$C$90="Challenge prompt",L497,IF('Paste Editor (Beta)'!$C$90="Reroll class prompt",S496,IF('Paste Editor (Beta)'!$C$90="Swap hero prompt",S496,IF('Paste Editor (Beta)'!$C$90="Anvil prompt",AD496,"")))))))</f>
        <v>0</v>
      </c>
      <c r="AK496" s="283">
        <f>IF('Paste Editor (Beta)'!$C$90="Level-up prompt",G497,IF('Paste Editor (Beta)'!$C$90="Item prompt",E497,IF('Paste Editor (Beta)'!$C$90="Modifier prompt","'"&amp;B497,IF('Paste Editor (Beta)'!$C$90="Challenge prompt",E497,IF('Paste Editor (Beta)'!$C$90="Reroll class prompt",S496,IF('Paste Editor (Beta)'!$C$90="Swap hero prompt",S496,IF('Paste Editor (Beta)'!$C$90="Anvil prompt",AD496,"")))))))</f>
        <v>0</v>
      </c>
    </row>
    <row r="497" spans="2:37" ht="17.25">
      <c r="B497" s="284" t="s">
        <v>3380</v>
      </c>
      <c r="C497" s="284" t="s">
        <v>3380</v>
      </c>
      <c r="D497" s="284" t="s">
        <v>3380</v>
      </c>
      <c r="AH497" s="280" t="str">
        <f>IF('Paste Editor (Beta)'!$C$82="Level-up prompt",G498,IF('Paste Editor (Beta)'!$C$82="Item prompt",E498,IF('Paste Editor (Beta)'!$C$82="Modifier prompt","'"&amp;B498,IF('Paste Editor (Beta)'!$C$82="Challenge prompt",L498,IF('Paste Editor (Beta)'!$C$82="Reroll class prompt",S497,IF('Paste Editor (Beta)'!$C$82="Swap hero prompt",S497,IF('Paste Editor (Beta)'!$C$82="Anvil prompt",AD497,"")))))))</f>
        <v/>
      </c>
      <c r="AI497" s="280" t="str">
        <f>IF('Paste Editor (Beta)'!$C$82="Level-up prompt",G498,IF('Paste Editor (Beta)'!$C$82="Item prompt",E498,IF('Paste Editor (Beta)'!$C$82="Modifier prompt","'"&amp;B498,IF('Paste Editor (Beta)'!$C$82="Challenge prompt",E498,IF('Paste Editor (Beta)'!$C$82="Reroll class prompt",S497,IF('Paste Editor (Beta)'!$C$82="Swap hero prompt",S497,IF('Paste Editor (Beta)'!$C$82="Anvil prompt",AD497,"")))))))</f>
        <v/>
      </c>
      <c r="AJ497" s="283">
        <f>IF('Paste Editor (Beta)'!$C$90="Level-up prompt",G498,IF('Paste Editor (Beta)'!$C$90="Item prompt",E498,IF('Paste Editor (Beta)'!$C$90="Modifier prompt","'"&amp;B498,IF('Paste Editor (Beta)'!$C$90="Challenge prompt",L498,IF('Paste Editor (Beta)'!$C$90="Reroll class prompt",S497,IF('Paste Editor (Beta)'!$C$90="Swap hero prompt",S497,IF('Paste Editor (Beta)'!$C$90="Anvil prompt",AD497,"")))))))</f>
        <v>0</v>
      </c>
      <c r="AK497" s="283">
        <f>IF('Paste Editor (Beta)'!$C$90="Level-up prompt",G498,IF('Paste Editor (Beta)'!$C$90="Item prompt",E498,IF('Paste Editor (Beta)'!$C$90="Modifier prompt","'"&amp;B498,IF('Paste Editor (Beta)'!$C$90="Challenge prompt",E498,IF('Paste Editor (Beta)'!$C$90="Reroll class prompt",S497,IF('Paste Editor (Beta)'!$C$90="Swap hero prompt",S497,IF('Paste Editor (Beta)'!$C$90="Anvil prompt",AD497,"")))))))</f>
        <v>0</v>
      </c>
    </row>
    <row r="498" spans="2:37" ht="17.25">
      <c r="B498" s="284" t="s">
        <v>3274</v>
      </c>
      <c r="C498" s="284" t="s">
        <v>3274</v>
      </c>
      <c r="D498" s="284" t="s">
        <v>3274</v>
      </c>
      <c r="AH498" s="280" t="str">
        <f>IF('Paste Editor (Beta)'!$C$82="Level-up prompt",G499,IF('Paste Editor (Beta)'!$C$82="Item prompt",E499,IF('Paste Editor (Beta)'!$C$82="Modifier prompt","'"&amp;B499,IF('Paste Editor (Beta)'!$C$82="Challenge prompt",L499,IF('Paste Editor (Beta)'!$C$82="Reroll class prompt",S498,IF('Paste Editor (Beta)'!$C$82="Swap hero prompt",S498,IF('Paste Editor (Beta)'!$C$82="Anvil prompt",AD498,"")))))))</f>
        <v/>
      </c>
      <c r="AI498" s="280" t="str">
        <f>IF('Paste Editor (Beta)'!$C$82="Level-up prompt",G499,IF('Paste Editor (Beta)'!$C$82="Item prompt",E499,IF('Paste Editor (Beta)'!$C$82="Modifier prompt","'"&amp;B499,IF('Paste Editor (Beta)'!$C$82="Challenge prompt",E499,IF('Paste Editor (Beta)'!$C$82="Reroll class prompt",S498,IF('Paste Editor (Beta)'!$C$82="Swap hero prompt",S498,IF('Paste Editor (Beta)'!$C$82="Anvil prompt",AD498,"")))))))</f>
        <v/>
      </c>
      <c r="AJ498" s="283">
        <f>IF('Paste Editor (Beta)'!$C$90="Level-up prompt",G499,IF('Paste Editor (Beta)'!$C$90="Item prompt",E499,IF('Paste Editor (Beta)'!$C$90="Modifier prompt","'"&amp;B499,IF('Paste Editor (Beta)'!$C$90="Challenge prompt",L499,IF('Paste Editor (Beta)'!$C$90="Reroll class prompt",S498,IF('Paste Editor (Beta)'!$C$90="Swap hero prompt",S498,IF('Paste Editor (Beta)'!$C$90="Anvil prompt",AD498,"")))))))</f>
        <v>0</v>
      </c>
      <c r="AK498" s="283">
        <f>IF('Paste Editor (Beta)'!$C$90="Level-up prompt",G499,IF('Paste Editor (Beta)'!$C$90="Item prompt",E499,IF('Paste Editor (Beta)'!$C$90="Modifier prompt","'"&amp;B499,IF('Paste Editor (Beta)'!$C$90="Challenge prompt",E499,IF('Paste Editor (Beta)'!$C$90="Reroll class prompt",S498,IF('Paste Editor (Beta)'!$C$90="Swap hero prompt",S498,IF('Paste Editor (Beta)'!$C$90="Anvil prompt",AD498,"")))))))</f>
        <v>0</v>
      </c>
    </row>
    <row r="499" spans="2:37" ht="17.25">
      <c r="B499" s="284" t="s">
        <v>2201</v>
      </c>
      <c r="C499" s="284" t="s">
        <v>2201</v>
      </c>
      <c r="D499" s="284" t="s">
        <v>2201</v>
      </c>
      <c r="AH499" s="280" t="str">
        <f>IF('Paste Editor (Beta)'!$C$82="Level-up prompt",G500,IF('Paste Editor (Beta)'!$C$82="Item prompt",E500,IF('Paste Editor (Beta)'!$C$82="Modifier prompt","'"&amp;B500,IF('Paste Editor (Beta)'!$C$82="Challenge prompt",L500,IF('Paste Editor (Beta)'!$C$82="Reroll class prompt",S499,IF('Paste Editor (Beta)'!$C$82="Swap hero prompt",S499,IF('Paste Editor (Beta)'!$C$82="Anvil prompt",AD499,"")))))))</f>
        <v/>
      </c>
      <c r="AI499" s="280" t="str">
        <f>IF('Paste Editor (Beta)'!$C$82="Level-up prompt",G500,IF('Paste Editor (Beta)'!$C$82="Item prompt",E500,IF('Paste Editor (Beta)'!$C$82="Modifier prompt","'"&amp;B500,IF('Paste Editor (Beta)'!$C$82="Challenge prompt",E500,IF('Paste Editor (Beta)'!$C$82="Reroll class prompt",S499,IF('Paste Editor (Beta)'!$C$82="Swap hero prompt",S499,IF('Paste Editor (Beta)'!$C$82="Anvil prompt",AD499,"")))))))</f>
        <v/>
      </c>
      <c r="AJ499" s="283">
        <f>IF('Paste Editor (Beta)'!$C$90="Level-up prompt",G500,IF('Paste Editor (Beta)'!$C$90="Item prompt",E500,IF('Paste Editor (Beta)'!$C$90="Modifier prompt","'"&amp;B500,IF('Paste Editor (Beta)'!$C$90="Challenge prompt",L500,IF('Paste Editor (Beta)'!$C$90="Reroll class prompt",S499,IF('Paste Editor (Beta)'!$C$90="Swap hero prompt",S499,IF('Paste Editor (Beta)'!$C$90="Anvil prompt",AD499,"")))))))</f>
        <v>0</v>
      </c>
      <c r="AK499" s="283">
        <f>IF('Paste Editor (Beta)'!$C$90="Level-up prompt",G500,IF('Paste Editor (Beta)'!$C$90="Item prompt",E500,IF('Paste Editor (Beta)'!$C$90="Modifier prompt","'"&amp;B500,IF('Paste Editor (Beta)'!$C$90="Challenge prompt",E500,IF('Paste Editor (Beta)'!$C$90="Reroll class prompt",S499,IF('Paste Editor (Beta)'!$C$90="Swap hero prompt",S499,IF('Paste Editor (Beta)'!$C$90="Anvil prompt",AD499,"")))))))</f>
        <v>0</v>
      </c>
    </row>
    <row r="500" spans="2:37" ht="17.25">
      <c r="B500" s="284" t="s">
        <v>3390</v>
      </c>
      <c r="C500" s="284" t="s">
        <v>3390</v>
      </c>
      <c r="D500" s="284" t="s">
        <v>3390</v>
      </c>
      <c r="AH500" s="280" t="str">
        <f>IF('Paste Editor (Beta)'!$C$82="Level-up prompt",G501,IF('Paste Editor (Beta)'!$C$82="Item prompt",E501,IF('Paste Editor (Beta)'!$C$82="Modifier prompt","'"&amp;B501,IF('Paste Editor (Beta)'!$C$82="Challenge prompt",L501,IF('Paste Editor (Beta)'!$C$82="Reroll class prompt",S500,IF('Paste Editor (Beta)'!$C$82="Swap hero prompt",S500,IF('Paste Editor (Beta)'!$C$82="Anvil prompt",AD500,"")))))))</f>
        <v/>
      </c>
      <c r="AI500" s="280" t="str">
        <f>IF('Paste Editor (Beta)'!$C$82="Level-up prompt",G501,IF('Paste Editor (Beta)'!$C$82="Item prompt",E501,IF('Paste Editor (Beta)'!$C$82="Modifier prompt","'"&amp;B501,IF('Paste Editor (Beta)'!$C$82="Challenge prompt",E501,IF('Paste Editor (Beta)'!$C$82="Reroll class prompt",S500,IF('Paste Editor (Beta)'!$C$82="Swap hero prompt",S500,IF('Paste Editor (Beta)'!$C$82="Anvil prompt",AD500,"")))))))</f>
        <v/>
      </c>
      <c r="AJ500" s="283">
        <f>IF('Paste Editor (Beta)'!$C$90="Level-up prompt",G501,IF('Paste Editor (Beta)'!$C$90="Item prompt",E501,IF('Paste Editor (Beta)'!$C$90="Modifier prompt","'"&amp;B501,IF('Paste Editor (Beta)'!$C$90="Challenge prompt",L501,IF('Paste Editor (Beta)'!$C$90="Reroll class prompt",S500,IF('Paste Editor (Beta)'!$C$90="Swap hero prompt",S500,IF('Paste Editor (Beta)'!$C$90="Anvil prompt",AD500,"")))))))</f>
        <v>0</v>
      </c>
      <c r="AK500" s="283">
        <f>IF('Paste Editor (Beta)'!$C$90="Level-up prompt",G501,IF('Paste Editor (Beta)'!$C$90="Item prompt",E501,IF('Paste Editor (Beta)'!$C$90="Modifier prompt","'"&amp;B501,IF('Paste Editor (Beta)'!$C$90="Challenge prompt",E501,IF('Paste Editor (Beta)'!$C$90="Reroll class prompt",S500,IF('Paste Editor (Beta)'!$C$90="Swap hero prompt",S500,IF('Paste Editor (Beta)'!$C$90="Anvil prompt",AD500,"")))))))</f>
        <v>0</v>
      </c>
    </row>
    <row r="501" spans="2:37" ht="17.25">
      <c r="B501" s="284" t="s">
        <v>3526</v>
      </c>
      <c r="C501" s="284" t="s">
        <v>3526</v>
      </c>
      <c r="D501" s="284" t="s">
        <v>3526</v>
      </c>
      <c r="AH501" s="280" t="str">
        <f>IF('Paste Editor (Beta)'!$C$82="Level-up prompt",G502,IF('Paste Editor (Beta)'!$C$82="Item prompt",E502,IF('Paste Editor (Beta)'!$C$82="Modifier prompt","'"&amp;B502,IF('Paste Editor (Beta)'!$C$82="Challenge prompt",L502,IF('Paste Editor (Beta)'!$C$82="Reroll class prompt",S501,IF('Paste Editor (Beta)'!$C$82="Swap hero prompt",S501,IF('Paste Editor (Beta)'!$C$82="Anvil prompt",AD501,"")))))))</f>
        <v/>
      </c>
      <c r="AI501" s="280" t="str">
        <f>IF('Paste Editor (Beta)'!$C$82="Level-up prompt",G502,IF('Paste Editor (Beta)'!$C$82="Item prompt",E502,IF('Paste Editor (Beta)'!$C$82="Modifier prompt","'"&amp;B502,IF('Paste Editor (Beta)'!$C$82="Challenge prompt",E502,IF('Paste Editor (Beta)'!$C$82="Reroll class prompt",S501,IF('Paste Editor (Beta)'!$C$82="Swap hero prompt",S501,IF('Paste Editor (Beta)'!$C$82="Anvil prompt",AD501,"")))))))</f>
        <v/>
      </c>
      <c r="AJ501" s="283">
        <f>IF('Paste Editor (Beta)'!$C$90="Level-up prompt",G502,IF('Paste Editor (Beta)'!$C$90="Item prompt",E502,IF('Paste Editor (Beta)'!$C$90="Modifier prompt","'"&amp;B502,IF('Paste Editor (Beta)'!$C$90="Challenge prompt",L502,IF('Paste Editor (Beta)'!$C$90="Reroll class prompt",S501,IF('Paste Editor (Beta)'!$C$90="Swap hero prompt",S501,IF('Paste Editor (Beta)'!$C$90="Anvil prompt",AD501,"")))))))</f>
        <v>0</v>
      </c>
      <c r="AK501" s="283">
        <f>IF('Paste Editor (Beta)'!$C$90="Level-up prompt",G502,IF('Paste Editor (Beta)'!$C$90="Item prompt",E502,IF('Paste Editor (Beta)'!$C$90="Modifier prompt","'"&amp;B502,IF('Paste Editor (Beta)'!$C$90="Challenge prompt",E502,IF('Paste Editor (Beta)'!$C$90="Reroll class prompt",S501,IF('Paste Editor (Beta)'!$C$90="Swap hero prompt",S501,IF('Paste Editor (Beta)'!$C$90="Anvil prompt",AD501,"")))))))</f>
        <v>0</v>
      </c>
    </row>
    <row r="502" spans="2:37" ht="17.25">
      <c r="B502" s="284" t="s">
        <v>3318</v>
      </c>
      <c r="C502" s="284" t="s">
        <v>3318</v>
      </c>
      <c r="D502" s="284" t="s">
        <v>3318</v>
      </c>
      <c r="AH502" s="280" t="str">
        <f>IF('Paste Editor (Beta)'!$C$82="Level-up prompt",G503,IF('Paste Editor (Beta)'!$C$82="Item prompt",E503,IF('Paste Editor (Beta)'!$C$82="Modifier prompt","'"&amp;B503,IF('Paste Editor (Beta)'!$C$82="Challenge prompt",L503,IF('Paste Editor (Beta)'!$C$82="Reroll class prompt",S502,IF('Paste Editor (Beta)'!$C$82="Swap hero prompt",S502,IF('Paste Editor (Beta)'!$C$82="Anvil prompt",AD502,"")))))))</f>
        <v/>
      </c>
      <c r="AI502" s="280" t="str">
        <f>IF('Paste Editor (Beta)'!$C$82="Level-up prompt",G503,IF('Paste Editor (Beta)'!$C$82="Item prompt",E503,IF('Paste Editor (Beta)'!$C$82="Modifier prompt","'"&amp;B503,IF('Paste Editor (Beta)'!$C$82="Challenge prompt",E503,IF('Paste Editor (Beta)'!$C$82="Reroll class prompt",S502,IF('Paste Editor (Beta)'!$C$82="Swap hero prompt",S502,IF('Paste Editor (Beta)'!$C$82="Anvil prompt",AD502,"")))))))</f>
        <v/>
      </c>
      <c r="AJ502" s="283">
        <f>IF('Paste Editor (Beta)'!$C$90="Level-up prompt",G503,IF('Paste Editor (Beta)'!$C$90="Item prompt",E503,IF('Paste Editor (Beta)'!$C$90="Modifier prompt","'"&amp;B503,IF('Paste Editor (Beta)'!$C$90="Challenge prompt",L503,IF('Paste Editor (Beta)'!$C$90="Reroll class prompt",S502,IF('Paste Editor (Beta)'!$C$90="Swap hero prompt",S502,IF('Paste Editor (Beta)'!$C$90="Anvil prompt",AD502,"")))))))</f>
        <v>0</v>
      </c>
      <c r="AK502" s="283">
        <f>IF('Paste Editor (Beta)'!$C$90="Level-up prompt",G503,IF('Paste Editor (Beta)'!$C$90="Item prompt",E503,IF('Paste Editor (Beta)'!$C$90="Modifier prompt","'"&amp;B503,IF('Paste Editor (Beta)'!$C$90="Challenge prompt",E503,IF('Paste Editor (Beta)'!$C$90="Reroll class prompt",S502,IF('Paste Editor (Beta)'!$C$90="Swap hero prompt",S502,IF('Paste Editor (Beta)'!$C$90="Anvil prompt",AD502,"")))))))</f>
        <v>0</v>
      </c>
    </row>
    <row r="503" spans="2:37" ht="17.25">
      <c r="B503" s="284" t="s">
        <v>3258</v>
      </c>
      <c r="C503" s="284" t="s">
        <v>3258</v>
      </c>
      <c r="D503" s="284" t="s">
        <v>3258</v>
      </c>
      <c r="AH503" s="280" t="str">
        <f>IF('Paste Editor (Beta)'!$C$82="Level-up prompt",G504,IF('Paste Editor (Beta)'!$C$82="Item prompt",E504,IF('Paste Editor (Beta)'!$C$82="Modifier prompt","'"&amp;B504,IF('Paste Editor (Beta)'!$C$82="Challenge prompt",L504,IF('Paste Editor (Beta)'!$C$82="Reroll class prompt",S503,IF('Paste Editor (Beta)'!$C$82="Swap hero prompt",S503,IF('Paste Editor (Beta)'!$C$82="Anvil prompt",AD503,"")))))))</f>
        <v/>
      </c>
      <c r="AI503" s="280" t="str">
        <f>IF('Paste Editor (Beta)'!$C$82="Level-up prompt",G504,IF('Paste Editor (Beta)'!$C$82="Item prompt",E504,IF('Paste Editor (Beta)'!$C$82="Modifier prompt","'"&amp;B504,IF('Paste Editor (Beta)'!$C$82="Challenge prompt",E504,IF('Paste Editor (Beta)'!$C$82="Reroll class prompt",S503,IF('Paste Editor (Beta)'!$C$82="Swap hero prompt",S503,IF('Paste Editor (Beta)'!$C$82="Anvil prompt",AD503,"")))))))</f>
        <v/>
      </c>
      <c r="AJ503" s="283">
        <f>IF('Paste Editor (Beta)'!$C$90="Level-up prompt",G504,IF('Paste Editor (Beta)'!$C$90="Item prompt",E504,IF('Paste Editor (Beta)'!$C$90="Modifier prompt","'"&amp;B504,IF('Paste Editor (Beta)'!$C$90="Challenge prompt",L504,IF('Paste Editor (Beta)'!$C$90="Reroll class prompt",S503,IF('Paste Editor (Beta)'!$C$90="Swap hero prompt",S503,IF('Paste Editor (Beta)'!$C$90="Anvil prompt",AD503,"")))))))</f>
        <v>0</v>
      </c>
      <c r="AK503" s="283">
        <f>IF('Paste Editor (Beta)'!$C$90="Level-up prompt",G504,IF('Paste Editor (Beta)'!$C$90="Item prompt",E504,IF('Paste Editor (Beta)'!$C$90="Modifier prompt","'"&amp;B504,IF('Paste Editor (Beta)'!$C$90="Challenge prompt",E504,IF('Paste Editor (Beta)'!$C$90="Reroll class prompt",S503,IF('Paste Editor (Beta)'!$C$90="Swap hero prompt",S503,IF('Paste Editor (Beta)'!$C$90="Anvil prompt",AD503,"")))))))</f>
        <v>0</v>
      </c>
    </row>
    <row r="504" spans="2:37" ht="17.25">
      <c r="B504" s="284" t="s">
        <v>3356</v>
      </c>
      <c r="C504" s="284" t="s">
        <v>3356</v>
      </c>
      <c r="D504" s="284" t="s">
        <v>3356</v>
      </c>
      <c r="AH504" s="280" t="str">
        <f>IF('Paste Editor (Beta)'!$C$82="Level-up prompt",G505,IF('Paste Editor (Beta)'!$C$82="Item prompt",E505,IF('Paste Editor (Beta)'!$C$82="Modifier prompt","'"&amp;B505,IF('Paste Editor (Beta)'!$C$82="Challenge prompt",L505,IF('Paste Editor (Beta)'!$C$82="Reroll class prompt",S504,IF('Paste Editor (Beta)'!$C$82="Swap hero prompt",S504,IF('Paste Editor (Beta)'!$C$82="Anvil prompt",AD504,"")))))))</f>
        <v/>
      </c>
      <c r="AI504" s="280" t="str">
        <f>IF('Paste Editor (Beta)'!$C$82="Level-up prompt",G505,IF('Paste Editor (Beta)'!$C$82="Item prompt",E505,IF('Paste Editor (Beta)'!$C$82="Modifier prompt","'"&amp;B505,IF('Paste Editor (Beta)'!$C$82="Challenge prompt",E505,IF('Paste Editor (Beta)'!$C$82="Reroll class prompt",S504,IF('Paste Editor (Beta)'!$C$82="Swap hero prompt",S504,IF('Paste Editor (Beta)'!$C$82="Anvil prompt",AD504,"")))))))</f>
        <v/>
      </c>
      <c r="AJ504" s="283">
        <f>IF('Paste Editor (Beta)'!$C$90="Level-up prompt",G505,IF('Paste Editor (Beta)'!$C$90="Item prompt",E505,IF('Paste Editor (Beta)'!$C$90="Modifier prompt","'"&amp;B505,IF('Paste Editor (Beta)'!$C$90="Challenge prompt",L505,IF('Paste Editor (Beta)'!$C$90="Reroll class prompt",S504,IF('Paste Editor (Beta)'!$C$90="Swap hero prompt",S504,IF('Paste Editor (Beta)'!$C$90="Anvil prompt",AD504,"")))))))</f>
        <v>0</v>
      </c>
      <c r="AK504" s="283">
        <f>IF('Paste Editor (Beta)'!$C$90="Level-up prompt",G505,IF('Paste Editor (Beta)'!$C$90="Item prompt",E505,IF('Paste Editor (Beta)'!$C$90="Modifier prompt","'"&amp;B505,IF('Paste Editor (Beta)'!$C$90="Challenge prompt",E505,IF('Paste Editor (Beta)'!$C$90="Reroll class prompt",S504,IF('Paste Editor (Beta)'!$C$90="Swap hero prompt",S504,IF('Paste Editor (Beta)'!$C$90="Anvil prompt",AD504,"")))))))</f>
        <v>0</v>
      </c>
    </row>
    <row r="505" spans="2:37" ht="17.25">
      <c r="B505" s="284" t="s">
        <v>3270</v>
      </c>
      <c r="C505" s="284" t="s">
        <v>3270</v>
      </c>
      <c r="D505" s="284" t="s">
        <v>3270</v>
      </c>
      <c r="AH505" s="280" t="str">
        <f>IF('Paste Editor (Beta)'!$C$82="Level-up prompt",G506,IF('Paste Editor (Beta)'!$C$82="Item prompt",E506,IF('Paste Editor (Beta)'!$C$82="Modifier prompt","'"&amp;B506,IF('Paste Editor (Beta)'!$C$82="Challenge prompt",L506,IF('Paste Editor (Beta)'!$C$82="Reroll class prompt",S505,IF('Paste Editor (Beta)'!$C$82="Swap hero prompt",S505,IF('Paste Editor (Beta)'!$C$82="Anvil prompt",AD505,"")))))))</f>
        <v/>
      </c>
      <c r="AI505" s="280" t="str">
        <f>IF('Paste Editor (Beta)'!$C$82="Level-up prompt",G506,IF('Paste Editor (Beta)'!$C$82="Item prompt",E506,IF('Paste Editor (Beta)'!$C$82="Modifier prompt","'"&amp;B506,IF('Paste Editor (Beta)'!$C$82="Challenge prompt",E506,IF('Paste Editor (Beta)'!$C$82="Reroll class prompt",S505,IF('Paste Editor (Beta)'!$C$82="Swap hero prompt",S505,IF('Paste Editor (Beta)'!$C$82="Anvil prompt",AD505,"")))))))</f>
        <v/>
      </c>
      <c r="AJ505" s="283">
        <f>IF('Paste Editor (Beta)'!$C$90="Level-up prompt",G506,IF('Paste Editor (Beta)'!$C$90="Item prompt",E506,IF('Paste Editor (Beta)'!$C$90="Modifier prompt","'"&amp;B506,IF('Paste Editor (Beta)'!$C$90="Challenge prompt",L506,IF('Paste Editor (Beta)'!$C$90="Reroll class prompt",S505,IF('Paste Editor (Beta)'!$C$90="Swap hero prompt",S505,IF('Paste Editor (Beta)'!$C$90="Anvil prompt",AD505,"")))))))</f>
        <v>0</v>
      </c>
      <c r="AK505" s="283">
        <f>IF('Paste Editor (Beta)'!$C$90="Level-up prompt",G506,IF('Paste Editor (Beta)'!$C$90="Item prompt",E506,IF('Paste Editor (Beta)'!$C$90="Modifier prompt","'"&amp;B506,IF('Paste Editor (Beta)'!$C$90="Challenge prompt",E506,IF('Paste Editor (Beta)'!$C$90="Reroll class prompt",S505,IF('Paste Editor (Beta)'!$C$90="Swap hero prompt",S505,IF('Paste Editor (Beta)'!$C$90="Anvil prompt",AD505,"")))))))</f>
        <v>0</v>
      </c>
    </row>
    <row r="506" spans="2:37" ht="17.25">
      <c r="B506" s="284" t="s">
        <v>3612</v>
      </c>
      <c r="C506" s="284" t="s">
        <v>3612</v>
      </c>
      <c r="D506" s="284" t="s">
        <v>3612</v>
      </c>
      <c r="AH506" s="280" t="str">
        <f>IF('Paste Editor (Beta)'!$C$82="Level-up prompt",G507,IF('Paste Editor (Beta)'!$C$82="Item prompt",E507,IF('Paste Editor (Beta)'!$C$82="Modifier prompt","'"&amp;B507,IF('Paste Editor (Beta)'!$C$82="Challenge prompt",L507,IF('Paste Editor (Beta)'!$C$82="Reroll class prompt",S506,IF('Paste Editor (Beta)'!$C$82="Swap hero prompt",S506,IF('Paste Editor (Beta)'!$C$82="Anvil prompt",AD506,"")))))))</f>
        <v/>
      </c>
      <c r="AI506" s="280" t="str">
        <f>IF('Paste Editor (Beta)'!$C$82="Level-up prompt",G507,IF('Paste Editor (Beta)'!$C$82="Item prompt",E507,IF('Paste Editor (Beta)'!$C$82="Modifier prompt","'"&amp;B507,IF('Paste Editor (Beta)'!$C$82="Challenge prompt",E507,IF('Paste Editor (Beta)'!$C$82="Reroll class prompt",S506,IF('Paste Editor (Beta)'!$C$82="Swap hero prompt",S506,IF('Paste Editor (Beta)'!$C$82="Anvil prompt",AD506,"")))))))</f>
        <v/>
      </c>
      <c r="AJ506" s="283">
        <f>IF('Paste Editor (Beta)'!$C$90="Level-up prompt",G507,IF('Paste Editor (Beta)'!$C$90="Item prompt",E507,IF('Paste Editor (Beta)'!$C$90="Modifier prompt","'"&amp;B507,IF('Paste Editor (Beta)'!$C$90="Challenge prompt",L507,IF('Paste Editor (Beta)'!$C$90="Reroll class prompt",S506,IF('Paste Editor (Beta)'!$C$90="Swap hero prompt",S506,IF('Paste Editor (Beta)'!$C$90="Anvil prompt",AD506,"")))))))</f>
        <v>0</v>
      </c>
      <c r="AK506" s="283">
        <f>IF('Paste Editor (Beta)'!$C$90="Level-up prompt",G507,IF('Paste Editor (Beta)'!$C$90="Item prompt",E507,IF('Paste Editor (Beta)'!$C$90="Modifier prompt","'"&amp;B507,IF('Paste Editor (Beta)'!$C$90="Challenge prompt",E507,IF('Paste Editor (Beta)'!$C$90="Reroll class prompt",S506,IF('Paste Editor (Beta)'!$C$90="Swap hero prompt",S506,IF('Paste Editor (Beta)'!$C$90="Anvil prompt",AD506,"")))))))</f>
        <v>0</v>
      </c>
    </row>
    <row r="507" spans="2:37" ht="17.25">
      <c r="B507" s="284" t="s">
        <v>3482</v>
      </c>
      <c r="C507" s="284" t="s">
        <v>3482</v>
      </c>
      <c r="D507" s="284" t="s">
        <v>3482</v>
      </c>
      <c r="AH507" s="280" t="str">
        <f>IF('Paste Editor (Beta)'!$C$82="Level-up prompt",G508,IF('Paste Editor (Beta)'!$C$82="Item prompt",E508,IF('Paste Editor (Beta)'!$C$82="Modifier prompt","'"&amp;B508,IF('Paste Editor (Beta)'!$C$82="Challenge prompt",L508,IF('Paste Editor (Beta)'!$C$82="Reroll class prompt",S507,IF('Paste Editor (Beta)'!$C$82="Swap hero prompt",S507,IF('Paste Editor (Beta)'!$C$82="Anvil prompt",AD507,"")))))))</f>
        <v/>
      </c>
      <c r="AI507" s="280" t="str">
        <f>IF('Paste Editor (Beta)'!$C$82="Level-up prompt",G508,IF('Paste Editor (Beta)'!$C$82="Item prompt",E508,IF('Paste Editor (Beta)'!$C$82="Modifier prompt","'"&amp;B508,IF('Paste Editor (Beta)'!$C$82="Challenge prompt",E508,IF('Paste Editor (Beta)'!$C$82="Reroll class prompt",S507,IF('Paste Editor (Beta)'!$C$82="Swap hero prompt",S507,IF('Paste Editor (Beta)'!$C$82="Anvil prompt",AD507,"")))))))</f>
        <v/>
      </c>
      <c r="AJ507" s="283">
        <f>IF('Paste Editor (Beta)'!$C$90="Level-up prompt",G508,IF('Paste Editor (Beta)'!$C$90="Item prompt",E508,IF('Paste Editor (Beta)'!$C$90="Modifier prompt","'"&amp;B508,IF('Paste Editor (Beta)'!$C$90="Challenge prompt",L508,IF('Paste Editor (Beta)'!$C$90="Reroll class prompt",S507,IF('Paste Editor (Beta)'!$C$90="Swap hero prompt",S507,IF('Paste Editor (Beta)'!$C$90="Anvil prompt",AD507,"")))))))</f>
        <v>0</v>
      </c>
      <c r="AK507" s="283">
        <f>IF('Paste Editor (Beta)'!$C$90="Level-up prompt",G508,IF('Paste Editor (Beta)'!$C$90="Item prompt",E508,IF('Paste Editor (Beta)'!$C$90="Modifier prompt","'"&amp;B508,IF('Paste Editor (Beta)'!$C$90="Challenge prompt",E508,IF('Paste Editor (Beta)'!$C$90="Reroll class prompt",S507,IF('Paste Editor (Beta)'!$C$90="Swap hero prompt",S507,IF('Paste Editor (Beta)'!$C$90="Anvil prompt",AD507,"")))))))</f>
        <v>0</v>
      </c>
    </row>
    <row r="508" spans="2:37" ht="17.25">
      <c r="B508" s="284" t="s">
        <v>3554</v>
      </c>
      <c r="C508" s="284" t="s">
        <v>3554</v>
      </c>
      <c r="D508" s="284" t="s">
        <v>3554</v>
      </c>
      <c r="AH508" s="280" t="str">
        <f>IF('Paste Editor (Beta)'!$C$82="Level-up prompt",G509,IF('Paste Editor (Beta)'!$C$82="Item prompt",E509,IF('Paste Editor (Beta)'!$C$82="Modifier prompt","'"&amp;B509,IF('Paste Editor (Beta)'!$C$82="Challenge prompt",L509,IF('Paste Editor (Beta)'!$C$82="Reroll class prompt",S508,IF('Paste Editor (Beta)'!$C$82="Swap hero prompt",S508,IF('Paste Editor (Beta)'!$C$82="Anvil prompt",AD508,"")))))))</f>
        <v/>
      </c>
      <c r="AI508" s="280" t="str">
        <f>IF('Paste Editor (Beta)'!$C$82="Level-up prompt",G509,IF('Paste Editor (Beta)'!$C$82="Item prompt",E509,IF('Paste Editor (Beta)'!$C$82="Modifier prompt","'"&amp;B509,IF('Paste Editor (Beta)'!$C$82="Challenge prompt",E509,IF('Paste Editor (Beta)'!$C$82="Reroll class prompt",S508,IF('Paste Editor (Beta)'!$C$82="Swap hero prompt",S508,IF('Paste Editor (Beta)'!$C$82="Anvil prompt",AD508,"")))))))</f>
        <v/>
      </c>
      <c r="AJ508" s="283">
        <f>IF('Paste Editor (Beta)'!$C$90="Level-up prompt",G509,IF('Paste Editor (Beta)'!$C$90="Item prompt",E509,IF('Paste Editor (Beta)'!$C$90="Modifier prompt","'"&amp;B509,IF('Paste Editor (Beta)'!$C$90="Challenge prompt",L509,IF('Paste Editor (Beta)'!$C$90="Reroll class prompt",S508,IF('Paste Editor (Beta)'!$C$90="Swap hero prompt",S508,IF('Paste Editor (Beta)'!$C$90="Anvil prompt",AD508,"")))))))</f>
        <v>0</v>
      </c>
      <c r="AK508" s="283">
        <f>IF('Paste Editor (Beta)'!$C$90="Level-up prompt",G509,IF('Paste Editor (Beta)'!$C$90="Item prompt",E509,IF('Paste Editor (Beta)'!$C$90="Modifier prompt","'"&amp;B509,IF('Paste Editor (Beta)'!$C$90="Challenge prompt",E509,IF('Paste Editor (Beta)'!$C$90="Reroll class prompt",S508,IF('Paste Editor (Beta)'!$C$90="Swap hero prompt",S508,IF('Paste Editor (Beta)'!$C$90="Anvil prompt",AD508,"")))))))</f>
        <v>0</v>
      </c>
    </row>
    <row r="509" spans="2:37" ht="17.25">
      <c r="B509" s="284" t="s">
        <v>3460</v>
      </c>
      <c r="C509" s="284" t="s">
        <v>3460</v>
      </c>
      <c r="D509" s="284" t="s">
        <v>3460</v>
      </c>
      <c r="AH509" s="280" t="str">
        <f>IF('Paste Editor (Beta)'!$C$82="Level-up prompt",G510,IF('Paste Editor (Beta)'!$C$82="Item prompt",E510,IF('Paste Editor (Beta)'!$C$82="Modifier prompt","'"&amp;B510,IF('Paste Editor (Beta)'!$C$82="Challenge prompt",L510,IF('Paste Editor (Beta)'!$C$82="Reroll class prompt",S509,IF('Paste Editor (Beta)'!$C$82="Swap hero prompt",S509,IF('Paste Editor (Beta)'!$C$82="Anvil prompt",AD509,"")))))))</f>
        <v/>
      </c>
      <c r="AI509" s="280" t="str">
        <f>IF('Paste Editor (Beta)'!$C$82="Level-up prompt",G510,IF('Paste Editor (Beta)'!$C$82="Item prompt",E510,IF('Paste Editor (Beta)'!$C$82="Modifier prompt","'"&amp;B510,IF('Paste Editor (Beta)'!$C$82="Challenge prompt",E510,IF('Paste Editor (Beta)'!$C$82="Reroll class prompt",S509,IF('Paste Editor (Beta)'!$C$82="Swap hero prompt",S509,IF('Paste Editor (Beta)'!$C$82="Anvil prompt",AD509,"")))))))</f>
        <v/>
      </c>
      <c r="AJ509" s="283">
        <f>IF('Paste Editor (Beta)'!$C$90="Level-up prompt",G510,IF('Paste Editor (Beta)'!$C$90="Item prompt",E510,IF('Paste Editor (Beta)'!$C$90="Modifier prompt","'"&amp;B510,IF('Paste Editor (Beta)'!$C$90="Challenge prompt",L510,IF('Paste Editor (Beta)'!$C$90="Reroll class prompt",S509,IF('Paste Editor (Beta)'!$C$90="Swap hero prompt",S509,IF('Paste Editor (Beta)'!$C$90="Anvil prompt",AD509,"")))))))</f>
        <v>0</v>
      </c>
      <c r="AK509" s="283">
        <f>IF('Paste Editor (Beta)'!$C$90="Level-up prompt",G510,IF('Paste Editor (Beta)'!$C$90="Item prompt",E510,IF('Paste Editor (Beta)'!$C$90="Modifier prompt","'"&amp;B510,IF('Paste Editor (Beta)'!$C$90="Challenge prompt",E510,IF('Paste Editor (Beta)'!$C$90="Reroll class prompt",S509,IF('Paste Editor (Beta)'!$C$90="Swap hero prompt",S509,IF('Paste Editor (Beta)'!$C$90="Anvil prompt",AD509,"")))))))</f>
        <v>0</v>
      </c>
    </row>
    <row r="510" spans="2:37" ht="17.25">
      <c r="B510" s="284" t="s">
        <v>3186</v>
      </c>
      <c r="C510" s="284" t="s">
        <v>3186</v>
      </c>
      <c r="D510" s="284" t="s">
        <v>3186</v>
      </c>
      <c r="AH510" s="280" t="str">
        <f>IF('Paste Editor (Beta)'!$C$82="Level-up prompt",G511,IF('Paste Editor (Beta)'!$C$82="Item prompt",E511,IF('Paste Editor (Beta)'!$C$82="Modifier prompt","'"&amp;B511,IF('Paste Editor (Beta)'!$C$82="Challenge prompt",L511,IF('Paste Editor (Beta)'!$C$82="Reroll class prompt",S510,IF('Paste Editor (Beta)'!$C$82="Swap hero prompt",S510,IF('Paste Editor (Beta)'!$C$82="Anvil prompt",AD510,"")))))))</f>
        <v/>
      </c>
      <c r="AI510" s="280" t="str">
        <f>IF('Paste Editor (Beta)'!$C$82="Level-up prompt",G511,IF('Paste Editor (Beta)'!$C$82="Item prompt",E511,IF('Paste Editor (Beta)'!$C$82="Modifier prompt","'"&amp;B511,IF('Paste Editor (Beta)'!$C$82="Challenge prompt",E511,IF('Paste Editor (Beta)'!$C$82="Reroll class prompt",S510,IF('Paste Editor (Beta)'!$C$82="Swap hero prompt",S510,IF('Paste Editor (Beta)'!$C$82="Anvil prompt",AD510,"")))))))</f>
        <v/>
      </c>
      <c r="AJ510" s="283">
        <f>IF('Paste Editor (Beta)'!$C$90="Level-up prompt",G511,IF('Paste Editor (Beta)'!$C$90="Item prompt",E511,IF('Paste Editor (Beta)'!$C$90="Modifier prompt","'"&amp;B511,IF('Paste Editor (Beta)'!$C$90="Challenge prompt",L511,IF('Paste Editor (Beta)'!$C$90="Reroll class prompt",S510,IF('Paste Editor (Beta)'!$C$90="Swap hero prompt",S510,IF('Paste Editor (Beta)'!$C$90="Anvil prompt",AD510,"")))))))</f>
        <v>0</v>
      </c>
      <c r="AK510" s="283">
        <f>IF('Paste Editor (Beta)'!$C$90="Level-up prompt",G511,IF('Paste Editor (Beta)'!$C$90="Item prompt",E511,IF('Paste Editor (Beta)'!$C$90="Modifier prompt","'"&amp;B511,IF('Paste Editor (Beta)'!$C$90="Challenge prompt",E511,IF('Paste Editor (Beta)'!$C$90="Reroll class prompt",S510,IF('Paste Editor (Beta)'!$C$90="Swap hero prompt",S510,IF('Paste Editor (Beta)'!$C$90="Anvil prompt",AD510,"")))))))</f>
        <v>0</v>
      </c>
    </row>
    <row r="511" spans="2:37" ht="17.25">
      <c r="B511" s="284" t="s">
        <v>3116</v>
      </c>
      <c r="C511" s="284" t="s">
        <v>3116</v>
      </c>
      <c r="D511" s="284" t="s">
        <v>3116</v>
      </c>
      <c r="AH511" s="280" t="str">
        <f>IF('Paste Editor (Beta)'!$C$82="Level-up prompt",G512,IF('Paste Editor (Beta)'!$C$82="Item prompt",E512,IF('Paste Editor (Beta)'!$C$82="Modifier prompt","'"&amp;B512,IF('Paste Editor (Beta)'!$C$82="Challenge prompt",L512,IF('Paste Editor (Beta)'!$C$82="Reroll class prompt",S511,IF('Paste Editor (Beta)'!$C$82="Swap hero prompt",S511,IF('Paste Editor (Beta)'!$C$82="Anvil prompt",AD511,"")))))))</f>
        <v/>
      </c>
      <c r="AI511" s="280" t="str">
        <f>IF('Paste Editor (Beta)'!$C$82="Level-up prompt",G512,IF('Paste Editor (Beta)'!$C$82="Item prompt",E512,IF('Paste Editor (Beta)'!$C$82="Modifier prompt","'"&amp;B512,IF('Paste Editor (Beta)'!$C$82="Challenge prompt",E512,IF('Paste Editor (Beta)'!$C$82="Reroll class prompt",S511,IF('Paste Editor (Beta)'!$C$82="Swap hero prompt",S511,IF('Paste Editor (Beta)'!$C$82="Anvil prompt",AD511,"")))))))</f>
        <v/>
      </c>
      <c r="AJ511" s="283">
        <f>IF('Paste Editor (Beta)'!$C$90="Level-up prompt",G512,IF('Paste Editor (Beta)'!$C$90="Item prompt",E512,IF('Paste Editor (Beta)'!$C$90="Modifier prompt","'"&amp;B512,IF('Paste Editor (Beta)'!$C$90="Challenge prompt",L512,IF('Paste Editor (Beta)'!$C$90="Reroll class prompt",S511,IF('Paste Editor (Beta)'!$C$90="Swap hero prompt",S511,IF('Paste Editor (Beta)'!$C$90="Anvil prompt",AD511,"")))))))</f>
        <v>0</v>
      </c>
      <c r="AK511" s="283">
        <f>IF('Paste Editor (Beta)'!$C$90="Level-up prompt",G512,IF('Paste Editor (Beta)'!$C$90="Item prompt",E512,IF('Paste Editor (Beta)'!$C$90="Modifier prompt","'"&amp;B512,IF('Paste Editor (Beta)'!$C$90="Challenge prompt",E512,IF('Paste Editor (Beta)'!$C$90="Reroll class prompt",S511,IF('Paste Editor (Beta)'!$C$90="Swap hero prompt",S511,IF('Paste Editor (Beta)'!$C$90="Anvil prompt",AD511,"")))))))</f>
        <v>0</v>
      </c>
    </row>
    <row r="512" spans="2:37" ht="17.25">
      <c r="B512" s="284" t="s">
        <v>3114</v>
      </c>
      <c r="C512" s="284" t="s">
        <v>3114</v>
      </c>
      <c r="D512" s="284" t="s">
        <v>3114</v>
      </c>
      <c r="AH512" s="280" t="str">
        <f>IF('Paste Editor (Beta)'!$C$82="Level-up prompt",G513,IF('Paste Editor (Beta)'!$C$82="Item prompt",E513,IF('Paste Editor (Beta)'!$C$82="Modifier prompt","'"&amp;B513,IF('Paste Editor (Beta)'!$C$82="Challenge prompt",L513,IF('Paste Editor (Beta)'!$C$82="Reroll class prompt",S512,IF('Paste Editor (Beta)'!$C$82="Swap hero prompt",S512,IF('Paste Editor (Beta)'!$C$82="Anvil prompt",AD512,"")))))))</f>
        <v/>
      </c>
      <c r="AI512" s="280" t="str">
        <f>IF('Paste Editor (Beta)'!$C$82="Level-up prompt",G513,IF('Paste Editor (Beta)'!$C$82="Item prompt",E513,IF('Paste Editor (Beta)'!$C$82="Modifier prompt","'"&amp;B513,IF('Paste Editor (Beta)'!$C$82="Challenge prompt",E513,IF('Paste Editor (Beta)'!$C$82="Reroll class prompt",S512,IF('Paste Editor (Beta)'!$C$82="Swap hero prompt",S512,IF('Paste Editor (Beta)'!$C$82="Anvil prompt",AD512,"")))))))</f>
        <v/>
      </c>
      <c r="AJ512" s="283">
        <f>IF('Paste Editor (Beta)'!$C$90="Level-up prompt",G513,IF('Paste Editor (Beta)'!$C$90="Item prompt",E513,IF('Paste Editor (Beta)'!$C$90="Modifier prompt","'"&amp;B513,IF('Paste Editor (Beta)'!$C$90="Challenge prompt",L513,IF('Paste Editor (Beta)'!$C$90="Reroll class prompt",S512,IF('Paste Editor (Beta)'!$C$90="Swap hero prompt",S512,IF('Paste Editor (Beta)'!$C$90="Anvil prompt",AD512,"")))))))</f>
        <v>0</v>
      </c>
      <c r="AK512" s="283">
        <f>IF('Paste Editor (Beta)'!$C$90="Level-up prompt",G513,IF('Paste Editor (Beta)'!$C$90="Item prompt",E513,IF('Paste Editor (Beta)'!$C$90="Modifier prompt","'"&amp;B513,IF('Paste Editor (Beta)'!$C$90="Challenge prompt",E513,IF('Paste Editor (Beta)'!$C$90="Reroll class prompt",S512,IF('Paste Editor (Beta)'!$C$90="Swap hero prompt",S512,IF('Paste Editor (Beta)'!$C$90="Anvil prompt",AD512,"")))))))</f>
        <v>0</v>
      </c>
    </row>
    <row r="513" spans="2:37" ht="17.25">
      <c r="B513" s="284" t="s">
        <v>3466</v>
      </c>
      <c r="C513" s="284" t="s">
        <v>3466</v>
      </c>
      <c r="D513" s="284" t="s">
        <v>3466</v>
      </c>
      <c r="AH513" s="280" t="str">
        <f>IF('Paste Editor (Beta)'!$C$82="Level-up prompt",G514,IF('Paste Editor (Beta)'!$C$82="Item prompt",E514,IF('Paste Editor (Beta)'!$C$82="Modifier prompt","'"&amp;B514,IF('Paste Editor (Beta)'!$C$82="Challenge prompt",L514,IF('Paste Editor (Beta)'!$C$82="Reroll class prompt",S513,IF('Paste Editor (Beta)'!$C$82="Swap hero prompt",S513,IF('Paste Editor (Beta)'!$C$82="Anvil prompt",AD513,"")))))))</f>
        <v/>
      </c>
      <c r="AI513" s="280" t="str">
        <f>IF('Paste Editor (Beta)'!$C$82="Level-up prompt",G514,IF('Paste Editor (Beta)'!$C$82="Item prompt",E514,IF('Paste Editor (Beta)'!$C$82="Modifier prompt","'"&amp;B514,IF('Paste Editor (Beta)'!$C$82="Challenge prompt",E514,IF('Paste Editor (Beta)'!$C$82="Reroll class prompt",S513,IF('Paste Editor (Beta)'!$C$82="Swap hero prompt",S513,IF('Paste Editor (Beta)'!$C$82="Anvil prompt",AD513,"")))))))</f>
        <v/>
      </c>
      <c r="AJ513" s="283">
        <f>IF('Paste Editor (Beta)'!$C$90="Level-up prompt",G514,IF('Paste Editor (Beta)'!$C$90="Item prompt",E514,IF('Paste Editor (Beta)'!$C$90="Modifier prompt","'"&amp;B514,IF('Paste Editor (Beta)'!$C$90="Challenge prompt",L514,IF('Paste Editor (Beta)'!$C$90="Reroll class prompt",S513,IF('Paste Editor (Beta)'!$C$90="Swap hero prompt",S513,IF('Paste Editor (Beta)'!$C$90="Anvil prompt",AD513,"")))))))</f>
        <v>0</v>
      </c>
      <c r="AK513" s="283">
        <f>IF('Paste Editor (Beta)'!$C$90="Level-up prompt",G514,IF('Paste Editor (Beta)'!$C$90="Item prompt",E514,IF('Paste Editor (Beta)'!$C$90="Modifier prompt","'"&amp;B514,IF('Paste Editor (Beta)'!$C$90="Challenge prompt",E514,IF('Paste Editor (Beta)'!$C$90="Reroll class prompt",S513,IF('Paste Editor (Beta)'!$C$90="Swap hero prompt",S513,IF('Paste Editor (Beta)'!$C$90="Anvil prompt",AD513,"")))))))</f>
        <v>0</v>
      </c>
    </row>
    <row r="514" spans="2:37" ht="17.25">
      <c r="B514" s="284" t="s">
        <v>3238</v>
      </c>
      <c r="C514" s="284" t="s">
        <v>3238</v>
      </c>
      <c r="D514" s="284" t="s">
        <v>3238</v>
      </c>
      <c r="AH514" s="280" t="str">
        <f>IF('Paste Editor (Beta)'!$C$82="Level-up prompt",G515,IF('Paste Editor (Beta)'!$C$82="Item prompt",E515,IF('Paste Editor (Beta)'!$C$82="Modifier prompt","'"&amp;B515,IF('Paste Editor (Beta)'!$C$82="Challenge prompt",L515,IF('Paste Editor (Beta)'!$C$82="Reroll class prompt",S514,IF('Paste Editor (Beta)'!$C$82="Swap hero prompt",S514,IF('Paste Editor (Beta)'!$C$82="Anvil prompt",AD514,"")))))))</f>
        <v/>
      </c>
      <c r="AI514" s="280" t="str">
        <f>IF('Paste Editor (Beta)'!$C$82="Level-up prompt",G515,IF('Paste Editor (Beta)'!$C$82="Item prompt",E515,IF('Paste Editor (Beta)'!$C$82="Modifier prompt","'"&amp;B515,IF('Paste Editor (Beta)'!$C$82="Challenge prompt",E515,IF('Paste Editor (Beta)'!$C$82="Reroll class prompt",S514,IF('Paste Editor (Beta)'!$C$82="Swap hero prompt",S514,IF('Paste Editor (Beta)'!$C$82="Anvil prompt",AD514,"")))))))</f>
        <v/>
      </c>
      <c r="AJ514" s="283">
        <f>IF('Paste Editor (Beta)'!$C$90="Level-up prompt",G515,IF('Paste Editor (Beta)'!$C$90="Item prompt",E515,IF('Paste Editor (Beta)'!$C$90="Modifier prompt","'"&amp;B515,IF('Paste Editor (Beta)'!$C$90="Challenge prompt",L515,IF('Paste Editor (Beta)'!$C$90="Reroll class prompt",S514,IF('Paste Editor (Beta)'!$C$90="Swap hero prompt",S514,IF('Paste Editor (Beta)'!$C$90="Anvil prompt",AD514,"")))))))</f>
        <v>0</v>
      </c>
      <c r="AK514" s="283">
        <f>IF('Paste Editor (Beta)'!$C$90="Level-up prompt",G515,IF('Paste Editor (Beta)'!$C$90="Item prompt",E515,IF('Paste Editor (Beta)'!$C$90="Modifier prompt","'"&amp;B515,IF('Paste Editor (Beta)'!$C$90="Challenge prompt",E515,IF('Paste Editor (Beta)'!$C$90="Reroll class prompt",S514,IF('Paste Editor (Beta)'!$C$90="Swap hero prompt",S514,IF('Paste Editor (Beta)'!$C$90="Anvil prompt",AD514,"")))))))</f>
        <v>0</v>
      </c>
    </row>
    <row r="515" spans="2:37" ht="17.25">
      <c r="B515" s="284" t="s">
        <v>3452</v>
      </c>
      <c r="C515" s="284" t="s">
        <v>3452</v>
      </c>
      <c r="D515" s="284" t="s">
        <v>3452</v>
      </c>
      <c r="AH515" s="280" t="str">
        <f>IF('Paste Editor (Beta)'!$C$82="Level-up prompt",G516,IF('Paste Editor (Beta)'!$C$82="Item prompt",E516,IF('Paste Editor (Beta)'!$C$82="Modifier prompt","'"&amp;B516,IF('Paste Editor (Beta)'!$C$82="Challenge prompt",L516,IF('Paste Editor (Beta)'!$C$82="Reroll class prompt",S515,IF('Paste Editor (Beta)'!$C$82="Swap hero prompt",S515,IF('Paste Editor (Beta)'!$C$82="Anvil prompt",AD515,"")))))))</f>
        <v/>
      </c>
      <c r="AI515" s="280" t="str">
        <f>IF('Paste Editor (Beta)'!$C$82="Level-up prompt",G516,IF('Paste Editor (Beta)'!$C$82="Item prompt",E516,IF('Paste Editor (Beta)'!$C$82="Modifier prompt","'"&amp;B516,IF('Paste Editor (Beta)'!$C$82="Challenge prompt",E516,IF('Paste Editor (Beta)'!$C$82="Reroll class prompt",S515,IF('Paste Editor (Beta)'!$C$82="Swap hero prompt",S515,IF('Paste Editor (Beta)'!$C$82="Anvil prompt",AD515,"")))))))</f>
        <v/>
      </c>
      <c r="AJ515" s="283">
        <f>IF('Paste Editor (Beta)'!$C$90="Level-up prompt",G516,IF('Paste Editor (Beta)'!$C$90="Item prompt",E516,IF('Paste Editor (Beta)'!$C$90="Modifier prompt","'"&amp;B516,IF('Paste Editor (Beta)'!$C$90="Challenge prompt",L516,IF('Paste Editor (Beta)'!$C$90="Reroll class prompt",S515,IF('Paste Editor (Beta)'!$C$90="Swap hero prompt",S515,IF('Paste Editor (Beta)'!$C$90="Anvil prompt",AD515,"")))))))</f>
        <v>0</v>
      </c>
      <c r="AK515" s="283">
        <f>IF('Paste Editor (Beta)'!$C$90="Level-up prompt",G516,IF('Paste Editor (Beta)'!$C$90="Item prompt",E516,IF('Paste Editor (Beta)'!$C$90="Modifier prompt","'"&amp;B516,IF('Paste Editor (Beta)'!$C$90="Challenge prompt",E516,IF('Paste Editor (Beta)'!$C$90="Reroll class prompt",S515,IF('Paste Editor (Beta)'!$C$90="Swap hero prompt",S515,IF('Paste Editor (Beta)'!$C$90="Anvil prompt",AD515,"")))))))</f>
        <v>0</v>
      </c>
    </row>
    <row r="516" spans="2:37" ht="17.25">
      <c r="B516" s="284" t="s">
        <v>3246</v>
      </c>
      <c r="C516" s="284" t="s">
        <v>3246</v>
      </c>
      <c r="D516" s="284" t="s">
        <v>3246</v>
      </c>
      <c r="AH516" s="280" t="str">
        <f>IF('Paste Editor (Beta)'!$C$82="Level-up prompt",G517,IF('Paste Editor (Beta)'!$C$82="Item prompt",E517,IF('Paste Editor (Beta)'!$C$82="Modifier prompt","'"&amp;B517,IF('Paste Editor (Beta)'!$C$82="Challenge prompt",L517,IF('Paste Editor (Beta)'!$C$82="Reroll class prompt",S516,IF('Paste Editor (Beta)'!$C$82="Swap hero prompt",S516,IF('Paste Editor (Beta)'!$C$82="Anvil prompt",AD516,"")))))))</f>
        <v/>
      </c>
      <c r="AI516" s="280" t="str">
        <f>IF('Paste Editor (Beta)'!$C$82="Level-up prompt",G517,IF('Paste Editor (Beta)'!$C$82="Item prompt",E517,IF('Paste Editor (Beta)'!$C$82="Modifier prompt","'"&amp;B517,IF('Paste Editor (Beta)'!$C$82="Challenge prompt",E517,IF('Paste Editor (Beta)'!$C$82="Reroll class prompt",S516,IF('Paste Editor (Beta)'!$C$82="Swap hero prompt",S516,IF('Paste Editor (Beta)'!$C$82="Anvil prompt",AD516,"")))))))</f>
        <v/>
      </c>
      <c r="AJ516" s="283">
        <f>IF('Paste Editor (Beta)'!$C$90="Level-up prompt",G517,IF('Paste Editor (Beta)'!$C$90="Item prompt",E517,IF('Paste Editor (Beta)'!$C$90="Modifier prompt","'"&amp;B517,IF('Paste Editor (Beta)'!$C$90="Challenge prompt",L517,IF('Paste Editor (Beta)'!$C$90="Reroll class prompt",S516,IF('Paste Editor (Beta)'!$C$90="Swap hero prompt",S516,IF('Paste Editor (Beta)'!$C$90="Anvil prompt",AD516,"")))))))</f>
        <v>0</v>
      </c>
      <c r="AK516" s="283">
        <f>IF('Paste Editor (Beta)'!$C$90="Level-up prompt",G517,IF('Paste Editor (Beta)'!$C$90="Item prompt",E517,IF('Paste Editor (Beta)'!$C$90="Modifier prompt","'"&amp;B517,IF('Paste Editor (Beta)'!$C$90="Challenge prompt",E517,IF('Paste Editor (Beta)'!$C$90="Reroll class prompt",S516,IF('Paste Editor (Beta)'!$C$90="Swap hero prompt",S516,IF('Paste Editor (Beta)'!$C$90="Anvil prompt",AD516,"")))))))</f>
        <v>0</v>
      </c>
    </row>
    <row r="517" spans="2:37" ht="17.25">
      <c r="B517" s="284" t="s">
        <v>3166</v>
      </c>
      <c r="C517" s="284" t="s">
        <v>3166</v>
      </c>
      <c r="D517" s="284" t="s">
        <v>3166</v>
      </c>
      <c r="AH517" s="280" t="str">
        <f>IF('Paste Editor (Beta)'!$C$82="Level-up prompt",G518,IF('Paste Editor (Beta)'!$C$82="Item prompt",E518,IF('Paste Editor (Beta)'!$C$82="Modifier prompt","'"&amp;B518,IF('Paste Editor (Beta)'!$C$82="Challenge prompt",L518,IF('Paste Editor (Beta)'!$C$82="Reroll class prompt",S517,IF('Paste Editor (Beta)'!$C$82="Swap hero prompt",S517,IF('Paste Editor (Beta)'!$C$82="Anvil prompt",AD517,"")))))))</f>
        <v/>
      </c>
      <c r="AI517" s="280" t="str">
        <f>IF('Paste Editor (Beta)'!$C$82="Level-up prompt",G518,IF('Paste Editor (Beta)'!$C$82="Item prompt",E518,IF('Paste Editor (Beta)'!$C$82="Modifier prompt","'"&amp;B518,IF('Paste Editor (Beta)'!$C$82="Challenge prompt",E518,IF('Paste Editor (Beta)'!$C$82="Reroll class prompt",S517,IF('Paste Editor (Beta)'!$C$82="Swap hero prompt",S517,IF('Paste Editor (Beta)'!$C$82="Anvil prompt",AD517,"")))))))</f>
        <v/>
      </c>
      <c r="AJ517" s="283">
        <f>IF('Paste Editor (Beta)'!$C$90="Level-up prompt",G518,IF('Paste Editor (Beta)'!$C$90="Item prompt",E518,IF('Paste Editor (Beta)'!$C$90="Modifier prompt","'"&amp;B518,IF('Paste Editor (Beta)'!$C$90="Challenge prompt",L518,IF('Paste Editor (Beta)'!$C$90="Reroll class prompt",S517,IF('Paste Editor (Beta)'!$C$90="Swap hero prompt",S517,IF('Paste Editor (Beta)'!$C$90="Anvil prompt",AD517,"")))))))</f>
        <v>0</v>
      </c>
      <c r="AK517" s="283">
        <f>IF('Paste Editor (Beta)'!$C$90="Level-up prompt",G518,IF('Paste Editor (Beta)'!$C$90="Item prompt",E518,IF('Paste Editor (Beta)'!$C$90="Modifier prompt","'"&amp;B518,IF('Paste Editor (Beta)'!$C$90="Challenge prompt",E518,IF('Paste Editor (Beta)'!$C$90="Reroll class prompt",S517,IF('Paste Editor (Beta)'!$C$90="Swap hero prompt",S517,IF('Paste Editor (Beta)'!$C$90="Anvil prompt",AD517,"")))))))</f>
        <v>0</v>
      </c>
    </row>
    <row r="518" spans="2:37" ht="17.25">
      <c r="B518" s="284" t="s">
        <v>3562</v>
      </c>
      <c r="C518" s="284" t="s">
        <v>3562</v>
      </c>
      <c r="D518" s="284" t="s">
        <v>3562</v>
      </c>
      <c r="AH518" s="280" t="str">
        <f>IF('Paste Editor (Beta)'!$C$82="Level-up prompt",G519,IF('Paste Editor (Beta)'!$C$82="Item prompt",E519,IF('Paste Editor (Beta)'!$C$82="Modifier prompt","'"&amp;B519,IF('Paste Editor (Beta)'!$C$82="Challenge prompt",L519,IF('Paste Editor (Beta)'!$C$82="Reroll class prompt",S518,IF('Paste Editor (Beta)'!$C$82="Swap hero prompt",S518,IF('Paste Editor (Beta)'!$C$82="Anvil prompt",AD518,"")))))))</f>
        <v/>
      </c>
      <c r="AI518" s="280" t="str">
        <f>IF('Paste Editor (Beta)'!$C$82="Level-up prompt",G519,IF('Paste Editor (Beta)'!$C$82="Item prompt",E519,IF('Paste Editor (Beta)'!$C$82="Modifier prompt","'"&amp;B519,IF('Paste Editor (Beta)'!$C$82="Challenge prompt",E519,IF('Paste Editor (Beta)'!$C$82="Reroll class prompt",S518,IF('Paste Editor (Beta)'!$C$82="Swap hero prompt",S518,IF('Paste Editor (Beta)'!$C$82="Anvil prompt",AD518,"")))))))</f>
        <v/>
      </c>
      <c r="AJ518" s="283">
        <f>IF('Paste Editor (Beta)'!$C$90="Level-up prompt",G519,IF('Paste Editor (Beta)'!$C$90="Item prompt",E519,IF('Paste Editor (Beta)'!$C$90="Modifier prompt","'"&amp;B519,IF('Paste Editor (Beta)'!$C$90="Challenge prompt",L519,IF('Paste Editor (Beta)'!$C$90="Reroll class prompt",S518,IF('Paste Editor (Beta)'!$C$90="Swap hero prompt",S518,IF('Paste Editor (Beta)'!$C$90="Anvil prompt",AD518,"")))))))</f>
        <v>0</v>
      </c>
      <c r="AK518" s="283">
        <f>IF('Paste Editor (Beta)'!$C$90="Level-up prompt",G519,IF('Paste Editor (Beta)'!$C$90="Item prompt",E519,IF('Paste Editor (Beta)'!$C$90="Modifier prompt","'"&amp;B519,IF('Paste Editor (Beta)'!$C$90="Challenge prompt",E519,IF('Paste Editor (Beta)'!$C$90="Reroll class prompt",S518,IF('Paste Editor (Beta)'!$C$90="Swap hero prompt",S518,IF('Paste Editor (Beta)'!$C$90="Anvil prompt",AD518,"")))))))</f>
        <v>0</v>
      </c>
    </row>
    <row r="519" spans="2:37" ht="17.25">
      <c r="B519" s="284" t="s">
        <v>3508</v>
      </c>
      <c r="C519" s="284" t="s">
        <v>3508</v>
      </c>
      <c r="D519" s="284" t="s">
        <v>3508</v>
      </c>
      <c r="AH519" s="280" t="str">
        <f>IF('Paste Editor (Beta)'!$C$82="Level-up prompt",G520,IF('Paste Editor (Beta)'!$C$82="Item prompt",E520,IF('Paste Editor (Beta)'!$C$82="Modifier prompt","'"&amp;B520,IF('Paste Editor (Beta)'!$C$82="Challenge prompt",L520,IF('Paste Editor (Beta)'!$C$82="Reroll class prompt",S519,IF('Paste Editor (Beta)'!$C$82="Swap hero prompt",S519,IF('Paste Editor (Beta)'!$C$82="Anvil prompt",AD519,"")))))))</f>
        <v/>
      </c>
      <c r="AI519" s="280" t="str">
        <f>IF('Paste Editor (Beta)'!$C$82="Level-up prompt",G520,IF('Paste Editor (Beta)'!$C$82="Item prompt",E520,IF('Paste Editor (Beta)'!$C$82="Modifier prompt","'"&amp;B520,IF('Paste Editor (Beta)'!$C$82="Challenge prompt",E520,IF('Paste Editor (Beta)'!$C$82="Reroll class prompt",S519,IF('Paste Editor (Beta)'!$C$82="Swap hero prompt",S519,IF('Paste Editor (Beta)'!$C$82="Anvil prompt",AD519,"")))))))</f>
        <v/>
      </c>
      <c r="AJ519" s="283">
        <f>IF('Paste Editor (Beta)'!$C$90="Level-up prompt",G520,IF('Paste Editor (Beta)'!$C$90="Item prompt",E520,IF('Paste Editor (Beta)'!$C$90="Modifier prompt","'"&amp;B520,IF('Paste Editor (Beta)'!$C$90="Challenge prompt",L520,IF('Paste Editor (Beta)'!$C$90="Reroll class prompt",S519,IF('Paste Editor (Beta)'!$C$90="Swap hero prompt",S519,IF('Paste Editor (Beta)'!$C$90="Anvil prompt",AD519,"")))))))</f>
        <v>0</v>
      </c>
      <c r="AK519" s="283">
        <f>IF('Paste Editor (Beta)'!$C$90="Level-up prompt",G520,IF('Paste Editor (Beta)'!$C$90="Item prompt",E520,IF('Paste Editor (Beta)'!$C$90="Modifier prompt","'"&amp;B520,IF('Paste Editor (Beta)'!$C$90="Challenge prompt",E520,IF('Paste Editor (Beta)'!$C$90="Reroll class prompt",S519,IF('Paste Editor (Beta)'!$C$90="Swap hero prompt",S519,IF('Paste Editor (Beta)'!$C$90="Anvil prompt",AD519,"")))))))</f>
        <v>0</v>
      </c>
    </row>
    <row r="520" spans="2:37" ht="17.25">
      <c r="B520" s="284" t="s">
        <v>3118</v>
      </c>
      <c r="C520" s="284" t="s">
        <v>3118</v>
      </c>
      <c r="D520" s="284" t="s">
        <v>3118</v>
      </c>
      <c r="AH520" s="280" t="str">
        <f>IF('Paste Editor (Beta)'!$C$82="Level-up prompt",G521,IF('Paste Editor (Beta)'!$C$82="Item prompt",E521,IF('Paste Editor (Beta)'!$C$82="Modifier prompt","'"&amp;B521,IF('Paste Editor (Beta)'!$C$82="Challenge prompt",L521,IF('Paste Editor (Beta)'!$C$82="Reroll class prompt",S520,IF('Paste Editor (Beta)'!$C$82="Swap hero prompt",S520,IF('Paste Editor (Beta)'!$C$82="Anvil prompt",AD520,"")))))))</f>
        <v/>
      </c>
      <c r="AI520" s="280" t="str">
        <f>IF('Paste Editor (Beta)'!$C$82="Level-up prompt",G521,IF('Paste Editor (Beta)'!$C$82="Item prompt",E521,IF('Paste Editor (Beta)'!$C$82="Modifier prompt","'"&amp;B521,IF('Paste Editor (Beta)'!$C$82="Challenge prompt",E521,IF('Paste Editor (Beta)'!$C$82="Reroll class prompt",S520,IF('Paste Editor (Beta)'!$C$82="Swap hero prompt",S520,IF('Paste Editor (Beta)'!$C$82="Anvil prompt",AD520,"")))))))</f>
        <v/>
      </c>
      <c r="AJ520" s="283">
        <f>IF('Paste Editor (Beta)'!$C$90="Level-up prompt",G521,IF('Paste Editor (Beta)'!$C$90="Item prompt",E521,IF('Paste Editor (Beta)'!$C$90="Modifier prompt","'"&amp;B521,IF('Paste Editor (Beta)'!$C$90="Challenge prompt",L521,IF('Paste Editor (Beta)'!$C$90="Reroll class prompt",S520,IF('Paste Editor (Beta)'!$C$90="Swap hero prompt",S520,IF('Paste Editor (Beta)'!$C$90="Anvil prompt",AD520,"")))))))</f>
        <v>0</v>
      </c>
      <c r="AK520" s="283">
        <f>IF('Paste Editor (Beta)'!$C$90="Level-up prompt",G521,IF('Paste Editor (Beta)'!$C$90="Item prompt",E521,IF('Paste Editor (Beta)'!$C$90="Modifier prompt","'"&amp;B521,IF('Paste Editor (Beta)'!$C$90="Challenge prompt",E521,IF('Paste Editor (Beta)'!$C$90="Reroll class prompt",S520,IF('Paste Editor (Beta)'!$C$90="Swap hero prompt",S520,IF('Paste Editor (Beta)'!$C$90="Anvil prompt",AD520,"")))))))</f>
        <v>0</v>
      </c>
    </row>
    <row r="521" spans="2:37" ht="17.25">
      <c r="B521" s="284" t="s">
        <v>3480</v>
      </c>
      <c r="C521" s="284" t="s">
        <v>3480</v>
      </c>
      <c r="D521" s="284" t="s">
        <v>3480</v>
      </c>
      <c r="AH521" s="280" t="str">
        <f>IF('Paste Editor (Beta)'!$C$82="Level-up prompt",G522,IF('Paste Editor (Beta)'!$C$82="Item prompt",E522,IF('Paste Editor (Beta)'!$C$82="Modifier prompt","'"&amp;B522,IF('Paste Editor (Beta)'!$C$82="Challenge prompt",L522,IF('Paste Editor (Beta)'!$C$82="Reroll class prompt",S521,IF('Paste Editor (Beta)'!$C$82="Swap hero prompt",S521,IF('Paste Editor (Beta)'!$C$82="Anvil prompt",AD521,"")))))))</f>
        <v/>
      </c>
      <c r="AI521" s="280" t="str">
        <f>IF('Paste Editor (Beta)'!$C$82="Level-up prompt",G522,IF('Paste Editor (Beta)'!$C$82="Item prompt",E522,IF('Paste Editor (Beta)'!$C$82="Modifier prompt","'"&amp;B522,IF('Paste Editor (Beta)'!$C$82="Challenge prompt",E522,IF('Paste Editor (Beta)'!$C$82="Reroll class prompt",S521,IF('Paste Editor (Beta)'!$C$82="Swap hero prompt",S521,IF('Paste Editor (Beta)'!$C$82="Anvil prompt",AD521,"")))))))</f>
        <v/>
      </c>
      <c r="AJ521" s="283">
        <f>IF('Paste Editor (Beta)'!$C$90="Level-up prompt",G522,IF('Paste Editor (Beta)'!$C$90="Item prompt",E522,IF('Paste Editor (Beta)'!$C$90="Modifier prompt","'"&amp;B522,IF('Paste Editor (Beta)'!$C$90="Challenge prompt",L522,IF('Paste Editor (Beta)'!$C$90="Reroll class prompt",S521,IF('Paste Editor (Beta)'!$C$90="Swap hero prompt",S521,IF('Paste Editor (Beta)'!$C$90="Anvil prompt",AD521,"")))))))</f>
        <v>0</v>
      </c>
      <c r="AK521" s="283">
        <f>IF('Paste Editor (Beta)'!$C$90="Level-up prompt",G522,IF('Paste Editor (Beta)'!$C$90="Item prompt",E522,IF('Paste Editor (Beta)'!$C$90="Modifier prompt","'"&amp;B522,IF('Paste Editor (Beta)'!$C$90="Challenge prompt",E522,IF('Paste Editor (Beta)'!$C$90="Reroll class prompt",S521,IF('Paste Editor (Beta)'!$C$90="Swap hero prompt",S521,IF('Paste Editor (Beta)'!$C$90="Anvil prompt",AD521,"")))))))</f>
        <v>0</v>
      </c>
    </row>
    <row r="522" spans="2:37" ht="17.25">
      <c r="B522" s="284" t="s">
        <v>3570</v>
      </c>
      <c r="C522" s="284" t="s">
        <v>3570</v>
      </c>
      <c r="D522" s="284" t="s">
        <v>3570</v>
      </c>
      <c r="AH522" s="280" t="str">
        <f>IF('Paste Editor (Beta)'!$C$82="Level-up prompt",G523,IF('Paste Editor (Beta)'!$C$82="Item prompt",E523,IF('Paste Editor (Beta)'!$C$82="Modifier prompt","'"&amp;B523,IF('Paste Editor (Beta)'!$C$82="Challenge prompt",L523,IF('Paste Editor (Beta)'!$C$82="Reroll class prompt",S522,IF('Paste Editor (Beta)'!$C$82="Swap hero prompt",S522,IF('Paste Editor (Beta)'!$C$82="Anvil prompt",AD522,"")))))))</f>
        <v/>
      </c>
      <c r="AI522" s="280" t="str">
        <f>IF('Paste Editor (Beta)'!$C$82="Level-up prompt",G523,IF('Paste Editor (Beta)'!$C$82="Item prompt",E523,IF('Paste Editor (Beta)'!$C$82="Modifier prompt","'"&amp;B523,IF('Paste Editor (Beta)'!$C$82="Challenge prompt",E523,IF('Paste Editor (Beta)'!$C$82="Reroll class prompt",S522,IF('Paste Editor (Beta)'!$C$82="Swap hero prompt",S522,IF('Paste Editor (Beta)'!$C$82="Anvil prompt",AD522,"")))))))</f>
        <v/>
      </c>
      <c r="AJ522" s="283">
        <f>IF('Paste Editor (Beta)'!$C$90="Level-up prompt",G523,IF('Paste Editor (Beta)'!$C$90="Item prompt",E523,IF('Paste Editor (Beta)'!$C$90="Modifier prompt","'"&amp;B523,IF('Paste Editor (Beta)'!$C$90="Challenge prompt",L523,IF('Paste Editor (Beta)'!$C$90="Reroll class prompt",S522,IF('Paste Editor (Beta)'!$C$90="Swap hero prompt",S522,IF('Paste Editor (Beta)'!$C$90="Anvil prompt",AD522,"")))))))</f>
        <v>0</v>
      </c>
      <c r="AK522" s="283">
        <f>IF('Paste Editor (Beta)'!$C$90="Level-up prompt",G523,IF('Paste Editor (Beta)'!$C$90="Item prompt",E523,IF('Paste Editor (Beta)'!$C$90="Modifier prompt","'"&amp;B523,IF('Paste Editor (Beta)'!$C$90="Challenge prompt",E523,IF('Paste Editor (Beta)'!$C$90="Reroll class prompt",S522,IF('Paste Editor (Beta)'!$C$90="Swap hero prompt",S522,IF('Paste Editor (Beta)'!$C$90="Anvil prompt",AD522,"")))))))</f>
        <v>0</v>
      </c>
    </row>
    <row r="523" spans="2:37" ht="17.25">
      <c r="B523" s="284" t="s">
        <v>3304</v>
      </c>
      <c r="C523" s="284" t="s">
        <v>3304</v>
      </c>
      <c r="D523" s="284" t="s">
        <v>3304</v>
      </c>
      <c r="AH523" s="280" t="str">
        <f>IF('Paste Editor (Beta)'!$C$82="Level-up prompt",G524,IF('Paste Editor (Beta)'!$C$82="Item prompt",E524,IF('Paste Editor (Beta)'!$C$82="Modifier prompt","'"&amp;B524,IF('Paste Editor (Beta)'!$C$82="Challenge prompt",L524,IF('Paste Editor (Beta)'!$C$82="Reroll class prompt",S523,IF('Paste Editor (Beta)'!$C$82="Swap hero prompt",S523,IF('Paste Editor (Beta)'!$C$82="Anvil prompt",AD523,"")))))))</f>
        <v/>
      </c>
      <c r="AI523" s="280" t="str">
        <f>IF('Paste Editor (Beta)'!$C$82="Level-up prompt",G524,IF('Paste Editor (Beta)'!$C$82="Item prompt",E524,IF('Paste Editor (Beta)'!$C$82="Modifier prompt","'"&amp;B524,IF('Paste Editor (Beta)'!$C$82="Challenge prompt",E524,IF('Paste Editor (Beta)'!$C$82="Reroll class prompt",S523,IF('Paste Editor (Beta)'!$C$82="Swap hero prompt",S523,IF('Paste Editor (Beta)'!$C$82="Anvil prompt",AD523,"")))))))</f>
        <v/>
      </c>
      <c r="AJ523" s="283">
        <f>IF('Paste Editor (Beta)'!$C$90="Level-up prompt",G524,IF('Paste Editor (Beta)'!$C$90="Item prompt",E524,IF('Paste Editor (Beta)'!$C$90="Modifier prompt","'"&amp;B524,IF('Paste Editor (Beta)'!$C$90="Challenge prompt",L524,IF('Paste Editor (Beta)'!$C$90="Reroll class prompt",S523,IF('Paste Editor (Beta)'!$C$90="Swap hero prompt",S523,IF('Paste Editor (Beta)'!$C$90="Anvil prompt",AD523,"")))))))</f>
        <v>0</v>
      </c>
      <c r="AK523" s="283">
        <f>IF('Paste Editor (Beta)'!$C$90="Level-up prompt",G524,IF('Paste Editor (Beta)'!$C$90="Item prompt",E524,IF('Paste Editor (Beta)'!$C$90="Modifier prompt","'"&amp;B524,IF('Paste Editor (Beta)'!$C$90="Challenge prompt",E524,IF('Paste Editor (Beta)'!$C$90="Reroll class prompt",S523,IF('Paste Editor (Beta)'!$C$90="Swap hero prompt",S523,IF('Paste Editor (Beta)'!$C$90="Anvil prompt",AD523,"")))))))</f>
        <v>0</v>
      </c>
    </row>
    <row r="524" spans="2:37" ht="17.25">
      <c r="B524" s="284" t="s">
        <v>3360</v>
      </c>
      <c r="C524" s="284" t="s">
        <v>3360</v>
      </c>
      <c r="D524" s="284" t="s">
        <v>3360</v>
      </c>
      <c r="AH524" s="280" t="str">
        <f>IF('Paste Editor (Beta)'!$C$82="Level-up prompt",G525,IF('Paste Editor (Beta)'!$C$82="Item prompt",E525,IF('Paste Editor (Beta)'!$C$82="Modifier prompt","'"&amp;B525,IF('Paste Editor (Beta)'!$C$82="Challenge prompt",L525,IF('Paste Editor (Beta)'!$C$82="Reroll class prompt",S524,IF('Paste Editor (Beta)'!$C$82="Swap hero prompt",S524,IF('Paste Editor (Beta)'!$C$82="Anvil prompt",AD524,"")))))))</f>
        <v/>
      </c>
      <c r="AI524" s="280" t="str">
        <f>IF('Paste Editor (Beta)'!$C$82="Level-up prompt",G525,IF('Paste Editor (Beta)'!$C$82="Item prompt",E525,IF('Paste Editor (Beta)'!$C$82="Modifier prompt","'"&amp;B525,IF('Paste Editor (Beta)'!$C$82="Challenge prompt",E525,IF('Paste Editor (Beta)'!$C$82="Reroll class prompt",S524,IF('Paste Editor (Beta)'!$C$82="Swap hero prompt",S524,IF('Paste Editor (Beta)'!$C$82="Anvil prompt",AD524,"")))))))</f>
        <v/>
      </c>
      <c r="AJ524" s="283">
        <f>IF('Paste Editor (Beta)'!$C$90="Level-up prompt",G525,IF('Paste Editor (Beta)'!$C$90="Item prompt",E525,IF('Paste Editor (Beta)'!$C$90="Modifier prompt","'"&amp;B525,IF('Paste Editor (Beta)'!$C$90="Challenge prompt",L525,IF('Paste Editor (Beta)'!$C$90="Reroll class prompt",S524,IF('Paste Editor (Beta)'!$C$90="Swap hero prompt",S524,IF('Paste Editor (Beta)'!$C$90="Anvil prompt",AD524,"")))))))</f>
        <v>0</v>
      </c>
      <c r="AK524" s="283">
        <f>IF('Paste Editor (Beta)'!$C$90="Level-up prompt",G525,IF('Paste Editor (Beta)'!$C$90="Item prompt",E525,IF('Paste Editor (Beta)'!$C$90="Modifier prompt","'"&amp;B525,IF('Paste Editor (Beta)'!$C$90="Challenge prompt",E525,IF('Paste Editor (Beta)'!$C$90="Reroll class prompt",S524,IF('Paste Editor (Beta)'!$C$90="Swap hero prompt",S524,IF('Paste Editor (Beta)'!$C$90="Anvil prompt",AD524,"")))))))</f>
        <v>0</v>
      </c>
    </row>
    <row r="525" spans="2:37" ht="17.25">
      <c r="B525" s="284" t="s">
        <v>3438</v>
      </c>
      <c r="C525" s="284" t="s">
        <v>3438</v>
      </c>
      <c r="D525" s="284" t="s">
        <v>3438</v>
      </c>
      <c r="AH525" s="280" t="str">
        <f>IF('Paste Editor (Beta)'!$C$82="Level-up prompt",G526,IF('Paste Editor (Beta)'!$C$82="Item prompt",E526,IF('Paste Editor (Beta)'!$C$82="Modifier prompt","'"&amp;B526,IF('Paste Editor (Beta)'!$C$82="Challenge prompt",L526,IF('Paste Editor (Beta)'!$C$82="Reroll class prompt",S525,IF('Paste Editor (Beta)'!$C$82="Swap hero prompt",S525,IF('Paste Editor (Beta)'!$C$82="Anvil prompt",AD525,"")))))))</f>
        <v/>
      </c>
      <c r="AI525" s="280" t="str">
        <f>IF('Paste Editor (Beta)'!$C$82="Level-up prompt",G526,IF('Paste Editor (Beta)'!$C$82="Item prompt",E526,IF('Paste Editor (Beta)'!$C$82="Modifier prompt","'"&amp;B526,IF('Paste Editor (Beta)'!$C$82="Challenge prompt",E526,IF('Paste Editor (Beta)'!$C$82="Reroll class prompt",S525,IF('Paste Editor (Beta)'!$C$82="Swap hero prompt",S525,IF('Paste Editor (Beta)'!$C$82="Anvil prompt",AD525,"")))))))</f>
        <v/>
      </c>
      <c r="AJ525" s="283">
        <f>IF('Paste Editor (Beta)'!$C$90="Level-up prompt",G526,IF('Paste Editor (Beta)'!$C$90="Item prompt",E526,IF('Paste Editor (Beta)'!$C$90="Modifier prompt","'"&amp;B526,IF('Paste Editor (Beta)'!$C$90="Challenge prompt",L526,IF('Paste Editor (Beta)'!$C$90="Reroll class prompt",S525,IF('Paste Editor (Beta)'!$C$90="Swap hero prompt",S525,IF('Paste Editor (Beta)'!$C$90="Anvil prompt",AD525,"")))))))</f>
        <v>0</v>
      </c>
      <c r="AK525" s="283">
        <f>IF('Paste Editor (Beta)'!$C$90="Level-up prompt",G526,IF('Paste Editor (Beta)'!$C$90="Item prompt",E526,IF('Paste Editor (Beta)'!$C$90="Modifier prompt","'"&amp;B526,IF('Paste Editor (Beta)'!$C$90="Challenge prompt",E526,IF('Paste Editor (Beta)'!$C$90="Reroll class prompt",S525,IF('Paste Editor (Beta)'!$C$90="Swap hero prompt",S525,IF('Paste Editor (Beta)'!$C$90="Anvil prompt",AD525,"")))))))</f>
        <v>0</v>
      </c>
    </row>
    <row r="526" spans="2:37" ht="17.25">
      <c r="B526" s="284" t="s">
        <v>3272</v>
      </c>
      <c r="C526" s="284" t="s">
        <v>3272</v>
      </c>
      <c r="D526" s="284" t="s">
        <v>3272</v>
      </c>
      <c r="AH526" s="280" t="str">
        <f>IF('Paste Editor (Beta)'!$C$82="Level-up prompt",G527,IF('Paste Editor (Beta)'!$C$82="Item prompt",E527,IF('Paste Editor (Beta)'!$C$82="Modifier prompt","'"&amp;B527,IF('Paste Editor (Beta)'!$C$82="Challenge prompt",L527,IF('Paste Editor (Beta)'!$C$82="Reroll class prompt",S526,IF('Paste Editor (Beta)'!$C$82="Swap hero prompt",S526,IF('Paste Editor (Beta)'!$C$82="Anvil prompt",AD526,"")))))))</f>
        <v/>
      </c>
      <c r="AI526" s="280" t="str">
        <f>IF('Paste Editor (Beta)'!$C$82="Level-up prompt",G527,IF('Paste Editor (Beta)'!$C$82="Item prompt",E527,IF('Paste Editor (Beta)'!$C$82="Modifier prompt","'"&amp;B527,IF('Paste Editor (Beta)'!$C$82="Challenge prompt",E527,IF('Paste Editor (Beta)'!$C$82="Reroll class prompt",S526,IF('Paste Editor (Beta)'!$C$82="Swap hero prompt",S526,IF('Paste Editor (Beta)'!$C$82="Anvil prompt",AD526,"")))))))</f>
        <v/>
      </c>
      <c r="AJ526" s="283">
        <f>IF('Paste Editor (Beta)'!$C$90="Level-up prompt",G527,IF('Paste Editor (Beta)'!$C$90="Item prompt",E527,IF('Paste Editor (Beta)'!$C$90="Modifier prompt","'"&amp;B527,IF('Paste Editor (Beta)'!$C$90="Challenge prompt",L527,IF('Paste Editor (Beta)'!$C$90="Reroll class prompt",S526,IF('Paste Editor (Beta)'!$C$90="Swap hero prompt",S526,IF('Paste Editor (Beta)'!$C$90="Anvil prompt",AD526,"")))))))</f>
        <v>0</v>
      </c>
      <c r="AK526" s="283">
        <f>IF('Paste Editor (Beta)'!$C$90="Level-up prompt",G527,IF('Paste Editor (Beta)'!$C$90="Item prompt",E527,IF('Paste Editor (Beta)'!$C$90="Modifier prompt","'"&amp;B527,IF('Paste Editor (Beta)'!$C$90="Challenge prompt",E527,IF('Paste Editor (Beta)'!$C$90="Reroll class prompt",S526,IF('Paste Editor (Beta)'!$C$90="Swap hero prompt",S526,IF('Paste Editor (Beta)'!$C$90="Anvil prompt",AD526,"")))))))</f>
        <v>0</v>
      </c>
    </row>
    <row r="527" spans="2:37" ht="17.25">
      <c r="B527" s="284" t="s">
        <v>3402</v>
      </c>
      <c r="C527" s="284" t="s">
        <v>3402</v>
      </c>
      <c r="D527" s="284" t="s">
        <v>3402</v>
      </c>
      <c r="AH527" s="280" t="str">
        <f>IF('Paste Editor (Beta)'!$C$82="Level-up prompt",G528,IF('Paste Editor (Beta)'!$C$82="Item prompt",E528,IF('Paste Editor (Beta)'!$C$82="Modifier prompt","'"&amp;B528,IF('Paste Editor (Beta)'!$C$82="Challenge prompt",L528,IF('Paste Editor (Beta)'!$C$82="Reroll class prompt",S527,IF('Paste Editor (Beta)'!$C$82="Swap hero prompt",S527,IF('Paste Editor (Beta)'!$C$82="Anvil prompt",AD527,"")))))))</f>
        <v/>
      </c>
      <c r="AI527" s="280" t="str">
        <f>IF('Paste Editor (Beta)'!$C$82="Level-up prompt",G528,IF('Paste Editor (Beta)'!$C$82="Item prompt",E528,IF('Paste Editor (Beta)'!$C$82="Modifier prompt","'"&amp;B528,IF('Paste Editor (Beta)'!$C$82="Challenge prompt",E528,IF('Paste Editor (Beta)'!$C$82="Reroll class prompt",S527,IF('Paste Editor (Beta)'!$C$82="Swap hero prompt",S527,IF('Paste Editor (Beta)'!$C$82="Anvil prompt",AD527,"")))))))</f>
        <v/>
      </c>
      <c r="AJ527" s="283">
        <f>IF('Paste Editor (Beta)'!$C$90="Level-up prompt",G528,IF('Paste Editor (Beta)'!$C$90="Item prompt",E528,IF('Paste Editor (Beta)'!$C$90="Modifier prompt","'"&amp;B528,IF('Paste Editor (Beta)'!$C$90="Challenge prompt",L528,IF('Paste Editor (Beta)'!$C$90="Reroll class prompt",S527,IF('Paste Editor (Beta)'!$C$90="Swap hero prompt",S527,IF('Paste Editor (Beta)'!$C$90="Anvil prompt",AD527,"")))))))</f>
        <v>0</v>
      </c>
      <c r="AK527" s="283">
        <f>IF('Paste Editor (Beta)'!$C$90="Level-up prompt",G528,IF('Paste Editor (Beta)'!$C$90="Item prompt",E528,IF('Paste Editor (Beta)'!$C$90="Modifier prompt","'"&amp;B528,IF('Paste Editor (Beta)'!$C$90="Challenge prompt",E528,IF('Paste Editor (Beta)'!$C$90="Reroll class prompt",S527,IF('Paste Editor (Beta)'!$C$90="Swap hero prompt",S527,IF('Paste Editor (Beta)'!$C$90="Anvil prompt",AD527,"")))))))</f>
        <v>0</v>
      </c>
    </row>
    <row r="528" spans="2:37" ht="17.25">
      <c r="B528" s="284" t="s">
        <v>3230</v>
      </c>
      <c r="C528" s="284" t="s">
        <v>3230</v>
      </c>
      <c r="D528" s="284" t="s">
        <v>3230</v>
      </c>
      <c r="AH528" s="280" t="str">
        <f>IF('Paste Editor (Beta)'!$C$82="Level-up prompt",G529,IF('Paste Editor (Beta)'!$C$82="Item prompt",E529,IF('Paste Editor (Beta)'!$C$82="Modifier prompt","'"&amp;B529,IF('Paste Editor (Beta)'!$C$82="Challenge prompt",L529,IF('Paste Editor (Beta)'!$C$82="Reroll class prompt",S528,IF('Paste Editor (Beta)'!$C$82="Swap hero prompt",S528,IF('Paste Editor (Beta)'!$C$82="Anvil prompt",AD528,"")))))))</f>
        <v/>
      </c>
      <c r="AI528" s="280" t="str">
        <f>IF('Paste Editor (Beta)'!$C$82="Level-up prompt",G529,IF('Paste Editor (Beta)'!$C$82="Item prompt",E529,IF('Paste Editor (Beta)'!$C$82="Modifier prompt","'"&amp;B529,IF('Paste Editor (Beta)'!$C$82="Challenge prompt",E529,IF('Paste Editor (Beta)'!$C$82="Reroll class prompt",S528,IF('Paste Editor (Beta)'!$C$82="Swap hero prompt",S528,IF('Paste Editor (Beta)'!$C$82="Anvil prompt",AD528,"")))))))</f>
        <v/>
      </c>
      <c r="AJ528" s="283">
        <f>IF('Paste Editor (Beta)'!$C$90="Level-up prompt",G529,IF('Paste Editor (Beta)'!$C$90="Item prompt",E529,IF('Paste Editor (Beta)'!$C$90="Modifier prompt","'"&amp;B529,IF('Paste Editor (Beta)'!$C$90="Challenge prompt",L529,IF('Paste Editor (Beta)'!$C$90="Reroll class prompt",S528,IF('Paste Editor (Beta)'!$C$90="Swap hero prompt",S528,IF('Paste Editor (Beta)'!$C$90="Anvil prompt",AD528,"")))))))</f>
        <v>0</v>
      </c>
      <c r="AK528" s="283">
        <f>IF('Paste Editor (Beta)'!$C$90="Level-up prompt",G529,IF('Paste Editor (Beta)'!$C$90="Item prompt",E529,IF('Paste Editor (Beta)'!$C$90="Modifier prompt","'"&amp;B529,IF('Paste Editor (Beta)'!$C$90="Challenge prompt",E529,IF('Paste Editor (Beta)'!$C$90="Reroll class prompt",S528,IF('Paste Editor (Beta)'!$C$90="Swap hero prompt",S528,IF('Paste Editor (Beta)'!$C$90="Anvil prompt",AD528,"")))))))</f>
        <v>0</v>
      </c>
    </row>
    <row r="529" spans="2:37" ht="17.25">
      <c r="B529" s="284" t="s">
        <v>3278</v>
      </c>
      <c r="C529" s="284" t="s">
        <v>3278</v>
      </c>
      <c r="D529" s="284" t="s">
        <v>3278</v>
      </c>
      <c r="AH529" s="280" t="str">
        <f>IF('Paste Editor (Beta)'!$C$82="Level-up prompt",G530,IF('Paste Editor (Beta)'!$C$82="Item prompt",E530,IF('Paste Editor (Beta)'!$C$82="Modifier prompt","'"&amp;B530,IF('Paste Editor (Beta)'!$C$82="Challenge prompt",L530,IF('Paste Editor (Beta)'!$C$82="Reroll class prompt",S529,IF('Paste Editor (Beta)'!$C$82="Swap hero prompt",S529,IF('Paste Editor (Beta)'!$C$82="Anvil prompt",AD529,"")))))))</f>
        <v/>
      </c>
      <c r="AI529" s="280" t="str">
        <f>IF('Paste Editor (Beta)'!$C$82="Level-up prompt",G530,IF('Paste Editor (Beta)'!$C$82="Item prompt",E530,IF('Paste Editor (Beta)'!$C$82="Modifier prompt","'"&amp;B530,IF('Paste Editor (Beta)'!$C$82="Challenge prompt",E530,IF('Paste Editor (Beta)'!$C$82="Reroll class prompt",S529,IF('Paste Editor (Beta)'!$C$82="Swap hero prompt",S529,IF('Paste Editor (Beta)'!$C$82="Anvil prompt",AD529,"")))))))</f>
        <v/>
      </c>
      <c r="AJ529" s="283">
        <f>IF('Paste Editor (Beta)'!$C$90="Level-up prompt",G530,IF('Paste Editor (Beta)'!$C$90="Item prompt",E530,IF('Paste Editor (Beta)'!$C$90="Modifier prompt","'"&amp;B530,IF('Paste Editor (Beta)'!$C$90="Challenge prompt",L530,IF('Paste Editor (Beta)'!$C$90="Reroll class prompt",S529,IF('Paste Editor (Beta)'!$C$90="Swap hero prompt",S529,IF('Paste Editor (Beta)'!$C$90="Anvil prompt",AD529,"")))))))</f>
        <v>0</v>
      </c>
      <c r="AK529" s="283">
        <f>IF('Paste Editor (Beta)'!$C$90="Level-up prompt",G530,IF('Paste Editor (Beta)'!$C$90="Item prompt",E530,IF('Paste Editor (Beta)'!$C$90="Modifier prompt","'"&amp;B530,IF('Paste Editor (Beta)'!$C$90="Challenge prompt",E530,IF('Paste Editor (Beta)'!$C$90="Reroll class prompt",S529,IF('Paste Editor (Beta)'!$C$90="Swap hero prompt",S529,IF('Paste Editor (Beta)'!$C$90="Anvil prompt",AD529,"")))))))</f>
        <v>0</v>
      </c>
    </row>
    <row r="530" spans="2:37" ht="17.25">
      <c r="B530" s="284" t="s">
        <v>3394</v>
      </c>
      <c r="C530" s="284" t="s">
        <v>3394</v>
      </c>
      <c r="D530" s="284" t="s">
        <v>3394</v>
      </c>
      <c r="AH530" s="280" t="str">
        <f>IF('Paste Editor (Beta)'!$C$82="Level-up prompt",G531,IF('Paste Editor (Beta)'!$C$82="Item prompt",E531,IF('Paste Editor (Beta)'!$C$82="Modifier prompt","'"&amp;B531,IF('Paste Editor (Beta)'!$C$82="Challenge prompt",L531,IF('Paste Editor (Beta)'!$C$82="Reroll class prompt",S530,IF('Paste Editor (Beta)'!$C$82="Swap hero prompt",S530,IF('Paste Editor (Beta)'!$C$82="Anvil prompt",AD530,"")))))))</f>
        <v/>
      </c>
      <c r="AI530" s="280" t="str">
        <f>IF('Paste Editor (Beta)'!$C$82="Level-up prompt",G531,IF('Paste Editor (Beta)'!$C$82="Item prompt",E531,IF('Paste Editor (Beta)'!$C$82="Modifier prompt","'"&amp;B531,IF('Paste Editor (Beta)'!$C$82="Challenge prompt",E531,IF('Paste Editor (Beta)'!$C$82="Reroll class prompt",S530,IF('Paste Editor (Beta)'!$C$82="Swap hero prompt",S530,IF('Paste Editor (Beta)'!$C$82="Anvil prompt",AD530,"")))))))</f>
        <v/>
      </c>
      <c r="AJ530" s="283">
        <f>IF('Paste Editor (Beta)'!$C$90="Level-up prompt",G531,IF('Paste Editor (Beta)'!$C$90="Item prompt",E531,IF('Paste Editor (Beta)'!$C$90="Modifier prompt","'"&amp;B531,IF('Paste Editor (Beta)'!$C$90="Challenge prompt",L531,IF('Paste Editor (Beta)'!$C$90="Reroll class prompt",S530,IF('Paste Editor (Beta)'!$C$90="Swap hero prompt",S530,IF('Paste Editor (Beta)'!$C$90="Anvil prompt",AD530,"")))))))</f>
        <v>0</v>
      </c>
      <c r="AK530" s="283">
        <f>IF('Paste Editor (Beta)'!$C$90="Level-up prompt",G531,IF('Paste Editor (Beta)'!$C$90="Item prompt",E531,IF('Paste Editor (Beta)'!$C$90="Modifier prompt","'"&amp;B531,IF('Paste Editor (Beta)'!$C$90="Challenge prompt",E531,IF('Paste Editor (Beta)'!$C$90="Reroll class prompt",S530,IF('Paste Editor (Beta)'!$C$90="Swap hero prompt",S530,IF('Paste Editor (Beta)'!$C$90="Anvil prompt",AD530,"")))))))</f>
        <v>0</v>
      </c>
    </row>
    <row r="531" spans="2:37" ht="17.25">
      <c r="B531" s="284" t="s">
        <v>3596</v>
      </c>
      <c r="C531" s="284" t="s">
        <v>3596</v>
      </c>
      <c r="D531" s="284" t="s">
        <v>3596</v>
      </c>
      <c r="AH531" s="280" t="str">
        <f>IF('Paste Editor (Beta)'!$C$82="Level-up prompt",G532,IF('Paste Editor (Beta)'!$C$82="Item prompt",E532,IF('Paste Editor (Beta)'!$C$82="Modifier prompt","'"&amp;B532,IF('Paste Editor (Beta)'!$C$82="Challenge prompt",L532,IF('Paste Editor (Beta)'!$C$82="Reroll class prompt",S531,IF('Paste Editor (Beta)'!$C$82="Swap hero prompt",S531,IF('Paste Editor (Beta)'!$C$82="Anvil prompt",AD531,"")))))))</f>
        <v/>
      </c>
      <c r="AI531" s="280" t="str">
        <f>IF('Paste Editor (Beta)'!$C$82="Level-up prompt",G532,IF('Paste Editor (Beta)'!$C$82="Item prompt",E532,IF('Paste Editor (Beta)'!$C$82="Modifier prompt","'"&amp;B532,IF('Paste Editor (Beta)'!$C$82="Challenge prompt",E532,IF('Paste Editor (Beta)'!$C$82="Reroll class prompt",S531,IF('Paste Editor (Beta)'!$C$82="Swap hero prompt",S531,IF('Paste Editor (Beta)'!$C$82="Anvil prompt",AD531,"")))))))</f>
        <v/>
      </c>
      <c r="AJ531" s="283">
        <f>IF('Paste Editor (Beta)'!$C$90="Level-up prompt",G532,IF('Paste Editor (Beta)'!$C$90="Item prompt",E532,IF('Paste Editor (Beta)'!$C$90="Modifier prompt","'"&amp;B532,IF('Paste Editor (Beta)'!$C$90="Challenge prompt",L532,IF('Paste Editor (Beta)'!$C$90="Reroll class prompt",S531,IF('Paste Editor (Beta)'!$C$90="Swap hero prompt",S531,IF('Paste Editor (Beta)'!$C$90="Anvil prompt",AD531,"")))))))</f>
        <v>0</v>
      </c>
      <c r="AK531" s="283">
        <f>IF('Paste Editor (Beta)'!$C$90="Level-up prompt",G532,IF('Paste Editor (Beta)'!$C$90="Item prompt",E532,IF('Paste Editor (Beta)'!$C$90="Modifier prompt","'"&amp;B532,IF('Paste Editor (Beta)'!$C$90="Challenge prompt",E532,IF('Paste Editor (Beta)'!$C$90="Reroll class prompt",S531,IF('Paste Editor (Beta)'!$C$90="Swap hero prompt",S531,IF('Paste Editor (Beta)'!$C$90="Anvil prompt",AD531,"")))))))</f>
        <v>0</v>
      </c>
    </row>
    <row r="532" spans="2:37" ht="17.25">
      <c r="B532" s="284" t="s">
        <v>3164</v>
      </c>
      <c r="C532" s="284" t="s">
        <v>3164</v>
      </c>
      <c r="D532" s="284" t="s">
        <v>3164</v>
      </c>
      <c r="AH532" s="280" t="str">
        <f>IF('Paste Editor (Beta)'!$C$82="Level-up prompt",G533,IF('Paste Editor (Beta)'!$C$82="Item prompt",E533,IF('Paste Editor (Beta)'!$C$82="Modifier prompt","'"&amp;B533,IF('Paste Editor (Beta)'!$C$82="Challenge prompt",L533,IF('Paste Editor (Beta)'!$C$82="Reroll class prompt",S532,IF('Paste Editor (Beta)'!$C$82="Swap hero prompt",S532,IF('Paste Editor (Beta)'!$C$82="Anvil prompt",AD532,"")))))))</f>
        <v/>
      </c>
      <c r="AI532" s="280" t="str">
        <f>IF('Paste Editor (Beta)'!$C$82="Level-up prompt",G533,IF('Paste Editor (Beta)'!$C$82="Item prompt",E533,IF('Paste Editor (Beta)'!$C$82="Modifier prompt","'"&amp;B533,IF('Paste Editor (Beta)'!$C$82="Challenge prompt",E533,IF('Paste Editor (Beta)'!$C$82="Reroll class prompt",S532,IF('Paste Editor (Beta)'!$C$82="Swap hero prompt",S532,IF('Paste Editor (Beta)'!$C$82="Anvil prompt",AD532,"")))))))</f>
        <v/>
      </c>
      <c r="AJ532" s="283">
        <f>IF('Paste Editor (Beta)'!$C$90="Level-up prompt",G533,IF('Paste Editor (Beta)'!$C$90="Item prompt",E533,IF('Paste Editor (Beta)'!$C$90="Modifier prompt","'"&amp;B533,IF('Paste Editor (Beta)'!$C$90="Challenge prompt",L533,IF('Paste Editor (Beta)'!$C$90="Reroll class prompt",S532,IF('Paste Editor (Beta)'!$C$90="Swap hero prompt",S532,IF('Paste Editor (Beta)'!$C$90="Anvil prompt",AD532,"")))))))</f>
        <v>0</v>
      </c>
      <c r="AK532" s="283">
        <f>IF('Paste Editor (Beta)'!$C$90="Level-up prompt",G533,IF('Paste Editor (Beta)'!$C$90="Item prompt",E533,IF('Paste Editor (Beta)'!$C$90="Modifier prompt","'"&amp;B533,IF('Paste Editor (Beta)'!$C$90="Challenge prompt",E533,IF('Paste Editor (Beta)'!$C$90="Reroll class prompt",S532,IF('Paste Editor (Beta)'!$C$90="Swap hero prompt",S532,IF('Paste Editor (Beta)'!$C$90="Anvil prompt",AD532,"")))))))</f>
        <v>0</v>
      </c>
    </row>
    <row r="533" spans="2:37" ht="17.25">
      <c r="B533" s="284" t="s">
        <v>3430</v>
      </c>
      <c r="C533" s="284" t="s">
        <v>3430</v>
      </c>
      <c r="D533" s="284" t="s">
        <v>3430</v>
      </c>
      <c r="AH533" s="280" t="str">
        <f>IF('Paste Editor (Beta)'!$C$82="Level-up prompt",G534,IF('Paste Editor (Beta)'!$C$82="Item prompt",E534,IF('Paste Editor (Beta)'!$C$82="Modifier prompt","'"&amp;B534,IF('Paste Editor (Beta)'!$C$82="Challenge prompt",L534,IF('Paste Editor (Beta)'!$C$82="Reroll class prompt",S533,IF('Paste Editor (Beta)'!$C$82="Swap hero prompt",S533,IF('Paste Editor (Beta)'!$C$82="Anvil prompt",AD533,"")))))))</f>
        <v/>
      </c>
      <c r="AI533" s="280" t="str">
        <f>IF('Paste Editor (Beta)'!$C$82="Level-up prompt",G534,IF('Paste Editor (Beta)'!$C$82="Item prompt",E534,IF('Paste Editor (Beta)'!$C$82="Modifier prompt","'"&amp;B534,IF('Paste Editor (Beta)'!$C$82="Challenge prompt",E534,IF('Paste Editor (Beta)'!$C$82="Reroll class prompt",S533,IF('Paste Editor (Beta)'!$C$82="Swap hero prompt",S533,IF('Paste Editor (Beta)'!$C$82="Anvil prompt",AD533,"")))))))</f>
        <v/>
      </c>
      <c r="AJ533" s="283">
        <f>IF('Paste Editor (Beta)'!$C$90="Level-up prompt",G534,IF('Paste Editor (Beta)'!$C$90="Item prompt",E534,IF('Paste Editor (Beta)'!$C$90="Modifier prompt","'"&amp;B534,IF('Paste Editor (Beta)'!$C$90="Challenge prompt",L534,IF('Paste Editor (Beta)'!$C$90="Reroll class prompt",S533,IF('Paste Editor (Beta)'!$C$90="Swap hero prompt",S533,IF('Paste Editor (Beta)'!$C$90="Anvil prompt",AD533,"")))))))</f>
        <v>0</v>
      </c>
      <c r="AK533" s="283">
        <f>IF('Paste Editor (Beta)'!$C$90="Level-up prompt",G534,IF('Paste Editor (Beta)'!$C$90="Item prompt",E534,IF('Paste Editor (Beta)'!$C$90="Modifier prompt","'"&amp;B534,IF('Paste Editor (Beta)'!$C$90="Challenge prompt",E534,IF('Paste Editor (Beta)'!$C$90="Reroll class prompt",S533,IF('Paste Editor (Beta)'!$C$90="Swap hero prompt",S533,IF('Paste Editor (Beta)'!$C$90="Anvil prompt",AD533,"")))))))</f>
        <v>0</v>
      </c>
    </row>
    <row r="534" spans="2:37" ht="17.25">
      <c r="B534" s="284" t="s">
        <v>3618</v>
      </c>
      <c r="C534" s="284" t="s">
        <v>3618</v>
      </c>
      <c r="D534" s="284" t="s">
        <v>3618</v>
      </c>
      <c r="AH534" s="280" t="str">
        <f>IF('Paste Editor (Beta)'!$C$82="Level-up prompt",G535,IF('Paste Editor (Beta)'!$C$82="Item prompt",E535,IF('Paste Editor (Beta)'!$C$82="Modifier prompt","'"&amp;B535,IF('Paste Editor (Beta)'!$C$82="Challenge prompt",L535,IF('Paste Editor (Beta)'!$C$82="Reroll class prompt",S534,IF('Paste Editor (Beta)'!$C$82="Swap hero prompt",S534,IF('Paste Editor (Beta)'!$C$82="Anvil prompt",AD534,"")))))))</f>
        <v/>
      </c>
      <c r="AI534" s="280" t="str">
        <f>IF('Paste Editor (Beta)'!$C$82="Level-up prompt",G535,IF('Paste Editor (Beta)'!$C$82="Item prompt",E535,IF('Paste Editor (Beta)'!$C$82="Modifier prompt","'"&amp;B535,IF('Paste Editor (Beta)'!$C$82="Challenge prompt",E535,IF('Paste Editor (Beta)'!$C$82="Reroll class prompt",S534,IF('Paste Editor (Beta)'!$C$82="Swap hero prompt",S534,IF('Paste Editor (Beta)'!$C$82="Anvil prompt",AD534,"")))))))</f>
        <v/>
      </c>
      <c r="AJ534" s="283">
        <f>IF('Paste Editor (Beta)'!$C$90="Level-up prompt",G535,IF('Paste Editor (Beta)'!$C$90="Item prompt",E535,IF('Paste Editor (Beta)'!$C$90="Modifier prompt","'"&amp;B535,IF('Paste Editor (Beta)'!$C$90="Challenge prompt",L535,IF('Paste Editor (Beta)'!$C$90="Reroll class prompt",S534,IF('Paste Editor (Beta)'!$C$90="Swap hero prompt",S534,IF('Paste Editor (Beta)'!$C$90="Anvil prompt",AD534,"")))))))</f>
        <v>0</v>
      </c>
      <c r="AK534" s="283">
        <f>IF('Paste Editor (Beta)'!$C$90="Level-up prompt",G535,IF('Paste Editor (Beta)'!$C$90="Item prompt",E535,IF('Paste Editor (Beta)'!$C$90="Modifier prompt","'"&amp;B535,IF('Paste Editor (Beta)'!$C$90="Challenge prompt",E535,IF('Paste Editor (Beta)'!$C$90="Reroll class prompt",S534,IF('Paste Editor (Beta)'!$C$90="Swap hero prompt",S534,IF('Paste Editor (Beta)'!$C$90="Anvil prompt",AD534,"")))))))</f>
        <v>0</v>
      </c>
    </row>
    <row r="535" spans="2:37" ht="17.25">
      <c r="B535" s="284" t="s">
        <v>3520</v>
      </c>
      <c r="C535" s="284" t="s">
        <v>3520</v>
      </c>
      <c r="D535" s="284" t="s">
        <v>3520</v>
      </c>
      <c r="AH535" s="280" t="str">
        <f>IF('Paste Editor (Beta)'!$C$82="Level-up prompt",G536,IF('Paste Editor (Beta)'!$C$82="Item prompt",E536,IF('Paste Editor (Beta)'!$C$82="Modifier prompt","'"&amp;B536,IF('Paste Editor (Beta)'!$C$82="Challenge prompt",L536,IF('Paste Editor (Beta)'!$C$82="Reroll class prompt",S535,IF('Paste Editor (Beta)'!$C$82="Swap hero prompt",S535,IF('Paste Editor (Beta)'!$C$82="Anvil prompt",AD535,"")))))))</f>
        <v/>
      </c>
      <c r="AI535" s="280" t="str">
        <f>IF('Paste Editor (Beta)'!$C$82="Level-up prompt",G536,IF('Paste Editor (Beta)'!$C$82="Item prompt",E536,IF('Paste Editor (Beta)'!$C$82="Modifier prompt","'"&amp;B536,IF('Paste Editor (Beta)'!$C$82="Challenge prompt",E536,IF('Paste Editor (Beta)'!$C$82="Reroll class prompt",S535,IF('Paste Editor (Beta)'!$C$82="Swap hero prompt",S535,IF('Paste Editor (Beta)'!$C$82="Anvil prompt",AD535,"")))))))</f>
        <v/>
      </c>
      <c r="AJ535" s="283">
        <f>IF('Paste Editor (Beta)'!$C$90="Level-up prompt",G536,IF('Paste Editor (Beta)'!$C$90="Item prompt",E536,IF('Paste Editor (Beta)'!$C$90="Modifier prompt","'"&amp;B536,IF('Paste Editor (Beta)'!$C$90="Challenge prompt",L536,IF('Paste Editor (Beta)'!$C$90="Reroll class prompt",S535,IF('Paste Editor (Beta)'!$C$90="Swap hero prompt",S535,IF('Paste Editor (Beta)'!$C$90="Anvil prompt",AD535,"")))))))</f>
        <v>0</v>
      </c>
      <c r="AK535" s="283">
        <f>IF('Paste Editor (Beta)'!$C$90="Level-up prompt",G536,IF('Paste Editor (Beta)'!$C$90="Item prompt",E536,IF('Paste Editor (Beta)'!$C$90="Modifier prompt","'"&amp;B536,IF('Paste Editor (Beta)'!$C$90="Challenge prompt",E536,IF('Paste Editor (Beta)'!$C$90="Reroll class prompt",S535,IF('Paste Editor (Beta)'!$C$90="Swap hero prompt",S535,IF('Paste Editor (Beta)'!$C$90="Anvil prompt",AD535,"")))))))</f>
        <v>0</v>
      </c>
    </row>
    <row r="536" spans="2:37" ht="17.25">
      <c r="B536" s="284" t="s">
        <v>3226</v>
      </c>
      <c r="C536" s="284" t="s">
        <v>3226</v>
      </c>
      <c r="D536" s="284" t="s">
        <v>3226</v>
      </c>
      <c r="AH536" s="280" t="str">
        <f>IF('Paste Editor (Beta)'!$C$82="Level-up prompt",G537,IF('Paste Editor (Beta)'!$C$82="Item prompt",E537,IF('Paste Editor (Beta)'!$C$82="Modifier prompt","'"&amp;B537,IF('Paste Editor (Beta)'!$C$82="Challenge prompt",L537,IF('Paste Editor (Beta)'!$C$82="Reroll class prompt",S536,IF('Paste Editor (Beta)'!$C$82="Swap hero prompt",S536,IF('Paste Editor (Beta)'!$C$82="Anvil prompt",AD536,"")))))))</f>
        <v/>
      </c>
      <c r="AI536" s="280" t="str">
        <f>IF('Paste Editor (Beta)'!$C$82="Level-up prompt",G537,IF('Paste Editor (Beta)'!$C$82="Item prompt",E537,IF('Paste Editor (Beta)'!$C$82="Modifier prompt","'"&amp;B537,IF('Paste Editor (Beta)'!$C$82="Challenge prompt",E537,IF('Paste Editor (Beta)'!$C$82="Reroll class prompt",S536,IF('Paste Editor (Beta)'!$C$82="Swap hero prompt",S536,IF('Paste Editor (Beta)'!$C$82="Anvil prompt",AD536,"")))))))</f>
        <v/>
      </c>
      <c r="AJ536" s="283">
        <f>IF('Paste Editor (Beta)'!$C$90="Level-up prompt",G537,IF('Paste Editor (Beta)'!$C$90="Item prompt",E537,IF('Paste Editor (Beta)'!$C$90="Modifier prompt","'"&amp;B537,IF('Paste Editor (Beta)'!$C$90="Challenge prompt",L537,IF('Paste Editor (Beta)'!$C$90="Reroll class prompt",S536,IF('Paste Editor (Beta)'!$C$90="Swap hero prompt",S536,IF('Paste Editor (Beta)'!$C$90="Anvil prompt",AD536,"")))))))</f>
        <v>0</v>
      </c>
      <c r="AK536" s="283">
        <f>IF('Paste Editor (Beta)'!$C$90="Level-up prompt",G537,IF('Paste Editor (Beta)'!$C$90="Item prompt",E537,IF('Paste Editor (Beta)'!$C$90="Modifier prompt","'"&amp;B537,IF('Paste Editor (Beta)'!$C$90="Challenge prompt",E537,IF('Paste Editor (Beta)'!$C$90="Reroll class prompt",S536,IF('Paste Editor (Beta)'!$C$90="Swap hero prompt",S536,IF('Paste Editor (Beta)'!$C$90="Anvil prompt",AD536,"")))))))</f>
        <v>0</v>
      </c>
    </row>
    <row r="537" spans="2:37" ht="17.25">
      <c r="B537" s="284" t="s">
        <v>3370</v>
      </c>
      <c r="C537" s="284" t="s">
        <v>3370</v>
      </c>
      <c r="D537" s="284" t="s">
        <v>3370</v>
      </c>
      <c r="AH537" s="280" t="str">
        <f>IF('Paste Editor (Beta)'!$C$82="Level-up prompt",G538,IF('Paste Editor (Beta)'!$C$82="Item prompt",E538,IF('Paste Editor (Beta)'!$C$82="Modifier prompt","'"&amp;B538,IF('Paste Editor (Beta)'!$C$82="Challenge prompt",L538,IF('Paste Editor (Beta)'!$C$82="Reroll class prompt",S537,IF('Paste Editor (Beta)'!$C$82="Swap hero prompt",S537,IF('Paste Editor (Beta)'!$C$82="Anvil prompt",AD537,"")))))))</f>
        <v/>
      </c>
      <c r="AI537" s="280" t="str">
        <f>IF('Paste Editor (Beta)'!$C$82="Level-up prompt",G538,IF('Paste Editor (Beta)'!$C$82="Item prompt",E538,IF('Paste Editor (Beta)'!$C$82="Modifier prompt","'"&amp;B538,IF('Paste Editor (Beta)'!$C$82="Challenge prompt",E538,IF('Paste Editor (Beta)'!$C$82="Reroll class prompt",S537,IF('Paste Editor (Beta)'!$C$82="Swap hero prompt",S537,IF('Paste Editor (Beta)'!$C$82="Anvil prompt",AD537,"")))))))</f>
        <v/>
      </c>
      <c r="AJ537" s="283">
        <f>IF('Paste Editor (Beta)'!$C$90="Level-up prompt",G538,IF('Paste Editor (Beta)'!$C$90="Item prompt",E538,IF('Paste Editor (Beta)'!$C$90="Modifier prompt","'"&amp;B538,IF('Paste Editor (Beta)'!$C$90="Challenge prompt",L538,IF('Paste Editor (Beta)'!$C$90="Reroll class prompt",S537,IF('Paste Editor (Beta)'!$C$90="Swap hero prompt",S537,IF('Paste Editor (Beta)'!$C$90="Anvil prompt",AD537,"")))))))</f>
        <v>0</v>
      </c>
      <c r="AK537" s="283">
        <f>IF('Paste Editor (Beta)'!$C$90="Level-up prompt",G538,IF('Paste Editor (Beta)'!$C$90="Item prompt",E538,IF('Paste Editor (Beta)'!$C$90="Modifier prompt","'"&amp;B538,IF('Paste Editor (Beta)'!$C$90="Challenge prompt",E538,IF('Paste Editor (Beta)'!$C$90="Reroll class prompt",S537,IF('Paste Editor (Beta)'!$C$90="Swap hero prompt",S537,IF('Paste Editor (Beta)'!$C$90="Anvil prompt",AD537,"")))))))</f>
        <v>0</v>
      </c>
    </row>
    <row r="538" spans="2:37" ht="17.25">
      <c r="B538" s="284" t="s">
        <v>3572</v>
      </c>
      <c r="C538" s="284" t="s">
        <v>3572</v>
      </c>
      <c r="D538" s="284" t="s">
        <v>3572</v>
      </c>
      <c r="AH538" s="280" t="str">
        <f>IF('Paste Editor (Beta)'!$C$82="Level-up prompt",G539,IF('Paste Editor (Beta)'!$C$82="Item prompt",E539,IF('Paste Editor (Beta)'!$C$82="Modifier prompt","'"&amp;B539,IF('Paste Editor (Beta)'!$C$82="Challenge prompt",L539,IF('Paste Editor (Beta)'!$C$82="Reroll class prompt",S538,IF('Paste Editor (Beta)'!$C$82="Swap hero prompt",S538,IF('Paste Editor (Beta)'!$C$82="Anvil prompt",AD538,"")))))))</f>
        <v/>
      </c>
      <c r="AI538" s="280" t="str">
        <f>IF('Paste Editor (Beta)'!$C$82="Level-up prompt",G539,IF('Paste Editor (Beta)'!$C$82="Item prompt",E539,IF('Paste Editor (Beta)'!$C$82="Modifier prompt","'"&amp;B539,IF('Paste Editor (Beta)'!$C$82="Challenge prompt",E539,IF('Paste Editor (Beta)'!$C$82="Reroll class prompt",S538,IF('Paste Editor (Beta)'!$C$82="Swap hero prompt",S538,IF('Paste Editor (Beta)'!$C$82="Anvil prompt",AD538,"")))))))</f>
        <v/>
      </c>
      <c r="AJ538" s="283">
        <f>IF('Paste Editor (Beta)'!$C$90="Level-up prompt",G539,IF('Paste Editor (Beta)'!$C$90="Item prompt",E539,IF('Paste Editor (Beta)'!$C$90="Modifier prompt","'"&amp;B539,IF('Paste Editor (Beta)'!$C$90="Challenge prompt",L539,IF('Paste Editor (Beta)'!$C$90="Reroll class prompt",S538,IF('Paste Editor (Beta)'!$C$90="Swap hero prompt",S538,IF('Paste Editor (Beta)'!$C$90="Anvil prompt",AD538,"")))))))</f>
        <v>0</v>
      </c>
      <c r="AK538" s="283">
        <f>IF('Paste Editor (Beta)'!$C$90="Level-up prompt",G539,IF('Paste Editor (Beta)'!$C$90="Item prompt",E539,IF('Paste Editor (Beta)'!$C$90="Modifier prompt","'"&amp;B539,IF('Paste Editor (Beta)'!$C$90="Challenge prompt",E539,IF('Paste Editor (Beta)'!$C$90="Reroll class prompt",S538,IF('Paste Editor (Beta)'!$C$90="Swap hero prompt",S538,IF('Paste Editor (Beta)'!$C$90="Anvil prompt",AD538,"")))))))</f>
        <v>0</v>
      </c>
    </row>
    <row r="539" spans="2:37" ht="17.25">
      <c r="B539" s="284" t="s">
        <v>3486</v>
      </c>
      <c r="C539" s="284" t="s">
        <v>3486</v>
      </c>
      <c r="D539" s="284" t="s">
        <v>3486</v>
      </c>
      <c r="AH539" s="280" t="str">
        <f>IF('Paste Editor (Beta)'!$C$82="Level-up prompt",G540,IF('Paste Editor (Beta)'!$C$82="Item prompt",E540,IF('Paste Editor (Beta)'!$C$82="Modifier prompt","'"&amp;B540,IF('Paste Editor (Beta)'!$C$82="Challenge prompt",L540,IF('Paste Editor (Beta)'!$C$82="Reroll class prompt",S539,IF('Paste Editor (Beta)'!$C$82="Swap hero prompt",S539,IF('Paste Editor (Beta)'!$C$82="Anvil prompt",AD539,"")))))))</f>
        <v/>
      </c>
      <c r="AI539" s="280" t="str">
        <f>IF('Paste Editor (Beta)'!$C$82="Level-up prompt",G540,IF('Paste Editor (Beta)'!$C$82="Item prompt",E540,IF('Paste Editor (Beta)'!$C$82="Modifier prompt","'"&amp;B540,IF('Paste Editor (Beta)'!$C$82="Challenge prompt",E540,IF('Paste Editor (Beta)'!$C$82="Reroll class prompt",S539,IF('Paste Editor (Beta)'!$C$82="Swap hero prompt",S539,IF('Paste Editor (Beta)'!$C$82="Anvil prompt",AD539,"")))))))</f>
        <v/>
      </c>
      <c r="AJ539" s="283">
        <f>IF('Paste Editor (Beta)'!$C$90="Level-up prompt",G540,IF('Paste Editor (Beta)'!$C$90="Item prompt",E540,IF('Paste Editor (Beta)'!$C$90="Modifier prompt","'"&amp;B540,IF('Paste Editor (Beta)'!$C$90="Challenge prompt",L540,IF('Paste Editor (Beta)'!$C$90="Reroll class prompt",S539,IF('Paste Editor (Beta)'!$C$90="Swap hero prompt",S539,IF('Paste Editor (Beta)'!$C$90="Anvil prompt",AD539,"")))))))</f>
        <v>0</v>
      </c>
      <c r="AK539" s="283">
        <f>IF('Paste Editor (Beta)'!$C$90="Level-up prompt",G540,IF('Paste Editor (Beta)'!$C$90="Item prompt",E540,IF('Paste Editor (Beta)'!$C$90="Modifier prompt","'"&amp;B540,IF('Paste Editor (Beta)'!$C$90="Challenge prompt",E540,IF('Paste Editor (Beta)'!$C$90="Reroll class prompt",S539,IF('Paste Editor (Beta)'!$C$90="Swap hero prompt",S539,IF('Paste Editor (Beta)'!$C$90="Anvil prompt",AD539,"")))))))</f>
        <v>0</v>
      </c>
    </row>
    <row r="540" spans="2:37" ht="17.25">
      <c r="B540" s="284" t="s">
        <v>3268</v>
      </c>
      <c r="C540" s="284" t="s">
        <v>3268</v>
      </c>
      <c r="D540" s="284" t="s">
        <v>3268</v>
      </c>
      <c r="AH540" s="280" t="str">
        <f>IF('Paste Editor (Beta)'!$C$82="Level-up prompt",G541,IF('Paste Editor (Beta)'!$C$82="Item prompt",E541,IF('Paste Editor (Beta)'!$C$82="Modifier prompt","'"&amp;B541,IF('Paste Editor (Beta)'!$C$82="Challenge prompt",L541,IF('Paste Editor (Beta)'!$C$82="Reroll class prompt",S540,IF('Paste Editor (Beta)'!$C$82="Swap hero prompt",S540,IF('Paste Editor (Beta)'!$C$82="Anvil prompt",AD540,"")))))))</f>
        <v/>
      </c>
      <c r="AI540" s="280" t="str">
        <f>IF('Paste Editor (Beta)'!$C$82="Level-up prompt",G541,IF('Paste Editor (Beta)'!$C$82="Item prompt",E541,IF('Paste Editor (Beta)'!$C$82="Modifier prompt","'"&amp;B541,IF('Paste Editor (Beta)'!$C$82="Challenge prompt",E541,IF('Paste Editor (Beta)'!$C$82="Reroll class prompt",S540,IF('Paste Editor (Beta)'!$C$82="Swap hero prompt",S540,IF('Paste Editor (Beta)'!$C$82="Anvil prompt",AD540,"")))))))</f>
        <v/>
      </c>
      <c r="AJ540" s="283">
        <f>IF('Paste Editor (Beta)'!$C$90="Level-up prompt",G541,IF('Paste Editor (Beta)'!$C$90="Item prompt",E541,IF('Paste Editor (Beta)'!$C$90="Modifier prompt","'"&amp;B541,IF('Paste Editor (Beta)'!$C$90="Challenge prompt",L541,IF('Paste Editor (Beta)'!$C$90="Reroll class prompt",S540,IF('Paste Editor (Beta)'!$C$90="Swap hero prompt",S540,IF('Paste Editor (Beta)'!$C$90="Anvil prompt",AD540,"")))))))</f>
        <v>0</v>
      </c>
      <c r="AK540" s="283">
        <f>IF('Paste Editor (Beta)'!$C$90="Level-up prompt",G541,IF('Paste Editor (Beta)'!$C$90="Item prompt",E541,IF('Paste Editor (Beta)'!$C$90="Modifier prompt","'"&amp;B541,IF('Paste Editor (Beta)'!$C$90="Challenge prompt",E541,IF('Paste Editor (Beta)'!$C$90="Reroll class prompt",S540,IF('Paste Editor (Beta)'!$C$90="Swap hero prompt",S540,IF('Paste Editor (Beta)'!$C$90="Anvil prompt",AD540,"")))))))</f>
        <v>0</v>
      </c>
    </row>
    <row r="541" spans="2:37" ht="17.25">
      <c r="B541" s="284" t="s">
        <v>3150</v>
      </c>
      <c r="C541" s="284" t="s">
        <v>3150</v>
      </c>
      <c r="D541" s="284" t="s">
        <v>3150</v>
      </c>
      <c r="AH541" s="280" t="str">
        <f>IF('Paste Editor (Beta)'!$C$82="Level-up prompt",G542,IF('Paste Editor (Beta)'!$C$82="Item prompt",E542,IF('Paste Editor (Beta)'!$C$82="Modifier prompt","'"&amp;B542,IF('Paste Editor (Beta)'!$C$82="Challenge prompt",L542,IF('Paste Editor (Beta)'!$C$82="Reroll class prompt",S541,IF('Paste Editor (Beta)'!$C$82="Swap hero prompt",S541,IF('Paste Editor (Beta)'!$C$82="Anvil prompt",AD541,"")))))))</f>
        <v/>
      </c>
      <c r="AI541" s="280" t="str">
        <f>IF('Paste Editor (Beta)'!$C$82="Level-up prompt",G542,IF('Paste Editor (Beta)'!$C$82="Item prompt",E542,IF('Paste Editor (Beta)'!$C$82="Modifier prompt","'"&amp;B542,IF('Paste Editor (Beta)'!$C$82="Challenge prompt",E542,IF('Paste Editor (Beta)'!$C$82="Reroll class prompt",S541,IF('Paste Editor (Beta)'!$C$82="Swap hero prompt",S541,IF('Paste Editor (Beta)'!$C$82="Anvil prompt",AD541,"")))))))</f>
        <v/>
      </c>
      <c r="AJ541" s="283">
        <f>IF('Paste Editor (Beta)'!$C$90="Level-up prompt",G542,IF('Paste Editor (Beta)'!$C$90="Item prompt",E542,IF('Paste Editor (Beta)'!$C$90="Modifier prompt","'"&amp;B542,IF('Paste Editor (Beta)'!$C$90="Challenge prompt",L542,IF('Paste Editor (Beta)'!$C$90="Reroll class prompt",S541,IF('Paste Editor (Beta)'!$C$90="Swap hero prompt",S541,IF('Paste Editor (Beta)'!$C$90="Anvil prompt",AD541,"")))))))</f>
        <v>0</v>
      </c>
      <c r="AK541" s="283">
        <f>IF('Paste Editor (Beta)'!$C$90="Level-up prompt",G542,IF('Paste Editor (Beta)'!$C$90="Item prompt",E542,IF('Paste Editor (Beta)'!$C$90="Modifier prompt","'"&amp;B542,IF('Paste Editor (Beta)'!$C$90="Challenge prompt",E542,IF('Paste Editor (Beta)'!$C$90="Reroll class prompt",S541,IF('Paste Editor (Beta)'!$C$90="Swap hero prompt",S541,IF('Paste Editor (Beta)'!$C$90="Anvil prompt",AD541,"")))))))</f>
        <v>0</v>
      </c>
    </row>
    <row r="542" spans="2:37" ht="17.25">
      <c r="B542" s="284" t="s">
        <v>3398</v>
      </c>
      <c r="C542" s="284" t="s">
        <v>3398</v>
      </c>
      <c r="D542" s="284" t="s">
        <v>3398</v>
      </c>
      <c r="AH542" s="280" t="str">
        <f>IF('Paste Editor (Beta)'!$C$82="Level-up prompt",G543,IF('Paste Editor (Beta)'!$C$82="Item prompt",E543,IF('Paste Editor (Beta)'!$C$82="Modifier prompt","'"&amp;B543,IF('Paste Editor (Beta)'!$C$82="Challenge prompt",L543,IF('Paste Editor (Beta)'!$C$82="Reroll class prompt",S542,IF('Paste Editor (Beta)'!$C$82="Swap hero prompt",S542,IF('Paste Editor (Beta)'!$C$82="Anvil prompt",AD542,"")))))))</f>
        <v/>
      </c>
      <c r="AI542" s="280" t="str">
        <f>IF('Paste Editor (Beta)'!$C$82="Level-up prompt",G543,IF('Paste Editor (Beta)'!$C$82="Item prompt",E543,IF('Paste Editor (Beta)'!$C$82="Modifier prompt","'"&amp;B543,IF('Paste Editor (Beta)'!$C$82="Challenge prompt",E543,IF('Paste Editor (Beta)'!$C$82="Reroll class prompt",S542,IF('Paste Editor (Beta)'!$C$82="Swap hero prompt",S542,IF('Paste Editor (Beta)'!$C$82="Anvil prompt",AD542,"")))))))</f>
        <v/>
      </c>
      <c r="AJ542" s="283">
        <f>IF('Paste Editor (Beta)'!$C$90="Level-up prompt",G543,IF('Paste Editor (Beta)'!$C$90="Item prompt",E543,IF('Paste Editor (Beta)'!$C$90="Modifier prompt","'"&amp;B543,IF('Paste Editor (Beta)'!$C$90="Challenge prompt",L543,IF('Paste Editor (Beta)'!$C$90="Reroll class prompt",S542,IF('Paste Editor (Beta)'!$C$90="Swap hero prompt",S542,IF('Paste Editor (Beta)'!$C$90="Anvil prompt",AD542,"")))))))</f>
        <v>0</v>
      </c>
      <c r="AK542" s="283">
        <f>IF('Paste Editor (Beta)'!$C$90="Level-up prompt",G543,IF('Paste Editor (Beta)'!$C$90="Item prompt",E543,IF('Paste Editor (Beta)'!$C$90="Modifier prompt","'"&amp;B543,IF('Paste Editor (Beta)'!$C$90="Challenge prompt",E543,IF('Paste Editor (Beta)'!$C$90="Reroll class prompt",S542,IF('Paste Editor (Beta)'!$C$90="Swap hero prompt",S542,IF('Paste Editor (Beta)'!$C$90="Anvil prompt",AD542,"")))))))</f>
        <v>0</v>
      </c>
    </row>
    <row r="543" spans="2:37" ht="17.25">
      <c r="B543" s="284" t="s">
        <v>3414</v>
      </c>
      <c r="C543" s="284" t="s">
        <v>3414</v>
      </c>
      <c r="D543" s="284" t="s">
        <v>3414</v>
      </c>
      <c r="AH543" s="280" t="str">
        <f>IF('Paste Editor (Beta)'!$C$82="Level-up prompt",G544,IF('Paste Editor (Beta)'!$C$82="Item prompt",E544,IF('Paste Editor (Beta)'!$C$82="Modifier prompt","'"&amp;B544,IF('Paste Editor (Beta)'!$C$82="Challenge prompt",L544,IF('Paste Editor (Beta)'!$C$82="Reroll class prompt",S543,IF('Paste Editor (Beta)'!$C$82="Swap hero prompt",S543,IF('Paste Editor (Beta)'!$C$82="Anvil prompt",AD543,"")))))))</f>
        <v/>
      </c>
      <c r="AI543" s="280" t="str">
        <f>IF('Paste Editor (Beta)'!$C$82="Level-up prompt",G544,IF('Paste Editor (Beta)'!$C$82="Item prompt",E544,IF('Paste Editor (Beta)'!$C$82="Modifier prompt","'"&amp;B544,IF('Paste Editor (Beta)'!$C$82="Challenge prompt",E544,IF('Paste Editor (Beta)'!$C$82="Reroll class prompt",S543,IF('Paste Editor (Beta)'!$C$82="Swap hero prompt",S543,IF('Paste Editor (Beta)'!$C$82="Anvil prompt",AD543,"")))))))</f>
        <v/>
      </c>
      <c r="AJ543" s="283">
        <f>IF('Paste Editor (Beta)'!$C$90="Level-up prompt",G544,IF('Paste Editor (Beta)'!$C$90="Item prompt",E544,IF('Paste Editor (Beta)'!$C$90="Modifier prompt","'"&amp;B544,IF('Paste Editor (Beta)'!$C$90="Challenge prompt",L544,IF('Paste Editor (Beta)'!$C$90="Reroll class prompt",S543,IF('Paste Editor (Beta)'!$C$90="Swap hero prompt",S543,IF('Paste Editor (Beta)'!$C$90="Anvil prompt",AD543,"")))))))</f>
        <v>0</v>
      </c>
      <c r="AK543" s="283">
        <f>IF('Paste Editor (Beta)'!$C$90="Level-up prompt",G544,IF('Paste Editor (Beta)'!$C$90="Item prompt",E544,IF('Paste Editor (Beta)'!$C$90="Modifier prompt","'"&amp;B544,IF('Paste Editor (Beta)'!$C$90="Challenge prompt",E544,IF('Paste Editor (Beta)'!$C$90="Reroll class prompt",S543,IF('Paste Editor (Beta)'!$C$90="Swap hero prompt",S543,IF('Paste Editor (Beta)'!$C$90="Anvil prompt",AD543,"")))))))</f>
        <v>0</v>
      </c>
    </row>
    <row r="544" spans="2:37" ht="17.25">
      <c r="B544" s="284" t="s">
        <v>3474</v>
      </c>
      <c r="C544" s="284" t="s">
        <v>3474</v>
      </c>
      <c r="D544" s="284" t="s">
        <v>3474</v>
      </c>
      <c r="AH544" s="280" t="str">
        <f>IF('Paste Editor (Beta)'!$C$82="Level-up prompt",G545,IF('Paste Editor (Beta)'!$C$82="Item prompt",E545,IF('Paste Editor (Beta)'!$C$82="Modifier prompt","'"&amp;B545,IF('Paste Editor (Beta)'!$C$82="Challenge prompt",L545,IF('Paste Editor (Beta)'!$C$82="Reroll class prompt",S544,IF('Paste Editor (Beta)'!$C$82="Swap hero prompt",S544,IF('Paste Editor (Beta)'!$C$82="Anvil prompt",AD544,"")))))))</f>
        <v/>
      </c>
      <c r="AI544" s="280" t="str">
        <f>IF('Paste Editor (Beta)'!$C$82="Level-up prompt",G545,IF('Paste Editor (Beta)'!$C$82="Item prompt",E545,IF('Paste Editor (Beta)'!$C$82="Modifier prompt","'"&amp;B545,IF('Paste Editor (Beta)'!$C$82="Challenge prompt",E545,IF('Paste Editor (Beta)'!$C$82="Reroll class prompt",S544,IF('Paste Editor (Beta)'!$C$82="Swap hero prompt",S544,IF('Paste Editor (Beta)'!$C$82="Anvil prompt",AD544,"")))))))</f>
        <v/>
      </c>
      <c r="AJ544" s="283">
        <f>IF('Paste Editor (Beta)'!$C$90="Level-up prompt",G545,IF('Paste Editor (Beta)'!$C$90="Item prompt",E545,IF('Paste Editor (Beta)'!$C$90="Modifier prompt","'"&amp;B545,IF('Paste Editor (Beta)'!$C$90="Challenge prompt",L545,IF('Paste Editor (Beta)'!$C$90="Reroll class prompt",S544,IF('Paste Editor (Beta)'!$C$90="Swap hero prompt",S544,IF('Paste Editor (Beta)'!$C$90="Anvil prompt",AD544,"")))))))</f>
        <v>0</v>
      </c>
      <c r="AK544" s="283">
        <f>IF('Paste Editor (Beta)'!$C$90="Level-up prompt",G545,IF('Paste Editor (Beta)'!$C$90="Item prompt",E545,IF('Paste Editor (Beta)'!$C$90="Modifier prompt","'"&amp;B545,IF('Paste Editor (Beta)'!$C$90="Challenge prompt",E545,IF('Paste Editor (Beta)'!$C$90="Reroll class prompt",S544,IF('Paste Editor (Beta)'!$C$90="Swap hero prompt",S544,IF('Paste Editor (Beta)'!$C$90="Anvil prompt",AD544,"")))))))</f>
        <v>0</v>
      </c>
    </row>
    <row r="545" spans="2:37" ht="17.25">
      <c r="B545" s="284" t="s">
        <v>3222</v>
      </c>
      <c r="C545" s="284" t="s">
        <v>3222</v>
      </c>
      <c r="D545" s="284" t="s">
        <v>3222</v>
      </c>
      <c r="AH545" s="280" t="str">
        <f>IF('Paste Editor (Beta)'!$C$82="Level-up prompt",G546,IF('Paste Editor (Beta)'!$C$82="Item prompt",E546,IF('Paste Editor (Beta)'!$C$82="Modifier prompt","'"&amp;B546,IF('Paste Editor (Beta)'!$C$82="Challenge prompt",L546,IF('Paste Editor (Beta)'!$C$82="Reroll class prompt",S545,IF('Paste Editor (Beta)'!$C$82="Swap hero prompt",S545,IF('Paste Editor (Beta)'!$C$82="Anvil prompt",AD545,"")))))))</f>
        <v/>
      </c>
      <c r="AI545" s="280" t="str">
        <f>IF('Paste Editor (Beta)'!$C$82="Level-up prompt",G546,IF('Paste Editor (Beta)'!$C$82="Item prompt",E546,IF('Paste Editor (Beta)'!$C$82="Modifier prompt","'"&amp;B546,IF('Paste Editor (Beta)'!$C$82="Challenge prompt",E546,IF('Paste Editor (Beta)'!$C$82="Reroll class prompt",S545,IF('Paste Editor (Beta)'!$C$82="Swap hero prompt",S545,IF('Paste Editor (Beta)'!$C$82="Anvil prompt",AD545,"")))))))</f>
        <v/>
      </c>
      <c r="AJ545" s="283">
        <f>IF('Paste Editor (Beta)'!$C$90="Level-up prompt",G546,IF('Paste Editor (Beta)'!$C$90="Item prompt",E546,IF('Paste Editor (Beta)'!$C$90="Modifier prompt","'"&amp;B546,IF('Paste Editor (Beta)'!$C$90="Challenge prompt",L546,IF('Paste Editor (Beta)'!$C$90="Reroll class prompt",S545,IF('Paste Editor (Beta)'!$C$90="Swap hero prompt",S545,IF('Paste Editor (Beta)'!$C$90="Anvil prompt",AD545,"")))))))</f>
        <v>0</v>
      </c>
      <c r="AK545" s="283">
        <f>IF('Paste Editor (Beta)'!$C$90="Level-up prompt",G546,IF('Paste Editor (Beta)'!$C$90="Item prompt",E546,IF('Paste Editor (Beta)'!$C$90="Modifier prompt","'"&amp;B546,IF('Paste Editor (Beta)'!$C$90="Challenge prompt",E546,IF('Paste Editor (Beta)'!$C$90="Reroll class prompt",S545,IF('Paste Editor (Beta)'!$C$90="Swap hero prompt",S545,IF('Paste Editor (Beta)'!$C$90="Anvil prompt",AD545,"")))))))</f>
        <v>0</v>
      </c>
    </row>
    <row r="546" spans="2:37" ht="17.25">
      <c r="B546" s="284" t="s">
        <v>3328</v>
      </c>
      <c r="C546" s="284" t="s">
        <v>3328</v>
      </c>
      <c r="D546" s="284" t="s">
        <v>3328</v>
      </c>
      <c r="AH546" s="280" t="str">
        <f>IF('Paste Editor (Beta)'!$C$82="Level-up prompt",G547,IF('Paste Editor (Beta)'!$C$82="Item prompt",E547,IF('Paste Editor (Beta)'!$C$82="Modifier prompt","'"&amp;B547,IF('Paste Editor (Beta)'!$C$82="Challenge prompt",L547,IF('Paste Editor (Beta)'!$C$82="Reroll class prompt",S546,IF('Paste Editor (Beta)'!$C$82="Swap hero prompt",S546,IF('Paste Editor (Beta)'!$C$82="Anvil prompt",AD546,"")))))))</f>
        <v/>
      </c>
      <c r="AI546" s="280" t="str">
        <f>IF('Paste Editor (Beta)'!$C$82="Level-up prompt",G547,IF('Paste Editor (Beta)'!$C$82="Item prompt",E547,IF('Paste Editor (Beta)'!$C$82="Modifier prompt","'"&amp;B547,IF('Paste Editor (Beta)'!$C$82="Challenge prompt",E547,IF('Paste Editor (Beta)'!$C$82="Reroll class prompt",S546,IF('Paste Editor (Beta)'!$C$82="Swap hero prompt",S546,IF('Paste Editor (Beta)'!$C$82="Anvil prompt",AD546,"")))))))</f>
        <v/>
      </c>
      <c r="AJ546" s="283">
        <f>IF('Paste Editor (Beta)'!$C$90="Level-up prompt",G547,IF('Paste Editor (Beta)'!$C$90="Item prompt",E547,IF('Paste Editor (Beta)'!$C$90="Modifier prompt","'"&amp;B547,IF('Paste Editor (Beta)'!$C$90="Challenge prompt",L547,IF('Paste Editor (Beta)'!$C$90="Reroll class prompt",S546,IF('Paste Editor (Beta)'!$C$90="Swap hero prompt",S546,IF('Paste Editor (Beta)'!$C$90="Anvil prompt",AD546,"")))))))</f>
        <v>0</v>
      </c>
      <c r="AK546" s="283">
        <f>IF('Paste Editor (Beta)'!$C$90="Level-up prompt",G547,IF('Paste Editor (Beta)'!$C$90="Item prompt",E547,IF('Paste Editor (Beta)'!$C$90="Modifier prompt","'"&amp;B547,IF('Paste Editor (Beta)'!$C$90="Challenge prompt",E547,IF('Paste Editor (Beta)'!$C$90="Reroll class prompt",S546,IF('Paste Editor (Beta)'!$C$90="Swap hero prompt",S546,IF('Paste Editor (Beta)'!$C$90="Anvil prompt",AD546,"")))))))</f>
        <v>0</v>
      </c>
    </row>
    <row r="547" spans="2:37" ht="17.25">
      <c r="B547" s="284" t="s">
        <v>3192</v>
      </c>
      <c r="C547" s="284" t="s">
        <v>3192</v>
      </c>
      <c r="D547" s="284" t="s">
        <v>3192</v>
      </c>
      <c r="AH547" s="280" t="str">
        <f>IF('Paste Editor (Beta)'!$C$82="Level-up prompt",G548,IF('Paste Editor (Beta)'!$C$82="Item prompt",E548,IF('Paste Editor (Beta)'!$C$82="Modifier prompt","'"&amp;B548,IF('Paste Editor (Beta)'!$C$82="Challenge prompt",L548,IF('Paste Editor (Beta)'!$C$82="Reroll class prompt",S547,IF('Paste Editor (Beta)'!$C$82="Swap hero prompt",S547,IF('Paste Editor (Beta)'!$C$82="Anvil prompt",AD547,"")))))))</f>
        <v/>
      </c>
      <c r="AI547" s="280" t="str">
        <f>IF('Paste Editor (Beta)'!$C$82="Level-up prompt",G548,IF('Paste Editor (Beta)'!$C$82="Item prompt",E548,IF('Paste Editor (Beta)'!$C$82="Modifier prompt","'"&amp;B548,IF('Paste Editor (Beta)'!$C$82="Challenge prompt",E548,IF('Paste Editor (Beta)'!$C$82="Reroll class prompt",S547,IF('Paste Editor (Beta)'!$C$82="Swap hero prompt",S547,IF('Paste Editor (Beta)'!$C$82="Anvil prompt",AD547,"")))))))</f>
        <v/>
      </c>
      <c r="AJ547" s="283">
        <f>IF('Paste Editor (Beta)'!$C$90="Level-up prompt",G548,IF('Paste Editor (Beta)'!$C$90="Item prompt",E548,IF('Paste Editor (Beta)'!$C$90="Modifier prompt","'"&amp;B548,IF('Paste Editor (Beta)'!$C$90="Challenge prompt",L548,IF('Paste Editor (Beta)'!$C$90="Reroll class prompt",S547,IF('Paste Editor (Beta)'!$C$90="Swap hero prompt",S547,IF('Paste Editor (Beta)'!$C$90="Anvil prompt",AD547,"")))))))</f>
        <v>0</v>
      </c>
      <c r="AK547" s="283">
        <f>IF('Paste Editor (Beta)'!$C$90="Level-up prompt",G548,IF('Paste Editor (Beta)'!$C$90="Item prompt",E548,IF('Paste Editor (Beta)'!$C$90="Modifier prompt","'"&amp;B548,IF('Paste Editor (Beta)'!$C$90="Challenge prompt",E548,IF('Paste Editor (Beta)'!$C$90="Reroll class prompt",S547,IF('Paste Editor (Beta)'!$C$90="Swap hero prompt",S547,IF('Paste Editor (Beta)'!$C$90="Anvil prompt",AD547,"")))))))</f>
        <v>0</v>
      </c>
    </row>
    <row r="548" spans="2:37" ht="17.25">
      <c r="B548" s="284" t="s">
        <v>3306</v>
      </c>
      <c r="C548" s="284" t="s">
        <v>3306</v>
      </c>
      <c r="D548" s="284" t="s">
        <v>3306</v>
      </c>
      <c r="AH548" s="280" t="str">
        <f>IF('Paste Editor (Beta)'!$C$82="Level-up prompt",G549,IF('Paste Editor (Beta)'!$C$82="Item prompt",E549,IF('Paste Editor (Beta)'!$C$82="Modifier prompt","'"&amp;B549,IF('Paste Editor (Beta)'!$C$82="Challenge prompt",L549,IF('Paste Editor (Beta)'!$C$82="Reroll class prompt",S548,IF('Paste Editor (Beta)'!$C$82="Swap hero prompt",S548,IF('Paste Editor (Beta)'!$C$82="Anvil prompt",AD548,"")))))))</f>
        <v/>
      </c>
      <c r="AI548" s="280" t="str">
        <f>IF('Paste Editor (Beta)'!$C$82="Level-up prompt",G549,IF('Paste Editor (Beta)'!$C$82="Item prompt",E549,IF('Paste Editor (Beta)'!$C$82="Modifier prompt","'"&amp;B549,IF('Paste Editor (Beta)'!$C$82="Challenge prompt",E549,IF('Paste Editor (Beta)'!$C$82="Reroll class prompt",S548,IF('Paste Editor (Beta)'!$C$82="Swap hero prompt",S548,IF('Paste Editor (Beta)'!$C$82="Anvil prompt",AD548,"")))))))</f>
        <v/>
      </c>
      <c r="AJ548" s="283">
        <f>IF('Paste Editor (Beta)'!$C$90="Level-up prompt",G549,IF('Paste Editor (Beta)'!$C$90="Item prompt",E549,IF('Paste Editor (Beta)'!$C$90="Modifier prompt","'"&amp;B549,IF('Paste Editor (Beta)'!$C$90="Challenge prompt",L549,IF('Paste Editor (Beta)'!$C$90="Reroll class prompt",S548,IF('Paste Editor (Beta)'!$C$90="Swap hero prompt",S548,IF('Paste Editor (Beta)'!$C$90="Anvil prompt",AD548,"")))))))</f>
        <v>0</v>
      </c>
      <c r="AK548" s="283">
        <f>IF('Paste Editor (Beta)'!$C$90="Level-up prompt",G549,IF('Paste Editor (Beta)'!$C$90="Item prompt",E549,IF('Paste Editor (Beta)'!$C$90="Modifier prompt","'"&amp;B549,IF('Paste Editor (Beta)'!$C$90="Challenge prompt",E549,IF('Paste Editor (Beta)'!$C$90="Reroll class prompt",S548,IF('Paste Editor (Beta)'!$C$90="Swap hero prompt",S548,IF('Paste Editor (Beta)'!$C$90="Anvil prompt",AD548,"")))))))</f>
        <v>0</v>
      </c>
    </row>
    <row r="549" spans="2:37" ht="17.25">
      <c r="B549" s="284" t="s">
        <v>3396</v>
      </c>
      <c r="C549" s="284" t="s">
        <v>3396</v>
      </c>
      <c r="D549" s="284" t="s">
        <v>3396</v>
      </c>
      <c r="AH549" s="280" t="str">
        <f>IF('Paste Editor (Beta)'!$C$82="Level-up prompt",G550,IF('Paste Editor (Beta)'!$C$82="Item prompt",E550,IF('Paste Editor (Beta)'!$C$82="Modifier prompt","'"&amp;B550,IF('Paste Editor (Beta)'!$C$82="Challenge prompt",L550,IF('Paste Editor (Beta)'!$C$82="Reroll class prompt",S549,IF('Paste Editor (Beta)'!$C$82="Swap hero prompt",S549,IF('Paste Editor (Beta)'!$C$82="Anvil prompt",AD549,"")))))))</f>
        <v/>
      </c>
      <c r="AI549" s="280" t="str">
        <f>IF('Paste Editor (Beta)'!$C$82="Level-up prompt",G550,IF('Paste Editor (Beta)'!$C$82="Item prompt",E550,IF('Paste Editor (Beta)'!$C$82="Modifier prompt","'"&amp;B550,IF('Paste Editor (Beta)'!$C$82="Challenge prompt",E550,IF('Paste Editor (Beta)'!$C$82="Reroll class prompt",S549,IF('Paste Editor (Beta)'!$C$82="Swap hero prompt",S549,IF('Paste Editor (Beta)'!$C$82="Anvil prompt",AD549,"")))))))</f>
        <v/>
      </c>
      <c r="AJ549" s="283">
        <f>IF('Paste Editor (Beta)'!$C$90="Level-up prompt",G550,IF('Paste Editor (Beta)'!$C$90="Item prompt",E550,IF('Paste Editor (Beta)'!$C$90="Modifier prompt","'"&amp;B550,IF('Paste Editor (Beta)'!$C$90="Challenge prompt",L550,IF('Paste Editor (Beta)'!$C$90="Reroll class prompt",S549,IF('Paste Editor (Beta)'!$C$90="Swap hero prompt",S549,IF('Paste Editor (Beta)'!$C$90="Anvil prompt",AD549,"")))))))</f>
        <v>0</v>
      </c>
      <c r="AK549" s="283">
        <f>IF('Paste Editor (Beta)'!$C$90="Level-up prompt",G550,IF('Paste Editor (Beta)'!$C$90="Item prompt",E550,IF('Paste Editor (Beta)'!$C$90="Modifier prompt","'"&amp;B550,IF('Paste Editor (Beta)'!$C$90="Challenge prompt",E550,IF('Paste Editor (Beta)'!$C$90="Reroll class prompt",S549,IF('Paste Editor (Beta)'!$C$90="Swap hero prompt",S549,IF('Paste Editor (Beta)'!$C$90="Anvil prompt",AD549,"")))))))</f>
        <v>0</v>
      </c>
    </row>
    <row r="550" spans="2:37" ht="17.25">
      <c r="B550" s="284" t="s">
        <v>3514</v>
      </c>
      <c r="C550" s="284" t="s">
        <v>3514</v>
      </c>
      <c r="D550" s="284" t="s">
        <v>3514</v>
      </c>
      <c r="AH550" s="280" t="str">
        <f>IF('Paste Editor (Beta)'!$C$82="Level-up prompt",G551,IF('Paste Editor (Beta)'!$C$82="Item prompt",E551,IF('Paste Editor (Beta)'!$C$82="Modifier prompt","'"&amp;B551,IF('Paste Editor (Beta)'!$C$82="Challenge prompt",L551,IF('Paste Editor (Beta)'!$C$82="Reroll class prompt",S550,IF('Paste Editor (Beta)'!$C$82="Swap hero prompt",S550,IF('Paste Editor (Beta)'!$C$82="Anvil prompt",AD550,"")))))))</f>
        <v/>
      </c>
      <c r="AI550" s="280" t="str">
        <f>IF('Paste Editor (Beta)'!$C$82="Level-up prompt",G551,IF('Paste Editor (Beta)'!$C$82="Item prompt",E551,IF('Paste Editor (Beta)'!$C$82="Modifier prompt","'"&amp;B551,IF('Paste Editor (Beta)'!$C$82="Challenge prompt",E551,IF('Paste Editor (Beta)'!$C$82="Reroll class prompt",S550,IF('Paste Editor (Beta)'!$C$82="Swap hero prompt",S550,IF('Paste Editor (Beta)'!$C$82="Anvil prompt",AD550,"")))))))</f>
        <v/>
      </c>
      <c r="AJ550" s="283">
        <f>IF('Paste Editor (Beta)'!$C$90="Level-up prompt",G551,IF('Paste Editor (Beta)'!$C$90="Item prompt",E551,IF('Paste Editor (Beta)'!$C$90="Modifier prompt","'"&amp;B551,IF('Paste Editor (Beta)'!$C$90="Challenge prompt",L551,IF('Paste Editor (Beta)'!$C$90="Reroll class prompt",S550,IF('Paste Editor (Beta)'!$C$90="Swap hero prompt",S550,IF('Paste Editor (Beta)'!$C$90="Anvil prompt",AD550,"")))))))</f>
        <v>0</v>
      </c>
      <c r="AK550" s="283">
        <f>IF('Paste Editor (Beta)'!$C$90="Level-up prompt",G551,IF('Paste Editor (Beta)'!$C$90="Item prompt",E551,IF('Paste Editor (Beta)'!$C$90="Modifier prompt","'"&amp;B551,IF('Paste Editor (Beta)'!$C$90="Challenge prompt",E551,IF('Paste Editor (Beta)'!$C$90="Reroll class prompt",S550,IF('Paste Editor (Beta)'!$C$90="Swap hero prompt",S550,IF('Paste Editor (Beta)'!$C$90="Anvil prompt",AD550,"")))))))</f>
        <v>0</v>
      </c>
    </row>
    <row r="551" spans="2:37" ht="17.25">
      <c r="B551" s="284" t="s">
        <v>3378</v>
      </c>
      <c r="C551" s="284" t="s">
        <v>3378</v>
      </c>
      <c r="D551" s="284" t="s">
        <v>3378</v>
      </c>
      <c r="AH551" s="280" t="str">
        <f>IF('Paste Editor (Beta)'!$C$82="Level-up prompt",G552,IF('Paste Editor (Beta)'!$C$82="Item prompt",E552,IF('Paste Editor (Beta)'!$C$82="Modifier prompt","'"&amp;B552,IF('Paste Editor (Beta)'!$C$82="Challenge prompt",L552,IF('Paste Editor (Beta)'!$C$82="Reroll class prompt",S551,IF('Paste Editor (Beta)'!$C$82="Swap hero prompt",S551,IF('Paste Editor (Beta)'!$C$82="Anvil prompt",AD551,"")))))))</f>
        <v/>
      </c>
      <c r="AI551" s="280" t="str">
        <f>IF('Paste Editor (Beta)'!$C$82="Level-up prompt",G552,IF('Paste Editor (Beta)'!$C$82="Item prompt",E552,IF('Paste Editor (Beta)'!$C$82="Modifier prompt","'"&amp;B552,IF('Paste Editor (Beta)'!$C$82="Challenge prompt",E552,IF('Paste Editor (Beta)'!$C$82="Reroll class prompt",S551,IF('Paste Editor (Beta)'!$C$82="Swap hero prompt",S551,IF('Paste Editor (Beta)'!$C$82="Anvil prompt",AD551,"")))))))</f>
        <v/>
      </c>
      <c r="AJ551" s="283">
        <f>IF('Paste Editor (Beta)'!$C$90="Level-up prompt",G552,IF('Paste Editor (Beta)'!$C$90="Item prompt",E552,IF('Paste Editor (Beta)'!$C$90="Modifier prompt","'"&amp;B552,IF('Paste Editor (Beta)'!$C$90="Challenge prompt",L552,IF('Paste Editor (Beta)'!$C$90="Reroll class prompt",S551,IF('Paste Editor (Beta)'!$C$90="Swap hero prompt",S551,IF('Paste Editor (Beta)'!$C$90="Anvil prompt",AD551,"")))))))</f>
        <v>0</v>
      </c>
      <c r="AK551" s="283">
        <f>IF('Paste Editor (Beta)'!$C$90="Level-up prompt",G552,IF('Paste Editor (Beta)'!$C$90="Item prompt",E552,IF('Paste Editor (Beta)'!$C$90="Modifier prompt","'"&amp;B552,IF('Paste Editor (Beta)'!$C$90="Challenge prompt",E552,IF('Paste Editor (Beta)'!$C$90="Reroll class prompt",S551,IF('Paste Editor (Beta)'!$C$90="Swap hero prompt",S551,IF('Paste Editor (Beta)'!$C$90="Anvil prompt",AD551,"")))))))</f>
        <v>0</v>
      </c>
    </row>
    <row r="552" spans="2:37" ht="17.25">
      <c r="B552" s="284" t="s">
        <v>3542</v>
      </c>
      <c r="C552" s="284" t="s">
        <v>3542</v>
      </c>
      <c r="D552" s="284" t="s">
        <v>3542</v>
      </c>
      <c r="AH552" s="280" t="str">
        <f>IF('Paste Editor (Beta)'!$C$82="Level-up prompt",G553,IF('Paste Editor (Beta)'!$C$82="Item prompt",E553,IF('Paste Editor (Beta)'!$C$82="Modifier prompt","'"&amp;B553,IF('Paste Editor (Beta)'!$C$82="Challenge prompt",L553,IF('Paste Editor (Beta)'!$C$82="Reroll class prompt",S552,IF('Paste Editor (Beta)'!$C$82="Swap hero prompt",S552,IF('Paste Editor (Beta)'!$C$82="Anvil prompt",AD552,"")))))))</f>
        <v/>
      </c>
      <c r="AI552" s="280" t="str">
        <f>IF('Paste Editor (Beta)'!$C$82="Level-up prompt",G553,IF('Paste Editor (Beta)'!$C$82="Item prompt",E553,IF('Paste Editor (Beta)'!$C$82="Modifier prompt","'"&amp;B553,IF('Paste Editor (Beta)'!$C$82="Challenge prompt",E553,IF('Paste Editor (Beta)'!$C$82="Reroll class prompt",S552,IF('Paste Editor (Beta)'!$C$82="Swap hero prompt",S552,IF('Paste Editor (Beta)'!$C$82="Anvil prompt",AD552,"")))))))</f>
        <v/>
      </c>
      <c r="AJ552" s="283">
        <f>IF('Paste Editor (Beta)'!$C$90="Level-up prompt",G553,IF('Paste Editor (Beta)'!$C$90="Item prompt",E553,IF('Paste Editor (Beta)'!$C$90="Modifier prompt","'"&amp;B553,IF('Paste Editor (Beta)'!$C$90="Challenge prompt",L553,IF('Paste Editor (Beta)'!$C$90="Reroll class prompt",S552,IF('Paste Editor (Beta)'!$C$90="Swap hero prompt",S552,IF('Paste Editor (Beta)'!$C$90="Anvil prompt",AD552,"")))))))</f>
        <v>0</v>
      </c>
      <c r="AK552" s="283">
        <f>IF('Paste Editor (Beta)'!$C$90="Level-up prompt",G553,IF('Paste Editor (Beta)'!$C$90="Item prompt",E553,IF('Paste Editor (Beta)'!$C$90="Modifier prompt","'"&amp;B553,IF('Paste Editor (Beta)'!$C$90="Challenge prompt",E553,IF('Paste Editor (Beta)'!$C$90="Reroll class prompt",S552,IF('Paste Editor (Beta)'!$C$90="Swap hero prompt",S552,IF('Paste Editor (Beta)'!$C$90="Anvil prompt",AD552,"")))))))</f>
        <v>0</v>
      </c>
    </row>
    <row r="553" spans="2:37" ht="17.25">
      <c r="B553" s="284" t="s">
        <v>3176</v>
      </c>
      <c r="C553" s="284" t="s">
        <v>3176</v>
      </c>
      <c r="D553" s="284" t="s">
        <v>3176</v>
      </c>
      <c r="AH553" s="280" t="str">
        <f>IF('Paste Editor (Beta)'!$C$82="Level-up prompt",G554,IF('Paste Editor (Beta)'!$C$82="Item prompt",E554,IF('Paste Editor (Beta)'!$C$82="Modifier prompt","'"&amp;B554,IF('Paste Editor (Beta)'!$C$82="Challenge prompt",L554,IF('Paste Editor (Beta)'!$C$82="Reroll class prompt",S553,IF('Paste Editor (Beta)'!$C$82="Swap hero prompt",S553,IF('Paste Editor (Beta)'!$C$82="Anvil prompt",AD553,"")))))))</f>
        <v/>
      </c>
      <c r="AI553" s="280" t="str">
        <f>IF('Paste Editor (Beta)'!$C$82="Level-up prompt",G554,IF('Paste Editor (Beta)'!$C$82="Item prompt",E554,IF('Paste Editor (Beta)'!$C$82="Modifier prompt","'"&amp;B554,IF('Paste Editor (Beta)'!$C$82="Challenge prompt",E554,IF('Paste Editor (Beta)'!$C$82="Reroll class prompt",S553,IF('Paste Editor (Beta)'!$C$82="Swap hero prompt",S553,IF('Paste Editor (Beta)'!$C$82="Anvil prompt",AD553,"")))))))</f>
        <v/>
      </c>
      <c r="AJ553" s="283">
        <f>IF('Paste Editor (Beta)'!$C$90="Level-up prompt",G554,IF('Paste Editor (Beta)'!$C$90="Item prompt",E554,IF('Paste Editor (Beta)'!$C$90="Modifier prompt","'"&amp;B554,IF('Paste Editor (Beta)'!$C$90="Challenge prompt",L554,IF('Paste Editor (Beta)'!$C$90="Reroll class prompt",S553,IF('Paste Editor (Beta)'!$C$90="Swap hero prompt",S553,IF('Paste Editor (Beta)'!$C$90="Anvil prompt",AD553,"")))))))</f>
        <v>0</v>
      </c>
      <c r="AK553" s="283">
        <f>IF('Paste Editor (Beta)'!$C$90="Level-up prompt",G554,IF('Paste Editor (Beta)'!$C$90="Item prompt",E554,IF('Paste Editor (Beta)'!$C$90="Modifier prompt","'"&amp;B554,IF('Paste Editor (Beta)'!$C$90="Challenge prompt",E554,IF('Paste Editor (Beta)'!$C$90="Reroll class prompt",S553,IF('Paste Editor (Beta)'!$C$90="Swap hero prompt",S553,IF('Paste Editor (Beta)'!$C$90="Anvil prompt",AD553,"")))))))</f>
        <v>0</v>
      </c>
    </row>
    <row r="554" spans="2:37" ht="17.25">
      <c r="B554" s="284" t="s">
        <v>3446</v>
      </c>
      <c r="C554" s="284" t="s">
        <v>3446</v>
      </c>
      <c r="D554" s="284" t="s">
        <v>3446</v>
      </c>
      <c r="AH554" s="280" t="str">
        <f>IF('Paste Editor (Beta)'!$C$82="Level-up prompt",G555,IF('Paste Editor (Beta)'!$C$82="Item prompt",E555,IF('Paste Editor (Beta)'!$C$82="Modifier prompt","'"&amp;B555,IF('Paste Editor (Beta)'!$C$82="Challenge prompt",L555,IF('Paste Editor (Beta)'!$C$82="Reroll class prompt",S554,IF('Paste Editor (Beta)'!$C$82="Swap hero prompt",S554,IF('Paste Editor (Beta)'!$C$82="Anvil prompt",AD554,"")))))))</f>
        <v/>
      </c>
      <c r="AI554" s="280" t="str">
        <f>IF('Paste Editor (Beta)'!$C$82="Level-up prompt",G555,IF('Paste Editor (Beta)'!$C$82="Item prompt",E555,IF('Paste Editor (Beta)'!$C$82="Modifier prompt","'"&amp;B555,IF('Paste Editor (Beta)'!$C$82="Challenge prompt",E555,IF('Paste Editor (Beta)'!$C$82="Reroll class prompt",S554,IF('Paste Editor (Beta)'!$C$82="Swap hero prompt",S554,IF('Paste Editor (Beta)'!$C$82="Anvil prompt",AD554,"")))))))</f>
        <v/>
      </c>
      <c r="AJ554" s="283">
        <f>IF('Paste Editor (Beta)'!$C$90="Level-up prompt",G555,IF('Paste Editor (Beta)'!$C$90="Item prompt",E555,IF('Paste Editor (Beta)'!$C$90="Modifier prompt","'"&amp;B555,IF('Paste Editor (Beta)'!$C$90="Challenge prompt",L555,IF('Paste Editor (Beta)'!$C$90="Reroll class prompt",S554,IF('Paste Editor (Beta)'!$C$90="Swap hero prompt",S554,IF('Paste Editor (Beta)'!$C$90="Anvil prompt",AD554,"")))))))</f>
        <v>0</v>
      </c>
      <c r="AK554" s="283">
        <f>IF('Paste Editor (Beta)'!$C$90="Level-up prompt",G555,IF('Paste Editor (Beta)'!$C$90="Item prompt",E555,IF('Paste Editor (Beta)'!$C$90="Modifier prompt","'"&amp;B555,IF('Paste Editor (Beta)'!$C$90="Challenge prompt",E555,IF('Paste Editor (Beta)'!$C$90="Reroll class prompt",S554,IF('Paste Editor (Beta)'!$C$90="Swap hero prompt",S554,IF('Paste Editor (Beta)'!$C$90="Anvil prompt",AD554,"")))))))</f>
        <v>0</v>
      </c>
    </row>
    <row r="555" spans="2:37" ht="17.25">
      <c r="B555" s="284" t="s">
        <v>3518</v>
      </c>
      <c r="C555" s="284" t="s">
        <v>3518</v>
      </c>
      <c r="D555" s="284" t="s">
        <v>3518</v>
      </c>
      <c r="AH555" s="280" t="str">
        <f>IF('Paste Editor (Beta)'!$C$82="Level-up prompt",G556,IF('Paste Editor (Beta)'!$C$82="Item prompt",E556,IF('Paste Editor (Beta)'!$C$82="Modifier prompt","'"&amp;B556,IF('Paste Editor (Beta)'!$C$82="Challenge prompt",L556,IF('Paste Editor (Beta)'!$C$82="Reroll class prompt",S555,IF('Paste Editor (Beta)'!$C$82="Swap hero prompt",S555,IF('Paste Editor (Beta)'!$C$82="Anvil prompt",AD555,"")))))))</f>
        <v/>
      </c>
      <c r="AI555" s="280" t="str">
        <f>IF('Paste Editor (Beta)'!$C$82="Level-up prompt",G556,IF('Paste Editor (Beta)'!$C$82="Item prompt",E556,IF('Paste Editor (Beta)'!$C$82="Modifier prompt","'"&amp;B556,IF('Paste Editor (Beta)'!$C$82="Challenge prompt",E556,IF('Paste Editor (Beta)'!$C$82="Reroll class prompt",S555,IF('Paste Editor (Beta)'!$C$82="Swap hero prompt",S555,IF('Paste Editor (Beta)'!$C$82="Anvil prompt",AD555,"")))))))</f>
        <v/>
      </c>
      <c r="AJ555" s="283">
        <f>IF('Paste Editor (Beta)'!$C$90="Level-up prompt",G556,IF('Paste Editor (Beta)'!$C$90="Item prompt",E556,IF('Paste Editor (Beta)'!$C$90="Modifier prompt","'"&amp;B556,IF('Paste Editor (Beta)'!$C$90="Challenge prompt",L556,IF('Paste Editor (Beta)'!$C$90="Reroll class prompt",S555,IF('Paste Editor (Beta)'!$C$90="Swap hero prompt",S555,IF('Paste Editor (Beta)'!$C$90="Anvil prompt",AD555,"")))))))</f>
        <v>0</v>
      </c>
      <c r="AK555" s="283">
        <f>IF('Paste Editor (Beta)'!$C$90="Level-up prompt",G556,IF('Paste Editor (Beta)'!$C$90="Item prompt",E556,IF('Paste Editor (Beta)'!$C$90="Modifier prompt","'"&amp;B556,IF('Paste Editor (Beta)'!$C$90="Challenge prompt",E556,IF('Paste Editor (Beta)'!$C$90="Reroll class prompt",S555,IF('Paste Editor (Beta)'!$C$90="Swap hero prompt",S555,IF('Paste Editor (Beta)'!$C$90="Anvil prompt",AD555,"")))))))</f>
        <v>0</v>
      </c>
    </row>
    <row r="556" spans="2:37" ht="17.25">
      <c r="B556" s="284" t="s">
        <v>2083</v>
      </c>
      <c r="C556" s="284" t="s">
        <v>2083</v>
      </c>
      <c r="D556" s="284" t="s">
        <v>2083</v>
      </c>
      <c r="AH556" s="280" t="str">
        <f>IF('Paste Editor (Beta)'!$C$82="Level-up prompt",G557,IF('Paste Editor (Beta)'!$C$82="Item prompt",E557,IF('Paste Editor (Beta)'!$C$82="Modifier prompt","'"&amp;B557,IF('Paste Editor (Beta)'!$C$82="Challenge prompt",L557,IF('Paste Editor (Beta)'!$C$82="Reroll class prompt",S556,IF('Paste Editor (Beta)'!$C$82="Swap hero prompt",S556,IF('Paste Editor (Beta)'!$C$82="Anvil prompt",AD556,"")))))))</f>
        <v/>
      </c>
      <c r="AI556" s="280" t="str">
        <f>IF('Paste Editor (Beta)'!$C$82="Level-up prompt",G557,IF('Paste Editor (Beta)'!$C$82="Item prompt",E557,IF('Paste Editor (Beta)'!$C$82="Modifier prompt","'"&amp;B557,IF('Paste Editor (Beta)'!$C$82="Challenge prompt",E557,IF('Paste Editor (Beta)'!$C$82="Reroll class prompt",S556,IF('Paste Editor (Beta)'!$C$82="Swap hero prompt",S556,IF('Paste Editor (Beta)'!$C$82="Anvil prompt",AD556,"")))))))</f>
        <v/>
      </c>
      <c r="AJ556" s="283">
        <f>IF('Paste Editor (Beta)'!$C$90="Level-up prompt",G557,IF('Paste Editor (Beta)'!$C$90="Item prompt",E557,IF('Paste Editor (Beta)'!$C$90="Modifier prompt","'"&amp;B557,IF('Paste Editor (Beta)'!$C$90="Challenge prompt",L557,IF('Paste Editor (Beta)'!$C$90="Reroll class prompt",S556,IF('Paste Editor (Beta)'!$C$90="Swap hero prompt",S556,IF('Paste Editor (Beta)'!$C$90="Anvil prompt",AD556,"")))))))</f>
        <v>0</v>
      </c>
      <c r="AK556" s="283">
        <f>IF('Paste Editor (Beta)'!$C$90="Level-up prompt",G557,IF('Paste Editor (Beta)'!$C$90="Item prompt",E557,IF('Paste Editor (Beta)'!$C$90="Modifier prompt","'"&amp;B557,IF('Paste Editor (Beta)'!$C$90="Challenge prompt",E557,IF('Paste Editor (Beta)'!$C$90="Reroll class prompt",S556,IF('Paste Editor (Beta)'!$C$90="Swap hero prompt",S556,IF('Paste Editor (Beta)'!$C$90="Anvil prompt",AD556,"")))))))</f>
        <v>0</v>
      </c>
    </row>
    <row r="557" spans="2:37" ht="17.25">
      <c r="B557" s="284" t="s">
        <v>3214</v>
      </c>
      <c r="C557" s="284" t="s">
        <v>3214</v>
      </c>
      <c r="D557" s="284" t="s">
        <v>3214</v>
      </c>
      <c r="AH557" s="280" t="str">
        <f>IF('Paste Editor (Beta)'!$C$82="Level-up prompt",G558,IF('Paste Editor (Beta)'!$C$82="Item prompt",E558,IF('Paste Editor (Beta)'!$C$82="Modifier prompt","'"&amp;B558,IF('Paste Editor (Beta)'!$C$82="Challenge prompt",L558,IF('Paste Editor (Beta)'!$C$82="Reroll class prompt",S557,IF('Paste Editor (Beta)'!$C$82="Swap hero prompt",S557,IF('Paste Editor (Beta)'!$C$82="Anvil prompt",AD557,"")))))))</f>
        <v/>
      </c>
      <c r="AI557" s="280" t="str">
        <f>IF('Paste Editor (Beta)'!$C$82="Level-up prompt",G558,IF('Paste Editor (Beta)'!$C$82="Item prompt",E558,IF('Paste Editor (Beta)'!$C$82="Modifier prompt","'"&amp;B558,IF('Paste Editor (Beta)'!$C$82="Challenge prompt",E558,IF('Paste Editor (Beta)'!$C$82="Reroll class prompt",S557,IF('Paste Editor (Beta)'!$C$82="Swap hero prompt",S557,IF('Paste Editor (Beta)'!$C$82="Anvil prompt",AD557,"")))))))</f>
        <v/>
      </c>
      <c r="AJ557" s="283">
        <f>IF('Paste Editor (Beta)'!$C$90="Level-up prompt",G558,IF('Paste Editor (Beta)'!$C$90="Item prompt",E558,IF('Paste Editor (Beta)'!$C$90="Modifier prompt","'"&amp;B558,IF('Paste Editor (Beta)'!$C$90="Challenge prompt",L558,IF('Paste Editor (Beta)'!$C$90="Reroll class prompt",S557,IF('Paste Editor (Beta)'!$C$90="Swap hero prompt",S557,IF('Paste Editor (Beta)'!$C$90="Anvil prompt",AD557,"")))))))</f>
        <v>0</v>
      </c>
      <c r="AK557" s="283">
        <f>IF('Paste Editor (Beta)'!$C$90="Level-up prompt",G558,IF('Paste Editor (Beta)'!$C$90="Item prompt",E558,IF('Paste Editor (Beta)'!$C$90="Modifier prompt","'"&amp;B558,IF('Paste Editor (Beta)'!$C$90="Challenge prompt",E558,IF('Paste Editor (Beta)'!$C$90="Reroll class prompt",S557,IF('Paste Editor (Beta)'!$C$90="Swap hero prompt",S557,IF('Paste Editor (Beta)'!$C$90="Anvil prompt",AD557,"")))))))</f>
        <v>0</v>
      </c>
    </row>
    <row r="558" spans="2:37" ht="17.25">
      <c r="B558" s="284" t="s">
        <v>3174</v>
      </c>
      <c r="C558" s="284" t="s">
        <v>3174</v>
      </c>
      <c r="D558" s="284" t="s">
        <v>3174</v>
      </c>
      <c r="AH558" s="280" t="str">
        <f>IF('Paste Editor (Beta)'!$C$82="Level-up prompt",G559,IF('Paste Editor (Beta)'!$C$82="Item prompt",E559,IF('Paste Editor (Beta)'!$C$82="Modifier prompt","'"&amp;B559,IF('Paste Editor (Beta)'!$C$82="Challenge prompt",L559,IF('Paste Editor (Beta)'!$C$82="Reroll class prompt",S558,IF('Paste Editor (Beta)'!$C$82="Swap hero prompt",S558,IF('Paste Editor (Beta)'!$C$82="Anvil prompt",AD558,"")))))))</f>
        <v/>
      </c>
      <c r="AI558" s="280" t="str">
        <f>IF('Paste Editor (Beta)'!$C$82="Level-up prompt",G559,IF('Paste Editor (Beta)'!$C$82="Item prompt",E559,IF('Paste Editor (Beta)'!$C$82="Modifier prompt","'"&amp;B559,IF('Paste Editor (Beta)'!$C$82="Challenge prompt",E559,IF('Paste Editor (Beta)'!$C$82="Reroll class prompt",S558,IF('Paste Editor (Beta)'!$C$82="Swap hero prompt",S558,IF('Paste Editor (Beta)'!$C$82="Anvil prompt",AD558,"")))))))</f>
        <v/>
      </c>
      <c r="AJ558" s="283">
        <f>IF('Paste Editor (Beta)'!$C$90="Level-up prompt",G559,IF('Paste Editor (Beta)'!$C$90="Item prompt",E559,IF('Paste Editor (Beta)'!$C$90="Modifier prompt","'"&amp;B559,IF('Paste Editor (Beta)'!$C$90="Challenge prompt",L559,IF('Paste Editor (Beta)'!$C$90="Reroll class prompt",S558,IF('Paste Editor (Beta)'!$C$90="Swap hero prompt",S558,IF('Paste Editor (Beta)'!$C$90="Anvil prompt",AD558,"")))))))</f>
        <v>0</v>
      </c>
      <c r="AK558" s="283">
        <f>IF('Paste Editor (Beta)'!$C$90="Level-up prompt",G559,IF('Paste Editor (Beta)'!$C$90="Item prompt",E559,IF('Paste Editor (Beta)'!$C$90="Modifier prompt","'"&amp;B559,IF('Paste Editor (Beta)'!$C$90="Challenge prompt",E559,IF('Paste Editor (Beta)'!$C$90="Reroll class prompt",S558,IF('Paste Editor (Beta)'!$C$90="Swap hero prompt",S558,IF('Paste Editor (Beta)'!$C$90="Anvil prompt",AD558,"")))))))</f>
        <v>0</v>
      </c>
    </row>
    <row r="559" spans="2:37" ht="17.25">
      <c r="B559" s="284" t="s">
        <v>3622</v>
      </c>
      <c r="C559" s="284" t="s">
        <v>3622</v>
      </c>
      <c r="D559" s="284" t="s">
        <v>3622</v>
      </c>
      <c r="AH559" s="280" t="str">
        <f>IF('Paste Editor (Beta)'!$C$82="Level-up prompt",G560,IF('Paste Editor (Beta)'!$C$82="Item prompt",E560,IF('Paste Editor (Beta)'!$C$82="Modifier prompt","'"&amp;B560,IF('Paste Editor (Beta)'!$C$82="Challenge prompt",L560,IF('Paste Editor (Beta)'!$C$82="Reroll class prompt",S559,IF('Paste Editor (Beta)'!$C$82="Swap hero prompt",S559,IF('Paste Editor (Beta)'!$C$82="Anvil prompt",AD559,"")))))))</f>
        <v/>
      </c>
      <c r="AI559" s="280" t="str">
        <f>IF('Paste Editor (Beta)'!$C$82="Level-up prompt",G560,IF('Paste Editor (Beta)'!$C$82="Item prompt",E560,IF('Paste Editor (Beta)'!$C$82="Modifier prompt","'"&amp;B560,IF('Paste Editor (Beta)'!$C$82="Challenge prompt",E560,IF('Paste Editor (Beta)'!$C$82="Reroll class prompt",S559,IF('Paste Editor (Beta)'!$C$82="Swap hero prompt",S559,IF('Paste Editor (Beta)'!$C$82="Anvil prompt",AD559,"")))))))</f>
        <v/>
      </c>
      <c r="AJ559" s="283">
        <f>IF('Paste Editor (Beta)'!$C$90="Level-up prompt",G560,IF('Paste Editor (Beta)'!$C$90="Item prompt",E560,IF('Paste Editor (Beta)'!$C$90="Modifier prompt","'"&amp;B560,IF('Paste Editor (Beta)'!$C$90="Challenge prompt",L560,IF('Paste Editor (Beta)'!$C$90="Reroll class prompt",S559,IF('Paste Editor (Beta)'!$C$90="Swap hero prompt",S559,IF('Paste Editor (Beta)'!$C$90="Anvil prompt",AD559,"")))))))</f>
        <v>0</v>
      </c>
      <c r="AK559" s="283">
        <f>IF('Paste Editor (Beta)'!$C$90="Level-up prompt",G560,IF('Paste Editor (Beta)'!$C$90="Item prompt",E560,IF('Paste Editor (Beta)'!$C$90="Modifier prompt","'"&amp;B560,IF('Paste Editor (Beta)'!$C$90="Challenge prompt",E560,IF('Paste Editor (Beta)'!$C$90="Reroll class prompt",S559,IF('Paste Editor (Beta)'!$C$90="Swap hero prompt",S559,IF('Paste Editor (Beta)'!$C$90="Anvil prompt",AD559,"")))))))</f>
        <v>0</v>
      </c>
    </row>
    <row r="560" spans="2:37" ht="17.25">
      <c r="B560" s="284" t="s">
        <v>3366</v>
      </c>
      <c r="C560" s="284" t="s">
        <v>3366</v>
      </c>
      <c r="D560" s="284" t="s">
        <v>3366</v>
      </c>
      <c r="AH560" s="280" t="str">
        <f>IF('Paste Editor (Beta)'!$C$82="Level-up prompt",G561,IF('Paste Editor (Beta)'!$C$82="Item prompt",E561,IF('Paste Editor (Beta)'!$C$82="Modifier prompt","'"&amp;B561,IF('Paste Editor (Beta)'!$C$82="Challenge prompt",L561,IF('Paste Editor (Beta)'!$C$82="Reroll class prompt",S560,IF('Paste Editor (Beta)'!$C$82="Swap hero prompt",S560,IF('Paste Editor (Beta)'!$C$82="Anvil prompt",AD560,"")))))))</f>
        <v/>
      </c>
      <c r="AI560" s="280" t="str">
        <f>IF('Paste Editor (Beta)'!$C$82="Level-up prompt",G561,IF('Paste Editor (Beta)'!$C$82="Item prompt",E561,IF('Paste Editor (Beta)'!$C$82="Modifier prompt","'"&amp;B561,IF('Paste Editor (Beta)'!$C$82="Challenge prompt",E561,IF('Paste Editor (Beta)'!$C$82="Reroll class prompt",S560,IF('Paste Editor (Beta)'!$C$82="Swap hero prompt",S560,IF('Paste Editor (Beta)'!$C$82="Anvil prompt",AD560,"")))))))</f>
        <v/>
      </c>
      <c r="AJ560" s="283">
        <f>IF('Paste Editor (Beta)'!$C$90="Level-up prompt",G561,IF('Paste Editor (Beta)'!$C$90="Item prompt",E561,IF('Paste Editor (Beta)'!$C$90="Modifier prompt","'"&amp;B561,IF('Paste Editor (Beta)'!$C$90="Challenge prompt",L561,IF('Paste Editor (Beta)'!$C$90="Reroll class prompt",S560,IF('Paste Editor (Beta)'!$C$90="Swap hero prompt",S560,IF('Paste Editor (Beta)'!$C$90="Anvil prompt",AD560,"")))))))</f>
        <v>0</v>
      </c>
      <c r="AK560" s="283">
        <f>IF('Paste Editor (Beta)'!$C$90="Level-up prompt",G561,IF('Paste Editor (Beta)'!$C$90="Item prompt",E561,IF('Paste Editor (Beta)'!$C$90="Modifier prompt","'"&amp;B561,IF('Paste Editor (Beta)'!$C$90="Challenge prompt",E561,IF('Paste Editor (Beta)'!$C$90="Reroll class prompt",S560,IF('Paste Editor (Beta)'!$C$90="Swap hero prompt",S560,IF('Paste Editor (Beta)'!$C$90="Anvil prompt",AD560,"")))))))</f>
        <v>0</v>
      </c>
    </row>
    <row r="561" spans="2:37" ht="17.25">
      <c r="B561" s="284" t="s">
        <v>3484</v>
      </c>
      <c r="C561" s="284" t="s">
        <v>3484</v>
      </c>
      <c r="D561" s="284" t="s">
        <v>3484</v>
      </c>
      <c r="AH561" s="280" t="str">
        <f>IF('Paste Editor (Beta)'!$C$82="Level-up prompt",G562,IF('Paste Editor (Beta)'!$C$82="Item prompt",E562,IF('Paste Editor (Beta)'!$C$82="Modifier prompt","'"&amp;B562,IF('Paste Editor (Beta)'!$C$82="Challenge prompt",L562,IF('Paste Editor (Beta)'!$C$82="Reroll class prompt",S561,IF('Paste Editor (Beta)'!$C$82="Swap hero prompt",S561,IF('Paste Editor (Beta)'!$C$82="Anvil prompt",AD561,"")))))))</f>
        <v/>
      </c>
      <c r="AI561" s="280" t="str">
        <f>IF('Paste Editor (Beta)'!$C$82="Level-up prompt",G562,IF('Paste Editor (Beta)'!$C$82="Item prompt",E562,IF('Paste Editor (Beta)'!$C$82="Modifier prompt","'"&amp;B562,IF('Paste Editor (Beta)'!$C$82="Challenge prompt",E562,IF('Paste Editor (Beta)'!$C$82="Reroll class prompt",S561,IF('Paste Editor (Beta)'!$C$82="Swap hero prompt",S561,IF('Paste Editor (Beta)'!$C$82="Anvil prompt",AD561,"")))))))</f>
        <v/>
      </c>
      <c r="AJ561" s="283">
        <f>IF('Paste Editor (Beta)'!$C$90="Level-up prompt",G562,IF('Paste Editor (Beta)'!$C$90="Item prompt",E562,IF('Paste Editor (Beta)'!$C$90="Modifier prompt","'"&amp;B562,IF('Paste Editor (Beta)'!$C$90="Challenge prompt",L562,IF('Paste Editor (Beta)'!$C$90="Reroll class prompt",S561,IF('Paste Editor (Beta)'!$C$90="Swap hero prompt",S561,IF('Paste Editor (Beta)'!$C$90="Anvil prompt",AD561,"")))))))</f>
        <v>0</v>
      </c>
      <c r="AK561" s="283">
        <f>IF('Paste Editor (Beta)'!$C$90="Level-up prompt",G562,IF('Paste Editor (Beta)'!$C$90="Item prompt",E562,IF('Paste Editor (Beta)'!$C$90="Modifier prompt","'"&amp;B562,IF('Paste Editor (Beta)'!$C$90="Challenge prompt",E562,IF('Paste Editor (Beta)'!$C$90="Reroll class prompt",S561,IF('Paste Editor (Beta)'!$C$90="Swap hero prompt",S561,IF('Paste Editor (Beta)'!$C$90="Anvil prompt",AD561,"")))))))</f>
        <v>0</v>
      </c>
    </row>
    <row r="562" spans="2:37" ht="17.25">
      <c r="B562" s="284" t="s">
        <v>3420</v>
      </c>
      <c r="C562" s="284" t="s">
        <v>3420</v>
      </c>
      <c r="D562" s="284" t="s">
        <v>3420</v>
      </c>
      <c r="AH562" s="280" t="str">
        <f>IF('Paste Editor (Beta)'!$C$82="Level-up prompt",G563,IF('Paste Editor (Beta)'!$C$82="Item prompt",E563,IF('Paste Editor (Beta)'!$C$82="Modifier prompt","'"&amp;B563,IF('Paste Editor (Beta)'!$C$82="Challenge prompt",L563,IF('Paste Editor (Beta)'!$C$82="Reroll class prompt",S562,IF('Paste Editor (Beta)'!$C$82="Swap hero prompt",S562,IF('Paste Editor (Beta)'!$C$82="Anvil prompt",AD562,"")))))))</f>
        <v/>
      </c>
      <c r="AI562" s="280" t="str">
        <f>IF('Paste Editor (Beta)'!$C$82="Level-up prompt",G563,IF('Paste Editor (Beta)'!$C$82="Item prompt",E563,IF('Paste Editor (Beta)'!$C$82="Modifier prompt","'"&amp;B563,IF('Paste Editor (Beta)'!$C$82="Challenge prompt",E563,IF('Paste Editor (Beta)'!$C$82="Reroll class prompt",S562,IF('Paste Editor (Beta)'!$C$82="Swap hero prompt",S562,IF('Paste Editor (Beta)'!$C$82="Anvil prompt",AD562,"")))))))</f>
        <v/>
      </c>
      <c r="AJ562" s="283">
        <f>IF('Paste Editor (Beta)'!$C$90="Level-up prompt",G563,IF('Paste Editor (Beta)'!$C$90="Item prompt",E563,IF('Paste Editor (Beta)'!$C$90="Modifier prompt","'"&amp;B563,IF('Paste Editor (Beta)'!$C$90="Challenge prompt",L563,IF('Paste Editor (Beta)'!$C$90="Reroll class prompt",S562,IF('Paste Editor (Beta)'!$C$90="Swap hero prompt",S562,IF('Paste Editor (Beta)'!$C$90="Anvil prompt",AD562,"")))))))</f>
        <v>0</v>
      </c>
      <c r="AK562" s="283">
        <f>IF('Paste Editor (Beta)'!$C$90="Level-up prompt",G563,IF('Paste Editor (Beta)'!$C$90="Item prompt",E563,IF('Paste Editor (Beta)'!$C$90="Modifier prompt","'"&amp;B563,IF('Paste Editor (Beta)'!$C$90="Challenge prompt",E563,IF('Paste Editor (Beta)'!$C$90="Reroll class prompt",S562,IF('Paste Editor (Beta)'!$C$90="Swap hero prompt",S562,IF('Paste Editor (Beta)'!$C$90="Anvil prompt",AD562,"")))))))</f>
        <v>0</v>
      </c>
    </row>
    <row r="563" spans="2:37" ht="17.25">
      <c r="B563" s="284" t="s">
        <v>2203</v>
      </c>
      <c r="C563" s="284" t="s">
        <v>2203</v>
      </c>
      <c r="D563" s="284" t="s">
        <v>2203</v>
      </c>
      <c r="AH563" s="280" t="str">
        <f>IF('Paste Editor (Beta)'!$C$82="Level-up prompt",G564,IF('Paste Editor (Beta)'!$C$82="Item prompt",E564,IF('Paste Editor (Beta)'!$C$82="Modifier prompt","'"&amp;B564,IF('Paste Editor (Beta)'!$C$82="Challenge prompt",L564,IF('Paste Editor (Beta)'!$C$82="Reroll class prompt",S563,IF('Paste Editor (Beta)'!$C$82="Swap hero prompt",S563,IF('Paste Editor (Beta)'!$C$82="Anvil prompt",AD563,"")))))))</f>
        <v/>
      </c>
      <c r="AI563" s="280" t="str">
        <f>IF('Paste Editor (Beta)'!$C$82="Level-up prompt",G564,IF('Paste Editor (Beta)'!$C$82="Item prompt",E564,IF('Paste Editor (Beta)'!$C$82="Modifier prompt","'"&amp;B564,IF('Paste Editor (Beta)'!$C$82="Challenge prompt",E564,IF('Paste Editor (Beta)'!$C$82="Reroll class prompt",S563,IF('Paste Editor (Beta)'!$C$82="Swap hero prompt",S563,IF('Paste Editor (Beta)'!$C$82="Anvil prompt",AD563,"")))))))</f>
        <v/>
      </c>
      <c r="AJ563" s="283">
        <f>IF('Paste Editor (Beta)'!$C$90="Level-up prompt",G564,IF('Paste Editor (Beta)'!$C$90="Item prompt",E564,IF('Paste Editor (Beta)'!$C$90="Modifier prompt","'"&amp;B564,IF('Paste Editor (Beta)'!$C$90="Challenge prompt",L564,IF('Paste Editor (Beta)'!$C$90="Reroll class prompt",S563,IF('Paste Editor (Beta)'!$C$90="Swap hero prompt",S563,IF('Paste Editor (Beta)'!$C$90="Anvil prompt",AD563,"")))))))</f>
        <v>0</v>
      </c>
      <c r="AK563" s="283">
        <f>IF('Paste Editor (Beta)'!$C$90="Level-up prompt",G564,IF('Paste Editor (Beta)'!$C$90="Item prompt",E564,IF('Paste Editor (Beta)'!$C$90="Modifier prompt","'"&amp;B564,IF('Paste Editor (Beta)'!$C$90="Challenge prompt",E564,IF('Paste Editor (Beta)'!$C$90="Reroll class prompt",S563,IF('Paste Editor (Beta)'!$C$90="Swap hero prompt",S563,IF('Paste Editor (Beta)'!$C$90="Anvil prompt",AD563,"")))))))</f>
        <v>0</v>
      </c>
    </row>
    <row r="564" spans="2:37" ht="17.25">
      <c r="B564" s="284" t="s">
        <v>2952</v>
      </c>
      <c r="C564" s="284" t="s">
        <v>2952</v>
      </c>
      <c r="D564" s="284" t="s">
        <v>2952</v>
      </c>
      <c r="AH564" s="280" t="str">
        <f>IF('Paste Editor (Beta)'!$C$82="Level-up prompt",G565,IF('Paste Editor (Beta)'!$C$82="Item prompt",E565,IF('Paste Editor (Beta)'!$C$82="Modifier prompt","'"&amp;B565,IF('Paste Editor (Beta)'!$C$82="Challenge prompt",L565,IF('Paste Editor (Beta)'!$C$82="Reroll class prompt",S564,IF('Paste Editor (Beta)'!$C$82="Swap hero prompt",S564,IF('Paste Editor (Beta)'!$C$82="Anvil prompt",AD564,"")))))))</f>
        <v/>
      </c>
      <c r="AI564" s="280" t="str">
        <f>IF('Paste Editor (Beta)'!$C$82="Level-up prompt",G565,IF('Paste Editor (Beta)'!$C$82="Item prompt",E565,IF('Paste Editor (Beta)'!$C$82="Modifier prompt","'"&amp;B565,IF('Paste Editor (Beta)'!$C$82="Challenge prompt",E565,IF('Paste Editor (Beta)'!$C$82="Reroll class prompt",S564,IF('Paste Editor (Beta)'!$C$82="Swap hero prompt",S564,IF('Paste Editor (Beta)'!$C$82="Anvil prompt",AD564,"")))))))</f>
        <v/>
      </c>
      <c r="AJ564" s="283">
        <f>IF('Paste Editor (Beta)'!$C$90="Level-up prompt",G565,IF('Paste Editor (Beta)'!$C$90="Item prompt",E565,IF('Paste Editor (Beta)'!$C$90="Modifier prompt","'"&amp;B565,IF('Paste Editor (Beta)'!$C$90="Challenge prompt",L565,IF('Paste Editor (Beta)'!$C$90="Reroll class prompt",S564,IF('Paste Editor (Beta)'!$C$90="Swap hero prompt",S564,IF('Paste Editor (Beta)'!$C$90="Anvil prompt",AD564,"")))))))</f>
        <v>0</v>
      </c>
      <c r="AK564" s="283">
        <f>IF('Paste Editor (Beta)'!$C$90="Level-up prompt",G565,IF('Paste Editor (Beta)'!$C$90="Item prompt",E565,IF('Paste Editor (Beta)'!$C$90="Modifier prompt","'"&amp;B565,IF('Paste Editor (Beta)'!$C$90="Challenge prompt",E565,IF('Paste Editor (Beta)'!$C$90="Reroll class prompt",S564,IF('Paste Editor (Beta)'!$C$90="Swap hero prompt",S564,IF('Paste Editor (Beta)'!$C$90="Anvil prompt",AD564,"")))))))</f>
        <v>0</v>
      </c>
    </row>
    <row r="565" spans="2:37" ht="17.25">
      <c r="B565" s="284" t="s">
        <v>2950</v>
      </c>
      <c r="C565" s="284" t="s">
        <v>2950</v>
      </c>
      <c r="D565" s="284" t="s">
        <v>2950</v>
      </c>
      <c r="AH565" s="280" t="str">
        <f>IF('Paste Editor (Beta)'!$C$82="Level-up prompt",G566,IF('Paste Editor (Beta)'!$C$82="Item prompt",E566,IF('Paste Editor (Beta)'!$C$82="Modifier prompt","'"&amp;B566,IF('Paste Editor (Beta)'!$C$82="Challenge prompt",L566,IF('Paste Editor (Beta)'!$C$82="Reroll class prompt",S565,IF('Paste Editor (Beta)'!$C$82="Swap hero prompt",S565,IF('Paste Editor (Beta)'!$C$82="Anvil prompt",AD565,"")))))))</f>
        <v/>
      </c>
      <c r="AI565" s="280" t="str">
        <f>IF('Paste Editor (Beta)'!$C$82="Level-up prompt",G566,IF('Paste Editor (Beta)'!$C$82="Item prompt",E566,IF('Paste Editor (Beta)'!$C$82="Modifier prompt","'"&amp;B566,IF('Paste Editor (Beta)'!$C$82="Challenge prompt",E566,IF('Paste Editor (Beta)'!$C$82="Reroll class prompt",S565,IF('Paste Editor (Beta)'!$C$82="Swap hero prompt",S565,IF('Paste Editor (Beta)'!$C$82="Anvil prompt",AD565,"")))))))</f>
        <v/>
      </c>
      <c r="AJ565" s="283">
        <f>IF('Paste Editor (Beta)'!$C$90="Level-up prompt",G566,IF('Paste Editor (Beta)'!$C$90="Item prompt",E566,IF('Paste Editor (Beta)'!$C$90="Modifier prompt","'"&amp;B566,IF('Paste Editor (Beta)'!$C$90="Challenge prompt",L566,IF('Paste Editor (Beta)'!$C$90="Reroll class prompt",S565,IF('Paste Editor (Beta)'!$C$90="Swap hero prompt",S565,IF('Paste Editor (Beta)'!$C$90="Anvil prompt",AD565,"")))))))</f>
        <v>0</v>
      </c>
      <c r="AK565" s="283">
        <f>IF('Paste Editor (Beta)'!$C$90="Level-up prompt",G566,IF('Paste Editor (Beta)'!$C$90="Item prompt",E566,IF('Paste Editor (Beta)'!$C$90="Modifier prompt","'"&amp;B566,IF('Paste Editor (Beta)'!$C$90="Challenge prompt",E566,IF('Paste Editor (Beta)'!$C$90="Reroll class prompt",S565,IF('Paste Editor (Beta)'!$C$90="Swap hero prompt",S565,IF('Paste Editor (Beta)'!$C$90="Anvil prompt",AD565,"")))))))</f>
        <v>0</v>
      </c>
    </row>
    <row r="566" spans="2:37" ht="17.25">
      <c r="B566" s="284" t="s">
        <v>2899</v>
      </c>
      <c r="C566" s="284" t="s">
        <v>2899</v>
      </c>
      <c r="D566" s="284" t="s">
        <v>2899</v>
      </c>
      <c r="AH566" s="280" t="str">
        <f>IF('Paste Editor (Beta)'!$C$82="Level-up prompt",G567,IF('Paste Editor (Beta)'!$C$82="Item prompt",E567,IF('Paste Editor (Beta)'!$C$82="Modifier prompt","'"&amp;B567,IF('Paste Editor (Beta)'!$C$82="Challenge prompt",L567,IF('Paste Editor (Beta)'!$C$82="Reroll class prompt",S566,IF('Paste Editor (Beta)'!$C$82="Swap hero prompt",S566,IF('Paste Editor (Beta)'!$C$82="Anvil prompt",AD566,"")))))))</f>
        <v/>
      </c>
      <c r="AI566" s="280" t="str">
        <f>IF('Paste Editor (Beta)'!$C$82="Level-up prompt",G567,IF('Paste Editor (Beta)'!$C$82="Item prompt",E567,IF('Paste Editor (Beta)'!$C$82="Modifier prompt","'"&amp;B567,IF('Paste Editor (Beta)'!$C$82="Challenge prompt",E567,IF('Paste Editor (Beta)'!$C$82="Reroll class prompt",S566,IF('Paste Editor (Beta)'!$C$82="Swap hero prompt",S566,IF('Paste Editor (Beta)'!$C$82="Anvil prompt",AD566,"")))))))</f>
        <v/>
      </c>
      <c r="AJ566" s="283">
        <f>IF('Paste Editor (Beta)'!$C$90="Level-up prompt",G567,IF('Paste Editor (Beta)'!$C$90="Item prompt",E567,IF('Paste Editor (Beta)'!$C$90="Modifier prompt","'"&amp;B567,IF('Paste Editor (Beta)'!$C$90="Challenge prompt",L567,IF('Paste Editor (Beta)'!$C$90="Reroll class prompt",S566,IF('Paste Editor (Beta)'!$C$90="Swap hero prompt",S566,IF('Paste Editor (Beta)'!$C$90="Anvil prompt",AD566,"")))))))</f>
        <v>0</v>
      </c>
      <c r="AK566" s="283">
        <f>IF('Paste Editor (Beta)'!$C$90="Level-up prompt",G567,IF('Paste Editor (Beta)'!$C$90="Item prompt",E567,IF('Paste Editor (Beta)'!$C$90="Modifier prompt","'"&amp;B567,IF('Paste Editor (Beta)'!$C$90="Challenge prompt",E567,IF('Paste Editor (Beta)'!$C$90="Reroll class prompt",S566,IF('Paste Editor (Beta)'!$C$90="Swap hero prompt",S566,IF('Paste Editor (Beta)'!$C$90="Anvil prompt",AD566,"")))))))</f>
        <v>0</v>
      </c>
    </row>
    <row r="567" spans="2:37" ht="17.25">
      <c r="B567" s="284" t="s">
        <v>2261</v>
      </c>
      <c r="C567" s="284" t="s">
        <v>2261</v>
      </c>
      <c r="D567" s="284" t="s">
        <v>2261</v>
      </c>
      <c r="AH567" s="280" t="str">
        <f>IF('Paste Editor (Beta)'!$C$82="Level-up prompt",G568,IF('Paste Editor (Beta)'!$C$82="Item prompt",E568,IF('Paste Editor (Beta)'!$C$82="Modifier prompt","'"&amp;B568,IF('Paste Editor (Beta)'!$C$82="Challenge prompt",L568,IF('Paste Editor (Beta)'!$C$82="Reroll class prompt",S567,IF('Paste Editor (Beta)'!$C$82="Swap hero prompt",S567,IF('Paste Editor (Beta)'!$C$82="Anvil prompt",AD567,"")))))))</f>
        <v/>
      </c>
      <c r="AI567" s="280" t="str">
        <f>IF('Paste Editor (Beta)'!$C$82="Level-up prompt",G568,IF('Paste Editor (Beta)'!$C$82="Item prompt",E568,IF('Paste Editor (Beta)'!$C$82="Modifier prompt","'"&amp;B568,IF('Paste Editor (Beta)'!$C$82="Challenge prompt",E568,IF('Paste Editor (Beta)'!$C$82="Reroll class prompt",S567,IF('Paste Editor (Beta)'!$C$82="Swap hero prompt",S567,IF('Paste Editor (Beta)'!$C$82="Anvil prompt",AD567,"")))))))</f>
        <v/>
      </c>
      <c r="AJ567" s="283">
        <f>IF('Paste Editor (Beta)'!$C$90="Level-up prompt",G568,IF('Paste Editor (Beta)'!$C$90="Item prompt",E568,IF('Paste Editor (Beta)'!$C$90="Modifier prompt","'"&amp;B568,IF('Paste Editor (Beta)'!$C$90="Challenge prompt",L568,IF('Paste Editor (Beta)'!$C$90="Reroll class prompt",S567,IF('Paste Editor (Beta)'!$C$90="Swap hero prompt",S567,IF('Paste Editor (Beta)'!$C$90="Anvil prompt",AD567,"")))))))</f>
        <v>0</v>
      </c>
      <c r="AK567" s="283">
        <f>IF('Paste Editor (Beta)'!$C$90="Level-up prompt",G568,IF('Paste Editor (Beta)'!$C$90="Item prompt",E568,IF('Paste Editor (Beta)'!$C$90="Modifier prompt","'"&amp;B568,IF('Paste Editor (Beta)'!$C$90="Challenge prompt",E568,IF('Paste Editor (Beta)'!$C$90="Reroll class prompt",S567,IF('Paste Editor (Beta)'!$C$90="Swap hero prompt",S567,IF('Paste Editor (Beta)'!$C$90="Anvil prompt",AD567,"")))))))</f>
        <v>0</v>
      </c>
    </row>
    <row r="568" spans="2:37" ht="17.25">
      <c r="B568" s="284" t="s">
        <v>2559</v>
      </c>
      <c r="C568" s="284" t="s">
        <v>2559</v>
      </c>
      <c r="D568" s="284" t="s">
        <v>2559</v>
      </c>
      <c r="AH568" s="280" t="str">
        <f>IF('Paste Editor (Beta)'!$C$82="Level-up prompt",G569,IF('Paste Editor (Beta)'!$C$82="Item prompt",E569,IF('Paste Editor (Beta)'!$C$82="Modifier prompt","'"&amp;B569,IF('Paste Editor (Beta)'!$C$82="Challenge prompt",L569,IF('Paste Editor (Beta)'!$C$82="Reroll class prompt",S568,IF('Paste Editor (Beta)'!$C$82="Swap hero prompt",S568,IF('Paste Editor (Beta)'!$C$82="Anvil prompt",AD568,"")))))))</f>
        <v/>
      </c>
      <c r="AI568" s="280" t="str">
        <f>IF('Paste Editor (Beta)'!$C$82="Level-up prompt",G569,IF('Paste Editor (Beta)'!$C$82="Item prompt",E569,IF('Paste Editor (Beta)'!$C$82="Modifier prompt","'"&amp;B569,IF('Paste Editor (Beta)'!$C$82="Challenge prompt",E569,IF('Paste Editor (Beta)'!$C$82="Reroll class prompt",S568,IF('Paste Editor (Beta)'!$C$82="Swap hero prompt",S568,IF('Paste Editor (Beta)'!$C$82="Anvil prompt",AD568,"")))))))</f>
        <v/>
      </c>
      <c r="AJ568" s="283">
        <f>IF('Paste Editor (Beta)'!$C$90="Level-up prompt",G569,IF('Paste Editor (Beta)'!$C$90="Item prompt",E569,IF('Paste Editor (Beta)'!$C$90="Modifier prompt","'"&amp;B569,IF('Paste Editor (Beta)'!$C$90="Challenge prompt",L569,IF('Paste Editor (Beta)'!$C$90="Reroll class prompt",S568,IF('Paste Editor (Beta)'!$C$90="Swap hero prompt",S568,IF('Paste Editor (Beta)'!$C$90="Anvil prompt",AD568,"")))))))</f>
        <v>0</v>
      </c>
      <c r="AK568" s="283">
        <f>IF('Paste Editor (Beta)'!$C$90="Level-up prompt",G569,IF('Paste Editor (Beta)'!$C$90="Item prompt",E569,IF('Paste Editor (Beta)'!$C$90="Modifier prompt","'"&amp;B569,IF('Paste Editor (Beta)'!$C$90="Challenge prompt",E569,IF('Paste Editor (Beta)'!$C$90="Reroll class prompt",S568,IF('Paste Editor (Beta)'!$C$90="Swap hero prompt",S568,IF('Paste Editor (Beta)'!$C$90="Anvil prompt",AD568,"")))))))</f>
        <v>0</v>
      </c>
    </row>
    <row r="569" spans="2:37" ht="17.25">
      <c r="B569" s="284" t="s">
        <v>3006</v>
      </c>
      <c r="C569" s="284" t="s">
        <v>3006</v>
      </c>
      <c r="D569" s="284" t="s">
        <v>3006</v>
      </c>
      <c r="AH569" s="280" t="str">
        <f>IF('Paste Editor (Beta)'!$C$82="Level-up prompt",G570,IF('Paste Editor (Beta)'!$C$82="Item prompt",E570,IF('Paste Editor (Beta)'!$C$82="Modifier prompt","'"&amp;B570,IF('Paste Editor (Beta)'!$C$82="Challenge prompt",L570,IF('Paste Editor (Beta)'!$C$82="Reroll class prompt",S569,IF('Paste Editor (Beta)'!$C$82="Swap hero prompt",S569,IF('Paste Editor (Beta)'!$C$82="Anvil prompt",AD569,"")))))))</f>
        <v/>
      </c>
      <c r="AI569" s="280" t="str">
        <f>IF('Paste Editor (Beta)'!$C$82="Level-up prompt",G570,IF('Paste Editor (Beta)'!$C$82="Item prompt",E570,IF('Paste Editor (Beta)'!$C$82="Modifier prompt","'"&amp;B570,IF('Paste Editor (Beta)'!$C$82="Challenge prompt",E570,IF('Paste Editor (Beta)'!$C$82="Reroll class prompt",S569,IF('Paste Editor (Beta)'!$C$82="Swap hero prompt",S569,IF('Paste Editor (Beta)'!$C$82="Anvil prompt",AD569,"")))))))</f>
        <v/>
      </c>
      <c r="AJ569" s="283">
        <f>IF('Paste Editor (Beta)'!$C$90="Level-up prompt",G570,IF('Paste Editor (Beta)'!$C$90="Item prompt",E570,IF('Paste Editor (Beta)'!$C$90="Modifier prompt","'"&amp;B570,IF('Paste Editor (Beta)'!$C$90="Challenge prompt",L570,IF('Paste Editor (Beta)'!$C$90="Reroll class prompt",S569,IF('Paste Editor (Beta)'!$C$90="Swap hero prompt",S569,IF('Paste Editor (Beta)'!$C$90="Anvil prompt",AD569,"")))))))</f>
        <v>0</v>
      </c>
      <c r="AK569" s="283">
        <f>IF('Paste Editor (Beta)'!$C$90="Level-up prompt",G570,IF('Paste Editor (Beta)'!$C$90="Item prompt",E570,IF('Paste Editor (Beta)'!$C$90="Modifier prompt","'"&amp;B570,IF('Paste Editor (Beta)'!$C$90="Challenge prompt",E570,IF('Paste Editor (Beta)'!$C$90="Reroll class prompt",S569,IF('Paste Editor (Beta)'!$C$90="Swap hero prompt",S569,IF('Paste Editor (Beta)'!$C$90="Anvil prompt",AD569,"")))))))</f>
        <v>0</v>
      </c>
    </row>
    <row r="570" spans="2:37" ht="17.25">
      <c r="B570" s="284" t="s">
        <v>3033</v>
      </c>
      <c r="C570" s="284" t="s">
        <v>3033</v>
      </c>
      <c r="D570" s="284" t="s">
        <v>3033</v>
      </c>
      <c r="AH570" s="280" t="str">
        <f>IF('Paste Editor (Beta)'!$C$82="Level-up prompt",G571,IF('Paste Editor (Beta)'!$C$82="Item prompt",E571,IF('Paste Editor (Beta)'!$C$82="Modifier prompt","'"&amp;B571,IF('Paste Editor (Beta)'!$C$82="Challenge prompt",L571,IF('Paste Editor (Beta)'!$C$82="Reroll class prompt",S570,IF('Paste Editor (Beta)'!$C$82="Swap hero prompt",S570,IF('Paste Editor (Beta)'!$C$82="Anvil prompt",AD570,"")))))))</f>
        <v/>
      </c>
      <c r="AI570" s="280" t="str">
        <f>IF('Paste Editor (Beta)'!$C$82="Level-up prompt",G571,IF('Paste Editor (Beta)'!$C$82="Item prompt",E571,IF('Paste Editor (Beta)'!$C$82="Modifier prompt","'"&amp;B571,IF('Paste Editor (Beta)'!$C$82="Challenge prompt",E571,IF('Paste Editor (Beta)'!$C$82="Reroll class prompt",S570,IF('Paste Editor (Beta)'!$C$82="Swap hero prompt",S570,IF('Paste Editor (Beta)'!$C$82="Anvil prompt",AD570,"")))))))</f>
        <v/>
      </c>
      <c r="AJ570" s="283">
        <f>IF('Paste Editor (Beta)'!$C$90="Level-up prompt",G571,IF('Paste Editor (Beta)'!$C$90="Item prompt",E571,IF('Paste Editor (Beta)'!$C$90="Modifier prompt","'"&amp;B571,IF('Paste Editor (Beta)'!$C$90="Challenge prompt",L571,IF('Paste Editor (Beta)'!$C$90="Reroll class prompt",S570,IF('Paste Editor (Beta)'!$C$90="Swap hero prompt",S570,IF('Paste Editor (Beta)'!$C$90="Anvil prompt",AD570,"")))))))</f>
        <v>0</v>
      </c>
      <c r="AK570" s="283">
        <f>IF('Paste Editor (Beta)'!$C$90="Level-up prompt",G571,IF('Paste Editor (Beta)'!$C$90="Item prompt",E571,IF('Paste Editor (Beta)'!$C$90="Modifier prompt","'"&amp;B571,IF('Paste Editor (Beta)'!$C$90="Challenge prompt",E571,IF('Paste Editor (Beta)'!$C$90="Reroll class prompt",S570,IF('Paste Editor (Beta)'!$C$90="Swap hero prompt",S570,IF('Paste Editor (Beta)'!$C$90="Anvil prompt",AD570,"")))))))</f>
        <v>0</v>
      </c>
    </row>
    <row r="571" spans="2:37" ht="17.25">
      <c r="B571" s="284" t="s">
        <v>3099</v>
      </c>
      <c r="C571" s="284" t="s">
        <v>3099</v>
      </c>
      <c r="D571" s="284" t="s">
        <v>3099</v>
      </c>
      <c r="AH571" s="280" t="str">
        <f>IF('Paste Editor (Beta)'!$C$82="Level-up prompt",G572,IF('Paste Editor (Beta)'!$C$82="Item prompt",E572,IF('Paste Editor (Beta)'!$C$82="Modifier prompt","'"&amp;B572,IF('Paste Editor (Beta)'!$C$82="Challenge prompt",L572,IF('Paste Editor (Beta)'!$C$82="Reroll class prompt",S571,IF('Paste Editor (Beta)'!$C$82="Swap hero prompt",S571,IF('Paste Editor (Beta)'!$C$82="Anvil prompt",AD571,"")))))))</f>
        <v/>
      </c>
      <c r="AI571" s="280" t="str">
        <f>IF('Paste Editor (Beta)'!$C$82="Level-up prompt",G572,IF('Paste Editor (Beta)'!$C$82="Item prompt",E572,IF('Paste Editor (Beta)'!$C$82="Modifier prompt","'"&amp;B572,IF('Paste Editor (Beta)'!$C$82="Challenge prompt",E572,IF('Paste Editor (Beta)'!$C$82="Reroll class prompt",S571,IF('Paste Editor (Beta)'!$C$82="Swap hero prompt",S571,IF('Paste Editor (Beta)'!$C$82="Anvil prompt",AD571,"")))))))</f>
        <v/>
      </c>
      <c r="AJ571" s="283">
        <f>IF('Paste Editor (Beta)'!$C$90="Level-up prompt",G572,IF('Paste Editor (Beta)'!$C$90="Item prompt",E572,IF('Paste Editor (Beta)'!$C$90="Modifier prompt","'"&amp;B572,IF('Paste Editor (Beta)'!$C$90="Challenge prompt",L572,IF('Paste Editor (Beta)'!$C$90="Reroll class prompt",S571,IF('Paste Editor (Beta)'!$C$90="Swap hero prompt",S571,IF('Paste Editor (Beta)'!$C$90="Anvil prompt",AD571,"")))))))</f>
        <v>0</v>
      </c>
      <c r="AK571" s="283">
        <f>IF('Paste Editor (Beta)'!$C$90="Level-up prompt",G572,IF('Paste Editor (Beta)'!$C$90="Item prompt",E572,IF('Paste Editor (Beta)'!$C$90="Modifier prompt","'"&amp;B572,IF('Paste Editor (Beta)'!$C$90="Challenge prompt",E572,IF('Paste Editor (Beta)'!$C$90="Reroll class prompt",S571,IF('Paste Editor (Beta)'!$C$90="Swap hero prompt",S571,IF('Paste Editor (Beta)'!$C$90="Anvil prompt",AD571,"")))))))</f>
        <v>0</v>
      </c>
    </row>
    <row r="572" spans="2:37" ht="17.25">
      <c r="B572" s="284" t="s">
        <v>3031</v>
      </c>
      <c r="C572" s="284" t="s">
        <v>3031</v>
      </c>
      <c r="D572" s="284" t="s">
        <v>3031</v>
      </c>
      <c r="AH572" s="280" t="str">
        <f>IF('Paste Editor (Beta)'!$C$82="Level-up prompt",G573,IF('Paste Editor (Beta)'!$C$82="Item prompt",E573,IF('Paste Editor (Beta)'!$C$82="Modifier prompt","'"&amp;B573,IF('Paste Editor (Beta)'!$C$82="Challenge prompt",L573,IF('Paste Editor (Beta)'!$C$82="Reroll class prompt",S572,IF('Paste Editor (Beta)'!$C$82="Swap hero prompt",S572,IF('Paste Editor (Beta)'!$C$82="Anvil prompt",AD572,"")))))))</f>
        <v/>
      </c>
      <c r="AI572" s="280" t="str">
        <f>IF('Paste Editor (Beta)'!$C$82="Level-up prompt",G573,IF('Paste Editor (Beta)'!$C$82="Item prompt",E573,IF('Paste Editor (Beta)'!$C$82="Modifier prompt","'"&amp;B573,IF('Paste Editor (Beta)'!$C$82="Challenge prompt",E573,IF('Paste Editor (Beta)'!$C$82="Reroll class prompt",S572,IF('Paste Editor (Beta)'!$C$82="Swap hero prompt",S572,IF('Paste Editor (Beta)'!$C$82="Anvil prompt",AD572,"")))))))</f>
        <v/>
      </c>
      <c r="AJ572" s="283">
        <f>IF('Paste Editor (Beta)'!$C$90="Level-up prompt",G573,IF('Paste Editor (Beta)'!$C$90="Item prompt",E573,IF('Paste Editor (Beta)'!$C$90="Modifier prompt","'"&amp;B573,IF('Paste Editor (Beta)'!$C$90="Challenge prompt",L573,IF('Paste Editor (Beta)'!$C$90="Reroll class prompt",S572,IF('Paste Editor (Beta)'!$C$90="Swap hero prompt",S572,IF('Paste Editor (Beta)'!$C$90="Anvil prompt",AD572,"")))))))</f>
        <v>0</v>
      </c>
      <c r="AK572" s="283">
        <f>IF('Paste Editor (Beta)'!$C$90="Level-up prompt",G573,IF('Paste Editor (Beta)'!$C$90="Item prompt",E573,IF('Paste Editor (Beta)'!$C$90="Modifier prompt","'"&amp;B573,IF('Paste Editor (Beta)'!$C$90="Challenge prompt",E573,IF('Paste Editor (Beta)'!$C$90="Reroll class prompt",S572,IF('Paste Editor (Beta)'!$C$90="Swap hero prompt",S572,IF('Paste Editor (Beta)'!$C$90="Anvil prompt",AD572,"")))))))</f>
        <v>0</v>
      </c>
    </row>
    <row r="573" spans="2:37" ht="17.25">
      <c r="B573" s="284" t="s">
        <v>3029</v>
      </c>
      <c r="C573" s="284" t="s">
        <v>3029</v>
      </c>
      <c r="D573" s="284" t="s">
        <v>3029</v>
      </c>
      <c r="AH573" s="280" t="str">
        <f>IF('Paste Editor (Beta)'!$C$82="Level-up prompt",G574,IF('Paste Editor (Beta)'!$C$82="Item prompt",E574,IF('Paste Editor (Beta)'!$C$82="Modifier prompt","'"&amp;B574,IF('Paste Editor (Beta)'!$C$82="Challenge prompt",L574,IF('Paste Editor (Beta)'!$C$82="Reroll class prompt",S573,IF('Paste Editor (Beta)'!$C$82="Swap hero prompt",S573,IF('Paste Editor (Beta)'!$C$82="Anvil prompt",AD573,"")))))))</f>
        <v/>
      </c>
      <c r="AI573" s="280" t="str">
        <f>IF('Paste Editor (Beta)'!$C$82="Level-up prompt",G574,IF('Paste Editor (Beta)'!$C$82="Item prompt",E574,IF('Paste Editor (Beta)'!$C$82="Modifier prompt","'"&amp;B574,IF('Paste Editor (Beta)'!$C$82="Challenge prompt",E574,IF('Paste Editor (Beta)'!$C$82="Reroll class prompt",S573,IF('Paste Editor (Beta)'!$C$82="Swap hero prompt",S573,IF('Paste Editor (Beta)'!$C$82="Anvil prompt",AD573,"")))))))</f>
        <v/>
      </c>
      <c r="AJ573" s="283">
        <f>IF('Paste Editor (Beta)'!$C$90="Level-up prompt",G574,IF('Paste Editor (Beta)'!$C$90="Item prompt",E574,IF('Paste Editor (Beta)'!$C$90="Modifier prompt","'"&amp;B574,IF('Paste Editor (Beta)'!$C$90="Challenge prompt",L574,IF('Paste Editor (Beta)'!$C$90="Reroll class prompt",S573,IF('Paste Editor (Beta)'!$C$90="Swap hero prompt",S573,IF('Paste Editor (Beta)'!$C$90="Anvil prompt",AD573,"")))))))</f>
        <v>0</v>
      </c>
      <c r="AK573" s="283">
        <f>IF('Paste Editor (Beta)'!$C$90="Level-up prompt",G574,IF('Paste Editor (Beta)'!$C$90="Item prompt",E574,IF('Paste Editor (Beta)'!$C$90="Modifier prompt","'"&amp;B574,IF('Paste Editor (Beta)'!$C$90="Challenge prompt",E574,IF('Paste Editor (Beta)'!$C$90="Reroll class prompt",S573,IF('Paste Editor (Beta)'!$C$90="Swap hero prompt",S573,IF('Paste Editor (Beta)'!$C$90="Anvil prompt",AD573,"")))))))</f>
        <v>0</v>
      </c>
    </row>
    <row r="574" spans="2:37" ht="17.25">
      <c r="B574" s="284" t="s">
        <v>3087</v>
      </c>
      <c r="C574" s="284" t="s">
        <v>3087</v>
      </c>
      <c r="D574" s="284" t="s">
        <v>3087</v>
      </c>
      <c r="AH574" s="280" t="str">
        <f>IF('Paste Editor (Beta)'!$C$82="Level-up prompt",G575,IF('Paste Editor (Beta)'!$C$82="Item prompt",E575,IF('Paste Editor (Beta)'!$C$82="Modifier prompt","'"&amp;B575,IF('Paste Editor (Beta)'!$C$82="Challenge prompt",L575,IF('Paste Editor (Beta)'!$C$82="Reroll class prompt",S574,IF('Paste Editor (Beta)'!$C$82="Swap hero prompt",S574,IF('Paste Editor (Beta)'!$C$82="Anvil prompt",AD574,"")))))))</f>
        <v/>
      </c>
      <c r="AI574" s="280" t="str">
        <f>IF('Paste Editor (Beta)'!$C$82="Level-up prompt",G575,IF('Paste Editor (Beta)'!$C$82="Item prompt",E575,IF('Paste Editor (Beta)'!$C$82="Modifier prompt","'"&amp;B575,IF('Paste Editor (Beta)'!$C$82="Challenge prompt",E575,IF('Paste Editor (Beta)'!$C$82="Reroll class prompt",S574,IF('Paste Editor (Beta)'!$C$82="Swap hero prompt",S574,IF('Paste Editor (Beta)'!$C$82="Anvil prompt",AD574,"")))))))</f>
        <v/>
      </c>
      <c r="AJ574" s="283">
        <f>IF('Paste Editor (Beta)'!$C$90="Level-up prompt",G575,IF('Paste Editor (Beta)'!$C$90="Item prompt",E575,IF('Paste Editor (Beta)'!$C$90="Modifier prompt","'"&amp;B575,IF('Paste Editor (Beta)'!$C$90="Challenge prompt",L575,IF('Paste Editor (Beta)'!$C$90="Reroll class prompt",S574,IF('Paste Editor (Beta)'!$C$90="Swap hero prompt",S574,IF('Paste Editor (Beta)'!$C$90="Anvil prompt",AD574,"")))))))</f>
        <v>0</v>
      </c>
      <c r="AK574" s="283">
        <f>IF('Paste Editor (Beta)'!$C$90="Level-up prompt",G575,IF('Paste Editor (Beta)'!$C$90="Item prompt",E575,IF('Paste Editor (Beta)'!$C$90="Modifier prompt","'"&amp;B575,IF('Paste Editor (Beta)'!$C$90="Challenge prompt",E575,IF('Paste Editor (Beta)'!$C$90="Reroll class prompt",S574,IF('Paste Editor (Beta)'!$C$90="Swap hero prompt",S574,IF('Paste Editor (Beta)'!$C$90="Anvil prompt",AD574,"")))))))</f>
        <v>0</v>
      </c>
    </row>
    <row r="575" spans="2:37" ht="17.25">
      <c r="B575" s="284" t="s">
        <v>3097</v>
      </c>
      <c r="C575" s="284" t="s">
        <v>3097</v>
      </c>
      <c r="D575" s="284" t="s">
        <v>3097</v>
      </c>
      <c r="AH575" s="280" t="str">
        <f>IF('Paste Editor (Beta)'!$C$82="Level-up prompt",G576,IF('Paste Editor (Beta)'!$C$82="Item prompt",E576,IF('Paste Editor (Beta)'!$C$82="Modifier prompt","'"&amp;B576,IF('Paste Editor (Beta)'!$C$82="Challenge prompt",L576,IF('Paste Editor (Beta)'!$C$82="Reroll class prompt",S575,IF('Paste Editor (Beta)'!$C$82="Swap hero prompt",S575,IF('Paste Editor (Beta)'!$C$82="Anvil prompt",AD575,"")))))))</f>
        <v/>
      </c>
      <c r="AI575" s="280" t="str">
        <f>IF('Paste Editor (Beta)'!$C$82="Level-up prompt",G576,IF('Paste Editor (Beta)'!$C$82="Item prompt",E576,IF('Paste Editor (Beta)'!$C$82="Modifier prompt","'"&amp;B576,IF('Paste Editor (Beta)'!$C$82="Challenge prompt",E576,IF('Paste Editor (Beta)'!$C$82="Reroll class prompt",S575,IF('Paste Editor (Beta)'!$C$82="Swap hero prompt",S575,IF('Paste Editor (Beta)'!$C$82="Anvil prompt",AD575,"")))))))</f>
        <v/>
      </c>
      <c r="AJ575" s="283">
        <f>IF('Paste Editor (Beta)'!$C$90="Level-up prompt",G576,IF('Paste Editor (Beta)'!$C$90="Item prompt",E576,IF('Paste Editor (Beta)'!$C$90="Modifier prompt","'"&amp;B576,IF('Paste Editor (Beta)'!$C$90="Challenge prompt",L576,IF('Paste Editor (Beta)'!$C$90="Reroll class prompt",S575,IF('Paste Editor (Beta)'!$C$90="Swap hero prompt",S575,IF('Paste Editor (Beta)'!$C$90="Anvil prompt",AD575,"")))))))</f>
        <v>0</v>
      </c>
      <c r="AK575" s="283">
        <f>IF('Paste Editor (Beta)'!$C$90="Level-up prompt",G576,IF('Paste Editor (Beta)'!$C$90="Item prompt",E576,IF('Paste Editor (Beta)'!$C$90="Modifier prompt","'"&amp;B576,IF('Paste Editor (Beta)'!$C$90="Challenge prompt",E576,IF('Paste Editor (Beta)'!$C$90="Reroll class prompt",S575,IF('Paste Editor (Beta)'!$C$90="Swap hero prompt",S575,IF('Paste Editor (Beta)'!$C$90="Anvil prompt",AD575,"")))))))</f>
        <v>0</v>
      </c>
    </row>
    <row r="576" spans="2:37" ht="17.25">
      <c r="B576" s="284" t="s">
        <v>2961</v>
      </c>
      <c r="C576" s="284" t="s">
        <v>2961</v>
      </c>
      <c r="D576" s="284" t="s">
        <v>2961</v>
      </c>
      <c r="AH576" s="280" t="str">
        <f>IF('Paste Editor (Beta)'!$C$82="Level-up prompt",G577,IF('Paste Editor (Beta)'!$C$82="Item prompt",E577,IF('Paste Editor (Beta)'!$C$82="Modifier prompt","'"&amp;B577,IF('Paste Editor (Beta)'!$C$82="Challenge prompt",L577,IF('Paste Editor (Beta)'!$C$82="Reroll class prompt",S576,IF('Paste Editor (Beta)'!$C$82="Swap hero prompt",S576,IF('Paste Editor (Beta)'!$C$82="Anvil prompt",AD576,"")))))))</f>
        <v/>
      </c>
      <c r="AI576" s="280" t="str">
        <f>IF('Paste Editor (Beta)'!$C$82="Level-up prompt",G577,IF('Paste Editor (Beta)'!$C$82="Item prompt",E577,IF('Paste Editor (Beta)'!$C$82="Modifier prompt","'"&amp;B577,IF('Paste Editor (Beta)'!$C$82="Challenge prompt",E577,IF('Paste Editor (Beta)'!$C$82="Reroll class prompt",S576,IF('Paste Editor (Beta)'!$C$82="Swap hero prompt",S576,IF('Paste Editor (Beta)'!$C$82="Anvil prompt",AD576,"")))))))</f>
        <v/>
      </c>
      <c r="AJ576" s="283">
        <f>IF('Paste Editor (Beta)'!$C$90="Level-up prompt",G577,IF('Paste Editor (Beta)'!$C$90="Item prompt",E577,IF('Paste Editor (Beta)'!$C$90="Modifier prompt","'"&amp;B577,IF('Paste Editor (Beta)'!$C$90="Challenge prompt",L577,IF('Paste Editor (Beta)'!$C$90="Reroll class prompt",S576,IF('Paste Editor (Beta)'!$C$90="Swap hero prompt",S576,IF('Paste Editor (Beta)'!$C$90="Anvil prompt",AD576,"")))))))</f>
        <v>0</v>
      </c>
      <c r="AK576" s="283">
        <f>IF('Paste Editor (Beta)'!$C$90="Level-up prompt",G577,IF('Paste Editor (Beta)'!$C$90="Item prompt",E577,IF('Paste Editor (Beta)'!$C$90="Modifier prompt","'"&amp;B577,IF('Paste Editor (Beta)'!$C$90="Challenge prompt",E577,IF('Paste Editor (Beta)'!$C$90="Reroll class prompt",S576,IF('Paste Editor (Beta)'!$C$90="Swap hero prompt",S576,IF('Paste Editor (Beta)'!$C$90="Anvil prompt",AD576,"")))))))</f>
        <v>0</v>
      </c>
    </row>
    <row r="577" spans="2:37" ht="17.25">
      <c r="B577" s="284" t="s">
        <v>2905</v>
      </c>
      <c r="C577" s="284" t="s">
        <v>2905</v>
      </c>
      <c r="D577" s="284" t="s">
        <v>2905</v>
      </c>
      <c r="AH577" s="280" t="str">
        <f>IF('Paste Editor (Beta)'!$C$82="Level-up prompt",G578,IF('Paste Editor (Beta)'!$C$82="Item prompt",E578,IF('Paste Editor (Beta)'!$C$82="Modifier prompt","'"&amp;B578,IF('Paste Editor (Beta)'!$C$82="Challenge prompt",L578,IF('Paste Editor (Beta)'!$C$82="Reroll class prompt",S577,IF('Paste Editor (Beta)'!$C$82="Swap hero prompt",S577,IF('Paste Editor (Beta)'!$C$82="Anvil prompt",AD577,"")))))))</f>
        <v/>
      </c>
      <c r="AI577" s="280" t="str">
        <f>IF('Paste Editor (Beta)'!$C$82="Level-up prompt",G578,IF('Paste Editor (Beta)'!$C$82="Item prompt",E578,IF('Paste Editor (Beta)'!$C$82="Modifier prompt","'"&amp;B578,IF('Paste Editor (Beta)'!$C$82="Challenge prompt",E578,IF('Paste Editor (Beta)'!$C$82="Reroll class prompt",S577,IF('Paste Editor (Beta)'!$C$82="Swap hero prompt",S577,IF('Paste Editor (Beta)'!$C$82="Anvil prompt",AD577,"")))))))</f>
        <v/>
      </c>
      <c r="AJ577" s="283">
        <f>IF('Paste Editor (Beta)'!$C$90="Level-up prompt",G578,IF('Paste Editor (Beta)'!$C$90="Item prompt",E578,IF('Paste Editor (Beta)'!$C$90="Modifier prompt","'"&amp;B578,IF('Paste Editor (Beta)'!$C$90="Challenge prompt",L578,IF('Paste Editor (Beta)'!$C$90="Reroll class prompt",S577,IF('Paste Editor (Beta)'!$C$90="Swap hero prompt",S577,IF('Paste Editor (Beta)'!$C$90="Anvil prompt",AD577,"")))))))</f>
        <v>0</v>
      </c>
      <c r="AK577" s="283">
        <f>IF('Paste Editor (Beta)'!$C$90="Level-up prompt",G578,IF('Paste Editor (Beta)'!$C$90="Item prompt",E578,IF('Paste Editor (Beta)'!$C$90="Modifier prompt","'"&amp;B578,IF('Paste Editor (Beta)'!$C$90="Challenge prompt",E578,IF('Paste Editor (Beta)'!$C$90="Reroll class prompt",S577,IF('Paste Editor (Beta)'!$C$90="Swap hero prompt",S577,IF('Paste Editor (Beta)'!$C$90="Anvil prompt",AD577,"")))))))</f>
        <v>0</v>
      </c>
    </row>
    <row r="578" spans="2:37" ht="17.25">
      <c r="B578" s="284" t="s">
        <v>2983</v>
      </c>
      <c r="C578" s="284" t="s">
        <v>2983</v>
      </c>
      <c r="D578" s="284" t="s">
        <v>2983</v>
      </c>
      <c r="AH578" s="280" t="str">
        <f>IF('Paste Editor (Beta)'!$C$82="Level-up prompt",G579,IF('Paste Editor (Beta)'!$C$82="Item prompt",E579,IF('Paste Editor (Beta)'!$C$82="Modifier prompt","'"&amp;B579,IF('Paste Editor (Beta)'!$C$82="Challenge prompt",L579,IF('Paste Editor (Beta)'!$C$82="Reroll class prompt",S578,IF('Paste Editor (Beta)'!$C$82="Swap hero prompt",S578,IF('Paste Editor (Beta)'!$C$82="Anvil prompt",AD578,"")))))))</f>
        <v/>
      </c>
      <c r="AI578" s="280" t="str">
        <f>IF('Paste Editor (Beta)'!$C$82="Level-up prompt",G579,IF('Paste Editor (Beta)'!$C$82="Item prompt",E579,IF('Paste Editor (Beta)'!$C$82="Modifier prompt","'"&amp;B579,IF('Paste Editor (Beta)'!$C$82="Challenge prompt",E579,IF('Paste Editor (Beta)'!$C$82="Reroll class prompt",S578,IF('Paste Editor (Beta)'!$C$82="Swap hero prompt",S578,IF('Paste Editor (Beta)'!$C$82="Anvil prompt",AD578,"")))))))</f>
        <v/>
      </c>
      <c r="AJ578" s="283">
        <f>IF('Paste Editor (Beta)'!$C$90="Level-up prompt",G579,IF('Paste Editor (Beta)'!$C$90="Item prompt",E579,IF('Paste Editor (Beta)'!$C$90="Modifier prompt","'"&amp;B579,IF('Paste Editor (Beta)'!$C$90="Challenge prompt",L579,IF('Paste Editor (Beta)'!$C$90="Reroll class prompt",S578,IF('Paste Editor (Beta)'!$C$90="Swap hero prompt",S578,IF('Paste Editor (Beta)'!$C$90="Anvil prompt",AD578,"")))))))</f>
        <v>0</v>
      </c>
      <c r="AK578" s="283">
        <f>IF('Paste Editor (Beta)'!$C$90="Level-up prompt",G579,IF('Paste Editor (Beta)'!$C$90="Item prompt",E579,IF('Paste Editor (Beta)'!$C$90="Modifier prompt","'"&amp;B579,IF('Paste Editor (Beta)'!$C$90="Challenge prompt",E579,IF('Paste Editor (Beta)'!$C$90="Reroll class prompt",S578,IF('Paste Editor (Beta)'!$C$90="Swap hero prompt",S578,IF('Paste Editor (Beta)'!$C$90="Anvil prompt",AD578,"")))))))</f>
        <v>0</v>
      </c>
    </row>
    <row r="579" spans="2:37" ht="17.25">
      <c r="B579" s="284" t="s">
        <v>2436</v>
      </c>
      <c r="C579" s="284" t="s">
        <v>2436</v>
      </c>
      <c r="D579" s="284" t="s">
        <v>2436</v>
      </c>
      <c r="AH579" s="280" t="str">
        <f>IF('Paste Editor (Beta)'!$C$82="Level-up prompt",G580,IF('Paste Editor (Beta)'!$C$82="Item prompt",E580,IF('Paste Editor (Beta)'!$C$82="Modifier prompt","'"&amp;B580,IF('Paste Editor (Beta)'!$C$82="Challenge prompt",L580,IF('Paste Editor (Beta)'!$C$82="Reroll class prompt",S579,IF('Paste Editor (Beta)'!$C$82="Swap hero prompt",S579,IF('Paste Editor (Beta)'!$C$82="Anvil prompt",AD579,"")))))))</f>
        <v/>
      </c>
      <c r="AI579" s="280" t="str">
        <f>IF('Paste Editor (Beta)'!$C$82="Level-up prompt",G580,IF('Paste Editor (Beta)'!$C$82="Item prompt",E580,IF('Paste Editor (Beta)'!$C$82="Modifier prompt","'"&amp;B580,IF('Paste Editor (Beta)'!$C$82="Challenge prompt",E580,IF('Paste Editor (Beta)'!$C$82="Reroll class prompt",S579,IF('Paste Editor (Beta)'!$C$82="Swap hero prompt",S579,IF('Paste Editor (Beta)'!$C$82="Anvil prompt",AD579,"")))))))</f>
        <v/>
      </c>
      <c r="AJ579" s="283">
        <f>IF('Paste Editor (Beta)'!$C$90="Level-up prompt",G580,IF('Paste Editor (Beta)'!$C$90="Item prompt",E580,IF('Paste Editor (Beta)'!$C$90="Modifier prompt","'"&amp;B580,IF('Paste Editor (Beta)'!$C$90="Challenge prompt",L580,IF('Paste Editor (Beta)'!$C$90="Reroll class prompt",S579,IF('Paste Editor (Beta)'!$C$90="Swap hero prompt",S579,IF('Paste Editor (Beta)'!$C$90="Anvil prompt",AD579,"")))))))</f>
        <v>0</v>
      </c>
      <c r="AK579" s="283">
        <f>IF('Paste Editor (Beta)'!$C$90="Level-up prompt",G580,IF('Paste Editor (Beta)'!$C$90="Item prompt",E580,IF('Paste Editor (Beta)'!$C$90="Modifier prompt","'"&amp;B580,IF('Paste Editor (Beta)'!$C$90="Challenge prompt",E580,IF('Paste Editor (Beta)'!$C$90="Reroll class prompt",S579,IF('Paste Editor (Beta)'!$C$90="Swap hero prompt",S579,IF('Paste Editor (Beta)'!$C$90="Anvil prompt",AD579,"")))))))</f>
        <v>0</v>
      </c>
    </row>
    <row r="580" spans="2:37" ht="17.25">
      <c r="B580" s="284" t="s">
        <v>1988</v>
      </c>
      <c r="C580" s="284" t="s">
        <v>1988</v>
      </c>
      <c r="D580" s="284" t="s">
        <v>1988</v>
      </c>
      <c r="AH580" s="280" t="str">
        <f>IF('Paste Editor (Beta)'!$C$82="Level-up prompt",G581,IF('Paste Editor (Beta)'!$C$82="Item prompt",E581,IF('Paste Editor (Beta)'!$C$82="Modifier prompt","'"&amp;B581,IF('Paste Editor (Beta)'!$C$82="Challenge prompt",L581,IF('Paste Editor (Beta)'!$C$82="Reroll class prompt",S580,IF('Paste Editor (Beta)'!$C$82="Swap hero prompt",S580,IF('Paste Editor (Beta)'!$C$82="Anvil prompt",AD580,"")))))))</f>
        <v/>
      </c>
      <c r="AI580" s="280" t="str">
        <f>IF('Paste Editor (Beta)'!$C$82="Level-up prompt",G581,IF('Paste Editor (Beta)'!$C$82="Item prompt",E581,IF('Paste Editor (Beta)'!$C$82="Modifier prompt","'"&amp;B581,IF('Paste Editor (Beta)'!$C$82="Challenge prompt",E581,IF('Paste Editor (Beta)'!$C$82="Reroll class prompt",S580,IF('Paste Editor (Beta)'!$C$82="Swap hero prompt",S580,IF('Paste Editor (Beta)'!$C$82="Anvil prompt",AD580,"")))))))</f>
        <v/>
      </c>
      <c r="AJ580" s="283">
        <f>IF('Paste Editor (Beta)'!$C$90="Level-up prompt",G581,IF('Paste Editor (Beta)'!$C$90="Item prompt",E581,IF('Paste Editor (Beta)'!$C$90="Modifier prompt","'"&amp;B581,IF('Paste Editor (Beta)'!$C$90="Challenge prompt",L581,IF('Paste Editor (Beta)'!$C$90="Reroll class prompt",S580,IF('Paste Editor (Beta)'!$C$90="Swap hero prompt",S580,IF('Paste Editor (Beta)'!$C$90="Anvil prompt",AD580,"")))))))</f>
        <v>0</v>
      </c>
      <c r="AK580" s="283">
        <f>IF('Paste Editor (Beta)'!$C$90="Level-up prompt",G581,IF('Paste Editor (Beta)'!$C$90="Item prompt",E581,IF('Paste Editor (Beta)'!$C$90="Modifier prompt","'"&amp;B581,IF('Paste Editor (Beta)'!$C$90="Challenge prompt",E581,IF('Paste Editor (Beta)'!$C$90="Reroll class prompt",S580,IF('Paste Editor (Beta)'!$C$90="Swap hero prompt",S580,IF('Paste Editor (Beta)'!$C$90="Anvil prompt",AD580,"")))))))</f>
        <v>0</v>
      </c>
    </row>
    <row r="581" spans="2:37" ht="17.25">
      <c r="B581" s="284" t="s">
        <v>1990</v>
      </c>
      <c r="C581" s="284" t="s">
        <v>1990</v>
      </c>
      <c r="D581" s="284" t="s">
        <v>1990</v>
      </c>
      <c r="AH581" s="280" t="str">
        <f>IF('Paste Editor (Beta)'!$C$82="Level-up prompt",G582,IF('Paste Editor (Beta)'!$C$82="Item prompt",E582,IF('Paste Editor (Beta)'!$C$82="Modifier prompt","'"&amp;B582,IF('Paste Editor (Beta)'!$C$82="Challenge prompt",L582,IF('Paste Editor (Beta)'!$C$82="Reroll class prompt",S581,IF('Paste Editor (Beta)'!$C$82="Swap hero prompt",S581,IF('Paste Editor (Beta)'!$C$82="Anvil prompt",AD581,"")))))))</f>
        <v/>
      </c>
      <c r="AI581" s="280" t="str">
        <f>IF('Paste Editor (Beta)'!$C$82="Level-up prompt",G582,IF('Paste Editor (Beta)'!$C$82="Item prompt",E582,IF('Paste Editor (Beta)'!$C$82="Modifier prompt","'"&amp;B582,IF('Paste Editor (Beta)'!$C$82="Challenge prompt",E582,IF('Paste Editor (Beta)'!$C$82="Reroll class prompt",S581,IF('Paste Editor (Beta)'!$C$82="Swap hero prompt",S581,IF('Paste Editor (Beta)'!$C$82="Anvil prompt",AD581,"")))))))</f>
        <v/>
      </c>
      <c r="AJ581" s="283">
        <f>IF('Paste Editor (Beta)'!$C$90="Level-up prompt",G582,IF('Paste Editor (Beta)'!$C$90="Item prompt",E582,IF('Paste Editor (Beta)'!$C$90="Modifier prompt","'"&amp;B582,IF('Paste Editor (Beta)'!$C$90="Challenge prompt",L582,IF('Paste Editor (Beta)'!$C$90="Reroll class prompt",S581,IF('Paste Editor (Beta)'!$C$90="Swap hero prompt",S581,IF('Paste Editor (Beta)'!$C$90="Anvil prompt",AD581,"")))))))</f>
        <v>0</v>
      </c>
      <c r="AK581" s="283">
        <f>IF('Paste Editor (Beta)'!$C$90="Level-up prompt",G582,IF('Paste Editor (Beta)'!$C$90="Item prompt",E582,IF('Paste Editor (Beta)'!$C$90="Modifier prompt","'"&amp;B582,IF('Paste Editor (Beta)'!$C$90="Challenge prompt",E582,IF('Paste Editor (Beta)'!$C$90="Reroll class prompt",S581,IF('Paste Editor (Beta)'!$C$90="Swap hero prompt",S581,IF('Paste Editor (Beta)'!$C$90="Anvil prompt",AD581,"")))))))</f>
        <v>0</v>
      </c>
    </row>
    <row r="582" spans="2:37" ht="17.25">
      <c r="B582" s="284" t="s">
        <v>2124</v>
      </c>
      <c r="C582" s="284" t="s">
        <v>2124</v>
      </c>
      <c r="D582" s="284" t="s">
        <v>2124</v>
      </c>
      <c r="AH582" s="280" t="str">
        <f>IF('Paste Editor (Beta)'!$C$82="Level-up prompt",G583,IF('Paste Editor (Beta)'!$C$82="Item prompt",E583,IF('Paste Editor (Beta)'!$C$82="Modifier prompt","'"&amp;B583,IF('Paste Editor (Beta)'!$C$82="Challenge prompt",L583,IF('Paste Editor (Beta)'!$C$82="Reroll class prompt",S582,IF('Paste Editor (Beta)'!$C$82="Swap hero prompt",S582,IF('Paste Editor (Beta)'!$C$82="Anvil prompt",AD582,"")))))))</f>
        <v/>
      </c>
      <c r="AI582" s="280" t="str">
        <f>IF('Paste Editor (Beta)'!$C$82="Level-up prompt",G583,IF('Paste Editor (Beta)'!$C$82="Item prompt",E583,IF('Paste Editor (Beta)'!$C$82="Modifier prompt","'"&amp;B583,IF('Paste Editor (Beta)'!$C$82="Challenge prompt",E583,IF('Paste Editor (Beta)'!$C$82="Reroll class prompt",S582,IF('Paste Editor (Beta)'!$C$82="Swap hero prompt",S582,IF('Paste Editor (Beta)'!$C$82="Anvil prompt",AD582,"")))))))</f>
        <v/>
      </c>
      <c r="AJ582" s="283">
        <f>IF('Paste Editor (Beta)'!$C$90="Level-up prompt",G583,IF('Paste Editor (Beta)'!$C$90="Item prompt",E583,IF('Paste Editor (Beta)'!$C$90="Modifier prompt","'"&amp;B583,IF('Paste Editor (Beta)'!$C$90="Challenge prompt",L583,IF('Paste Editor (Beta)'!$C$90="Reroll class prompt",S582,IF('Paste Editor (Beta)'!$C$90="Swap hero prompt",S582,IF('Paste Editor (Beta)'!$C$90="Anvil prompt",AD582,"")))))))</f>
        <v>0</v>
      </c>
      <c r="AK582" s="283">
        <f>IF('Paste Editor (Beta)'!$C$90="Level-up prompt",G583,IF('Paste Editor (Beta)'!$C$90="Item prompt",E583,IF('Paste Editor (Beta)'!$C$90="Modifier prompt","'"&amp;B583,IF('Paste Editor (Beta)'!$C$90="Challenge prompt",E583,IF('Paste Editor (Beta)'!$C$90="Reroll class prompt",S582,IF('Paste Editor (Beta)'!$C$90="Swap hero prompt",S582,IF('Paste Editor (Beta)'!$C$90="Anvil prompt",AD582,"")))))))</f>
        <v>0</v>
      </c>
    </row>
    <row r="583" spans="2:37" ht="17.25">
      <c r="B583" s="284" t="s">
        <v>2226</v>
      </c>
      <c r="C583" s="284" t="s">
        <v>2226</v>
      </c>
      <c r="D583" s="284" t="s">
        <v>2226</v>
      </c>
      <c r="AH583" s="280" t="str">
        <f>IF('Paste Editor (Beta)'!$C$82="Level-up prompt",G584,IF('Paste Editor (Beta)'!$C$82="Item prompt",E584,IF('Paste Editor (Beta)'!$C$82="Modifier prompt","'"&amp;B584,IF('Paste Editor (Beta)'!$C$82="Challenge prompt",L584,IF('Paste Editor (Beta)'!$C$82="Reroll class prompt",S583,IF('Paste Editor (Beta)'!$C$82="Swap hero prompt",S583,IF('Paste Editor (Beta)'!$C$82="Anvil prompt",AD583,"")))))))</f>
        <v/>
      </c>
      <c r="AI583" s="280" t="str">
        <f>IF('Paste Editor (Beta)'!$C$82="Level-up prompt",G584,IF('Paste Editor (Beta)'!$C$82="Item prompt",E584,IF('Paste Editor (Beta)'!$C$82="Modifier prompt","'"&amp;B584,IF('Paste Editor (Beta)'!$C$82="Challenge prompt",E584,IF('Paste Editor (Beta)'!$C$82="Reroll class prompt",S583,IF('Paste Editor (Beta)'!$C$82="Swap hero prompt",S583,IF('Paste Editor (Beta)'!$C$82="Anvil prompt",AD583,"")))))))</f>
        <v/>
      </c>
      <c r="AJ583" s="283">
        <f>IF('Paste Editor (Beta)'!$C$90="Level-up prompt",G584,IF('Paste Editor (Beta)'!$C$90="Item prompt",E584,IF('Paste Editor (Beta)'!$C$90="Modifier prompt","'"&amp;B584,IF('Paste Editor (Beta)'!$C$90="Challenge prompt",L584,IF('Paste Editor (Beta)'!$C$90="Reroll class prompt",S583,IF('Paste Editor (Beta)'!$C$90="Swap hero prompt",S583,IF('Paste Editor (Beta)'!$C$90="Anvil prompt",AD583,"")))))))</f>
        <v>0</v>
      </c>
      <c r="AK583" s="283">
        <f>IF('Paste Editor (Beta)'!$C$90="Level-up prompt",G584,IF('Paste Editor (Beta)'!$C$90="Item prompt",E584,IF('Paste Editor (Beta)'!$C$90="Modifier prompt","'"&amp;B584,IF('Paste Editor (Beta)'!$C$90="Challenge prompt",E584,IF('Paste Editor (Beta)'!$C$90="Reroll class prompt",S583,IF('Paste Editor (Beta)'!$C$90="Swap hero prompt",S583,IF('Paste Editor (Beta)'!$C$90="Anvil prompt",AD583,"")))))))</f>
        <v>0</v>
      </c>
    </row>
    <row r="584" spans="2:37" ht="17.25">
      <c r="B584" s="284" t="s">
        <v>2901</v>
      </c>
      <c r="C584" s="284" t="s">
        <v>2901</v>
      </c>
      <c r="D584" s="284" t="s">
        <v>2901</v>
      </c>
      <c r="AH584" s="280" t="str">
        <f>IF('Paste Editor (Beta)'!$C$82="Level-up prompt",G585,IF('Paste Editor (Beta)'!$C$82="Item prompt",E585,IF('Paste Editor (Beta)'!$C$82="Modifier prompt","'"&amp;B585,IF('Paste Editor (Beta)'!$C$82="Challenge prompt",L585,IF('Paste Editor (Beta)'!$C$82="Reroll class prompt",S584,IF('Paste Editor (Beta)'!$C$82="Swap hero prompt",S584,IF('Paste Editor (Beta)'!$C$82="Anvil prompt",AD584,"")))))))</f>
        <v/>
      </c>
      <c r="AI584" s="280" t="str">
        <f>IF('Paste Editor (Beta)'!$C$82="Level-up prompt",G585,IF('Paste Editor (Beta)'!$C$82="Item prompt",E585,IF('Paste Editor (Beta)'!$C$82="Modifier prompt","'"&amp;B585,IF('Paste Editor (Beta)'!$C$82="Challenge prompt",E585,IF('Paste Editor (Beta)'!$C$82="Reroll class prompt",S584,IF('Paste Editor (Beta)'!$C$82="Swap hero prompt",S584,IF('Paste Editor (Beta)'!$C$82="Anvil prompt",AD584,"")))))))</f>
        <v/>
      </c>
      <c r="AJ584" s="283">
        <f>IF('Paste Editor (Beta)'!$C$90="Level-up prompt",G585,IF('Paste Editor (Beta)'!$C$90="Item prompt",E585,IF('Paste Editor (Beta)'!$C$90="Modifier prompt","'"&amp;B585,IF('Paste Editor (Beta)'!$C$90="Challenge prompt",L585,IF('Paste Editor (Beta)'!$C$90="Reroll class prompt",S584,IF('Paste Editor (Beta)'!$C$90="Swap hero prompt",S584,IF('Paste Editor (Beta)'!$C$90="Anvil prompt",AD584,"")))))))</f>
        <v>0</v>
      </c>
      <c r="AK584" s="283">
        <f>IF('Paste Editor (Beta)'!$C$90="Level-up prompt",G585,IF('Paste Editor (Beta)'!$C$90="Item prompt",E585,IF('Paste Editor (Beta)'!$C$90="Modifier prompt","'"&amp;B585,IF('Paste Editor (Beta)'!$C$90="Challenge prompt",E585,IF('Paste Editor (Beta)'!$C$90="Reroll class prompt",S584,IF('Paste Editor (Beta)'!$C$90="Swap hero prompt",S584,IF('Paste Editor (Beta)'!$C$90="Anvil prompt",AD584,"")))))))</f>
        <v>0</v>
      </c>
    </row>
    <row r="585" spans="2:37" ht="17.25">
      <c r="B585" s="284" t="s">
        <v>2925</v>
      </c>
      <c r="C585" s="284" t="s">
        <v>2925</v>
      </c>
      <c r="D585" s="284" t="s">
        <v>2925</v>
      </c>
      <c r="AH585" s="280" t="str">
        <f>IF('Paste Editor (Beta)'!$C$82="Level-up prompt",G586,IF('Paste Editor (Beta)'!$C$82="Item prompt",E586,IF('Paste Editor (Beta)'!$C$82="Modifier prompt","'"&amp;B586,IF('Paste Editor (Beta)'!$C$82="Challenge prompt",L586,IF('Paste Editor (Beta)'!$C$82="Reroll class prompt",S585,IF('Paste Editor (Beta)'!$C$82="Swap hero prompt",S585,IF('Paste Editor (Beta)'!$C$82="Anvil prompt",AD585,"")))))))</f>
        <v/>
      </c>
      <c r="AI585" s="280" t="str">
        <f>IF('Paste Editor (Beta)'!$C$82="Level-up prompt",G586,IF('Paste Editor (Beta)'!$C$82="Item prompt",E586,IF('Paste Editor (Beta)'!$C$82="Modifier prompt","'"&amp;B586,IF('Paste Editor (Beta)'!$C$82="Challenge prompt",E586,IF('Paste Editor (Beta)'!$C$82="Reroll class prompt",S585,IF('Paste Editor (Beta)'!$C$82="Swap hero prompt",S585,IF('Paste Editor (Beta)'!$C$82="Anvil prompt",AD585,"")))))))</f>
        <v/>
      </c>
      <c r="AJ585" s="283">
        <f>IF('Paste Editor (Beta)'!$C$90="Level-up prompt",G586,IF('Paste Editor (Beta)'!$C$90="Item prompt",E586,IF('Paste Editor (Beta)'!$C$90="Modifier prompt","'"&amp;B586,IF('Paste Editor (Beta)'!$C$90="Challenge prompt",L586,IF('Paste Editor (Beta)'!$C$90="Reroll class prompt",S585,IF('Paste Editor (Beta)'!$C$90="Swap hero prompt",S585,IF('Paste Editor (Beta)'!$C$90="Anvil prompt",AD585,"")))))))</f>
        <v>0</v>
      </c>
      <c r="AK585" s="283">
        <f>IF('Paste Editor (Beta)'!$C$90="Level-up prompt",G586,IF('Paste Editor (Beta)'!$C$90="Item prompt",E586,IF('Paste Editor (Beta)'!$C$90="Modifier prompt","'"&amp;B586,IF('Paste Editor (Beta)'!$C$90="Challenge prompt",E586,IF('Paste Editor (Beta)'!$C$90="Reroll class prompt",S585,IF('Paste Editor (Beta)'!$C$90="Swap hero prompt",S585,IF('Paste Editor (Beta)'!$C$90="Anvil prompt",AD585,"")))))))</f>
        <v>0</v>
      </c>
    </row>
    <row r="586" spans="2:37" ht="17.25">
      <c r="B586" s="284" t="s">
        <v>2247</v>
      </c>
      <c r="C586" s="284" t="s">
        <v>2247</v>
      </c>
      <c r="D586" s="284" t="s">
        <v>2247</v>
      </c>
      <c r="AH586" s="280" t="str">
        <f>IF('Paste Editor (Beta)'!$C$82="Level-up prompt",G587,IF('Paste Editor (Beta)'!$C$82="Item prompt",E587,IF('Paste Editor (Beta)'!$C$82="Modifier prompt","'"&amp;B587,IF('Paste Editor (Beta)'!$C$82="Challenge prompt",L587,IF('Paste Editor (Beta)'!$C$82="Reroll class prompt",S586,IF('Paste Editor (Beta)'!$C$82="Swap hero prompt",S586,IF('Paste Editor (Beta)'!$C$82="Anvil prompt",AD586,"")))))))</f>
        <v/>
      </c>
      <c r="AI586" s="280" t="str">
        <f>IF('Paste Editor (Beta)'!$C$82="Level-up prompt",G587,IF('Paste Editor (Beta)'!$C$82="Item prompt",E587,IF('Paste Editor (Beta)'!$C$82="Modifier prompt","'"&amp;B587,IF('Paste Editor (Beta)'!$C$82="Challenge prompt",E587,IF('Paste Editor (Beta)'!$C$82="Reroll class prompt",S586,IF('Paste Editor (Beta)'!$C$82="Swap hero prompt",S586,IF('Paste Editor (Beta)'!$C$82="Anvil prompt",AD586,"")))))))</f>
        <v/>
      </c>
      <c r="AJ586" s="283">
        <f>IF('Paste Editor (Beta)'!$C$90="Level-up prompt",G587,IF('Paste Editor (Beta)'!$C$90="Item prompt",E587,IF('Paste Editor (Beta)'!$C$90="Modifier prompt","'"&amp;B587,IF('Paste Editor (Beta)'!$C$90="Challenge prompt",L587,IF('Paste Editor (Beta)'!$C$90="Reroll class prompt",S586,IF('Paste Editor (Beta)'!$C$90="Swap hero prompt",S586,IF('Paste Editor (Beta)'!$C$90="Anvil prompt",AD586,"")))))))</f>
        <v>0</v>
      </c>
      <c r="AK586" s="283">
        <f>IF('Paste Editor (Beta)'!$C$90="Level-up prompt",G587,IF('Paste Editor (Beta)'!$C$90="Item prompt",E587,IF('Paste Editor (Beta)'!$C$90="Modifier prompt","'"&amp;B587,IF('Paste Editor (Beta)'!$C$90="Challenge prompt",E587,IF('Paste Editor (Beta)'!$C$90="Reroll class prompt",S586,IF('Paste Editor (Beta)'!$C$90="Swap hero prompt",S586,IF('Paste Editor (Beta)'!$C$90="Anvil prompt",AD586,"")))))))</f>
        <v>0</v>
      </c>
    </row>
    <row r="587" spans="2:37" ht="17.25">
      <c r="B587" s="284" t="s">
        <v>2343</v>
      </c>
      <c r="C587" s="284" t="s">
        <v>2343</v>
      </c>
      <c r="D587" s="284" t="s">
        <v>2343</v>
      </c>
      <c r="AH587" s="280" t="str">
        <f>IF('Paste Editor (Beta)'!$C$82="Level-up prompt",G588,IF('Paste Editor (Beta)'!$C$82="Item prompt",E588,IF('Paste Editor (Beta)'!$C$82="Modifier prompt","'"&amp;B588,IF('Paste Editor (Beta)'!$C$82="Challenge prompt",L588,IF('Paste Editor (Beta)'!$C$82="Reroll class prompt",S587,IF('Paste Editor (Beta)'!$C$82="Swap hero prompt",S587,IF('Paste Editor (Beta)'!$C$82="Anvil prompt",AD587,"")))))))</f>
        <v/>
      </c>
      <c r="AI587" s="280" t="str">
        <f>IF('Paste Editor (Beta)'!$C$82="Level-up prompt",G588,IF('Paste Editor (Beta)'!$C$82="Item prompt",E588,IF('Paste Editor (Beta)'!$C$82="Modifier prompt","'"&amp;B588,IF('Paste Editor (Beta)'!$C$82="Challenge prompt",E588,IF('Paste Editor (Beta)'!$C$82="Reroll class prompt",S587,IF('Paste Editor (Beta)'!$C$82="Swap hero prompt",S587,IF('Paste Editor (Beta)'!$C$82="Anvil prompt",AD587,"")))))))</f>
        <v/>
      </c>
      <c r="AJ587" s="283">
        <f>IF('Paste Editor (Beta)'!$C$90="Level-up prompt",G588,IF('Paste Editor (Beta)'!$C$90="Item prompt",E588,IF('Paste Editor (Beta)'!$C$90="Modifier prompt","'"&amp;B588,IF('Paste Editor (Beta)'!$C$90="Challenge prompt",L588,IF('Paste Editor (Beta)'!$C$90="Reroll class prompt",S587,IF('Paste Editor (Beta)'!$C$90="Swap hero prompt",S587,IF('Paste Editor (Beta)'!$C$90="Anvil prompt",AD587,"")))))))</f>
        <v>0</v>
      </c>
      <c r="AK587" s="283">
        <f>IF('Paste Editor (Beta)'!$C$90="Level-up prompt",G588,IF('Paste Editor (Beta)'!$C$90="Item prompt",E588,IF('Paste Editor (Beta)'!$C$90="Modifier prompt","'"&amp;B588,IF('Paste Editor (Beta)'!$C$90="Challenge prompt",E588,IF('Paste Editor (Beta)'!$C$90="Reroll class prompt",S587,IF('Paste Editor (Beta)'!$C$90="Swap hero prompt",S587,IF('Paste Editor (Beta)'!$C$90="Anvil prompt",AD587,"")))))))</f>
        <v>0</v>
      </c>
    </row>
    <row r="588" spans="2:37" ht="17.25">
      <c r="B588" s="284" t="s">
        <v>2565</v>
      </c>
      <c r="C588" s="284" t="s">
        <v>2565</v>
      </c>
      <c r="D588" s="284" t="s">
        <v>2565</v>
      </c>
      <c r="AH588" s="280" t="str">
        <f>IF('Paste Editor (Beta)'!$C$82="Level-up prompt",G589,IF('Paste Editor (Beta)'!$C$82="Item prompt",E589,IF('Paste Editor (Beta)'!$C$82="Modifier prompt","'"&amp;B589,IF('Paste Editor (Beta)'!$C$82="Challenge prompt",L589,IF('Paste Editor (Beta)'!$C$82="Reroll class prompt",S588,IF('Paste Editor (Beta)'!$C$82="Swap hero prompt",S588,IF('Paste Editor (Beta)'!$C$82="Anvil prompt",AD588,"")))))))</f>
        <v/>
      </c>
      <c r="AI588" s="280" t="str">
        <f>IF('Paste Editor (Beta)'!$C$82="Level-up prompt",G589,IF('Paste Editor (Beta)'!$C$82="Item prompt",E589,IF('Paste Editor (Beta)'!$C$82="Modifier prompt","'"&amp;B589,IF('Paste Editor (Beta)'!$C$82="Challenge prompt",E589,IF('Paste Editor (Beta)'!$C$82="Reroll class prompt",S588,IF('Paste Editor (Beta)'!$C$82="Swap hero prompt",S588,IF('Paste Editor (Beta)'!$C$82="Anvil prompt",AD588,"")))))))</f>
        <v/>
      </c>
      <c r="AJ588" s="283">
        <f>IF('Paste Editor (Beta)'!$C$90="Level-up prompt",G589,IF('Paste Editor (Beta)'!$C$90="Item prompt",E589,IF('Paste Editor (Beta)'!$C$90="Modifier prompt","'"&amp;B589,IF('Paste Editor (Beta)'!$C$90="Challenge prompt",L589,IF('Paste Editor (Beta)'!$C$90="Reroll class prompt",S588,IF('Paste Editor (Beta)'!$C$90="Swap hero prompt",S588,IF('Paste Editor (Beta)'!$C$90="Anvil prompt",AD588,"")))))))</f>
        <v>0</v>
      </c>
      <c r="AK588" s="283">
        <f>IF('Paste Editor (Beta)'!$C$90="Level-up prompt",G589,IF('Paste Editor (Beta)'!$C$90="Item prompt",E589,IF('Paste Editor (Beta)'!$C$90="Modifier prompt","'"&amp;B589,IF('Paste Editor (Beta)'!$C$90="Challenge prompt",E589,IF('Paste Editor (Beta)'!$C$90="Reroll class prompt",S588,IF('Paste Editor (Beta)'!$C$90="Swap hero prompt",S588,IF('Paste Editor (Beta)'!$C$90="Anvil prompt",AD588,"")))))))</f>
        <v>0</v>
      </c>
    </row>
    <row r="589" spans="2:37" ht="17.25">
      <c r="B589" s="284" t="s">
        <v>2989</v>
      </c>
      <c r="C589" s="284" t="s">
        <v>2989</v>
      </c>
      <c r="D589" s="284" t="s">
        <v>2989</v>
      </c>
      <c r="AH589" s="280" t="str">
        <f>IF('Paste Editor (Beta)'!$C$82="Level-up prompt",G590,IF('Paste Editor (Beta)'!$C$82="Item prompt",E590,IF('Paste Editor (Beta)'!$C$82="Modifier prompt","'"&amp;B590,IF('Paste Editor (Beta)'!$C$82="Challenge prompt",L590,IF('Paste Editor (Beta)'!$C$82="Reroll class prompt",S589,IF('Paste Editor (Beta)'!$C$82="Swap hero prompt",S589,IF('Paste Editor (Beta)'!$C$82="Anvil prompt",AD589,"")))))))</f>
        <v/>
      </c>
      <c r="AI589" s="280" t="str">
        <f>IF('Paste Editor (Beta)'!$C$82="Level-up prompt",G590,IF('Paste Editor (Beta)'!$C$82="Item prompt",E590,IF('Paste Editor (Beta)'!$C$82="Modifier prompt","'"&amp;B590,IF('Paste Editor (Beta)'!$C$82="Challenge prompt",E590,IF('Paste Editor (Beta)'!$C$82="Reroll class prompt",S589,IF('Paste Editor (Beta)'!$C$82="Swap hero prompt",S589,IF('Paste Editor (Beta)'!$C$82="Anvil prompt",AD589,"")))))))</f>
        <v/>
      </c>
      <c r="AJ589" s="283">
        <f>IF('Paste Editor (Beta)'!$C$90="Level-up prompt",G590,IF('Paste Editor (Beta)'!$C$90="Item prompt",E590,IF('Paste Editor (Beta)'!$C$90="Modifier prompt","'"&amp;B590,IF('Paste Editor (Beta)'!$C$90="Challenge prompt",L590,IF('Paste Editor (Beta)'!$C$90="Reroll class prompt",S589,IF('Paste Editor (Beta)'!$C$90="Swap hero prompt",S589,IF('Paste Editor (Beta)'!$C$90="Anvil prompt",AD589,"")))))))</f>
        <v>0</v>
      </c>
      <c r="AK589" s="283">
        <f>IF('Paste Editor (Beta)'!$C$90="Level-up prompt",G590,IF('Paste Editor (Beta)'!$C$90="Item prompt",E590,IF('Paste Editor (Beta)'!$C$90="Modifier prompt","'"&amp;B590,IF('Paste Editor (Beta)'!$C$90="Challenge prompt",E590,IF('Paste Editor (Beta)'!$C$90="Reroll class prompt",S589,IF('Paste Editor (Beta)'!$C$90="Swap hero prompt",S589,IF('Paste Editor (Beta)'!$C$90="Anvil prompt",AD589,"")))))))</f>
        <v>0</v>
      </c>
    </row>
    <row r="590" spans="2:37" ht="17.25">
      <c r="B590" s="284" t="s">
        <v>2500</v>
      </c>
      <c r="C590" s="284" t="s">
        <v>2500</v>
      </c>
      <c r="D590" s="284" t="s">
        <v>2500</v>
      </c>
      <c r="AH590" s="280" t="str">
        <f>IF('Paste Editor (Beta)'!$C$82="Level-up prompt",G591,IF('Paste Editor (Beta)'!$C$82="Item prompt",E591,IF('Paste Editor (Beta)'!$C$82="Modifier prompt","'"&amp;B591,IF('Paste Editor (Beta)'!$C$82="Challenge prompt",L591,IF('Paste Editor (Beta)'!$C$82="Reroll class prompt",S590,IF('Paste Editor (Beta)'!$C$82="Swap hero prompt",S590,IF('Paste Editor (Beta)'!$C$82="Anvil prompt",AD590,"")))))))</f>
        <v/>
      </c>
      <c r="AI590" s="280" t="str">
        <f>IF('Paste Editor (Beta)'!$C$82="Level-up prompt",G591,IF('Paste Editor (Beta)'!$C$82="Item prompt",E591,IF('Paste Editor (Beta)'!$C$82="Modifier prompt","'"&amp;B591,IF('Paste Editor (Beta)'!$C$82="Challenge prompt",E591,IF('Paste Editor (Beta)'!$C$82="Reroll class prompt",S590,IF('Paste Editor (Beta)'!$C$82="Swap hero prompt",S590,IF('Paste Editor (Beta)'!$C$82="Anvil prompt",AD590,"")))))))</f>
        <v/>
      </c>
      <c r="AJ590" s="283">
        <f>IF('Paste Editor (Beta)'!$C$90="Level-up prompt",G591,IF('Paste Editor (Beta)'!$C$90="Item prompt",E591,IF('Paste Editor (Beta)'!$C$90="Modifier prompt","'"&amp;B591,IF('Paste Editor (Beta)'!$C$90="Challenge prompt",L591,IF('Paste Editor (Beta)'!$C$90="Reroll class prompt",S590,IF('Paste Editor (Beta)'!$C$90="Swap hero prompt",S590,IF('Paste Editor (Beta)'!$C$90="Anvil prompt",AD590,"")))))))</f>
        <v>0</v>
      </c>
      <c r="AK590" s="283">
        <f>IF('Paste Editor (Beta)'!$C$90="Level-up prompt",G591,IF('Paste Editor (Beta)'!$C$90="Item prompt",E591,IF('Paste Editor (Beta)'!$C$90="Modifier prompt","'"&amp;B591,IF('Paste Editor (Beta)'!$C$90="Challenge prompt",E591,IF('Paste Editor (Beta)'!$C$90="Reroll class prompt",S590,IF('Paste Editor (Beta)'!$C$90="Swap hero prompt",S590,IF('Paste Editor (Beta)'!$C$90="Anvil prompt",AD590,"")))))))</f>
        <v>0</v>
      </c>
    </row>
    <row r="591" spans="2:37" ht="17.25">
      <c r="B591" s="284" t="s">
        <v>2657</v>
      </c>
      <c r="C591" s="284" t="s">
        <v>2657</v>
      </c>
      <c r="D591" s="284" t="s">
        <v>2657</v>
      </c>
      <c r="AH591" s="280" t="str">
        <f>IF('Paste Editor (Beta)'!$C$82="Level-up prompt",G592,IF('Paste Editor (Beta)'!$C$82="Item prompt",E592,IF('Paste Editor (Beta)'!$C$82="Modifier prompt","'"&amp;B592,IF('Paste Editor (Beta)'!$C$82="Challenge prompt",L592,IF('Paste Editor (Beta)'!$C$82="Reroll class prompt",S591,IF('Paste Editor (Beta)'!$C$82="Swap hero prompt",S591,IF('Paste Editor (Beta)'!$C$82="Anvil prompt",AD591,"")))))))</f>
        <v/>
      </c>
      <c r="AI591" s="280" t="str">
        <f>IF('Paste Editor (Beta)'!$C$82="Level-up prompt",G592,IF('Paste Editor (Beta)'!$C$82="Item prompt",E592,IF('Paste Editor (Beta)'!$C$82="Modifier prompt","'"&amp;B592,IF('Paste Editor (Beta)'!$C$82="Challenge prompt",E592,IF('Paste Editor (Beta)'!$C$82="Reroll class prompt",S591,IF('Paste Editor (Beta)'!$C$82="Swap hero prompt",S591,IF('Paste Editor (Beta)'!$C$82="Anvil prompt",AD591,"")))))))</f>
        <v/>
      </c>
      <c r="AJ591" s="283">
        <f>IF('Paste Editor (Beta)'!$C$90="Level-up prompt",G592,IF('Paste Editor (Beta)'!$C$90="Item prompt",E592,IF('Paste Editor (Beta)'!$C$90="Modifier prompt","'"&amp;B592,IF('Paste Editor (Beta)'!$C$90="Challenge prompt",L592,IF('Paste Editor (Beta)'!$C$90="Reroll class prompt",S591,IF('Paste Editor (Beta)'!$C$90="Swap hero prompt",S591,IF('Paste Editor (Beta)'!$C$90="Anvil prompt",AD591,"")))))))</f>
        <v>0</v>
      </c>
      <c r="AK591" s="283">
        <f>IF('Paste Editor (Beta)'!$C$90="Level-up prompt",G592,IF('Paste Editor (Beta)'!$C$90="Item prompt",E592,IF('Paste Editor (Beta)'!$C$90="Modifier prompt","'"&amp;B592,IF('Paste Editor (Beta)'!$C$90="Challenge prompt",E592,IF('Paste Editor (Beta)'!$C$90="Reroll class prompt",S591,IF('Paste Editor (Beta)'!$C$90="Swap hero prompt",S591,IF('Paste Editor (Beta)'!$C$90="Anvil prompt",AD591,"")))))))</f>
        <v>0</v>
      </c>
    </row>
    <row r="592" spans="2:37" ht="17.25">
      <c r="B592" s="284" t="s">
        <v>2453</v>
      </c>
      <c r="C592" s="284" t="s">
        <v>2453</v>
      </c>
      <c r="D592" s="284" t="s">
        <v>2453</v>
      </c>
      <c r="AH592" s="280" t="str">
        <f>IF('Paste Editor (Beta)'!$C$82="Level-up prompt",G593,IF('Paste Editor (Beta)'!$C$82="Item prompt",E593,IF('Paste Editor (Beta)'!$C$82="Modifier prompt","'"&amp;B593,IF('Paste Editor (Beta)'!$C$82="Challenge prompt",L593,IF('Paste Editor (Beta)'!$C$82="Reroll class prompt",S592,IF('Paste Editor (Beta)'!$C$82="Swap hero prompt",S592,IF('Paste Editor (Beta)'!$C$82="Anvil prompt",AD592,"")))))))</f>
        <v/>
      </c>
      <c r="AI592" s="280" t="str">
        <f>IF('Paste Editor (Beta)'!$C$82="Level-up prompt",G593,IF('Paste Editor (Beta)'!$C$82="Item prompt",E593,IF('Paste Editor (Beta)'!$C$82="Modifier prompt","'"&amp;B593,IF('Paste Editor (Beta)'!$C$82="Challenge prompt",E593,IF('Paste Editor (Beta)'!$C$82="Reroll class prompt",S592,IF('Paste Editor (Beta)'!$C$82="Swap hero prompt",S592,IF('Paste Editor (Beta)'!$C$82="Anvil prompt",AD592,"")))))))</f>
        <v/>
      </c>
      <c r="AJ592" s="283">
        <f>IF('Paste Editor (Beta)'!$C$90="Level-up prompt",G593,IF('Paste Editor (Beta)'!$C$90="Item prompt",E593,IF('Paste Editor (Beta)'!$C$90="Modifier prompt","'"&amp;B593,IF('Paste Editor (Beta)'!$C$90="Challenge prompt",L593,IF('Paste Editor (Beta)'!$C$90="Reroll class prompt",S592,IF('Paste Editor (Beta)'!$C$90="Swap hero prompt",S592,IF('Paste Editor (Beta)'!$C$90="Anvil prompt",AD592,"")))))))</f>
        <v>0</v>
      </c>
      <c r="AK592" s="283">
        <f>IF('Paste Editor (Beta)'!$C$90="Level-up prompt",G593,IF('Paste Editor (Beta)'!$C$90="Item prompt",E593,IF('Paste Editor (Beta)'!$C$90="Modifier prompt","'"&amp;B593,IF('Paste Editor (Beta)'!$C$90="Challenge prompt",E593,IF('Paste Editor (Beta)'!$C$90="Reroll class prompt",S592,IF('Paste Editor (Beta)'!$C$90="Swap hero prompt",S592,IF('Paste Editor (Beta)'!$C$90="Anvil prompt",AD592,"")))))))</f>
        <v>0</v>
      </c>
    </row>
    <row r="593" spans="2:37" ht="17.25">
      <c r="B593" s="284" t="s">
        <v>2895</v>
      </c>
      <c r="C593" s="284" t="s">
        <v>2895</v>
      </c>
      <c r="D593" s="284" t="s">
        <v>2895</v>
      </c>
      <c r="AH593" s="280" t="str">
        <f>IF('Paste Editor (Beta)'!$C$82="Level-up prompt",G594,IF('Paste Editor (Beta)'!$C$82="Item prompt",E594,IF('Paste Editor (Beta)'!$C$82="Modifier prompt","'"&amp;B594,IF('Paste Editor (Beta)'!$C$82="Challenge prompt",L594,IF('Paste Editor (Beta)'!$C$82="Reroll class prompt",S593,IF('Paste Editor (Beta)'!$C$82="Swap hero prompt",S593,IF('Paste Editor (Beta)'!$C$82="Anvil prompt",AD593,"")))))))</f>
        <v/>
      </c>
      <c r="AI593" s="280" t="str">
        <f>IF('Paste Editor (Beta)'!$C$82="Level-up prompt",G594,IF('Paste Editor (Beta)'!$C$82="Item prompt",E594,IF('Paste Editor (Beta)'!$C$82="Modifier prompt","'"&amp;B594,IF('Paste Editor (Beta)'!$C$82="Challenge prompt",E594,IF('Paste Editor (Beta)'!$C$82="Reroll class prompt",S593,IF('Paste Editor (Beta)'!$C$82="Swap hero prompt",S593,IF('Paste Editor (Beta)'!$C$82="Anvil prompt",AD593,"")))))))</f>
        <v/>
      </c>
      <c r="AJ593" s="283">
        <f>IF('Paste Editor (Beta)'!$C$90="Level-up prompt",G594,IF('Paste Editor (Beta)'!$C$90="Item prompt",E594,IF('Paste Editor (Beta)'!$C$90="Modifier prompt","'"&amp;B594,IF('Paste Editor (Beta)'!$C$90="Challenge prompt",L594,IF('Paste Editor (Beta)'!$C$90="Reroll class prompt",S593,IF('Paste Editor (Beta)'!$C$90="Swap hero prompt",S593,IF('Paste Editor (Beta)'!$C$90="Anvil prompt",AD593,"")))))))</f>
        <v>0</v>
      </c>
      <c r="AK593" s="283">
        <f>IF('Paste Editor (Beta)'!$C$90="Level-up prompt",G594,IF('Paste Editor (Beta)'!$C$90="Item prompt",E594,IF('Paste Editor (Beta)'!$C$90="Modifier prompt","'"&amp;B594,IF('Paste Editor (Beta)'!$C$90="Challenge prompt",E594,IF('Paste Editor (Beta)'!$C$90="Reroll class prompt",S593,IF('Paste Editor (Beta)'!$C$90="Swap hero prompt",S593,IF('Paste Editor (Beta)'!$C$90="Anvil prompt",AD593,"")))))))</f>
        <v>0</v>
      </c>
    </row>
    <row r="594" spans="2:37" ht="17.25">
      <c r="B594" s="284" t="s">
        <v>2788</v>
      </c>
      <c r="C594" s="284" t="s">
        <v>2788</v>
      </c>
      <c r="D594" s="284" t="s">
        <v>2788</v>
      </c>
      <c r="AH594" s="280" t="str">
        <f>IF('Paste Editor (Beta)'!$C$82="Level-up prompt",G595,IF('Paste Editor (Beta)'!$C$82="Item prompt",E595,IF('Paste Editor (Beta)'!$C$82="Modifier prompt","'"&amp;B595,IF('Paste Editor (Beta)'!$C$82="Challenge prompt",L595,IF('Paste Editor (Beta)'!$C$82="Reroll class prompt",S594,IF('Paste Editor (Beta)'!$C$82="Swap hero prompt",S594,IF('Paste Editor (Beta)'!$C$82="Anvil prompt",AD594,"")))))))</f>
        <v/>
      </c>
      <c r="AI594" s="280" t="str">
        <f>IF('Paste Editor (Beta)'!$C$82="Level-up prompt",G595,IF('Paste Editor (Beta)'!$C$82="Item prompt",E595,IF('Paste Editor (Beta)'!$C$82="Modifier prompt","'"&amp;B595,IF('Paste Editor (Beta)'!$C$82="Challenge prompt",E595,IF('Paste Editor (Beta)'!$C$82="Reroll class prompt",S594,IF('Paste Editor (Beta)'!$C$82="Swap hero prompt",S594,IF('Paste Editor (Beta)'!$C$82="Anvil prompt",AD594,"")))))))</f>
        <v/>
      </c>
      <c r="AJ594" s="283">
        <f>IF('Paste Editor (Beta)'!$C$90="Level-up prompt",G595,IF('Paste Editor (Beta)'!$C$90="Item prompt",E595,IF('Paste Editor (Beta)'!$C$90="Modifier prompt","'"&amp;B595,IF('Paste Editor (Beta)'!$C$90="Challenge prompt",L595,IF('Paste Editor (Beta)'!$C$90="Reroll class prompt",S594,IF('Paste Editor (Beta)'!$C$90="Swap hero prompt",S594,IF('Paste Editor (Beta)'!$C$90="Anvil prompt",AD594,"")))))))</f>
        <v>0</v>
      </c>
      <c r="AK594" s="283">
        <f>IF('Paste Editor (Beta)'!$C$90="Level-up prompt",G595,IF('Paste Editor (Beta)'!$C$90="Item prompt",E595,IF('Paste Editor (Beta)'!$C$90="Modifier prompt","'"&amp;B595,IF('Paste Editor (Beta)'!$C$90="Challenge prompt",E595,IF('Paste Editor (Beta)'!$C$90="Reroll class prompt",S594,IF('Paste Editor (Beta)'!$C$90="Swap hero prompt",S594,IF('Paste Editor (Beta)'!$C$90="Anvil prompt",AD594,"")))))))</f>
        <v>0</v>
      </c>
    </row>
    <row r="595" spans="2:37" ht="17.25">
      <c r="B595" s="284" t="s">
        <v>2693</v>
      </c>
      <c r="C595" s="284" t="s">
        <v>2693</v>
      </c>
      <c r="D595" s="284" t="s">
        <v>2693</v>
      </c>
      <c r="AH595" s="280" t="str">
        <f>IF('Paste Editor (Beta)'!$C$82="Level-up prompt",G596,IF('Paste Editor (Beta)'!$C$82="Item prompt",E596,IF('Paste Editor (Beta)'!$C$82="Modifier prompt","'"&amp;B596,IF('Paste Editor (Beta)'!$C$82="Challenge prompt",L596,IF('Paste Editor (Beta)'!$C$82="Reroll class prompt",S595,IF('Paste Editor (Beta)'!$C$82="Swap hero prompt",S595,IF('Paste Editor (Beta)'!$C$82="Anvil prompt",AD595,"")))))))</f>
        <v/>
      </c>
      <c r="AI595" s="280" t="str">
        <f>IF('Paste Editor (Beta)'!$C$82="Level-up prompt",G596,IF('Paste Editor (Beta)'!$C$82="Item prompt",E596,IF('Paste Editor (Beta)'!$C$82="Modifier prompt","'"&amp;B596,IF('Paste Editor (Beta)'!$C$82="Challenge prompt",E596,IF('Paste Editor (Beta)'!$C$82="Reroll class prompt",S595,IF('Paste Editor (Beta)'!$C$82="Swap hero prompt",S595,IF('Paste Editor (Beta)'!$C$82="Anvil prompt",AD595,"")))))))</f>
        <v/>
      </c>
      <c r="AJ595" s="283">
        <f>IF('Paste Editor (Beta)'!$C$90="Level-up prompt",G596,IF('Paste Editor (Beta)'!$C$90="Item prompt",E596,IF('Paste Editor (Beta)'!$C$90="Modifier prompt","'"&amp;B596,IF('Paste Editor (Beta)'!$C$90="Challenge prompt",L596,IF('Paste Editor (Beta)'!$C$90="Reroll class prompt",S595,IF('Paste Editor (Beta)'!$C$90="Swap hero prompt",S595,IF('Paste Editor (Beta)'!$C$90="Anvil prompt",AD595,"")))))))</f>
        <v>0</v>
      </c>
      <c r="AK595" s="283">
        <f>IF('Paste Editor (Beta)'!$C$90="Level-up prompt",G596,IF('Paste Editor (Beta)'!$C$90="Item prompt",E596,IF('Paste Editor (Beta)'!$C$90="Modifier prompt","'"&amp;B596,IF('Paste Editor (Beta)'!$C$90="Challenge prompt",E596,IF('Paste Editor (Beta)'!$C$90="Reroll class prompt",S595,IF('Paste Editor (Beta)'!$C$90="Swap hero prompt",S595,IF('Paste Editor (Beta)'!$C$90="Anvil prompt",AD595,"")))))))</f>
        <v>0</v>
      </c>
    </row>
    <row r="596" spans="2:37" ht="17.25">
      <c r="B596" s="284" t="s">
        <v>3012</v>
      </c>
      <c r="C596" s="284" t="s">
        <v>3012</v>
      </c>
      <c r="D596" s="284" t="s">
        <v>3012</v>
      </c>
      <c r="AH596" s="280" t="str">
        <f>IF('Paste Editor (Beta)'!$C$82="Level-up prompt",G597,IF('Paste Editor (Beta)'!$C$82="Item prompt",E597,IF('Paste Editor (Beta)'!$C$82="Modifier prompt","'"&amp;B597,IF('Paste Editor (Beta)'!$C$82="Challenge prompt",L597,IF('Paste Editor (Beta)'!$C$82="Reroll class prompt",S596,IF('Paste Editor (Beta)'!$C$82="Swap hero prompt",S596,IF('Paste Editor (Beta)'!$C$82="Anvil prompt",AD596,"")))))))</f>
        <v/>
      </c>
      <c r="AI596" s="280" t="str">
        <f>IF('Paste Editor (Beta)'!$C$82="Level-up prompt",G597,IF('Paste Editor (Beta)'!$C$82="Item prompt",E597,IF('Paste Editor (Beta)'!$C$82="Modifier prompt","'"&amp;B597,IF('Paste Editor (Beta)'!$C$82="Challenge prompt",E597,IF('Paste Editor (Beta)'!$C$82="Reroll class prompt",S596,IF('Paste Editor (Beta)'!$C$82="Swap hero prompt",S596,IF('Paste Editor (Beta)'!$C$82="Anvil prompt",AD596,"")))))))</f>
        <v/>
      </c>
      <c r="AJ596" s="283">
        <f>IF('Paste Editor (Beta)'!$C$90="Level-up prompt",G597,IF('Paste Editor (Beta)'!$C$90="Item prompt",E597,IF('Paste Editor (Beta)'!$C$90="Modifier prompt","'"&amp;B597,IF('Paste Editor (Beta)'!$C$90="Challenge prompt",L597,IF('Paste Editor (Beta)'!$C$90="Reroll class prompt",S596,IF('Paste Editor (Beta)'!$C$90="Swap hero prompt",S596,IF('Paste Editor (Beta)'!$C$90="Anvil prompt",AD596,"")))))))</f>
        <v>0</v>
      </c>
      <c r="AK596" s="283">
        <f>IF('Paste Editor (Beta)'!$C$90="Level-up prompt",G597,IF('Paste Editor (Beta)'!$C$90="Item prompt",E597,IF('Paste Editor (Beta)'!$C$90="Modifier prompt","'"&amp;B597,IF('Paste Editor (Beta)'!$C$90="Challenge prompt",E597,IF('Paste Editor (Beta)'!$C$90="Reroll class prompt",S596,IF('Paste Editor (Beta)'!$C$90="Swap hero prompt",S596,IF('Paste Editor (Beta)'!$C$90="Anvil prompt",AD596,"")))))))</f>
        <v>0</v>
      </c>
    </row>
    <row r="597" spans="2:37" ht="17.25">
      <c r="B597" s="284" t="s">
        <v>2243</v>
      </c>
      <c r="C597" s="284" t="s">
        <v>2243</v>
      </c>
      <c r="D597" s="284" t="s">
        <v>2243</v>
      </c>
      <c r="AH597" s="280" t="str">
        <f>IF('Paste Editor (Beta)'!$C$82="Level-up prompt",G598,IF('Paste Editor (Beta)'!$C$82="Item prompt",E598,IF('Paste Editor (Beta)'!$C$82="Modifier prompt","'"&amp;B598,IF('Paste Editor (Beta)'!$C$82="Challenge prompt",L598,IF('Paste Editor (Beta)'!$C$82="Reroll class prompt",S597,IF('Paste Editor (Beta)'!$C$82="Swap hero prompt",S597,IF('Paste Editor (Beta)'!$C$82="Anvil prompt",AD597,"")))))))</f>
        <v/>
      </c>
      <c r="AI597" s="280" t="str">
        <f>IF('Paste Editor (Beta)'!$C$82="Level-up prompt",G598,IF('Paste Editor (Beta)'!$C$82="Item prompt",E598,IF('Paste Editor (Beta)'!$C$82="Modifier prompt","'"&amp;B598,IF('Paste Editor (Beta)'!$C$82="Challenge prompt",E598,IF('Paste Editor (Beta)'!$C$82="Reroll class prompt",S597,IF('Paste Editor (Beta)'!$C$82="Swap hero prompt",S597,IF('Paste Editor (Beta)'!$C$82="Anvil prompt",AD597,"")))))))</f>
        <v/>
      </c>
      <c r="AJ597" s="283">
        <f>IF('Paste Editor (Beta)'!$C$90="Level-up prompt",G598,IF('Paste Editor (Beta)'!$C$90="Item prompt",E598,IF('Paste Editor (Beta)'!$C$90="Modifier prompt","'"&amp;B598,IF('Paste Editor (Beta)'!$C$90="Challenge prompt",L598,IF('Paste Editor (Beta)'!$C$90="Reroll class prompt",S597,IF('Paste Editor (Beta)'!$C$90="Swap hero prompt",S597,IF('Paste Editor (Beta)'!$C$90="Anvil prompt",AD597,"")))))))</f>
        <v>0</v>
      </c>
      <c r="AK597" s="283">
        <f>IF('Paste Editor (Beta)'!$C$90="Level-up prompt",G598,IF('Paste Editor (Beta)'!$C$90="Item prompt",E598,IF('Paste Editor (Beta)'!$C$90="Modifier prompt","'"&amp;B598,IF('Paste Editor (Beta)'!$C$90="Challenge prompt",E598,IF('Paste Editor (Beta)'!$C$90="Reroll class prompt",S597,IF('Paste Editor (Beta)'!$C$90="Swap hero prompt",S597,IF('Paste Editor (Beta)'!$C$90="Anvil prompt",AD597,"")))))))</f>
        <v>0</v>
      </c>
    </row>
    <row r="598" spans="2:37" ht="17.25">
      <c r="B598" s="284" t="s">
        <v>2446</v>
      </c>
      <c r="C598" s="284" t="s">
        <v>2446</v>
      </c>
      <c r="D598" s="284" t="s">
        <v>2446</v>
      </c>
      <c r="AH598" s="280" t="str">
        <f>IF('Paste Editor (Beta)'!$C$82="Level-up prompt",G599,IF('Paste Editor (Beta)'!$C$82="Item prompt",E599,IF('Paste Editor (Beta)'!$C$82="Modifier prompt","'"&amp;B599,IF('Paste Editor (Beta)'!$C$82="Challenge prompt",L599,IF('Paste Editor (Beta)'!$C$82="Reroll class prompt",S598,IF('Paste Editor (Beta)'!$C$82="Swap hero prompt",S598,IF('Paste Editor (Beta)'!$C$82="Anvil prompt",AD598,"")))))))</f>
        <v/>
      </c>
      <c r="AI598" s="280" t="str">
        <f>IF('Paste Editor (Beta)'!$C$82="Level-up prompt",G599,IF('Paste Editor (Beta)'!$C$82="Item prompt",E599,IF('Paste Editor (Beta)'!$C$82="Modifier prompt","'"&amp;B599,IF('Paste Editor (Beta)'!$C$82="Challenge prompt",E599,IF('Paste Editor (Beta)'!$C$82="Reroll class prompt",S598,IF('Paste Editor (Beta)'!$C$82="Swap hero prompt",S598,IF('Paste Editor (Beta)'!$C$82="Anvil prompt",AD598,"")))))))</f>
        <v/>
      </c>
      <c r="AJ598" s="283">
        <f>IF('Paste Editor (Beta)'!$C$90="Level-up prompt",G599,IF('Paste Editor (Beta)'!$C$90="Item prompt",E599,IF('Paste Editor (Beta)'!$C$90="Modifier prompt","'"&amp;B599,IF('Paste Editor (Beta)'!$C$90="Challenge prompt",L599,IF('Paste Editor (Beta)'!$C$90="Reroll class prompt",S598,IF('Paste Editor (Beta)'!$C$90="Swap hero prompt",S598,IF('Paste Editor (Beta)'!$C$90="Anvil prompt",AD598,"")))))))</f>
        <v>0</v>
      </c>
      <c r="AK598" s="283">
        <f>IF('Paste Editor (Beta)'!$C$90="Level-up prompt",G599,IF('Paste Editor (Beta)'!$C$90="Item prompt",E599,IF('Paste Editor (Beta)'!$C$90="Modifier prompt","'"&amp;B599,IF('Paste Editor (Beta)'!$C$90="Challenge prompt",E599,IF('Paste Editor (Beta)'!$C$90="Reroll class prompt",S598,IF('Paste Editor (Beta)'!$C$90="Swap hero prompt",S598,IF('Paste Editor (Beta)'!$C$90="Anvil prompt",AD598,"")))))))</f>
        <v>0</v>
      </c>
    </row>
    <row r="599" spans="2:37" ht="17.25">
      <c r="B599" s="284" t="s">
        <v>2655</v>
      </c>
      <c r="C599" s="284" t="s">
        <v>2655</v>
      </c>
      <c r="D599" s="284" t="s">
        <v>2655</v>
      </c>
      <c r="AH599" s="280" t="str">
        <f>IF('Paste Editor (Beta)'!$C$82="Level-up prompt",G600,IF('Paste Editor (Beta)'!$C$82="Item prompt",E600,IF('Paste Editor (Beta)'!$C$82="Modifier prompt","'"&amp;B600,IF('Paste Editor (Beta)'!$C$82="Challenge prompt",L600,IF('Paste Editor (Beta)'!$C$82="Reroll class prompt",S599,IF('Paste Editor (Beta)'!$C$82="Swap hero prompt",S599,IF('Paste Editor (Beta)'!$C$82="Anvil prompt",AD599,"")))))))</f>
        <v/>
      </c>
      <c r="AI599" s="280" t="str">
        <f>IF('Paste Editor (Beta)'!$C$82="Level-up prompt",G600,IF('Paste Editor (Beta)'!$C$82="Item prompt",E600,IF('Paste Editor (Beta)'!$C$82="Modifier prompt","'"&amp;B600,IF('Paste Editor (Beta)'!$C$82="Challenge prompt",E600,IF('Paste Editor (Beta)'!$C$82="Reroll class prompt",S599,IF('Paste Editor (Beta)'!$C$82="Swap hero prompt",S599,IF('Paste Editor (Beta)'!$C$82="Anvil prompt",AD599,"")))))))</f>
        <v/>
      </c>
      <c r="AJ599" s="283">
        <f>IF('Paste Editor (Beta)'!$C$90="Level-up prompt",G600,IF('Paste Editor (Beta)'!$C$90="Item prompt",E600,IF('Paste Editor (Beta)'!$C$90="Modifier prompt","'"&amp;B600,IF('Paste Editor (Beta)'!$C$90="Challenge prompt",L600,IF('Paste Editor (Beta)'!$C$90="Reroll class prompt",S599,IF('Paste Editor (Beta)'!$C$90="Swap hero prompt",S599,IF('Paste Editor (Beta)'!$C$90="Anvil prompt",AD599,"")))))))</f>
        <v>0</v>
      </c>
      <c r="AK599" s="283">
        <f>IF('Paste Editor (Beta)'!$C$90="Level-up prompt",G600,IF('Paste Editor (Beta)'!$C$90="Item prompt",E600,IF('Paste Editor (Beta)'!$C$90="Modifier prompt","'"&amp;B600,IF('Paste Editor (Beta)'!$C$90="Challenge prompt",E600,IF('Paste Editor (Beta)'!$C$90="Reroll class prompt",S599,IF('Paste Editor (Beta)'!$C$90="Swap hero prompt",S599,IF('Paste Editor (Beta)'!$C$90="Anvil prompt",AD599,"")))))))</f>
        <v>0</v>
      </c>
    </row>
    <row r="600" spans="2:37" ht="17.25">
      <c r="B600" s="284" t="s">
        <v>2917</v>
      </c>
      <c r="C600" s="284" t="s">
        <v>2917</v>
      </c>
      <c r="D600" s="284" t="s">
        <v>2917</v>
      </c>
      <c r="AH600" s="280" t="str">
        <f>IF('Paste Editor (Beta)'!$C$82="Level-up prompt",G601,IF('Paste Editor (Beta)'!$C$82="Item prompt",E601,IF('Paste Editor (Beta)'!$C$82="Modifier prompt","'"&amp;B601,IF('Paste Editor (Beta)'!$C$82="Challenge prompt",L601,IF('Paste Editor (Beta)'!$C$82="Reroll class prompt",S600,IF('Paste Editor (Beta)'!$C$82="Swap hero prompt",S600,IF('Paste Editor (Beta)'!$C$82="Anvil prompt",AD600,"")))))))</f>
        <v/>
      </c>
      <c r="AI600" s="280" t="str">
        <f>IF('Paste Editor (Beta)'!$C$82="Level-up prompt",G601,IF('Paste Editor (Beta)'!$C$82="Item prompt",E601,IF('Paste Editor (Beta)'!$C$82="Modifier prompt","'"&amp;B601,IF('Paste Editor (Beta)'!$C$82="Challenge prompt",E601,IF('Paste Editor (Beta)'!$C$82="Reroll class prompt",S600,IF('Paste Editor (Beta)'!$C$82="Swap hero prompt",S600,IF('Paste Editor (Beta)'!$C$82="Anvil prompt",AD600,"")))))))</f>
        <v/>
      </c>
      <c r="AJ600" s="283">
        <f>IF('Paste Editor (Beta)'!$C$90="Level-up prompt",G601,IF('Paste Editor (Beta)'!$C$90="Item prompt",E601,IF('Paste Editor (Beta)'!$C$90="Modifier prompt","'"&amp;B601,IF('Paste Editor (Beta)'!$C$90="Challenge prompt",L601,IF('Paste Editor (Beta)'!$C$90="Reroll class prompt",S600,IF('Paste Editor (Beta)'!$C$90="Swap hero prompt",S600,IF('Paste Editor (Beta)'!$C$90="Anvil prompt",AD600,"")))))))</f>
        <v>0</v>
      </c>
      <c r="AK600" s="283">
        <f>IF('Paste Editor (Beta)'!$C$90="Level-up prompt",G601,IF('Paste Editor (Beta)'!$C$90="Item prompt",E601,IF('Paste Editor (Beta)'!$C$90="Modifier prompt","'"&amp;B601,IF('Paste Editor (Beta)'!$C$90="Challenge prompt",E601,IF('Paste Editor (Beta)'!$C$90="Reroll class prompt",S600,IF('Paste Editor (Beta)'!$C$90="Swap hero prompt",S600,IF('Paste Editor (Beta)'!$C$90="Anvil prompt",AD600,"")))))))</f>
        <v>0</v>
      </c>
    </row>
    <row r="601" spans="2:37" ht="17.25">
      <c r="B601" s="284" t="s">
        <v>2651</v>
      </c>
      <c r="C601" s="284" t="s">
        <v>2651</v>
      </c>
      <c r="D601" s="284" t="s">
        <v>2651</v>
      </c>
      <c r="AH601" s="280" t="str">
        <f>IF('Paste Editor (Beta)'!$C$82="Level-up prompt",G602,IF('Paste Editor (Beta)'!$C$82="Item prompt",E602,IF('Paste Editor (Beta)'!$C$82="Modifier prompt","'"&amp;B602,IF('Paste Editor (Beta)'!$C$82="Challenge prompt",L602,IF('Paste Editor (Beta)'!$C$82="Reroll class prompt",S601,IF('Paste Editor (Beta)'!$C$82="Swap hero prompt",S601,IF('Paste Editor (Beta)'!$C$82="Anvil prompt",AD601,"")))))))</f>
        <v/>
      </c>
      <c r="AI601" s="280" t="str">
        <f>IF('Paste Editor (Beta)'!$C$82="Level-up prompt",G602,IF('Paste Editor (Beta)'!$C$82="Item prompt",E602,IF('Paste Editor (Beta)'!$C$82="Modifier prompt","'"&amp;B602,IF('Paste Editor (Beta)'!$C$82="Challenge prompt",E602,IF('Paste Editor (Beta)'!$C$82="Reroll class prompt",S601,IF('Paste Editor (Beta)'!$C$82="Swap hero prompt",S601,IF('Paste Editor (Beta)'!$C$82="Anvil prompt",AD601,"")))))))</f>
        <v/>
      </c>
      <c r="AJ601" s="283">
        <f>IF('Paste Editor (Beta)'!$C$90="Level-up prompt",G602,IF('Paste Editor (Beta)'!$C$90="Item prompt",E602,IF('Paste Editor (Beta)'!$C$90="Modifier prompt","'"&amp;B602,IF('Paste Editor (Beta)'!$C$90="Challenge prompt",L602,IF('Paste Editor (Beta)'!$C$90="Reroll class prompt",S601,IF('Paste Editor (Beta)'!$C$90="Swap hero prompt",S601,IF('Paste Editor (Beta)'!$C$90="Anvil prompt",AD601,"")))))))</f>
        <v>0</v>
      </c>
      <c r="AK601" s="283">
        <f>IF('Paste Editor (Beta)'!$C$90="Level-up prompt",G602,IF('Paste Editor (Beta)'!$C$90="Item prompt",E602,IF('Paste Editor (Beta)'!$C$90="Modifier prompt","'"&amp;B602,IF('Paste Editor (Beta)'!$C$90="Challenge prompt",E602,IF('Paste Editor (Beta)'!$C$90="Reroll class prompt",S601,IF('Paste Editor (Beta)'!$C$90="Swap hero prompt",S601,IF('Paste Editor (Beta)'!$C$90="Anvil prompt",AD601,"")))))))</f>
        <v>0</v>
      </c>
    </row>
    <row r="602" spans="2:37" ht="17.25">
      <c r="B602" s="284" t="s">
        <v>2149</v>
      </c>
      <c r="C602" s="284" t="s">
        <v>2149</v>
      </c>
      <c r="D602" s="284" t="s">
        <v>2149</v>
      </c>
      <c r="AH602" s="280" t="str">
        <f>IF('Paste Editor (Beta)'!$C$82="Level-up prompt",G603,IF('Paste Editor (Beta)'!$C$82="Item prompt",E603,IF('Paste Editor (Beta)'!$C$82="Modifier prompt","'"&amp;B603,IF('Paste Editor (Beta)'!$C$82="Challenge prompt",L603,IF('Paste Editor (Beta)'!$C$82="Reroll class prompt",S602,IF('Paste Editor (Beta)'!$C$82="Swap hero prompt",S602,IF('Paste Editor (Beta)'!$C$82="Anvil prompt",AD602,"")))))))</f>
        <v/>
      </c>
      <c r="AI602" s="280" t="str">
        <f>IF('Paste Editor (Beta)'!$C$82="Level-up prompt",G603,IF('Paste Editor (Beta)'!$C$82="Item prompt",E603,IF('Paste Editor (Beta)'!$C$82="Modifier prompt","'"&amp;B603,IF('Paste Editor (Beta)'!$C$82="Challenge prompt",E603,IF('Paste Editor (Beta)'!$C$82="Reroll class prompt",S602,IF('Paste Editor (Beta)'!$C$82="Swap hero prompt",S602,IF('Paste Editor (Beta)'!$C$82="Anvil prompt",AD602,"")))))))</f>
        <v/>
      </c>
      <c r="AJ602" s="283">
        <f>IF('Paste Editor (Beta)'!$C$90="Level-up prompt",G603,IF('Paste Editor (Beta)'!$C$90="Item prompt",E603,IF('Paste Editor (Beta)'!$C$90="Modifier prompt","'"&amp;B603,IF('Paste Editor (Beta)'!$C$90="Challenge prompt",L603,IF('Paste Editor (Beta)'!$C$90="Reroll class prompt",S602,IF('Paste Editor (Beta)'!$C$90="Swap hero prompt",S602,IF('Paste Editor (Beta)'!$C$90="Anvil prompt",AD602,"")))))))</f>
        <v>0</v>
      </c>
      <c r="AK602" s="283">
        <f>IF('Paste Editor (Beta)'!$C$90="Level-up prompt",G603,IF('Paste Editor (Beta)'!$C$90="Item prompt",E603,IF('Paste Editor (Beta)'!$C$90="Modifier prompt","'"&amp;B603,IF('Paste Editor (Beta)'!$C$90="Challenge prompt",E603,IF('Paste Editor (Beta)'!$C$90="Reroll class prompt",S602,IF('Paste Editor (Beta)'!$C$90="Swap hero prompt",S602,IF('Paste Editor (Beta)'!$C$90="Anvil prompt",AD602,"")))))))</f>
        <v>0</v>
      </c>
    </row>
    <row r="603" spans="2:37" ht="17.25">
      <c r="B603" s="284" t="s">
        <v>1959</v>
      </c>
      <c r="C603" s="284" t="s">
        <v>1959</v>
      </c>
      <c r="D603" s="284" t="s">
        <v>1959</v>
      </c>
      <c r="AH603" s="280" t="str">
        <f>IF('Paste Editor (Beta)'!$C$82="Level-up prompt",G604,IF('Paste Editor (Beta)'!$C$82="Item prompt",E604,IF('Paste Editor (Beta)'!$C$82="Modifier prompt","'"&amp;B604,IF('Paste Editor (Beta)'!$C$82="Challenge prompt",L604,IF('Paste Editor (Beta)'!$C$82="Reroll class prompt",S603,IF('Paste Editor (Beta)'!$C$82="Swap hero prompt",S603,IF('Paste Editor (Beta)'!$C$82="Anvil prompt",AD603,"")))))))</f>
        <v/>
      </c>
      <c r="AI603" s="280" t="str">
        <f>IF('Paste Editor (Beta)'!$C$82="Level-up prompt",G604,IF('Paste Editor (Beta)'!$C$82="Item prompt",E604,IF('Paste Editor (Beta)'!$C$82="Modifier prompt","'"&amp;B604,IF('Paste Editor (Beta)'!$C$82="Challenge prompt",E604,IF('Paste Editor (Beta)'!$C$82="Reroll class prompt",S603,IF('Paste Editor (Beta)'!$C$82="Swap hero prompt",S603,IF('Paste Editor (Beta)'!$C$82="Anvil prompt",AD603,"")))))))</f>
        <v/>
      </c>
      <c r="AJ603" s="283">
        <f>IF('Paste Editor (Beta)'!$C$90="Level-up prompt",G604,IF('Paste Editor (Beta)'!$C$90="Item prompt",E604,IF('Paste Editor (Beta)'!$C$90="Modifier prompt","'"&amp;B604,IF('Paste Editor (Beta)'!$C$90="Challenge prompt",L604,IF('Paste Editor (Beta)'!$C$90="Reroll class prompt",S603,IF('Paste Editor (Beta)'!$C$90="Swap hero prompt",S603,IF('Paste Editor (Beta)'!$C$90="Anvil prompt",AD603,"")))))))</f>
        <v>0</v>
      </c>
      <c r="AK603" s="283">
        <f>IF('Paste Editor (Beta)'!$C$90="Level-up prompt",G604,IF('Paste Editor (Beta)'!$C$90="Item prompt",E604,IF('Paste Editor (Beta)'!$C$90="Modifier prompt","'"&amp;B604,IF('Paste Editor (Beta)'!$C$90="Challenge prompt",E604,IF('Paste Editor (Beta)'!$C$90="Reroll class prompt",S603,IF('Paste Editor (Beta)'!$C$90="Swap hero prompt",S603,IF('Paste Editor (Beta)'!$C$90="Anvil prompt",AD603,"")))))))</f>
        <v>0</v>
      </c>
    </row>
    <row r="604" spans="2:37" ht="17.25">
      <c r="B604" s="284" t="s">
        <v>1961</v>
      </c>
      <c r="C604" s="284" t="s">
        <v>1961</v>
      </c>
      <c r="D604" s="284" t="s">
        <v>1961</v>
      </c>
      <c r="AH604" s="280" t="str">
        <f>IF('Paste Editor (Beta)'!$C$82="Level-up prompt",G605,IF('Paste Editor (Beta)'!$C$82="Item prompt",E605,IF('Paste Editor (Beta)'!$C$82="Modifier prompt","'"&amp;B605,IF('Paste Editor (Beta)'!$C$82="Challenge prompt",L605,IF('Paste Editor (Beta)'!$C$82="Reroll class prompt",S604,IF('Paste Editor (Beta)'!$C$82="Swap hero prompt",S604,IF('Paste Editor (Beta)'!$C$82="Anvil prompt",AD604,"")))))))</f>
        <v/>
      </c>
      <c r="AI604" s="280" t="str">
        <f>IF('Paste Editor (Beta)'!$C$82="Level-up prompt",G605,IF('Paste Editor (Beta)'!$C$82="Item prompt",E605,IF('Paste Editor (Beta)'!$C$82="Modifier prompt","'"&amp;B605,IF('Paste Editor (Beta)'!$C$82="Challenge prompt",E605,IF('Paste Editor (Beta)'!$C$82="Reroll class prompt",S604,IF('Paste Editor (Beta)'!$C$82="Swap hero prompt",S604,IF('Paste Editor (Beta)'!$C$82="Anvil prompt",AD604,"")))))))</f>
        <v/>
      </c>
      <c r="AJ604" s="283">
        <f>IF('Paste Editor (Beta)'!$C$90="Level-up prompt",G605,IF('Paste Editor (Beta)'!$C$90="Item prompt",E605,IF('Paste Editor (Beta)'!$C$90="Modifier prompt","'"&amp;B605,IF('Paste Editor (Beta)'!$C$90="Challenge prompt",L605,IF('Paste Editor (Beta)'!$C$90="Reroll class prompt",S604,IF('Paste Editor (Beta)'!$C$90="Swap hero prompt",S604,IF('Paste Editor (Beta)'!$C$90="Anvil prompt",AD604,"")))))))</f>
        <v>0</v>
      </c>
      <c r="AK604" s="283">
        <f>IF('Paste Editor (Beta)'!$C$90="Level-up prompt",G605,IF('Paste Editor (Beta)'!$C$90="Item prompt",E605,IF('Paste Editor (Beta)'!$C$90="Modifier prompt","'"&amp;B605,IF('Paste Editor (Beta)'!$C$90="Challenge prompt",E605,IF('Paste Editor (Beta)'!$C$90="Reroll class prompt",S604,IF('Paste Editor (Beta)'!$C$90="Swap hero prompt",S604,IF('Paste Editor (Beta)'!$C$90="Anvil prompt",AD604,"")))))))</f>
        <v>0</v>
      </c>
    </row>
    <row r="605" spans="2:37" ht="17.25">
      <c r="B605" s="284" t="s">
        <v>2105</v>
      </c>
      <c r="C605" s="284" t="s">
        <v>2105</v>
      </c>
      <c r="D605" s="284" t="s">
        <v>2105</v>
      </c>
      <c r="AH605" s="280" t="str">
        <f>IF('Paste Editor (Beta)'!$C$82="Level-up prompt",G606,IF('Paste Editor (Beta)'!$C$82="Item prompt",E606,IF('Paste Editor (Beta)'!$C$82="Modifier prompt","'"&amp;B606,IF('Paste Editor (Beta)'!$C$82="Challenge prompt",L606,IF('Paste Editor (Beta)'!$C$82="Reroll class prompt",S605,IF('Paste Editor (Beta)'!$C$82="Swap hero prompt",S605,IF('Paste Editor (Beta)'!$C$82="Anvil prompt",AD605,"")))))))</f>
        <v/>
      </c>
      <c r="AI605" s="280" t="str">
        <f>IF('Paste Editor (Beta)'!$C$82="Level-up prompt",G606,IF('Paste Editor (Beta)'!$C$82="Item prompt",E606,IF('Paste Editor (Beta)'!$C$82="Modifier prompt","'"&amp;B606,IF('Paste Editor (Beta)'!$C$82="Challenge prompt",E606,IF('Paste Editor (Beta)'!$C$82="Reroll class prompt",S605,IF('Paste Editor (Beta)'!$C$82="Swap hero prompt",S605,IF('Paste Editor (Beta)'!$C$82="Anvil prompt",AD605,"")))))))</f>
        <v/>
      </c>
      <c r="AJ605" s="283">
        <f>IF('Paste Editor (Beta)'!$C$90="Level-up prompt",G606,IF('Paste Editor (Beta)'!$C$90="Item prompt",E606,IF('Paste Editor (Beta)'!$C$90="Modifier prompt","'"&amp;B606,IF('Paste Editor (Beta)'!$C$90="Challenge prompt",L606,IF('Paste Editor (Beta)'!$C$90="Reroll class prompt",S605,IF('Paste Editor (Beta)'!$C$90="Swap hero prompt",S605,IF('Paste Editor (Beta)'!$C$90="Anvil prompt",AD605,"")))))))</f>
        <v>0</v>
      </c>
      <c r="AK605" s="283">
        <f>IF('Paste Editor (Beta)'!$C$90="Level-up prompt",G606,IF('Paste Editor (Beta)'!$C$90="Item prompt",E606,IF('Paste Editor (Beta)'!$C$90="Modifier prompt","'"&amp;B606,IF('Paste Editor (Beta)'!$C$90="Challenge prompt",E606,IF('Paste Editor (Beta)'!$C$90="Reroll class prompt",S605,IF('Paste Editor (Beta)'!$C$90="Swap hero prompt",S605,IF('Paste Editor (Beta)'!$C$90="Anvil prompt",AD605,"")))))))</f>
        <v>0</v>
      </c>
    </row>
    <row r="606" spans="2:37" ht="17.25">
      <c r="B606" s="284" t="s">
        <v>2208</v>
      </c>
      <c r="C606" s="284" t="s">
        <v>2208</v>
      </c>
      <c r="D606" s="284" t="s">
        <v>2208</v>
      </c>
      <c r="AH606" s="280" t="str">
        <f>IF('Paste Editor (Beta)'!$C$82="Level-up prompt",G607,IF('Paste Editor (Beta)'!$C$82="Item prompt",E607,IF('Paste Editor (Beta)'!$C$82="Modifier prompt","'"&amp;B607,IF('Paste Editor (Beta)'!$C$82="Challenge prompt",L607,IF('Paste Editor (Beta)'!$C$82="Reroll class prompt",S606,IF('Paste Editor (Beta)'!$C$82="Swap hero prompt",S606,IF('Paste Editor (Beta)'!$C$82="Anvil prompt",AD606,"")))))))</f>
        <v/>
      </c>
      <c r="AI606" s="280" t="str">
        <f>IF('Paste Editor (Beta)'!$C$82="Level-up prompt",G607,IF('Paste Editor (Beta)'!$C$82="Item prompt",E607,IF('Paste Editor (Beta)'!$C$82="Modifier prompt","'"&amp;B607,IF('Paste Editor (Beta)'!$C$82="Challenge prompt",E607,IF('Paste Editor (Beta)'!$C$82="Reroll class prompt",S606,IF('Paste Editor (Beta)'!$C$82="Swap hero prompt",S606,IF('Paste Editor (Beta)'!$C$82="Anvil prompt",AD606,"")))))))</f>
        <v/>
      </c>
      <c r="AJ606" s="283">
        <f>IF('Paste Editor (Beta)'!$C$90="Level-up prompt",G607,IF('Paste Editor (Beta)'!$C$90="Item prompt",E607,IF('Paste Editor (Beta)'!$C$90="Modifier prompt","'"&amp;B607,IF('Paste Editor (Beta)'!$C$90="Challenge prompt",L607,IF('Paste Editor (Beta)'!$C$90="Reroll class prompt",S606,IF('Paste Editor (Beta)'!$C$90="Swap hero prompt",S606,IF('Paste Editor (Beta)'!$C$90="Anvil prompt",AD606,"")))))))</f>
        <v>0</v>
      </c>
      <c r="AK606" s="283">
        <f>IF('Paste Editor (Beta)'!$C$90="Level-up prompt",G607,IF('Paste Editor (Beta)'!$C$90="Item prompt",E607,IF('Paste Editor (Beta)'!$C$90="Modifier prompt","'"&amp;B607,IF('Paste Editor (Beta)'!$C$90="Challenge prompt",E607,IF('Paste Editor (Beta)'!$C$90="Reroll class prompt",S606,IF('Paste Editor (Beta)'!$C$90="Swap hero prompt",S606,IF('Paste Editor (Beta)'!$C$90="Anvil prompt",AD606,"")))))))</f>
        <v>0</v>
      </c>
    </row>
    <row r="607" spans="2:37" ht="17.25">
      <c r="B607" s="284" t="s">
        <v>2324</v>
      </c>
      <c r="C607" s="284" t="s">
        <v>2324</v>
      </c>
      <c r="D607" s="284" t="s">
        <v>2324</v>
      </c>
      <c r="AH607" s="280" t="str">
        <f>IF('Paste Editor (Beta)'!$C$82="Level-up prompt",G608,IF('Paste Editor (Beta)'!$C$82="Item prompt",E608,IF('Paste Editor (Beta)'!$C$82="Modifier prompt","'"&amp;B608,IF('Paste Editor (Beta)'!$C$82="Challenge prompt",L608,IF('Paste Editor (Beta)'!$C$82="Reroll class prompt",S607,IF('Paste Editor (Beta)'!$C$82="Swap hero prompt",S607,IF('Paste Editor (Beta)'!$C$82="Anvil prompt",AD607,"")))))))</f>
        <v/>
      </c>
      <c r="AI607" s="280" t="str">
        <f>IF('Paste Editor (Beta)'!$C$82="Level-up prompt",G608,IF('Paste Editor (Beta)'!$C$82="Item prompt",E608,IF('Paste Editor (Beta)'!$C$82="Modifier prompt","'"&amp;B608,IF('Paste Editor (Beta)'!$C$82="Challenge prompt",E608,IF('Paste Editor (Beta)'!$C$82="Reroll class prompt",S607,IF('Paste Editor (Beta)'!$C$82="Swap hero prompt",S607,IF('Paste Editor (Beta)'!$C$82="Anvil prompt",AD607,"")))))))</f>
        <v/>
      </c>
      <c r="AJ607" s="283">
        <f>IF('Paste Editor (Beta)'!$C$90="Level-up prompt",G608,IF('Paste Editor (Beta)'!$C$90="Item prompt",E608,IF('Paste Editor (Beta)'!$C$90="Modifier prompt","'"&amp;B608,IF('Paste Editor (Beta)'!$C$90="Challenge prompt",L608,IF('Paste Editor (Beta)'!$C$90="Reroll class prompt",S607,IF('Paste Editor (Beta)'!$C$90="Swap hero prompt",S607,IF('Paste Editor (Beta)'!$C$90="Anvil prompt",AD607,"")))))))</f>
        <v>0</v>
      </c>
      <c r="AK607" s="283">
        <f>IF('Paste Editor (Beta)'!$C$90="Level-up prompt",G608,IF('Paste Editor (Beta)'!$C$90="Item prompt",E608,IF('Paste Editor (Beta)'!$C$90="Modifier prompt","'"&amp;B608,IF('Paste Editor (Beta)'!$C$90="Challenge prompt",E608,IF('Paste Editor (Beta)'!$C$90="Reroll class prompt",S607,IF('Paste Editor (Beta)'!$C$90="Swap hero prompt",S607,IF('Paste Editor (Beta)'!$C$90="Anvil prompt",AD607,"")))))))</f>
        <v>0</v>
      </c>
    </row>
    <row r="608" spans="2:37" ht="17.25">
      <c r="B608" s="284" t="s">
        <v>2427</v>
      </c>
      <c r="C608" s="284" t="s">
        <v>2427</v>
      </c>
      <c r="D608" s="284" t="s">
        <v>2427</v>
      </c>
      <c r="AH608" s="280" t="str">
        <f>IF('Paste Editor (Beta)'!$C$82="Level-up prompt",G609,IF('Paste Editor (Beta)'!$C$82="Item prompt",E609,IF('Paste Editor (Beta)'!$C$82="Modifier prompt","'"&amp;B609,IF('Paste Editor (Beta)'!$C$82="Challenge prompt",L609,IF('Paste Editor (Beta)'!$C$82="Reroll class prompt",S608,IF('Paste Editor (Beta)'!$C$82="Swap hero prompt",S608,IF('Paste Editor (Beta)'!$C$82="Anvil prompt",AD608,"")))))))</f>
        <v/>
      </c>
      <c r="AI608" s="280" t="str">
        <f>IF('Paste Editor (Beta)'!$C$82="Level-up prompt",G609,IF('Paste Editor (Beta)'!$C$82="Item prompt",E609,IF('Paste Editor (Beta)'!$C$82="Modifier prompt","'"&amp;B609,IF('Paste Editor (Beta)'!$C$82="Challenge prompt",E609,IF('Paste Editor (Beta)'!$C$82="Reroll class prompt",S608,IF('Paste Editor (Beta)'!$C$82="Swap hero prompt",S608,IF('Paste Editor (Beta)'!$C$82="Anvil prompt",AD608,"")))))))</f>
        <v/>
      </c>
      <c r="AJ608" s="283">
        <f>IF('Paste Editor (Beta)'!$C$90="Level-up prompt",G609,IF('Paste Editor (Beta)'!$C$90="Item prompt",E609,IF('Paste Editor (Beta)'!$C$90="Modifier prompt","'"&amp;B609,IF('Paste Editor (Beta)'!$C$90="Challenge prompt",L609,IF('Paste Editor (Beta)'!$C$90="Reroll class prompt",S608,IF('Paste Editor (Beta)'!$C$90="Swap hero prompt",S608,IF('Paste Editor (Beta)'!$C$90="Anvil prompt",AD608,"")))))))</f>
        <v>0</v>
      </c>
      <c r="AK608" s="283">
        <f>IF('Paste Editor (Beta)'!$C$90="Level-up prompt",G609,IF('Paste Editor (Beta)'!$C$90="Item prompt",E609,IF('Paste Editor (Beta)'!$C$90="Modifier prompt","'"&amp;B609,IF('Paste Editor (Beta)'!$C$90="Challenge prompt",E609,IF('Paste Editor (Beta)'!$C$90="Reroll class prompt",S608,IF('Paste Editor (Beta)'!$C$90="Swap hero prompt",S608,IF('Paste Editor (Beta)'!$C$90="Anvil prompt",AD608,"")))))))</f>
        <v>0</v>
      </c>
    </row>
    <row r="609" spans="2:37" ht="17.25">
      <c r="B609" s="284" t="s">
        <v>2491</v>
      </c>
      <c r="C609" s="284" t="s">
        <v>2491</v>
      </c>
      <c r="D609" s="284" t="s">
        <v>2491</v>
      </c>
      <c r="AH609" s="280" t="str">
        <f>IF('Paste Editor (Beta)'!$C$82="Level-up prompt",G610,IF('Paste Editor (Beta)'!$C$82="Item prompt",E610,IF('Paste Editor (Beta)'!$C$82="Modifier prompt","'"&amp;B610,IF('Paste Editor (Beta)'!$C$82="Challenge prompt",L610,IF('Paste Editor (Beta)'!$C$82="Reroll class prompt",S609,IF('Paste Editor (Beta)'!$C$82="Swap hero prompt",S609,IF('Paste Editor (Beta)'!$C$82="Anvil prompt",AD609,"")))))))</f>
        <v/>
      </c>
      <c r="AI609" s="280" t="str">
        <f>IF('Paste Editor (Beta)'!$C$82="Level-up prompt",G610,IF('Paste Editor (Beta)'!$C$82="Item prompt",E610,IF('Paste Editor (Beta)'!$C$82="Modifier prompt","'"&amp;B610,IF('Paste Editor (Beta)'!$C$82="Challenge prompt",E610,IF('Paste Editor (Beta)'!$C$82="Reroll class prompt",S609,IF('Paste Editor (Beta)'!$C$82="Swap hero prompt",S609,IF('Paste Editor (Beta)'!$C$82="Anvil prompt",AD609,"")))))))</f>
        <v/>
      </c>
      <c r="AJ609" s="283">
        <f>IF('Paste Editor (Beta)'!$C$90="Level-up prompt",G610,IF('Paste Editor (Beta)'!$C$90="Item prompt",E610,IF('Paste Editor (Beta)'!$C$90="Modifier prompt","'"&amp;B610,IF('Paste Editor (Beta)'!$C$90="Challenge prompt",L610,IF('Paste Editor (Beta)'!$C$90="Reroll class prompt",S609,IF('Paste Editor (Beta)'!$C$90="Swap hero prompt",S609,IF('Paste Editor (Beta)'!$C$90="Anvil prompt",AD609,"")))))))</f>
        <v>0</v>
      </c>
      <c r="AK609" s="283">
        <f>IF('Paste Editor (Beta)'!$C$90="Level-up prompt",G610,IF('Paste Editor (Beta)'!$C$90="Item prompt",E610,IF('Paste Editor (Beta)'!$C$90="Modifier prompt","'"&amp;B610,IF('Paste Editor (Beta)'!$C$90="Challenge prompt",E610,IF('Paste Editor (Beta)'!$C$90="Reroll class prompt",S609,IF('Paste Editor (Beta)'!$C$90="Swap hero prompt",S609,IF('Paste Editor (Beta)'!$C$90="Anvil prompt",AD609,"")))))))</f>
        <v>0</v>
      </c>
    </row>
    <row r="610" spans="2:37" ht="17.25">
      <c r="B610" s="284" t="s">
        <v>2554</v>
      </c>
      <c r="C610" s="284" t="s">
        <v>2554</v>
      </c>
      <c r="D610" s="284" t="s">
        <v>2554</v>
      </c>
      <c r="AH610" s="280" t="str">
        <f>IF('Paste Editor (Beta)'!$C$82="Level-up prompt",G611,IF('Paste Editor (Beta)'!$C$82="Item prompt",E611,IF('Paste Editor (Beta)'!$C$82="Modifier prompt","'"&amp;B611,IF('Paste Editor (Beta)'!$C$82="Challenge prompt",L611,IF('Paste Editor (Beta)'!$C$82="Reroll class prompt",S610,IF('Paste Editor (Beta)'!$C$82="Swap hero prompt",S610,IF('Paste Editor (Beta)'!$C$82="Anvil prompt",AD610,"")))))))</f>
        <v/>
      </c>
      <c r="AI610" s="280" t="str">
        <f>IF('Paste Editor (Beta)'!$C$82="Level-up prompt",G611,IF('Paste Editor (Beta)'!$C$82="Item prompt",E611,IF('Paste Editor (Beta)'!$C$82="Modifier prompt","'"&amp;B611,IF('Paste Editor (Beta)'!$C$82="Challenge prompt",E611,IF('Paste Editor (Beta)'!$C$82="Reroll class prompt",S610,IF('Paste Editor (Beta)'!$C$82="Swap hero prompt",S610,IF('Paste Editor (Beta)'!$C$82="Anvil prompt",AD610,"")))))))</f>
        <v/>
      </c>
      <c r="AJ610" s="283">
        <f>IF('Paste Editor (Beta)'!$C$90="Level-up prompt",G611,IF('Paste Editor (Beta)'!$C$90="Item prompt",E611,IF('Paste Editor (Beta)'!$C$90="Modifier prompt","'"&amp;B611,IF('Paste Editor (Beta)'!$C$90="Challenge prompt",L611,IF('Paste Editor (Beta)'!$C$90="Reroll class prompt",S610,IF('Paste Editor (Beta)'!$C$90="Swap hero prompt",S610,IF('Paste Editor (Beta)'!$C$90="Anvil prompt",AD610,"")))))))</f>
        <v>0</v>
      </c>
      <c r="AK610" s="283">
        <f>IF('Paste Editor (Beta)'!$C$90="Level-up prompt",G611,IF('Paste Editor (Beta)'!$C$90="Item prompt",E611,IF('Paste Editor (Beta)'!$C$90="Modifier prompt","'"&amp;B611,IF('Paste Editor (Beta)'!$C$90="Challenge prompt",E611,IF('Paste Editor (Beta)'!$C$90="Reroll class prompt",S610,IF('Paste Editor (Beta)'!$C$90="Swap hero prompt",S610,IF('Paste Editor (Beta)'!$C$90="Anvil prompt",AD610,"")))))))</f>
        <v>0</v>
      </c>
    </row>
    <row r="611" spans="2:37" ht="17.25">
      <c r="B611" s="284" t="s">
        <v>2605</v>
      </c>
      <c r="C611" s="284" t="s">
        <v>2605</v>
      </c>
      <c r="D611" s="284" t="s">
        <v>2605</v>
      </c>
      <c r="AH611" s="280" t="str">
        <f>IF('Paste Editor (Beta)'!$C$82="Level-up prompt",G612,IF('Paste Editor (Beta)'!$C$82="Item prompt",E612,IF('Paste Editor (Beta)'!$C$82="Modifier prompt","'"&amp;B612,IF('Paste Editor (Beta)'!$C$82="Challenge prompt",L612,IF('Paste Editor (Beta)'!$C$82="Reroll class prompt",S611,IF('Paste Editor (Beta)'!$C$82="Swap hero prompt",S611,IF('Paste Editor (Beta)'!$C$82="Anvil prompt",AD611,"")))))))</f>
        <v/>
      </c>
      <c r="AI611" s="280" t="str">
        <f>IF('Paste Editor (Beta)'!$C$82="Level-up prompt",G612,IF('Paste Editor (Beta)'!$C$82="Item prompt",E612,IF('Paste Editor (Beta)'!$C$82="Modifier prompt","'"&amp;B612,IF('Paste Editor (Beta)'!$C$82="Challenge prompt",E612,IF('Paste Editor (Beta)'!$C$82="Reroll class prompt",S611,IF('Paste Editor (Beta)'!$C$82="Swap hero prompt",S611,IF('Paste Editor (Beta)'!$C$82="Anvil prompt",AD611,"")))))))</f>
        <v/>
      </c>
      <c r="AJ611" s="283">
        <f>IF('Paste Editor (Beta)'!$C$90="Level-up prompt",G612,IF('Paste Editor (Beta)'!$C$90="Item prompt",E612,IF('Paste Editor (Beta)'!$C$90="Modifier prompt","'"&amp;B612,IF('Paste Editor (Beta)'!$C$90="Challenge prompt",L612,IF('Paste Editor (Beta)'!$C$90="Reroll class prompt",S611,IF('Paste Editor (Beta)'!$C$90="Swap hero prompt",S611,IF('Paste Editor (Beta)'!$C$90="Anvil prompt",AD611,"")))))))</f>
        <v>0</v>
      </c>
      <c r="AK611" s="283">
        <f>IF('Paste Editor (Beta)'!$C$90="Level-up prompt",G612,IF('Paste Editor (Beta)'!$C$90="Item prompt",E612,IF('Paste Editor (Beta)'!$C$90="Modifier prompt","'"&amp;B612,IF('Paste Editor (Beta)'!$C$90="Challenge prompt",E612,IF('Paste Editor (Beta)'!$C$90="Reroll class prompt",S611,IF('Paste Editor (Beta)'!$C$90="Swap hero prompt",S611,IF('Paste Editor (Beta)'!$C$90="Anvil prompt",AD611,"")))))))</f>
        <v>0</v>
      </c>
    </row>
    <row r="612" spans="2:37" ht="17.25">
      <c r="B612" s="284" t="s">
        <v>2804</v>
      </c>
      <c r="C612" s="284" t="s">
        <v>2804</v>
      </c>
      <c r="D612" s="284" t="s">
        <v>2804</v>
      </c>
      <c r="AH612" s="280" t="str">
        <f>IF('Paste Editor (Beta)'!$C$82="Level-up prompt",G613,IF('Paste Editor (Beta)'!$C$82="Item prompt",E613,IF('Paste Editor (Beta)'!$C$82="Modifier prompt","'"&amp;B613,IF('Paste Editor (Beta)'!$C$82="Challenge prompt",L613,IF('Paste Editor (Beta)'!$C$82="Reroll class prompt",S612,IF('Paste Editor (Beta)'!$C$82="Swap hero prompt",S612,IF('Paste Editor (Beta)'!$C$82="Anvil prompt",AD612,"")))))))</f>
        <v/>
      </c>
      <c r="AI612" s="280" t="str">
        <f>IF('Paste Editor (Beta)'!$C$82="Level-up prompt",G613,IF('Paste Editor (Beta)'!$C$82="Item prompt",E613,IF('Paste Editor (Beta)'!$C$82="Modifier prompt","'"&amp;B613,IF('Paste Editor (Beta)'!$C$82="Challenge prompt",E613,IF('Paste Editor (Beta)'!$C$82="Reroll class prompt",S612,IF('Paste Editor (Beta)'!$C$82="Swap hero prompt",S612,IF('Paste Editor (Beta)'!$C$82="Anvil prompt",AD612,"")))))))</f>
        <v/>
      </c>
      <c r="AJ612" s="283">
        <f>IF('Paste Editor (Beta)'!$C$90="Level-up prompt",G613,IF('Paste Editor (Beta)'!$C$90="Item prompt",E613,IF('Paste Editor (Beta)'!$C$90="Modifier prompt","'"&amp;B613,IF('Paste Editor (Beta)'!$C$90="Challenge prompt",L613,IF('Paste Editor (Beta)'!$C$90="Reroll class prompt",S612,IF('Paste Editor (Beta)'!$C$90="Swap hero prompt",S612,IF('Paste Editor (Beta)'!$C$90="Anvil prompt",AD612,"")))))))</f>
        <v>0</v>
      </c>
      <c r="AK612" s="283">
        <f>IF('Paste Editor (Beta)'!$C$90="Level-up prompt",G613,IF('Paste Editor (Beta)'!$C$90="Item prompt",E613,IF('Paste Editor (Beta)'!$C$90="Modifier prompt","'"&amp;B613,IF('Paste Editor (Beta)'!$C$90="Challenge prompt",E613,IF('Paste Editor (Beta)'!$C$90="Reroll class prompt",S612,IF('Paste Editor (Beta)'!$C$90="Swap hero prompt",S612,IF('Paste Editor (Beta)'!$C$90="Anvil prompt",AD612,"")))))))</f>
        <v>0</v>
      </c>
    </row>
    <row r="613" spans="2:37" ht="17.25">
      <c r="B613" s="284" t="s">
        <v>2681</v>
      </c>
      <c r="C613" s="284" t="s">
        <v>2681</v>
      </c>
      <c r="D613" s="284" t="s">
        <v>2681</v>
      </c>
      <c r="AH613" s="280" t="str">
        <f>IF('Paste Editor (Beta)'!$C$82="Level-up prompt",G614,IF('Paste Editor (Beta)'!$C$82="Item prompt",E614,IF('Paste Editor (Beta)'!$C$82="Modifier prompt","'"&amp;B614,IF('Paste Editor (Beta)'!$C$82="Challenge prompt",L614,IF('Paste Editor (Beta)'!$C$82="Reroll class prompt",S613,IF('Paste Editor (Beta)'!$C$82="Swap hero prompt",S613,IF('Paste Editor (Beta)'!$C$82="Anvil prompt",AD613,"")))))))</f>
        <v/>
      </c>
      <c r="AI613" s="280" t="str">
        <f>IF('Paste Editor (Beta)'!$C$82="Level-up prompt",G614,IF('Paste Editor (Beta)'!$C$82="Item prompt",E614,IF('Paste Editor (Beta)'!$C$82="Modifier prompt","'"&amp;B614,IF('Paste Editor (Beta)'!$C$82="Challenge prompt",E614,IF('Paste Editor (Beta)'!$C$82="Reroll class prompt",S613,IF('Paste Editor (Beta)'!$C$82="Swap hero prompt",S613,IF('Paste Editor (Beta)'!$C$82="Anvil prompt",AD613,"")))))))</f>
        <v/>
      </c>
      <c r="AJ613" s="283">
        <f>IF('Paste Editor (Beta)'!$C$90="Level-up prompt",G614,IF('Paste Editor (Beta)'!$C$90="Item prompt",E614,IF('Paste Editor (Beta)'!$C$90="Modifier prompt","'"&amp;B614,IF('Paste Editor (Beta)'!$C$90="Challenge prompt",L614,IF('Paste Editor (Beta)'!$C$90="Reroll class prompt",S613,IF('Paste Editor (Beta)'!$C$90="Swap hero prompt",S613,IF('Paste Editor (Beta)'!$C$90="Anvil prompt",AD613,"")))))))</f>
        <v>0</v>
      </c>
      <c r="AK613" s="283">
        <f>IF('Paste Editor (Beta)'!$C$90="Level-up prompt",G614,IF('Paste Editor (Beta)'!$C$90="Item prompt",E614,IF('Paste Editor (Beta)'!$C$90="Modifier prompt","'"&amp;B614,IF('Paste Editor (Beta)'!$C$90="Challenge prompt",E614,IF('Paste Editor (Beta)'!$C$90="Reroll class prompt",S613,IF('Paste Editor (Beta)'!$C$90="Swap hero prompt",S613,IF('Paste Editor (Beta)'!$C$90="Anvil prompt",AD613,"")))))))</f>
        <v>0</v>
      </c>
    </row>
    <row r="614" spans="2:37" ht="17.25">
      <c r="B614" s="284" t="s">
        <v>2058</v>
      </c>
      <c r="C614" s="284" t="s">
        <v>2058</v>
      </c>
      <c r="D614" s="284" t="s">
        <v>2058</v>
      </c>
      <c r="AH614" s="280" t="str">
        <f>IF('Paste Editor (Beta)'!$C$82="Level-up prompt",G615,IF('Paste Editor (Beta)'!$C$82="Item prompt",E615,IF('Paste Editor (Beta)'!$C$82="Modifier prompt","'"&amp;B615,IF('Paste Editor (Beta)'!$C$82="Challenge prompt",L615,IF('Paste Editor (Beta)'!$C$82="Reroll class prompt",S614,IF('Paste Editor (Beta)'!$C$82="Swap hero prompt",S614,IF('Paste Editor (Beta)'!$C$82="Anvil prompt",AD614,"")))))))</f>
        <v/>
      </c>
      <c r="AI614" s="280" t="str">
        <f>IF('Paste Editor (Beta)'!$C$82="Level-up prompt",G615,IF('Paste Editor (Beta)'!$C$82="Item prompt",E615,IF('Paste Editor (Beta)'!$C$82="Modifier prompt","'"&amp;B615,IF('Paste Editor (Beta)'!$C$82="Challenge prompt",E615,IF('Paste Editor (Beta)'!$C$82="Reroll class prompt",S614,IF('Paste Editor (Beta)'!$C$82="Swap hero prompt",S614,IF('Paste Editor (Beta)'!$C$82="Anvil prompt",AD614,"")))))))</f>
        <v/>
      </c>
      <c r="AJ614" s="283">
        <f>IF('Paste Editor (Beta)'!$C$90="Level-up prompt",G615,IF('Paste Editor (Beta)'!$C$90="Item prompt",E615,IF('Paste Editor (Beta)'!$C$90="Modifier prompt","'"&amp;B615,IF('Paste Editor (Beta)'!$C$90="Challenge prompt",L615,IF('Paste Editor (Beta)'!$C$90="Reroll class prompt",S614,IF('Paste Editor (Beta)'!$C$90="Swap hero prompt",S614,IF('Paste Editor (Beta)'!$C$90="Anvil prompt",AD614,"")))))))</f>
        <v>0</v>
      </c>
      <c r="AK614" s="283">
        <f>IF('Paste Editor (Beta)'!$C$90="Level-up prompt",G615,IF('Paste Editor (Beta)'!$C$90="Item prompt",E615,IF('Paste Editor (Beta)'!$C$90="Modifier prompt","'"&amp;B615,IF('Paste Editor (Beta)'!$C$90="Challenge prompt",E615,IF('Paste Editor (Beta)'!$C$90="Reroll class prompt",S614,IF('Paste Editor (Beta)'!$C$90="Swap hero prompt",S614,IF('Paste Editor (Beta)'!$C$90="Anvil prompt",AD614,"")))))))</f>
        <v>0</v>
      </c>
    </row>
    <row r="615" spans="2:37" ht="17.25">
      <c r="B615" s="284" t="s">
        <v>2060</v>
      </c>
      <c r="C615" s="284" t="s">
        <v>2060</v>
      </c>
      <c r="D615" s="284" t="s">
        <v>2060</v>
      </c>
      <c r="AH615" s="280" t="str">
        <f>IF('Paste Editor (Beta)'!$C$82="Level-up prompt",G616,IF('Paste Editor (Beta)'!$C$82="Item prompt",E616,IF('Paste Editor (Beta)'!$C$82="Modifier prompt","'"&amp;B616,IF('Paste Editor (Beta)'!$C$82="Challenge prompt",L616,IF('Paste Editor (Beta)'!$C$82="Reroll class prompt",S615,IF('Paste Editor (Beta)'!$C$82="Swap hero prompt",S615,IF('Paste Editor (Beta)'!$C$82="Anvil prompt",AD615,"")))))))</f>
        <v/>
      </c>
      <c r="AI615" s="280" t="str">
        <f>IF('Paste Editor (Beta)'!$C$82="Level-up prompt",G616,IF('Paste Editor (Beta)'!$C$82="Item prompt",E616,IF('Paste Editor (Beta)'!$C$82="Modifier prompt","'"&amp;B616,IF('Paste Editor (Beta)'!$C$82="Challenge prompt",E616,IF('Paste Editor (Beta)'!$C$82="Reroll class prompt",S615,IF('Paste Editor (Beta)'!$C$82="Swap hero prompt",S615,IF('Paste Editor (Beta)'!$C$82="Anvil prompt",AD615,"")))))))</f>
        <v/>
      </c>
      <c r="AJ615" s="283">
        <f>IF('Paste Editor (Beta)'!$C$90="Level-up prompt",G616,IF('Paste Editor (Beta)'!$C$90="Item prompt",E616,IF('Paste Editor (Beta)'!$C$90="Modifier prompt","'"&amp;B616,IF('Paste Editor (Beta)'!$C$90="Challenge prompt",L616,IF('Paste Editor (Beta)'!$C$90="Reroll class prompt",S615,IF('Paste Editor (Beta)'!$C$90="Swap hero prompt",S615,IF('Paste Editor (Beta)'!$C$90="Anvil prompt",AD615,"")))))))</f>
        <v>0</v>
      </c>
      <c r="AK615" s="283">
        <f>IF('Paste Editor (Beta)'!$C$90="Level-up prompt",G616,IF('Paste Editor (Beta)'!$C$90="Item prompt",E616,IF('Paste Editor (Beta)'!$C$90="Modifier prompt","'"&amp;B616,IF('Paste Editor (Beta)'!$C$90="Challenge prompt",E616,IF('Paste Editor (Beta)'!$C$90="Reroll class prompt",S615,IF('Paste Editor (Beta)'!$C$90="Swap hero prompt",S615,IF('Paste Editor (Beta)'!$C$90="Anvil prompt",AD615,"")))))))</f>
        <v>0</v>
      </c>
    </row>
    <row r="616" spans="2:37" ht="17.25">
      <c r="B616" s="284" t="s">
        <v>2160</v>
      </c>
      <c r="C616" s="284" t="s">
        <v>2160</v>
      </c>
      <c r="D616" s="284" t="s">
        <v>2160</v>
      </c>
      <c r="AH616" s="280" t="str">
        <f>IF('Paste Editor (Beta)'!$C$82="Level-up prompt",G617,IF('Paste Editor (Beta)'!$C$82="Item prompt",E617,IF('Paste Editor (Beta)'!$C$82="Modifier prompt","'"&amp;B617,IF('Paste Editor (Beta)'!$C$82="Challenge prompt",L617,IF('Paste Editor (Beta)'!$C$82="Reroll class prompt",S616,IF('Paste Editor (Beta)'!$C$82="Swap hero prompt",S616,IF('Paste Editor (Beta)'!$C$82="Anvil prompt",AD616,"")))))))</f>
        <v/>
      </c>
      <c r="AI616" s="280" t="str">
        <f>IF('Paste Editor (Beta)'!$C$82="Level-up prompt",G617,IF('Paste Editor (Beta)'!$C$82="Item prompt",E617,IF('Paste Editor (Beta)'!$C$82="Modifier prompt","'"&amp;B617,IF('Paste Editor (Beta)'!$C$82="Challenge prompt",E617,IF('Paste Editor (Beta)'!$C$82="Reroll class prompt",S616,IF('Paste Editor (Beta)'!$C$82="Swap hero prompt",S616,IF('Paste Editor (Beta)'!$C$82="Anvil prompt",AD616,"")))))))</f>
        <v/>
      </c>
      <c r="AJ616" s="283">
        <f>IF('Paste Editor (Beta)'!$C$90="Level-up prompt",G617,IF('Paste Editor (Beta)'!$C$90="Item prompt",E617,IF('Paste Editor (Beta)'!$C$90="Modifier prompt","'"&amp;B617,IF('Paste Editor (Beta)'!$C$90="Challenge prompt",L617,IF('Paste Editor (Beta)'!$C$90="Reroll class prompt",S616,IF('Paste Editor (Beta)'!$C$90="Swap hero prompt",S616,IF('Paste Editor (Beta)'!$C$90="Anvil prompt",AD616,"")))))))</f>
        <v>0</v>
      </c>
      <c r="AK616" s="283">
        <f>IF('Paste Editor (Beta)'!$C$90="Level-up prompt",G617,IF('Paste Editor (Beta)'!$C$90="Item prompt",E617,IF('Paste Editor (Beta)'!$C$90="Modifier prompt","'"&amp;B617,IF('Paste Editor (Beta)'!$C$90="Challenge prompt",E617,IF('Paste Editor (Beta)'!$C$90="Reroll class prompt",S616,IF('Paste Editor (Beta)'!$C$90="Swap hero prompt",S616,IF('Paste Editor (Beta)'!$C$90="Anvil prompt",AD616,"")))))))</f>
        <v>0</v>
      </c>
    </row>
    <row r="617" spans="2:37" ht="17.25">
      <c r="B617" s="284" t="s">
        <v>2272</v>
      </c>
      <c r="C617" s="284" t="s">
        <v>2272</v>
      </c>
      <c r="D617" s="284" t="s">
        <v>2272</v>
      </c>
      <c r="AH617" s="280" t="str">
        <f>IF('Paste Editor (Beta)'!$C$82="Level-up prompt",G618,IF('Paste Editor (Beta)'!$C$82="Item prompt",E618,IF('Paste Editor (Beta)'!$C$82="Modifier prompt","'"&amp;B618,IF('Paste Editor (Beta)'!$C$82="Challenge prompt",L618,IF('Paste Editor (Beta)'!$C$82="Reroll class prompt",S617,IF('Paste Editor (Beta)'!$C$82="Swap hero prompt",S617,IF('Paste Editor (Beta)'!$C$82="Anvil prompt",AD617,"")))))))</f>
        <v/>
      </c>
      <c r="AI617" s="280" t="str">
        <f>IF('Paste Editor (Beta)'!$C$82="Level-up prompt",G618,IF('Paste Editor (Beta)'!$C$82="Item prompt",E618,IF('Paste Editor (Beta)'!$C$82="Modifier prompt","'"&amp;B618,IF('Paste Editor (Beta)'!$C$82="Challenge prompt",E618,IF('Paste Editor (Beta)'!$C$82="Reroll class prompt",S617,IF('Paste Editor (Beta)'!$C$82="Swap hero prompt",S617,IF('Paste Editor (Beta)'!$C$82="Anvil prompt",AD617,"")))))))</f>
        <v/>
      </c>
      <c r="AJ617" s="283">
        <f>IF('Paste Editor (Beta)'!$C$90="Level-up prompt",G618,IF('Paste Editor (Beta)'!$C$90="Item prompt",E618,IF('Paste Editor (Beta)'!$C$90="Modifier prompt","'"&amp;B618,IF('Paste Editor (Beta)'!$C$90="Challenge prompt",L618,IF('Paste Editor (Beta)'!$C$90="Reroll class prompt",S617,IF('Paste Editor (Beta)'!$C$90="Swap hero prompt",S617,IF('Paste Editor (Beta)'!$C$90="Anvil prompt",AD617,"")))))))</f>
        <v>0</v>
      </c>
      <c r="AK617" s="283">
        <f>IF('Paste Editor (Beta)'!$C$90="Level-up prompt",G618,IF('Paste Editor (Beta)'!$C$90="Item prompt",E618,IF('Paste Editor (Beta)'!$C$90="Modifier prompt","'"&amp;B618,IF('Paste Editor (Beta)'!$C$90="Challenge prompt",E618,IF('Paste Editor (Beta)'!$C$90="Reroll class prompt",S617,IF('Paste Editor (Beta)'!$C$90="Swap hero prompt",S617,IF('Paste Editor (Beta)'!$C$90="Anvil prompt",AD617,"")))))))</f>
        <v>0</v>
      </c>
    </row>
    <row r="618" spans="2:37" ht="17.25">
      <c r="B618" s="284" t="s">
        <v>2381</v>
      </c>
      <c r="C618" s="284" t="s">
        <v>2381</v>
      </c>
      <c r="D618" s="284" t="s">
        <v>2381</v>
      </c>
      <c r="AH618" s="280" t="str">
        <f>IF('Paste Editor (Beta)'!$C$82="Level-up prompt",G619,IF('Paste Editor (Beta)'!$C$82="Item prompt",E619,IF('Paste Editor (Beta)'!$C$82="Modifier prompt","'"&amp;B619,IF('Paste Editor (Beta)'!$C$82="Challenge prompt",L619,IF('Paste Editor (Beta)'!$C$82="Reroll class prompt",S618,IF('Paste Editor (Beta)'!$C$82="Swap hero prompt",S618,IF('Paste Editor (Beta)'!$C$82="Anvil prompt",AD618,"")))))))</f>
        <v/>
      </c>
      <c r="AI618" s="280" t="str">
        <f>IF('Paste Editor (Beta)'!$C$82="Level-up prompt",G619,IF('Paste Editor (Beta)'!$C$82="Item prompt",E619,IF('Paste Editor (Beta)'!$C$82="Modifier prompt","'"&amp;B619,IF('Paste Editor (Beta)'!$C$82="Challenge prompt",E619,IF('Paste Editor (Beta)'!$C$82="Reroll class prompt",S618,IF('Paste Editor (Beta)'!$C$82="Swap hero prompt",S618,IF('Paste Editor (Beta)'!$C$82="Anvil prompt",AD618,"")))))))</f>
        <v/>
      </c>
      <c r="AJ618" s="283">
        <f>IF('Paste Editor (Beta)'!$C$90="Level-up prompt",G619,IF('Paste Editor (Beta)'!$C$90="Item prompt",E619,IF('Paste Editor (Beta)'!$C$90="Modifier prompt","'"&amp;B619,IF('Paste Editor (Beta)'!$C$90="Challenge prompt",L619,IF('Paste Editor (Beta)'!$C$90="Reroll class prompt",S618,IF('Paste Editor (Beta)'!$C$90="Swap hero prompt",S618,IF('Paste Editor (Beta)'!$C$90="Anvil prompt",AD618,"")))))))</f>
        <v>0</v>
      </c>
      <c r="AK618" s="283">
        <f>IF('Paste Editor (Beta)'!$C$90="Level-up prompt",G619,IF('Paste Editor (Beta)'!$C$90="Item prompt",E619,IF('Paste Editor (Beta)'!$C$90="Modifier prompt","'"&amp;B619,IF('Paste Editor (Beta)'!$C$90="Challenge prompt",E619,IF('Paste Editor (Beta)'!$C$90="Reroll class prompt",S618,IF('Paste Editor (Beta)'!$C$90="Swap hero prompt",S618,IF('Paste Editor (Beta)'!$C$90="Anvil prompt",AD618,"")))))))</f>
        <v>0</v>
      </c>
    </row>
    <row r="619" spans="2:37" ht="17.25">
      <c r="B619" s="284" t="s">
        <v>2349</v>
      </c>
      <c r="C619" s="284" t="s">
        <v>2349</v>
      </c>
      <c r="D619" s="284" t="s">
        <v>2349</v>
      </c>
      <c r="AH619" s="280" t="str">
        <f>IF('Paste Editor (Beta)'!$C$82="Level-up prompt",G620,IF('Paste Editor (Beta)'!$C$82="Item prompt",E620,IF('Paste Editor (Beta)'!$C$82="Modifier prompt","'"&amp;B620,IF('Paste Editor (Beta)'!$C$82="Challenge prompt",L620,IF('Paste Editor (Beta)'!$C$82="Reroll class prompt",S619,IF('Paste Editor (Beta)'!$C$82="Swap hero prompt",S619,IF('Paste Editor (Beta)'!$C$82="Anvil prompt",AD619,"")))))))</f>
        <v/>
      </c>
      <c r="AI619" s="280" t="str">
        <f>IF('Paste Editor (Beta)'!$C$82="Level-up prompt",G620,IF('Paste Editor (Beta)'!$C$82="Item prompt",E620,IF('Paste Editor (Beta)'!$C$82="Modifier prompt","'"&amp;B620,IF('Paste Editor (Beta)'!$C$82="Challenge prompt",E620,IF('Paste Editor (Beta)'!$C$82="Reroll class prompt",S619,IF('Paste Editor (Beta)'!$C$82="Swap hero prompt",S619,IF('Paste Editor (Beta)'!$C$82="Anvil prompt",AD619,"")))))))</f>
        <v/>
      </c>
      <c r="AJ619" s="283">
        <f>IF('Paste Editor (Beta)'!$C$90="Level-up prompt",G620,IF('Paste Editor (Beta)'!$C$90="Item prompt",E620,IF('Paste Editor (Beta)'!$C$90="Modifier prompt","'"&amp;B620,IF('Paste Editor (Beta)'!$C$90="Challenge prompt",L620,IF('Paste Editor (Beta)'!$C$90="Reroll class prompt",S619,IF('Paste Editor (Beta)'!$C$90="Swap hero prompt",S619,IF('Paste Editor (Beta)'!$C$90="Anvil prompt",AD619,"")))))))</f>
        <v>0</v>
      </c>
      <c r="AK619" s="283">
        <f>IF('Paste Editor (Beta)'!$C$90="Level-up prompt",G620,IF('Paste Editor (Beta)'!$C$90="Item prompt",E620,IF('Paste Editor (Beta)'!$C$90="Modifier prompt","'"&amp;B620,IF('Paste Editor (Beta)'!$C$90="Challenge prompt",E620,IF('Paste Editor (Beta)'!$C$90="Reroll class prompt",S619,IF('Paste Editor (Beta)'!$C$90="Swap hero prompt",S619,IF('Paste Editor (Beta)'!$C$90="Anvil prompt",AD619,"")))))))</f>
        <v>0</v>
      </c>
    </row>
    <row r="620" spans="2:37" ht="17.25">
      <c r="B620" s="284" t="s">
        <v>2161</v>
      </c>
      <c r="C620" s="284" t="s">
        <v>2161</v>
      </c>
      <c r="D620" s="284" t="s">
        <v>2161</v>
      </c>
      <c r="AH620" s="280" t="str">
        <f>IF('Paste Editor (Beta)'!$C$82="Level-up prompt",G621,IF('Paste Editor (Beta)'!$C$82="Item prompt",E621,IF('Paste Editor (Beta)'!$C$82="Modifier prompt","'"&amp;B621,IF('Paste Editor (Beta)'!$C$82="Challenge prompt",L621,IF('Paste Editor (Beta)'!$C$82="Reroll class prompt",S620,IF('Paste Editor (Beta)'!$C$82="Swap hero prompt",S620,IF('Paste Editor (Beta)'!$C$82="Anvil prompt",AD620,"")))))))</f>
        <v/>
      </c>
      <c r="AI620" s="280" t="str">
        <f>IF('Paste Editor (Beta)'!$C$82="Level-up prompt",G621,IF('Paste Editor (Beta)'!$C$82="Item prompt",E621,IF('Paste Editor (Beta)'!$C$82="Modifier prompt","'"&amp;B621,IF('Paste Editor (Beta)'!$C$82="Challenge prompt",E621,IF('Paste Editor (Beta)'!$C$82="Reroll class prompt",S620,IF('Paste Editor (Beta)'!$C$82="Swap hero prompt",S620,IF('Paste Editor (Beta)'!$C$82="Anvil prompt",AD620,"")))))))</f>
        <v/>
      </c>
      <c r="AJ620" s="283">
        <f>IF('Paste Editor (Beta)'!$C$90="Level-up prompt",G621,IF('Paste Editor (Beta)'!$C$90="Item prompt",E621,IF('Paste Editor (Beta)'!$C$90="Modifier prompt","'"&amp;B621,IF('Paste Editor (Beta)'!$C$90="Challenge prompt",L621,IF('Paste Editor (Beta)'!$C$90="Reroll class prompt",S620,IF('Paste Editor (Beta)'!$C$90="Swap hero prompt",S620,IF('Paste Editor (Beta)'!$C$90="Anvil prompt",AD620,"")))))))</f>
        <v>0</v>
      </c>
      <c r="AK620" s="283">
        <f>IF('Paste Editor (Beta)'!$C$90="Level-up prompt",G621,IF('Paste Editor (Beta)'!$C$90="Item prompt",E621,IF('Paste Editor (Beta)'!$C$90="Modifier prompt","'"&amp;B621,IF('Paste Editor (Beta)'!$C$90="Challenge prompt",E621,IF('Paste Editor (Beta)'!$C$90="Reroll class prompt",S620,IF('Paste Editor (Beta)'!$C$90="Swap hero prompt",S620,IF('Paste Editor (Beta)'!$C$90="Anvil prompt",AD620,"")))))))</f>
        <v>0</v>
      </c>
    </row>
    <row r="621" spans="2:37" ht="17.25">
      <c r="B621" s="284" t="s">
        <v>2382</v>
      </c>
      <c r="C621" s="284" t="s">
        <v>2382</v>
      </c>
      <c r="D621" s="284" t="s">
        <v>2382</v>
      </c>
      <c r="AH621" s="280" t="str">
        <f>IF('Paste Editor (Beta)'!$C$82="Level-up prompt",G622,IF('Paste Editor (Beta)'!$C$82="Item prompt",E622,IF('Paste Editor (Beta)'!$C$82="Modifier prompt","'"&amp;B622,IF('Paste Editor (Beta)'!$C$82="Challenge prompt",L622,IF('Paste Editor (Beta)'!$C$82="Reroll class prompt",S621,IF('Paste Editor (Beta)'!$C$82="Swap hero prompt",S621,IF('Paste Editor (Beta)'!$C$82="Anvil prompt",AD621,"")))))))</f>
        <v/>
      </c>
      <c r="AI621" s="280" t="str">
        <f>IF('Paste Editor (Beta)'!$C$82="Level-up prompt",G622,IF('Paste Editor (Beta)'!$C$82="Item prompt",E622,IF('Paste Editor (Beta)'!$C$82="Modifier prompt","'"&amp;B622,IF('Paste Editor (Beta)'!$C$82="Challenge prompt",E622,IF('Paste Editor (Beta)'!$C$82="Reroll class prompt",S621,IF('Paste Editor (Beta)'!$C$82="Swap hero prompt",S621,IF('Paste Editor (Beta)'!$C$82="Anvil prompt",AD621,"")))))))</f>
        <v/>
      </c>
      <c r="AJ621" s="283">
        <f>IF('Paste Editor (Beta)'!$C$90="Level-up prompt",G622,IF('Paste Editor (Beta)'!$C$90="Item prompt",E622,IF('Paste Editor (Beta)'!$C$90="Modifier prompt","'"&amp;B622,IF('Paste Editor (Beta)'!$C$90="Challenge prompt",L622,IF('Paste Editor (Beta)'!$C$90="Reroll class prompt",S621,IF('Paste Editor (Beta)'!$C$90="Swap hero prompt",S621,IF('Paste Editor (Beta)'!$C$90="Anvil prompt",AD621,"")))))))</f>
        <v>0</v>
      </c>
      <c r="AK621" s="283">
        <f>IF('Paste Editor (Beta)'!$C$90="Level-up prompt",G622,IF('Paste Editor (Beta)'!$C$90="Item prompt",E622,IF('Paste Editor (Beta)'!$C$90="Modifier prompt","'"&amp;B622,IF('Paste Editor (Beta)'!$C$90="Challenge prompt",E622,IF('Paste Editor (Beta)'!$C$90="Reroll class prompt",S621,IF('Paste Editor (Beta)'!$C$90="Swap hero prompt",S621,IF('Paste Editor (Beta)'!$C$90="Anvil prompt",AD621,"")))))))</f>
        <v>0</v>
      </c>
    </row>
    <row r="622" spans="2:37" ht="17.25">
      <c r="B622" s="284" t="s">
        <v>2273</v>
      </c>
      <c r="C622" s="284" t="s">
        <v>2273</v>
      </c>
      <c r="D622" s="284" t="s">
        <v>2273</v>
      </c>
      <c r="AH622" s="280" t="str">
        <f>IF('Paste Editor (Beta)'!$C$82="Level-up prompt",G623,IF('Paste Editor (Beta)'!$C$82="Item prompt",E623,IF('Paste Editor (Beta)'!$C$82="Modifier prompt","'"&amp;B623,IF('Paste Editor (Beta)'!$C$82="Challenge prompt",L623,IF('Paste Editor (Beta)'!$C$82="Reroll class prompt",S622,IF('Paste Editor (Beta)'!$C$82="Swap hero prompt",S622,IF('Paste Editor (Beta)'!$C$82="Anvil prompt",AD622,"")))))))</f>
        <v/>
      </c>
      <c r="AI622" s="280" t="str">
        <f>IF('Paste Editor (Beta)'!$C$82="Level-up prompt",G623,IF('Paste Editor (Beta)'!$C$82="Item prompt",E623,IF('Paste Editor (Beta)'!$C$82="Modifier prompt","'"&amp;B623,IF('Paste Editor (Beta)'!$C$82="Challenge prompt",E623,IF('Paste Editor (Beta)'!$C$82="Reroll class prompt",S622,IF('Paste Editor (Beta)'!$C$82="Swap hero prompt",S622,IF('Paste Editor (Beta)'!$C$82="Anvil prompt",AD622,"")))))))</f>
        <v/>
      </c>
      <c r="AJ622" s="283">
        <f>IF('Paste Editor (Beta)'!$C$90="Level-up prompt",G623,IF('Paste Editor (Beta)'!$C$90="Item prompt",E623,IF('Paste Editor (Beta)'!$C$90="Modifier prompt","'"&amp;B623,IF('Paste Editor (Beta)'!$C$90="Challenge prompt",L623,IF('Paste Editor (Beta)'!$C$90="Reroll class prompt",S622,IF('Paste Editor (Beta)'!$C$90="Swap hero prompt",S622,IF('Paste Editor (Beta)'!$C$90="Anvil prompt",AD622,"")))))))</f>
        <v>0</v>
      </c>
      <c r="AK622" s="283">
        <f>IF('Paste Editor (Beta)'!$C$90="Level-up prompt",G623,IF('Paste Editor (Beta)'!$C$90="Item prompt",E623,IF('Paste Editor (Beta)'!$C$90="Modifier prompt","'"&amp;B623,IF('Paste Editor (Beta)'!$C$90="Challenge prompt",E623,IF('Paste Editor (Beta)'!$C$90="Reroll class prompt",S622,IF('Paste Editor (Beta)'!$C$90="Swap hero prompt",S622,IF('Paste Editor (Beta)'!$C$90="Anvil prompt",AD622,"")))))))</f>
        <v>0</v>
      </c>
    </row>
    <row r="623" spans="2:37" ht="17.25">
      <c r="B623" s="284" t="s">
        <v>2508</v>
      </c>
      <c r="C623" s="284" t="s">
        <v>2508</v>
      </c>
      <c r="D623" s="284" t="s">
        <v>2508</v>
      </c>
      <c r="AH623" s="280" t="str">
        <f>IF('Paste Editor (Beta)'!$C$82="Level-up prompt",G624,IF('Paste Editor (Beta)'!$C$82="Item prompt",E624,IF('Paste Editor (Beta)'!$C$82="Modifier prompt","'"&amp;B624,IF('Paste Editor (Beta)'!$C$82="Challenge prompt",L624,IF('Paste Editor (Beta)'!$C$82="Reroll class prompt",S623,IF('Paste Editor (Beta)'!$C$82="Swap hero prompt",S623,IF('Paste Editor (Beta)'!$C$82="Anvil prompt",AD623,"")))))))</f>
        <v/>
      </c>
      <c r="AI623" s="280" t="str">
        <f>IF('Paste Editor (Beta)'!$C$82="Level-up prompt",G624,IF('Paste Editor (Beta)'!$C$82="Item prompt",E624,IF('Paste Editor (Beta)'!$C$82="Modifier prompt","'"&amp;B624,IF('Paste Editor (Beta)'!$C$82="Challenge prompt",E624,IF('Paste Editor (Beta)'!$C$82="Reroll class prompt",S623,IF('Paste Editor (Beta)'!$C$82="Swap hero prompt",S623,IF('Paste Editor (Beta)'!$C$82="Anvil prompt",AD623,"")))))))</f>
        <v/>
      </c>
      <c r="AJ623" s="283">
        <f>IF('Paste Editor (Beta)'!$C$90="Level-up prompt",G624,IF('Paste Editor (Beta)'!$C$90="Item prompt",E624,IF('Paste Editor (Beta)'!$C$90="Modifier prompt","'"&amp;B624,IF('Paste Editor (Beta)'!$C$90="Challenge prompt",L624,IF('Paste Editor (Beta)'!$C$90="Reroll class prompt",S623,IF('Paste Editor (Beta)'!$C$90="Swap hero prompt",S623,IF('Paste Editor (Beta)'!$C$90="Anvil prompt",AD623,"")))))))</f>
        <v>0</v>
      </c>
      <c r="AK623" s="283">
        <f>IF('Paste Editor (Beta)'!$C$90="Level-up prompt",G624,IF('Paste Editor (Beta)'!$C$90="Item prompt",E624,IF('Paste Editor (Beta)'!$C$90="Modifier prompt","'"&amp;B624,IF('Paste Editor (Beta)'!$C$90="Challenge prompt",E624,IF('Paste Editor (Beta)'!$C$90="Reroll class prompt",S623,IF('Paste Editor (Beta)'!$C$90="Swap hero prompt",S623,IF('Paste Editor (Beta)'!$C$90="Anvil prompt",AD623,"")))))))</f>
        <v>0</v>
      </c>
    </row>
    <row r="624" spans="2:37" ht="17.25">
      <c r="B624" s="284" t="s">
        <v>2659</v>
      </c>
      <c r="C624" s="284" t="s">
        <v>2659</v>
      </c>
      <c r="D624" s="284" t="s">
        <v>2659</v>
      </c>
      <c r="AH624" s="280" t="str">
        <f>IF('Paste Editor (Beta)'!$C$82="Level-up prompt",G625,IF('Paste Editor (Beta)'!$C$82="Item prompt",E625,IF('Paste Editor (Beta)'!$C$82="Modifier prompt","'"&amp;B625,IF('Paste Editor (Beta)'!$C$82="Challenge prompt",L625,IF('Paste Editor (Beta)'!$C$82="Reroll class prompt",S624,IF('Paste Editor (Beta)'!$C$82="Swap hero prompt",S624,IF('Paste Editor (Beta)'!$C$82="Anvil prompt",AD624,"")))))))</f>
        <v/>
      </c>
      <c r="AI624" s="280" t="str">
        <f>IF('Paste Editor (Beta)'!$C$82="Level-up prompt",G625,IF('Paste Editor (Beta)'!$C$82="Item prompt",E625,IF('Paste Editor (Beta)'!$C$82="Modifier prompt","'"&amp;B625,IF('Paste Editor (Beta)'!$C$82="Challenge prompt",E625,IF('Paste Editor (Beta)'!$C$82="Reroll class prompt",S624,IF('Paste Editor (Beta)'!$C$82="Swap hero prompt",S624,IF('Paste Editor (Beta)'!$C$82="Anvil prompt",AD624,"")))))))</f>
        <v/>
      </c>
      <c r="AJ624" s="283">
        <f>IF('Paste Editor (Beta)'!$C$90="Level-up prompt",G625,IF('Paste Editor (Beta)'!$C$90="Item prompt",E625,IF('Paste Editor (Beta)'!$C$90="Modifier prompt","'"&amp;B625,IF('Paste Editor (Beta)'!$C$90="Challenge prompt",L625,IF('Paste Editor (Beta)'!$C$90="Reroll class prompt",S624,IF('Paste Editor (Beta)'!$C$90="Swap hero prompt",S624,IF('Paste Editor (Beta)'!$C$90="Anvil prompt",AD624,"")))))))</f>
        <v>0</v>
      </c>
      <c r="AK624" s="283">
        <f>IF('Paste Editor (Beta)'!$C$90="Level-up prompt",G625,IF('Paste Editor (Beta)'!$C$90="Item prompt",E625,IF('Paste Editor (Beta)'!$C$90="Modifier prompt","'"&amp;B625,IF('Paste Editor (Beta)'!$C$90="Challenge prompt",E625,IF('Paste Editor (Beta)'!$C$90="Reroll class prompt",S624,IF('Paste Editor (Beta)'!$C$90="Swap hero prompt",S624,IF('Paste Editor (Beta)'!$C$90="Anvil prompt",AD624,"")))))))</f>
        <v>0</v>
      </c>
    </row>
    <row r="625" spans="2:37" ht="17.25">
      <c r="B625" s="284" t="s">
        <v>2573</v>
      </c>
      <c r="C625" s="284" t="s">
        <v>2573</v>
      </c>
      <c r="D625" s="284" t="s">
        <v>2573</v>
      </c>
      <c r="AH625" s="280" t="str">
        <f>IF('Paste Editor (Beta)'!$C$82="Level-up prompt",G626,IF('Paste Editor (Beta)'!$C$82="Item prompt",E626,IF('Paste Editor (Beta)'!$C$82="Modifier prompt","'"&amp;B626,IF('Paste Editor (Beta)'!$C$82="Challenge prompt",L626,IF('Paste Editor (Beta)'!$C$82="Reroll class prompt",S625,IF('Paste Editor (Beta)'!$C$82="Swap hero prompt",S625,IF('Paste Editor (Beta)'!$C$82="Anvil prompt",AD625,"")))))))</f>
        <v/>
      </c>
      <c r="AI625" s="280" t="str">
        <f>IF('Paste Editor (Beta)'!$C$82="Level-up prompt",G626,IF('Paste Editor (Beta)'!$C$82="Item prompt",E626,IF('Paste Editor (Beta)'!$C$82="Modifier prompt","'"&amp;B626,IF('Paste Editor (Beta)'!$C$82="Challenge prompt",E626,IF('Paste Editor (Beta)'!$C$82="Reroll class prompt",S625,IF('Paste Editor (Beta)'!$C$82="Swap hero prompt",S625,IF('Paste Editor (Beta)'!$C$82="Anvil prompt",AD625,"")))))))</f>
        <v/>
      </c>
      <c r="AJ625" s="283">
        <f>IF('Paste Editor (Beta)'!$C$90="Level-up prompt",G626,IF('Paste Editor (Beta)'!$C$90="Item prompt",E626,IF('Paste Editor (Beta)'!$C$90="Modifier prompt","'"&amp;B626,IF('Paste Editor (Beta)'!$C$90="Challenge prompt",L626,IF('Paste Editor (Beta)'!$C$90="Reroll class prompt",S625,IF('Paste Editor (Beta)'!$C$90="Swap hero prompt",S625,IF('Paste Editor (Beta)'!$C$90="Anvil prompt",AD625,"")))))))</f>
        <v>0</v>
      </c>
      <c r="AK625" s="283">
        <f>IF('Paste Editor (Beta)'!$C$90="Level-up prompt",G626,IF('Paste Editor (Beta)'!$C$90="Item prompt",E626,IF('Paste Editor (Beta)'!$C$90="Modifier prompt","'"&amp;B626,IF('Paste Editor (Beta)'!$C$90="Challenge prompt",E626,IF('Paste Editor (Beta)'!$C$90="Reroll class prompt",S625,IF('Paste Editor (Beta)'!$C$90="Swap hero prompt",S625,IF('Paste Editor (Beta)'!$C$90="Anvil prompt",AD625,"")))))))</f>
        <v>0</v>
      </c>
    </row>
    <row r="626" spans="2:37" ht="17.25">
      <c r="B626" s="284" t="s">
        <v>2733</v>
      </c>
      <c r="C626" s="284" t="s">
        <v>2733</v>
      </c>
      <c r="D626" s="284" t="s">
        <v>2733</v>
      </c>
      <c r="AH626" s="280" t="str">
        <f>IF('Paste Editor (Beta)'!$C$82="Level-up prompt",G627,IF('Paste Editor (Beta)'!$C$82="Item prompt",E627,IF('Paste Editor (Beta)'!$C$82="Modifier prompt","'"&amp;B627,IF('Paste Editor (Beta)'!$C$82="Challenge prompt",L627,IF('Paste Editor (Beta)'!$C$82="Reroll class prompt",S626,IF('Paste Editor (Beta)'!$C$82="Swap hero prompt",S626,IF('Paste Editor (Beta)'!$C$82="Anvil prompt",AD626,"")))))))</f>
        <v/>
      </c>
      <c r="AI626" s="280" t="str">
        <f>IF('Paste Editor (Beta)'!$C$82="Level-up prompt",G627,IF('Paste Editor (Beta)'!$C$82="Item prompt",E627,IF('Paste Editor (Beta)'!$C$82="Modifier prompt","'"&amp;B627,IF('Paste Editor (Beta)'!$C$82="Challenge prompt",E627,IF('Paste Editor (Beta)'!$C$82="Reroll class prompt",S626,IF('Paste Editor (Beta)'!$C$82="Swap hero prompt",S626,IF('Paste Editor (Beta)'!$C$82="Anvil prompt",AD626,"")))))))</f>
        <v/>
      </c>
      <c r="AJ626" s="283">
        <f>IF('Paste Editor (Beta)'!$C$90="Level-up prompt",G627,IF('Paste Editor (Beta)'!$C$90="Item prompt",E627,IF('Paste Editor (Beta)'!$C$90="Modifier prompt","'"&amp;B627,IF('Paste Editor (Beta)'!$C$90="Challenge prompt",L627,IF('Paste Editor (Beta)'!$C$90="Reroll class prompt",S626,IF('Paste Editor (Beta)'!$C$90="Swap hero prompt",S626,IF('Paste Editor (Beta)'!$C$90="Anvil prompt",AD626,"")))))))</f>
        <v>0</v>
      </c>
      <c r="AK626" s="283">
        <f>IF('Paste Editor (Beta)'!$C$90="Level-up prompt",G627,IF('Paste Editor (Beta)'!$C$90="Item prompt",E627,IF('Paste Editor (Beta)'!$C$90="Modifier prompt","'"&amp;B627,IF('Paste Editor (Beta)'!$C$90="Challenge prompt",E627,IF('Paste Editor (Beta)'!$C$90="Reroll class prompt",S626,IF('Paste Editor (Beta)'!$C$90="Swap hero prompt",S626,IF('Paste Editor (Beta)'!$C$90="Anvil prompt",AD626,"")))))))</f>
        <v>0</v>
      </c>
    </row>
    <row r="627" spans="2:37" ht="17.25">
      <c r="B627" s="284" t="s">
        <v>2610</v>
      </c>
      <c r="C627" s="284" t="s">
        <v>2610</v>
      </c>
      <c r="D627" s="284" t="s">
        <v>2610</v>
      </c>
      <c r="AH627" s="280" t="str">
        <f>IF('Paste Editor (Beta)'!$C$82="Level-up prompt",G628,IF('Paste Editor (Beta)'!$C$82="Item prompt",E628,IF('Paste Editor (Beta)'!$C$82="Modifier prompt","'"&amp;B628,IF('Paste Editor (Beta)'!$C$82="Challenge prompt",L628,IF('Paste Editor (Beta)'!$C$82="Reroll class prompt",S627,IF('Paste Editor (Beta)'!$C$82="Swap hero prompt",S627,IF('Paste Editor (Beta)'!$C$82="Anvil prompt",AD627,"")))))))</f>
        <v/>
      </c>
      <c r="AI627" s="280" t="str">
        <f>IF('Paste Editor (Beta)'!$C$82="Level-up prompt",G628,IF('Paste Editor (Beta)'!$C$82="Item prompt",E628,IF('Paste Editor (Beta)'!$C$82="Modifier prompt","'"&amp;B628,IF('Paste Editor (Beta)'!$C$82="Challenge prompt",E628,IF('Paste Editor (Beta)'!$C$82="Reroll class prompt",S627,IF('Paste Editor (Beta)'!$C$82="Swap hero prompt",S627,IF('Paste Editor (Beta)'!$C$82="Anvil prompt",AD627,"")))))))</f>
        <v/>
      </c>
      <c r="AJ627" s="283">
        <f>IF('Paste Editor (Beta)'!$C$90="Level-up prompt",G628,IF('Paste Editor (Beta)'!$C$90="Item prompt",E628,IF('Paste Editor (Beta)'!$C$90="Modifier prompt","'"&amp;B628,IF('Paste Editor (Beta)'!$C$90="Challenge prompt",L628,IF('Paste Editor (Beta)'!$C$90="Reroll class prompt",S627,IF('Paste Editor (Beta)'!$C$90="Swap hero prompt",S627,IF('Paste Editor (Beta)'!$C$90="Anvil prompt",AD627,"")))))))</f>
        <v>0</v>
      </c>
      <c r="AK627" s="283">
        <f>IF('Paste Editor (Beta)'!$C$90="Level-up prompt",G628,IF('Paste Editor (Beta)'!$C$90="Item prompt",E628,IF('Paste Editor (Beta)'!$C$90="Modifier prompt","'"&amp;B628,IF('Paste Editor (Beta)'!$C$90="Challenge prompt",E628,IF('Paste Editor (Beta)'!$C$90="Reroll class prompt",S627,IF('Paste Editor (Beta)'!$C$90="Swap hero prompt",S627,IF('Paste Editor (Beta)'!$C$90="Anvil prompt",AD627,"")))))))</f>
        <v>0</v>
      </c>
    </row>
    <row r="628" spans="2:37" ht="17.25">
      <c r="B628" s="284" t="s">
        <v>3063</v>
      </c>
      <c r="C628" s="284" t="s">
        <v>3063</v>
      </c>
      <c r="D628" s="284" t="s">
        <v>3063</v>
      </c>
      <c r="AH628" s="280" t="str">
        <f>IF('Paste Editor (Beta)'!$C$82="Level-up prompt",G629,IF('Paste Editor (Beta)'!$C$82="Item prompt",E629,IF('Paste Editor (Beta)'!$C$82="Modifier prompt","'"&amp;B629,IF('Paste Editor (Beta)'!$C$82="Challenge prompt",L629,IF('Paste Editor (Beta)'!$C$82="Reroll class prompt",S628,IF('Paste Editor (Beta)'!$C$82="Swap hero prompt",S628,IF('Paste Editor (Beta)'!$C$82="Anvil prompt",AD628,"")))))))</f>
        <v/>
      </c>
      <c r="AI628" s="280" t="str">
        <f>IF('Paste Editor (Beta)'!$C$82="Level-up prompt",G629,IF('Paste Editor (Beta)'!$C$82="Item prompt",E629,IF('Paste Editor (Beta)'!$C$82="Modifier prompt","'"&amp;B629,IF('Paste Editor (Beta)'!$C$82="Challenge prompt",E629,IF('Paste Editor (Beta)'!$C$82="Reroll class prompt",S628,IF('Paste Editor (Beta)'!$C$82="Swap hero prompt",S628,IF('Paste Editor (Beta)'!$C$82="Anvil prompt",AD628,"")))))))</f>
        <v/>
      </c>
      <c r="AJ628" s="283">
        <f>IF('Paste Editor (Beta)'!$C$90="Level-up prompt",G629,IF('Paste Editor (Beta)'!$C$90="Item prompt",E629,IF('Paste Editor (Beta)'!$C$90="Modifier prompt","'"&amp;B629,IF('Paste Editor (Beta)'!$C$90="Challenge prompt",L629,IF('Paste Editor (Beta)'!$C$90="Reroll class prompt",S628,IF('Paste Editor (Beta)'!$C$90="Swap hero prompt",S628,IF('Paste Editor (Beta)'!$C$90="Anvil prompt",AD628,"")))))))</f>
        <v>0</v>
      </c>
      <c r="AK628" s="283">
        <f>IF('Paste Editor (Beta)'!$C$90="Level-up prompt",G629,IF('Paste Editor (Beta)'!$C$90="Item prompt",E629,IF('Paste Editor (Beta)'!$C$90="Modifier prompt","'"&amp;B629,IF('Paste Editor (Beta)'!$C$90="Challenge prompt",E629,IF('Paste Editor (Beta)'!$C$90="Reroll class prompt",S628,IF('Paste Editor (Beta)'!$C$90="Swap hero prompt",S628,IF('Paste Editor (Beta)'!$C$90="Anvil prompt",AD628,"")))))))</f>
        <v>0</v>
      </c>
    </row>
    <row r="629" spans="2:37" ht="17.25">
      <c r="B629" s="284" t="s">
        <v>1955</v>
      </c>
      <c r="C629" s="284" t="s">
        <v>1955</v>
      </c>
      <c r="D629" s="284" t="s">
        <v>1955</v>
      </c>
      <c r="AH629" s="280" t="str">
        <f>IF('Paste Editor (Beta)'!$C$82="Level-up prompt",G630,IF('Paste Editor (Beta)'!$C$82="Item prompt",E630,IF('Paste Editor (Beta)'!$C$82="Modifier prompt","'"&amp;B630,IF('Paste Editor (Beta)'!$C$82="Challenge prompt",L630,IF('Paste Editor (Beta)'!$C$82="Reroll class prompt",S629,IF('Paste Editor (Beta)'!$C$82="Swap hero prompt",S629,IF('Paste Editor (Beta)'!$C$82="Anvil prompt",AD629,"")))))))</f>
        <v/>
      </c>
      <c r="AI629" s="280" t="str">
        <f>IF('Paste Editor (Beta)'!$C$82="Level-up prompt",G630,IF('Paste Editor (Beta)'!$C$82="Item prompt",E630,IF('Paste Editor (Beta)'!$C$82="Modifier prompt","'"&amp;B630,IF('Paste Editor (Beta)'!$C$82="Challenge prompt",E630,IF('Paste Editor (Beta)'!$C$82="Reroll class prompt",S629,IF('Paste Editor (Beta)'!$C$82="Swap hero prompt",S629,IF('Paste Editor (Beta)'!$C$82="Anvil prompt",AD629,"")))))))</f>
        <v/>
      </c>
      <c r="AJ629" s="283">
        <f>IF('Paste Editor (Beta)'!$C$90="Level-up prompt",G630,IF('Paste Editor (Beta)'!$C$90="Item prompt",E630,IF('Paste Editor (Beta)'!$C$90="Modifier prompt","'"&amp;B630,IF('Paste Editor (Beta)'!$C$90="Challenge prompt",L630,IF('Paste Editor (Beta)'!$C$90="Reroll class prompt",S629,IF('Paste Editor (Beta)'!$C$90="Swap hero prompt",S629,IF('Paste Editor (Beta)'!$C$90="Anvil prompt",AD629,"")))))))</f>
        <v>0</v>
      </c>
      <c r="AK629" s="283">
        <f>IF('Paste Editor (Beta)'!$C$90="Level-up prompt",G630,IF('Paste Editor (Beta)'!$C$90="Item prompt",E630,IF('Paste Editor (Beta)'!$C$90="Modifier prompt","'"&amp;B630,IF('Paste Editor (Beta)'!$C$90="Challenge prompt",E630,IF('Paste Editor (Beta)'!$C$90="Reroll class prompt",S629,IF('Paste Editor (Beta)'!$C$90="Swap hero prompt",S629,IF('Paste Editor (Beta)'!$C$90="Anvil prompt",AD629,"")))))))</f>
        <v>0</v>
      </c>
    </row>
    <row r="630" spans="2:37" ht="17.25">
      <c r="B630" s="284" t="s">
        <v>1957</v>
      </c>
      <c r="C630" s="284" t="s">
        <v>1957</v>
      </c>
      <c r="D630" s="284" t="s">
        <v>1957</v>
      </c>
      <c r="AH630" s="280" t="str">
        <f>IF('Paste Editor (Beta)'!$C$82="Level-up prompt",G631,IF('Paste Editor (Beta)'!$C$82="Item prompt",E631,IF('Paste Editor (Beta)'!$C$82="Modifier prompt","'"&amp;B631,IF('Paste Editor (Beta)'!$C$82="Challenge prompt",L631,IF('Paste Editor (Beta)'!$C$82="Reroll class prompt",S630,IF('Paste Editor (Beta)'!$C$82="Swap hero prompt",S630,IF('Paste Editor (Beta)'!$C$82="Anvil prompt",AD630,"")))))))</f>
        <v/>
      </c>
      <c r="AI630" s="280" t="str">
        <f>IF('Paste Editor (Beta)'!$C$82="Level-up prompt",G631,IF('Paste Editor (Beta)'!$C$82="Item prompt",E631,IF('Paste Editor (Beta)'!$C$82="Modifier prompt","'"&amp;B631,IF('Paste Editor (Beta)'!$C$82="Challenge prompt",E631,IF('Paste Editor (Beta)'!$C$82="Reroll class prompt",S630,IF('Paste Editor (Beta)'!$C$82="Swap hero prompt",S630,IF('Paste Editor (Beta)'!$C$82="Anvil prompt",AD630,"")))))))</f>
        <v/>
      </c>
      <c r="AJ630" s="283">
        <f>IF('Paste Editor (Beta)'!$C$90="Level-up prompt",G631,IF('Paste Editor (Beta)'!$C$90="Item prompt",E631,IF('Paste Editor (Beta)'!$C$90="Modifier prompt","'"&amp;B631,IF('Paste Editor (Beta)'!$C$90="Challenge prompt",L631,IF('Paste Editor (Beta)'!$C$90="Reroll class prompt",S630,IF('Paste Editor (Beta)'!$C$90="Swap hero prompt",S630,IF('Paste Editor (Beta)'!$C$90="Anvil prompt",AD630,"")))))))</f>
        <v>0</v>
      </c>
      <c r="AK630" s="283">
        <f>IF('Paste Editor (Beta)'!$C$90="Level-up prompt",G631,IF('Paste Editor (Beta)'!$C$90="Item prompt",E631,IF('Paste Editor (Beta)'!$C$90="Modifier prompt","'"&amp;B631,IF('Paste Editor (Beta)'!$C$90="Challenge prompt",E631,IF('Paste Editor (Beta)'!$C$90="Reroll class prompt",S630,IF('Paste Editor (Beta)'!$C$90="Swap hero prompt",S630,IF('Paste Editor (Beta)'!$C$90="Anvil prompt",AD630,"")))))))</f>
        <v>0</v>
      </c>
    </row>
    <row r="631" spans="2:37" ht="17.25">
      <c r="B631" s="284" t="s">
        <v>2103</v>
      </c>
      <c r="C631" s="284" t="s">
        <v>2103</v>
      </c>
      <c r="D631" s="284" t="s">
        <v>2103</v>
      </c>
      <c r="AH631" s="280" t="str">
        <f>IF('Paste Editor (Beta)'!$C$82="Level-up prompt",G632,IF('Paste Editor (Beta)'!$C$82="Item prompt",E632,IF('Paste Editor (Beta)'!$C$82="Modifier prompt","'"&amp;B632,IF('Paste Editor (Beta)'!$C$82="Challenge prompt",L632,IF('Paste Editor (Beta)'!$C$82="Reroll class prompt",S631,IF('Paste Editor (Beta)'!$C$82="Swap hero prompt",S631,IF('Paste Editor (Beta)'!$C$82="Anvil prompt",AD631,"")))))))</f>
        <v/>
      </c>
      <c r="AI631" s="280" t="str">
        <f>IF('Paste Editor (Beta)'!$C$82="Level-up prompt",G632,IF('Paste Editor (Beta)'!$C$82="Item prompt",E632,IF('Paste Editor (Beta)'!$C$82="Modifier prompt","'"&amp;B632,IF('Paste Editor (Beta)'!$C$82="Challenge prompt",E632,IF('Paste Editor (Beta)'!$C$82="Reroll class prompt",S631,IF('Paste Editor (Beta)'!$C$82="Swap hero prompt",S631,IF('Paste Editor (Beta)'!$C$82="Anvil prompt",AD631,"")))))))</f>
        <v/>
      </c>
      <c r="AJ631" s="283">
        <f>IF('Paste Editor (Beta)'!$C$90="Level-up prompt",G632,IF('Paste Editor (Beta)'!$C$90="Item prompt",E632,IF('Paste Editor (Beta)'!$C$90="Modifier prompt","'"&amp;B632,IF('Paste Editor (Beta)'!$C$90="Challenge prompt",L632,IF('Paste Editor (Beta)'!$C$90="Reroll class prompt",S631,IF('Paste Editor (Beta)'!$C$90="Swap hero prompt",S631,IF('Paste Editor (Beta)'!$C$90="Anvil prompt",AD631,"")))))))</f>
        <v>0</v>
      </c>
      <c r="AK631" s="283">
        <f>IF('Paste Editor (Beta)'!$C$90="Level-up prompt",G632,IF('Paste Editor (Beta)'!$C$90="Item prompt",E632,IF('Paste Editor (Beta)'!$C$90="Modifier prompt","'"&amp;B632,IF('Paste Editor (Beta)'!$C$90="Challenge prompt",E632,IF('Paste Editor (Beta)'!$C$90="Reroll class prompt",S631,IF('Paste Editor (Beta)'!$C$90="Swap hero prompt",S631,IF('Paste Editor (Beta)'!$C$90="Anvil prompt",AD631,"")))))))</f>
        <v>0</v>
      </c>
    </row>
    <row r="632" spans="2:37" ht="17.25">
      <c r="B632" s="284" t="s">
        <v>2206</v>
      </c>
      <c r="C632" s="284" t="s">
        <v>2206</v>
      </c>
      <c r="D632" s="284" t="s">
        <v>2206</v>
      </c>
      <c r="AH632" s="280" t="str">
        <f>IF('Paste Editor (Beta)'!$C$82="Level-up prompt",G633,IF('Paste Editor (Beta)'!$C$82="Item prompt",E633,IF('Paste Editor (Beta)'!$C$82="Modifier prompt","'"&amp;B633,IF('Paste Editor (Beta)'!$C$82="Challenge prompt",L633,IF('Paste Editor (Beta)'!$C$82="Reroll class prompt",S632,IF('Paste Editor (Beta)'!$C$82="Swap hero prompt",S632,IF('Paste Editor (Beta)'!$C$82="Anvil prompt",AD632,"")))))))</f>
        <v/>
      </c>
      <c r="AI632" s="280" t="str">
        <f>IF('Paste Editor (Beta)'!$C$82="Level-up prompt",G633,IF('Paste Editor (Beta)'!$C$82="Item prompt",E633,IF('Paste Editor (Beta)'!$C$82="Modifier prompt","'"&amp;B633,IF('Paste Editor (Beta)'!$C$82="Challenge prompt",E633,IF('Paste Editor (Beta)'!$C$82="Reroll class prompt",S632,IF('Paste Editor (Beta)'!$C$82="Swap hero prompt",S632,IF('Paste Editor (Beta)'!$C$82="Anvil prompt",AD632,"")))))))</f>
        <v/>
      </c>
      <c r="AJ632" s="283">
        <f>IF('Paste Editor (Beta)'!$C$90="Level-up prompt",G633,IF('Paste Editor (Beta)'!$C$90="Item prompt",E633,IF('Paste Editor (Beta)'!$C$90="Modifier prompt","'"&amp;B633,IF('Paste Editor (Beta)'!$C$90="Challenge prompt",L633,IF('Paste Editor (Beta)'!$C$90="Reroll class prompt",S632,IF('Paste Editor (Beta)'!$C$90="Swap hero prompt",S632,IF('Paste Editor (Beta)'!$C$90="Anvil prompt",AD632,"")))))))</f>
        <v>0</v>
      </c>
      <c r="AK632" s="283">
        <f>IF('Paste Editor (Beta)'!$C$90="Level-up prompt",G633,IF('Paste Editor (Beta)'!$C$90="Item prompt",E633,IF('Paste Editor (Beta)'!$C$90="Modifier prompt","'"&amp;B633,IF('Paste Editor (Beta)'!$C$90="Challenge prompt",E633,IF('Paste Editor (Beta)'!$C$90="Reroll class prompt",S632,IF('Paste Editor (Beta)'!$C$90="Swap hero prompt",S632,IF('Paste Editor (Beta)'!$C$90="Anvil prompt",AD632,"")))))))</f>
        <v>0</v>
      </c>
    </row>
    <row r="633" spans="2:37" ht="17.25">
      <c r="B633" s="284" t="s">
        <v>2322</v>
      </c>
      <c r="C633" s="284" t="s">
        <v>2322</v>
      </c>
      <c r="D633" s="284" t="s">
        <v>2322</v>
      </c>
      <c r="AH633" s="280" t="str">
        <f>IF('Paste Editor (Beta)'!$C$82="Level-up prompt",G634,IF('Paste Editor (Beta)'!$C$82="Item prompt",E634,IF('Paste Editor (Beta)'!$C$82="Modifier prompt","'"&amp;B634,IF('Paste Editor (Beta)'!$C$82="Challenge prompt",L634,IF('Paste Editor (Beta)'!$C$82="Reroll class prompt",S633,IF('Paste Editor (Beta)'!$C$82="Swap hero prompt",S633,IF('Paste Editor (Beta)'!$C$82="Anvil prompt",AD633,"")))))))</f>
        <v/>
      </c>
      <c r="AI633" s="280" t="str">
        <f>IF('Paste Editor (Beta)'!$C$82="Level-up prompt",G634,IF('Paste Editor (Beta)'!$C$82="Item prompt",E634,IF('Paste Editor (Beta)'!$C$82="Modifier prompt","'"&amp;B634,IF('Paste Editor (Beta)'!$C$82="Challenge prompt",E634,IF('Paste Editor (Beta)'!$C$82="Reroll class prompt",S633,IF('Paste Editor (Beta)'!$C$82="Swap hero prompt",S633,IF('Paste Editor (Beta)'!$C$82="Anvil prompt",AD633,"")))))))</f>
        <v/>
      </c>
      <c r="AJ633" s="283">
        <f>IF('Paste Editor (Beta)'!$C$90="Level-up prompt",G634,IF('Paste Editor (Beta)'!$C$90="Item prompt",E634,IF('Paste Editor (Beta)'!$C$90="Modifier prompt","'"&amp;B634,IF('Paste Editor (Beta)'!$C$90="Challenge prompt",L634,IF('Paste Editor (Beta)'!$C$90="Reroll class prompt",S633,IF('Paste Editor (Beta)'!$C$90="Swap hero prompt",S633,IF('Paste Editor (Beta)'!$C$90="Anvil prompt",AD633,"")))))))</f>
        <v>0</v>
      </c>
      <c r="AK633" s="283">
        <f>IF('Paste Editor (Beta)'!$C$90="Level-up prompt",G634,IF('Paste Editor (Beta)'!$C$90="Item prompt",E634,IF('Paste Editor (Beta)'!$C$90="Modifier prompt","'"&amp;B634,IF('Paste Editor (Beta)'!$C$90="Challenge prompt",E634,IF('Paste Editor (Beta)'!$C$90="Reroll class prompt",S633,IF('Paste Editor (Beta)'!$C$90="Swap hero prompt",S633,IF('Paste Editor (Beta)'!$C$90="Anvil prompt",AD633,"")))))))</f>
        <v>0</v>
      </c>
    </row>
    <row r="634" spans="2:37" ht="17.25">
      <c r="B634" s="284" t="s">
        <v>2551</v>
      </c>
      <c r="C634" s="284" t="s">
        <v>2551</v>
      </c>
      <c r="D634" s="284" t="s">
        <v>2551</v>
      </c>
      <c r="AH634" s="280" t="str">
        <f>IF('Paste Editor (Beta)'!$C$82="Level-up prompt",G635,IF('Paste Editor (Beta)'!$C$82="Item prompt",E635,IF('Paste Editor (Beta)'!$C$82="Modifier prompt","'"&amp;B635,IF('Paste Editor (Beta)'!$C$82="Challenge prompt",L635,IF('Paste Editor (Beta)'!$C$82="Reroll class prompt",S634,IF('Paste Editor (Beta)'!$C$82="Swap hero prompt",S634,IF('Paste Editor (Beta)'!$C$82="Anvil prompt",AD634,"")))))))</f>
        <v/>
      </c>
      <c r="AI634" s="280" t="str">
        <f>IF('Paste Editor (Beta)'!$C$82="Level-up prompt",G635,IF('Paste Editor (Beta)'!$C$82="Item prompt",E635,IF('Paste Editor (Beta)'!$C$82="Modifier prompt","'"&amp;B635,IF('Paste Editor (Beta)'!$C$82="Challenge prompt",E635,IF('Paste Editor (Beta)'!$C$82="Reroll class prompt",S634,IF('Paste Editor (Beta)'!$C$82="Swap hero prompt",S634,IF('Paste Editor (Beta)'!$C$82="Anvil prompt",AD634,"")))))))</f>
        <v/>
      </c>
      <c r="AJ634" s="283">
        <f>IF('Paste Editor (Beta)'!$C$90="Level-up prompt",G635,IF('Paste Editor (Beta)'!$C$90="Item prompt",E635,IF('Paste Editor (Beta)'!$C$90="Modifier prompt","'"&amp;B635,IF('Paste Editor (Beta)'!$C$90="Challenge prompt",L635,IF('Paste Editor (Beta)'!$C$90="Reroll class prompt",S634,IF('Paste Editor (Beta)'!$C$90="Swap hero prompt",S634,IF('Paste Editor (Beta)'!$C$90="Anvil prompt",AD634,"")))))))</f>
        <v>0</v>
      </c>
      <c r="AK634" s="283">
        <f>IF('Paste Editor (Beta)'!$C$90="Level-up prompt",G635,IF('Paste Editor (Beta)'!$C$90="Item prompt",E635,IF('Paste Editor (Beta)'!$C$90="Modifier prompt","'"&amp;B635,IF('Paste Editor (Beta)'!$C$90="Challenge prompt",E635,IF('Paste Editor (Beta)'!$C$90="Reroll class prompt",S634,IF('Paste Editor (Beta)'!$C$90="Swap hero prompt",S634,IF('Paste Editor (Beta)'!$C$90="Anvil prompt",AD634,"")))))))</f>
        <v>0</v>
      </c>
    </row>
    <row r="635" spans="2:37" ht="17.25">
      <c r="B635" s="284" t="s">
        <v>2679</v>
      </c>
      <c r="C635" s="284" t="s">
        <v>2679</v>
      </c>
      <c r="D635" s="284" t="s">
        <v>2679</v>
      </c>
      <c r="AH635" s="280" t="str">
        <f>IF('Paste Editor (Beta)'!$C$82="Level-up prompt",G636,IF('Paste Editor (Beta)'!$C$82="Item prompt",E636,IF('Paste Editor (Beta)'!$C$82="Modifier prompt","'"&amp;B636,IF('Paste Editor (Beta)'!$C$82="Challenge prompt",L636,IF('Paste Editor (Beta)'!$C$82="Reroll class prompt",S635,IF('Paste Editor (Beta)'!$C$82="Swap hero prompt",S635,IF('Paste Editor (Beta)'!$C$82="Anvil prompt",AD635,"")))))))</f>
        <v/>
      </c>
      <c r="AI635" s="280" t="str">
        <f>IF('Paste Editor (Beta)'!$C$82="Level-up prompt",G636,IF('Paste Editor (Beta)'!$C$82="Item prompt",E636,IF('Paste Editor (Beta)'!$C$82="Modifier prompt","'"&amp;B636,IF('Paste Editor (Beta)'!$C$82="Challenge prompt",E636,IF('Paste Editor (Beta)'!$C$82="Reroll class prompt",S635,IF('Paste Editor (Beta)'!$C$82="Swap hero prompt",S635,IF('Paste Editor (Beta)'!$C$82="Anvil prompt",AD635,"")))))))</f>
        <v/>
      </c>
      <c r="AJ635" s="283">
        <f>IF('Paste Editor (Beta)'!$C$90="Level-up prompt",G636,IF('Paste Editor (Beta)'!$C$90="Item prompt",E636,IF('Paste Editor (Beta)'!$C$90="Modifier prompt","'"&amp;B636,IF('Paste Editor (Beta)'!$C$90="Challenge prompt",L636,IF('Paste Editor (Beta)'!$C$90="Reroll class prompt",S635,IF('Paste Editor (Beta)'!$C$90="Swap hero prompt",S635,IF('Paste Editor (Beta)'!$C$90="Anvil prompt",AD635,"")))))))</f>
        <v>0</v>
      </c>
      <c r="AK635" s="283">
        <f>IF('Paste Editor (Beta)'!$C$90="Level-up prompt",G636,IF('Paste Editor (Beta)'!$C$90="Item prompt",E636,IF('Paste Editor (Beta)'!$C$90="Modifier prompt","'"&amp;B636,IF('Paste Editor (Beta)'!$C$90="Challenge prompt",E636,IF('Paste Editor (Beta)'!$C$90="Reroll class prompt",S635,IF('Paste Editor (Beta)'!$C$90="Swap hero prompt",S635,IF('Paste Editor (Beta)'!$C$90="Anvil prompt",AD635,"")))))))</f>
        <v>0</v>
      </c>
    </row>
    <row r="636" spans="2:37" ht="17.25">
      <c r="B636" s="284" t="s">
        <v>2759</v>
      </c>
      <c r="C636" s="284" t="s">
        <v>2759</v>
      </c>
      <c r="D636" s="284" t="s">
        <v>2759</v>
      </c>
      <c r="AH636" s="280" t="str">
        <f>IF('Paste Editor (Beta)'!$C$82="Level-up prompt",G637,IF('Paste Editor (Beta)'!$C$82="Item prompt",E637,IF('Paste Editor (Beta)'!$C$82="Modifier prompt","'"&amp;B637,IF('Paste Editor (Beta)'!$C$82="Challenge prompt",L637,IF('Paste Editor (Beta)'!$C$82="Reroll class prompt",S636,IF('Paste Editor (Beta)'!$C$82="Swap hero prompt",S636,IF('Paste Editor (Beta)'!$C$82="Anvil prompt",AD636,"")))))))</f>
        <v/>
      </c>
      <c r="AI636" s="280" t="str">
        <f>IF('Paste Editor (Beta)'!$C$82="Level-up prompt",G637,IF('Paste Editor (Beta)'!$C$82="Item prompt",E637,IF('Paste Editor (Beta)'!$C$82="Modifier prompt","'"&amp;B637,IF('Paste Editor (Beta)'!$C$82="Challenge prompt",E637,IF('Paste Editor (Beta)'!$C$82="Reroll class prompt",S636,IF('Paste Editor (Beta)'!$C$82="Swap hero prompt",S636,IF('Paste Editor (Beta)'!$C$82="Anvil prompt",AD636,"")))))))</f>
        <v/>
      </c>
      <c r="AJ636" s="283">
        <f>IF('Paste Editor (Beta)'!$C$90="Level-up prompt",G637,IF('Paste Editor (Beta)'!$C$90="Item prompt",E637,IF('Paste Editor (Beta)'!$C$90="Modifier prompt","'"&amp;B637,IF('Paste Editor (Beta)'!$C$90="Challenge prompt",L637,IF('Paste Editor (Beta)'!$C$90="Reroll class prompt",S636,IF('Paste Editor (Beta)'!$C$90="Swap hero prompt",S636,IF('Paste Editor (Beta)'!$C$90="Anvil prompt",AD636,"")))))))</f>
        <v>0</v>
      </c>
      <c r="AK636" s="283">
        <f>IF('Paste Editor (Beta)'!$C$90="Level-up prompt",G637,IF('Paste Editor (Beta)'!$C$90="Item prompt",E637,IF('Paste Editor (Beta)'!$C$90="Modifier prompt","'"&amp;B637,IF('Paste Editor (Beta)'!$C$90="Challenge prompt",E637,IF('Paste Editor (Beta)'!$C$90="Reroll class prompt",S636,IF('Paste Editor (Beta)'!$C$90="Swap hero prompt",S636,IF('Paste Editor (Beta)'!$C$90="Anvil prompt",AD636,"")))))))</f>
        <v>0</v>
      </c>
    </row>
    <row r="637" spans="2:37" ht="17.25">
      <c r="B637" s="284" t="s">
        <v>2828</v>
      </c>
      <c r="C637" s="284" t="s">
        <v>2828</v>
      </c>
      <c r="D637" s="284" t="s">
        <v>2828</v>
      </c>
      <c r="AH637" s="280" t="str">
        <f>IF('Paste Editor (Beta)'!$C$82="Level-up prompt",G638,IF('Paste Editor (Beta)'!$C$82="Item prompt",E638,IF('Paste Editor (Beta)'!$C$82="Modifier prompt","'"&amp;B638,IF('Paste Editor (Beta)'!$C$82="Challenge prompt",L638,IF('Paste Editor (Beta)'!$C$82="Reroll class prompt",S637,IF('Paste Editor (Beta)'!$C$82="Swap hero prompt",S637,IF('Paste Editor (Beta)'!$C$82="Anvil prompt",AD637,"")))))))</f>
        <v/>
      </c>
      <c r="AI637" s="280" t="str">
        <f>IF('Paste Editor (Beta)'!$C$82="Level-up prompt",G638,IF('Paste Editor (Beta)'!$C$82="Item prompt",E638,IF('Paste Editor (Beta)'!$C$82="Modifier prompt","'"&amp;B638,IF('Paste Editor (Beta)'!$C$82="Challenge prompt",E638,IF('Paste Editor (Beta)'!$C$82="Reroll class prompt",S637,IF('Paste Editor (Beta)'!$C$82="Swap hero prompt",S637,IF('Paste Editor (Beta)'!$C$82="Anvil prompt",AD637,"")))))))</f>
        <v/>
      </c>
      <c r="AJ637" s="283">
        <f>IF('Paste Editor (Beta)'!$C$90="Level-up prompt",G638,IF('Paste Editor (Beta)'!$C$90="Item prompt",E638,IF('Paste Editor (Beta)'!$C$90="Modifier prompt","'"&amp;B638,IF('Paste Editor (Beta)'!$C$90="Challenge prompt",L638,IF('Paste Editor (Beta)'!$C$90="Reroll class prompt",S637,IF('Paste Editor (Beta)'!$C$90="Swap hero prompt",S637,IF('Paste Editor (Beta)'!$C$90="Anvil prompt",AD637,"")))))))</f>
        <v>0</v>
      </c>
      <c r="AK637" s="283">
        <f>IF('Paste Editor (Beta)'!$C$90="Level-up prompt",G638,IF('Paste Editor (Beta)'!$C$90="Item prompt",E638,IF('Paste Editor (Beta)'!$C$90="Modifier prompt","'"&amp;B638,IF('Paste Editor (Beta)'!$C$90="Challenge prompt",E638,IF('Paste Editor (Beta)'!$C$90="Reroll class prompt",S637,IF('Paste Editor (Beta)'!$C$90="Swap hero prompt",S637,IF('Paste Editor (Beta)'!$C$90="Anvil prompt",AD637,"")))))))</f>
        <v>0</v>
      </c>
    </row>
    <row r="638" spans="2:37" ht="17.25">
      <c r="B638" s="284" t="s">
        <v>2859</v>
      </c>
      <c r="C638" s="284" t="s">
        <v>2859</v>
      </c>
      <c r="D638" s="284" t="s">
        <v>2859</v>
      </c>
      <c r="AH638" s="280" t="str">
        <f>IF('Paste Editor (Beta)'!$C$82="Level-up prompt",G639,IF('Paste Editor (Beta)'!$C$82="Item prompt",E639,IF('Paste Editor (Beta)'!$C$82="Modifier prompt","'"&amp;B639,IF('Paste Editor (Beta)'!$C$82="Challenge prompt",L639,IF('Paste Editor (Beta)'!$C$82="Reroll class prompt",S638,IF('Paste Editor (Beta)'!$C$82="Swap hero prompt",S638,IF('Paste Editor (Beta)'!$C$82="Anvil prompt",AD638,"")))))))</f>
        <v/>
      </c>
      <c r="AI638" s="280" t="str">
        <f>IF('Paste Editor (Beta)'!$C$82="Level-up prompt",G639,IF('Paste Editor (Beta)'!$C$82="Item prompt",E639,IF('Paste Editor (Beta)'!$C$82="Modifier prompt","'"&amp;B639,IF('Paste Editor (Beta)'!$C$82="Challenge prompt",E639,IF('Paste Editor (Beta)'!$C$82="Reroll class prompt",S638,IF('Paste Editor (Beta)'!$C$82="Swap hero prompt",S638,IF('Paste Editor (Beta)'!$C$82="Anvil prompt",AD638,"")))))))</f>
        <v/>
      </c>
      <c r="AJ638" s="283">
        <f>IF('Paste Editor (Beta)'!$C$90="Level-up prompt",G639,IF('Paste Editor (Beta)'!$C$90="Item prompt",E639,IF('Paste Editor (Beta)'!$C$90="Modifier prompt","'"&amp;B639,IF('Paste Editor (Beta)'!$C$90="Challenge prompt",L639,IF('Paste Editor (Beta)'!$C$90="Reroll class prompt",S638,IF('Paste Editor (Beta)'!$C$90="Swap hero prompt",S638,IF('Paste Editor (Beta)'!$C$90="Anvil prompt",AD638,"")))))))</f>
        <v>0</v>
      </c>
      <c r="AK638" s="283">
        <f>IF('Paste Editor (Beta)'!$C$90="Level-up prompt",G639,IF('Paste Editor (Beta)'!$C$90="Item prompt",E639,IF('Paste Editor (Beta)'!$C$90="Modifier prompt","'"&amp;B639,IF('Paste Editor (Beta)'!$C$90="Challenge prompt",E639,IF('Paste Editor (Beta)'!$C$90="Reroll class prompt",S638,IF('Paste Editor (Beta)'!$C$90="Swap hero prompt",S638,IF('Paste Editor (Beta)'!$C$90="Anvil prompt",AD638,"")))))))</f>
        <v>0</v>
      </c>
    </row>
    <row r="639" spans="2:37" ht="17.25">
      <c r="B639" s="284" t="s">
        <v>2872</v>
      </c>
      <c r="C639" s="284" t="s">
        <v>2872</v>
      </c>
      <c r="D639" s="284" t="s">
        <v>2872</v>
      </c>
      <c r="AH639" s="280" t="str">
        <f>IF('Paste Editor (Beta)'!$C$82="Level-up prompt",G640,IF('Paste Editor (Beta)'!$C$82="Item prompt",E640,IF('Paste Editor (Beta)'!$C$82="Modifier prompt","'"&amp;B640,IF('Paste Editor (Beta)'!$C$82="Challenge prompt",L640,IF('Paste Editor (Beta)'!$C$82="Reroll class prompt",S639,IF('Paste Editor (Beta)'!$C$82="Swap hero prompt",S639,IF('Paste Editor (Beta)'!$C$82="Anvil prompt",AD639,"")))))))</f>
        <v/>
      </c>
      <c r="AI639" s="280" t="str">
        <f>IF('Paste Editor (Beta)'!$C$82="Level-up prompt",G640,IF('Paste Editor (Beta)'!$C$82="Item prompt",E640,IF('Paste Editor (Beta)'!$C$82="Modifier prompt","'"&amp;B640,IF('Paste Editor (Beta)'!$C$82="Challenge prompt",E640,IF('Paste Editor (Beta)'!$C$82="Reroll class prompt",S639,IF('Paste Editor (Beta)'!$C$82="Swap hero prompt",S639,IF('Paste Editor (Beta)'!$C$82="Anvil prompt",AD639,"")))))))</f>
        <v/>
      </c>
      <c r="AJ639" s="283">
        <f>IF('Paste Editor (Beta)'!$C$90="Level-up prompt",G640,IF('Paste Editor (Beta)'!$C$90="Item prompt",E640,IF('Paste Editor (Beta)'!$C$90="Modifier prompt","'"&amp;B640,IF('Paste Editor (Beta)'!$C$90="Challenge prompt",L640,IF('Paste Editor (Beta)'!$C$90="Reroll class prompt",S639,IF('Paste Editor (Beta)'!$C$90="Swap hero prompt",S639,IF('Paste Editor (Beta)'!$C$90="Anvil prompt",AD639,"")))))))</f>
        <v>0</v>
      </c>
      <c r="AK639" s="283">
        <f>IF('Paste Editor (Beta)'!$C$90="Level-up prompt",G640,IF('Paste Editor (Beta)'!$C$90="Item prompt",E640,IF('Paste Editor (Beta)'!$C$90="Modifier prompt","'"&amp;B640,IF('Paste Editor (Beta)'!$C$90="Challenge prompt",E640,IF('Paste Editor (Beta)'!$C$90="Reroll class prompt",S639,IF('Paste Editor (Beta)'!$C$90="Swap hero prompt",S639,IF('Paste Editor (Beta)'!$C$90="Anvil prompt",AD639,"")))))))</f>
        <v>0</v>
      </c>
    </row>
    <row r="640" spans="2:37" ht="17.25">
      <c r="B640" s="284" t="s">
        <v>2263</v>
      </c>
      <c r="C640" s="284" t="s">
        <v>2263</v>
      </c>
      <c r="D640" s="284" t="s">
        <v>2263</v>
      </c>
      <c r="AH640" s="280" t="str">
        <f>IF('Paste Editor (Beta)'!$C$82="Level-up prompt",G641,IF('Paste Editor (Beta)'!$C$82="Item prompt",E641,IF('Paste Editor (Beta)'!$C$82="Modifier prompt","'"&amp;B641,IF('Paste Editor (Beta)'!$C$82="Challenge prompt",L641,IF('Paste Editor (Beta)'!$C$82="Reroll class prompt",S640,IF('Paste Editor (Beta)'!$C$82="Swap hero prompt",S640,IF('Paste Editor (Beta)'!$C$82="Anvil prompt",AD640,"")))))))</f>
        <v/>
      </c>
      <c r="AI640" s="280" t="str">
        <f>IF('Paste Editor (Beta)'!$C$82="Level-up prompt",G641,IF('Paste Editor (Beta)'!$C$82="Item prompt",E641,IF('Paste Editor (Beta)'!$C$82="Modifier prompt","'"&amp;B641,IF('Paste Editor (Beta)'!$C$82="Challenge prompt",E641,IF('Paste Editor (Beta)'!$C$82="Reroll class prompt",S640,IF('Paste Editor (Beta)'!$C$82="Swap hero prompt",S640,IF('Paste Editor (Beta)'!$C$82="Anvil prompt",AD640,"")))))))</f>
        <v/>
      </c>
      <c r="AJ640" s="283">
        <f>IF('Paste Editor (Beta)'!$C$90="Level-up prompt",G641,IF('Paste Editor (Beta)'!$C$90="Item prompt",E641,IF('Paste Editor (Beta)'!$C$90="Modifier prompt","'"&amp;B641,IF('Paste Editor (Beta)'!$C$90="Challenge prompt",L641,IF('Paste Editor (Beta)'!$C$90="Reroll class prompt",S640,IF('Paste Editor (Beta)'!$C$90="Swap hero prompt",S640,IF('Paste Editor (Beta)'!$C$90="Anvil prompt",AD640,"")))))))</f>
        <v>0</v>
      </c>
      <c r="AK640" s="283">
        <f>IF('Paste Editor (Beta)'!$C$90="Level-up prompt",G641,IF('Paste Editor (Beta)'!$C$90="Item prompt",E641,IF('Paste Editor (Beta)'!$C$90="Modifier prompt","'"&amp;B641,IF('Paste Editor (Beta)'!$C$90="Challenge prompt",E641,IF('Paste Editor (Beta)'!$C$90="Reroll class prompt",S640,IF('Paste Editor (Beta)'!$C$90="Swap hero prompt",S640,IF('Paste Editor (Beta)'!$C$90="Anvil prompt",AD640,"")))))))</f>
        <v>0</v>
      </c>
    </row>
    <row r="641" spans="2:37" ht="17.25">
      <c r="B641" s="284" t="s">
        <v>2136</v>
      </c>
      <c r="C641" s="284" t="s">
        <v>2136</v>
      </c>
      <c r="D641" s="284" t="s">
        <v>2136</v>
      </c>
      <c r="AH641" s="280" t="str">
        <f>IF('Paste Editor (Beta)'!$C$82="Level-up prompt",G642,IF('Paste Editor (Beta)'!$C$82="Item prompt",E642,IF('Paste Editor (Beta)'!$C$82="Modifier prompt","'"&amp;B642,IF('Paste Editor (Beta)'!$C$82="Challenge prompt",L642,IF('Paste Editor (Beta)'!$C$82="Reroll class prompt",S641,IF('Paste Editor (Beta)'!$C$82="Swap hero prompt",S641,IF('Paste Editor (Beta)'!$C$82="Anvil prompt",AD641,"")))))))</f>
        <v/>
      </c>
      <c r="AI641" s="280" t="str">
        <f>IF('Paste Editor (Beta)'!$C$82="Level-up prompt",G642,IF('Paste Editor (Beta)'!$C$82="Item prompt",E642,IF('Paste Editor (Beta)'!$C$82="Modifier prompt","'"&amp;B642,IF('Paste Editor (Beta)'!$C$82="Challenge prompt",E642,IF('Paste Editor (Beta)'!$C$82="Reroll class prompt",S641,IF('Paste Editor (Beta)'!$C$82="Swap hero prompt",S641,IF('Paste Editor (Beta)'!$C$82="Anvil prompt",AD641,"")))))))</f>
        <v/>
      </c>
      <c r="AJ641" s="283">
        <f>IF('Paste Editor (Beta)'!$C$90="Level-up prompt",G642,IF('Paste Editor (Beta)'!$C$90="Item prompt",E642,IF('Paste Editor (Beta)'!$C$90="Modifier prompt","'"&amp;B642,IF('Paste Editor (Beta)'!$C$90="Challenge prompt",L642,IF('Paste Editor (Beta)'!$C$90="Reroll class prompt",S641,IF('Paste Editor (Beta)'!$C$90="Swap hero prompt",S641,IF('Paste Editor (Beta)'!$C$90="Anvil prompt",AD641,"")))))))</f>
        <v>0</v>
      </c>
      <c r="AK641" s="283">
        <f>IF('Paste Editor (Beta)'!$C$90="Level-up prompt",G642,IF('Paste Editor (Beta)'!$C$90="Item prompt",E642,IF('Paste Editor (Beta)'!$C$90="Modifier prompt","'"&amp;B642,IF('Paste Editor (Beta)'!$C$90="Challenge prompt",E642,IF('Paste Editor (Beta)'!$C$90="Reroll class prompt",S641,IF('Paste Editor (Beta)'!$C$90="Swap hero prompt",S641,IF('Paste Editor (Beta)'!$C$90="Anvil prompt",AD641,"")))))))</f>
        <v>0</v>
      </c>
    </row>
    <row r="642" spans="2:37" ht="17.25">
      <c r="B642" s="284" t="s">
        <v>2009</v>
      </c>
      <c r="C642" s="284" t="s">
        <v>2009</v>
      </c>
      <c r="D642" s="284" t="s">
        <v>2009</v>
      </c>
      <c r="AH642" s="280" t="str">
        <f>IF('Paste Editor (Beta)'!$C$82="Level-up prompt",G643,IF('Paste Editor (Beta)'!$C$82="Item prompt",E643,IF('Paste Editor (Beta)'!$C$82="Modifier prompt","'"&amp;B643,IF('Paste Editor (Beta)'!$C$82="Challenge prompt",L643,IF('Paste Editor (Beta)'!$C$82="Reroll class prompt",S642,IF('Paste Editor (Beta)'!$C$82="Swap hero prompt",S642,IF('Paste Editor (Beta)'!$C$82="Anvil prompt",AD642,"")))))))</f>
        <v/>
      </c>
      <c r="AI642" s="280" t="str">
        <f>IF('Paste Editor (Beta)'!$C$82="Level-up prompt",G643,IF('Paste Editor (Beta)'!$C$82="Item prompt",E643,IF('Paste Editor (Beta)'!$C$82="Modifier prompt","'"&amp;B643,IF('Paste Editor (Beta)'!$C$82="Challenge prompt",E643,IF('Paste Editor (Beta)'!$C$82="Reroll class prompt",S642,IF('Paste Editor (Beta)'!$C$82="Swap hero prompt",S642,IF('Paste Editor (Beta)'!$C$82="Anvil prompt",AD642,"")))))))</f>
        <v/>
      </c>
      <c r="AJ642" s="283">
        <f>IF('Paste Editor (Beta)'!$C$90="Level-up prompt",G643,IF('Paste Editor (Beta)'!$C$90="Item prompt",E643,IF('Paste Editor (Beta)'!$C$90="Modifier prompt","'"&amp;B643,IF('Paste Editor (Beta)'!$C$90="Challenge prompt",L643,IF('Paste Editor (Beta)'!$C$90="Reroll class prompt",S642,IF('Paste Editor (Beta)'!$C$90="Swap hero prompt",S642,IF('Paste Editor (Beta)'!$C$90="Anvil prompt",AD642,"")))))))</f>
        <v>0</v>
      </c>
      <c r="AK642" s="283">
        <f>IF('Paste Editor (Beta)'!$C$90="Level-up prompt",G643,IF('Paste Editor (Beta)'!$C$90="Item prompt",E643,IF('Paste Editor (Beta)'!$C$90="Modifier prompt","'"&amp;B643,IF('Paste Editor (Beta)'!$C$90="Challenge prompt",E643,IF('Paste Editor (Beta)'!$C$90="Reroll class prompt",S642,IF('Paste Editor (Beta)'!$C$90="Swap hero prompt",S642,IF('Paste Editor (Beta)'!$C$90="Anvil prompt",AD642,"")))))))</f>
        <v>0</v>
      </c>
    </row>
    <row r="643" spans="2:37" ht="17.25">
      <c r="B643" s="284" t="s">
        <v>2043</v>
      </c>
      <c r="C643" s="284" t="s">
        <v>2043</v>
      </c>
      <c r="D643" s="284" t="s">
        <v>2043</v>
      </c>
      <c r="AH643" s="280" t="str">
        <f>IF('Paste Editor (Beta)'!$C$82="Level-up prompt",G644,IF('Paste Editor (Beta)'!$C$82="Item prompt",E644,IF('Paste Editor (Beta)'!$C$82="Modifier prompt","'"&amp;B644,IF('Paste Editor (Beta)'!$C$82="Challenge prompt",L644,IF('Paste Editor (Beta)'!$C$82="Reroll class prompt",S643,IF('Paste Editor (Beta)'!$C$82="Swap hero prompt",S643,IF('Paste Editor (Beta)'!$C$82="Anvil prompt",AD643,"")))))))</f>
        <v/>
      </c>
      <c r="AI643" s="280" t="str">
        <f>IF('Paste Editor (Beta)'!$C$82="Level-up prompt",G644,IF('Paste Editor (Beta)'!$C$82="Item prompt",E644,IF('Paste Editor (Beta)'!$C$82="Modifier prompt","'"&amp;B644,IF('Paste Editor (Beta)'!$C$82="Challenge prompt",E644,IF('Paste Editor (Beta)'!$C$82="Reroll class prompt",S643,IF('Paste Editor (Beta)'!$C$82="Swap hero prompt",S643,IF('Paste Editor (Beta)'!$C$82="Anvil prompt",AD643,"")))))))</f>
        <v/>
      </c>
      <c r="AJ643" s="283">
        <f>IF('Paste Editor (Beta)'!$C$90="Level-up prompt",G644,IF('Paste Editor (Beta)'!$C$90="Item prompt",E644,IF('Paste Editor (Beta)'!$C$90="Modifier prompt","'"&amp;B644,IF('Paste Editor (Beta)'!$C$90="Challenge prompt",L644,IF('Paste Editor (Beta)'!$C$90="Reroll class prompt",S643,IF('Paste Editor (Beta)'!$C$90="Swap hero prompt",S643,IF('Paste Editor (Beta)'!$C$90="Anvil prompt",AD643,"")))))))</f>
        <v>0</v>
      </c>
      <c r="AK643" s="283">
        <f>IF('Paste Editor (Beta)'!$C$90="Level-up prompt",G644,IF('Paste Editor (Beta)'!$C$90="Item prompt",E644,IF('Paste Editor (Beta)'!$C$90="Modifier prompt","'"&amp;B644,IF('Paste Editor (Beta)'!$C$90="Challenge prompt",E644,IF('Paste Editor (Beta)'!$C$90="Reroll class prompt",S643,IF('Paste Editor (Beta)'!$C$90="Swap hero prompt",S643,IF('Paste Editor (Beta)'!$C$90="Anvil prompt",AD643,"")))))))</f>
        <v>0</v>
      </c>
    </row>
    <row r="644" spans="2:37" ht="17.25">
      <c r="B644" s="284" t="s">
        <v>2019</v>
      </c>
      <c r="C644" s="284" t="s">
        <v>2019</v>
      </c>
      <c r="D644" s="284" t="s">
        <v>2019</v>
      </c>
      <c r="AH644" s="280" t="str">
        <f>IF('Paste Editor (Beta)'!$C$82="Level-up prompt",G645,IF('Paste Editor (Beta)'!$C$82="Item prompt",E645,IF('Paste Editor (Beta)'!$C$82="Modifier prompt","'"&amp;B645,IF('Paste Editor (Beta)'!$C$82="Challenge prompt",L645,IF('Paste Editor (Beta)'!$C$82="Reroll class prompt",S644,IF('Paste Editor (Beta)'!$C$82="Swap hero prompt",S644,IF('Paste Editor (Beta)'!$C$82="Anvil prompt",AD644,"")))))))</f>
        <v/>
      </c>
      <c r="AI644" s="280" t="str">
        <f>IF('Paste Editor (Beta)'!$C$82="Level-up prompt",G645,IF('Paste Editor (Beta)'!$C$82="Item prompt",E645,IF('Paste Editor (Beta)'!$C$82="Modifier prompt","'"&amp;B645,IF('Paste Editor (Beta)'!$C$82="Challenge prompt",E645,IF('Paste Editor (Beta)'!$C$82="Reroll class prompt",S644,IF('Paste Editor (Beta)'!$C$82="Swap hero prompt",S644,IF('Paste Editor (Beta)'!$C$82="Anvil prompt",AD644,"")))))))</f>
        <v/>
      </c>
      <c r="AJ644" s="283">
        <f>IF('Paste Editor (Beta)'!$C$90="Level-up prompt",G645,IF('Paste Editor (Beta)'!$C$90="Item prompt",E645,IF('Paste Editor (Beta)'!$C$90="Modifier prompt","'"&amp;B645,IF('Paste Editor (Beta)'!$C$90="Challenge prompt",L645,IF('Paste Editor (Beta)'!$C$90="Reroll class prompt",S644,IF('Paste Editor (Beta)'!$C$90="Swap hero prompt",S644,IF('Paste Editor (Beta)'!$C$90="Anvil prompt",AD644,"")))))))</f>
        <v>0</v>
      </c>
      <c r="AK644" s="283">
        <f>IF('Paste Editor (Beta)'!$C$90="Level-up prompt",G645,IF('Paste Editor (Beta)'!$C$90="Item prompt",E645,IF('Paste Editor (Beta)'!$C$90="Modifier prompt","'"&amp;B645,IF('Paste Editor (Beta)'!$C$90="Challenge prompt",E645,IF('Paste Editor (Beta)'!$C$90="Reroll class prompt",S644,IF('Paste Editor (Beta)'!$C$90="Swap hero prompt",S644,IF('Paste Editor (Beta)'!$C$90="Anvil prompt",AD644,"")))))))</f>
        <v>0</v>
      </c>
    </row>
    <row r="645" spans="2:37" ht="17.25">
      <c r="B645" s="284" t="s">
        <v>2377</v>
      </c>
      <c r="C645" s="284" t="s">
        <v>2377</v>
      </c>
      <c r="D645" s="284" t="s">
        <v>2377</v>
      </c>
      <c r="AH645" s="280" t="str">
        <f>IF('Paste Editor (Beta)'!$C$82="Level-up prompt",G646,IF('Paste Editor (Beta)'!$C$82="Item prompt",E646,IF('Paste Editor (Beta)'!$C$82="Modifier prompt","'"&amp;B646,IF('Paste Editor (Beta)'!$C$82="Challenge prompt",L646,IF('Paste Editor (Beta)'!$C$82="Reroll class prompt",S645,IF('Paste Editor (Beta)'!$C$82="Swap hero prompt",S645,IF('Paste Editor (Beta)'!$C$82="Anvil prompt",AD645,"")))))))</f>
        <v/>
      </c>
      <c r="AI645" s="280" t="str">
        <f>IF('Paste Editor (Beta)'!$C$82="Level-up prompt",G646,IF('Paste Editor (Beta)'!$C$82="Item prompt",E646,IF('Paste Editor (Beta)'!$C$82="Modifier prompt","'"&amp;B646,IF('Paste Editor (Beta)'!$C$82="Challenge prompt",E646,IF('Paste Editor (Beta)'!$C$82="Reroll class prompt",S645,IF('Paste Editor (Beta)'!$C$82="Swap hero prompt",S645,IF('Paste Editor (Beta)'!$C$82="Anvil prompt",AD645,"")))))))</f>
        <v/>
      </c>
      <c r="AJ645" s="283">
        <f>IF('Paste Editor (Beta)'!$C$90="Level-up prompt",G646,IF('Paste Editor (Beta)'!$C$90="Item prompt",E646,IF('Paste Editor (Beta)'!$C$90="Modifier prompt","'"&amp;B646,IF('Paste Editor (Beta)'!$C$90="Challenge prompt",L646,IF('Paste Editor (Beta)'!$C$90="Reroll class prompt",S645,IF('Paste Editor (Beta)'!$C$90="Swap hero prompt",S645,IF('Paste Editor (Beta)'!$C$90="Anvil prompt",AD645,"")))))))</f>
        <v>0</v>
      </c>
      <c r="AK645" s="283">
        <f>IF('Paste Editor (Beta)'!$C$90="Level-up prompt",G646,IF('Paste Editor (Beta)'!$C$90="Item prompt",E646,IF('Paste Editor (Beta)'!$C$90="Modifier prompt","'"&amp;B646,IF('Paste Editor (Beta)'!$C$90="Challenge prompt",E646,IF('Paste Editor (Beta)'!$C$90="Reroll class prompt",S645,IF('Paste Editor (Beta)'!$C$90="Swap hero prompt",S645,IF('Paste Editor (Beta)'!$C$90="Anvil prompt",AD645,"")))))))</f>
        <v>0</v>
      </c>
    </row>
    <row r="646" spans="2:37" ht="17.25">
      <c r="B646" s="284" t="s">
        <v>2361</v>
      </c>
      <c r="C646" s="284" t="s">
        <v>2361</v>
      </c>
      <c r="D646" s="284" t="s">
        <v>2361</v>
      </c>
      <c r="AH646" s="280" t="str">
        <f>IF('Paste Editor (Beta)'!$C$82="Level-up prompt",G647,IF('Paste Editor (Beta)'!$C$82="Item prompt",E647,IF('Paste Editor (Beta)'!$C$82="Modifier prompt","'"&amp;B647,IF('Paste Editor (Beta)'!$C$82="Challenge prompt",L647,IF('Paste Editor (Beta)'!$C$82="Reroll class prompt",S646,IF('Paste Editor (Beta)'!$C$82="Swap hero prompt",S646,IF('Paste Editor (Beta)'!$C$82="Anvil prompt",AD646,"")))))))</f>
        <v/>
      </c>
      <c r="AI646" s="280" t="str">
        <f>IF('Paste Editor (Beta)'!$C$82="Level-up prompt",G647,IF('Paste Editor (Beta)'!$C$82="Item prompt",E647,IF('Paste Editor (Beta)'!$C$82="Modifier prompt","'"&amp;B647,IF('Paste Editor (Beta)'!$C$82="Challenge prompt",E647,IF('Paste Editor (Beta)'!$C$82="Reroll class prompt",S646,IF('Paste Editor (Beta)'!$C$82="Swap hero prompt",S646,IF('Paste Editor (Beta)'!$C$82="Anvil prompt",AD646,"")))))))</f>
        <v/>
      </c>
      <c r="AJ646" s="283">
        <f>IF('Paste Editor (Beta)'!$C$90="Level-up prompt",G647,IF('Paste Editor (Beta)'!$C$90="Item prompt",E647,IF('Paste Editor (Beta)'!$C$90="Modifier prompt","'"&amp;B647,IF('Paste Editor (Beta)'!$C$90="Challenge prompt",L647,IF('Paste Editor (Beta)'!$C$90="Reroll class prompt",S646,IF('Paste Editor (Beta)'!$C$90="Swap hero prompt",S646,IF('Paste Editor (Beta)'!$C$90="Anvil prompt",AD646,"")))))))</f>
        <v>0</v>
      </c>
      <c r="AK646" s="283">
        <f>IF('Paste Editor (Beta)'!$C$90="Level-up prompt",G647,IF('Paste Editor (Beta)'!$C$90="Item prompt",E647,IF('Paste Editor (Beta)'!$C$90="Modifier prompt","'"&amp;B647,IF('Paste Editor (Beta)'!$C$90="Challenge prompt",E647,IF('Paste Editor (Beta)'!$C$90="Reroll class prompt",S646,IF('Paste Editor (Beta)'!$C$90="Swap hero prompt",S646,IF('Paste Editor (Beta)'!$C$90="Anvil prompt",AD646,"")))))))</f>
        <v>0</v>
      </c>
    </row>
    <row r="647" spans="2:37" ht="17.25">
      <c r="B647" s="284" t="s">
        <v>3109</v>
      </c>
      <c r="C647" s="284" t="s">
        <v>3109</v>
      </c>
      <c r="D647" s="284" t="s">
        <v>3109</v>
      </c>
      <c r="AH647" s="280" t="str">
        <f>IF('Paste Editor (Beta)'!$C$82="Level-up prompt",G648,IF('Paste Editor (Beta)'!$C$82="Item prompt",E648,IF('Paste Editor (Beta)'!$C$82="Modifier prompt","'"&amp;B648,IF('Paste Editor (Beta)'!$C$82="Challenge prompt",L648,IF('Paste Editor (Beta)'!$C$82="Reroll class prompt",S647,IF('Paste Editor (Beta)'!$C$82="Swap hero prompt",S647,IF('Paste Editor (Beta)'!$C$82="Anvil prompt",AD647,"")))))))</f>
        <v/>
      </c>
      <c r="AI647" s="280" t="str">
        <f>IF('Paste Editor (Beta)'!$C$82="Level-up prompt",G648,IF('Paste Editor (Beta)'!$C$82="Item prompt",E648,IF('Paste Editor (Beta)'!$C$82="Modifier prompt","'"&amp;B648,IF('Paste Editor (Beta)'!$C$82="Challenge prompt",E648,IF('Paste Editor (Beta)'!$C$82="Reroll class prompt",S647,IF('Paste Editor (Beta)'!$C$82="Swap hero prompt",S647,IF('Paste Editor (Beta)'!$C$82="Anvil prompt",AD647,"")))))))</f>
        <v/>
      </c>
      <c r="AJ647" s="283">
        <f>IF('Paste Editor (Beta)'!$C$90="Level-up prompt",G648,IF('Paste Editor (Beta)'!$C$90="Item prompt",E648,IF('Paste Editor (Beta)'!$C$90="Modifier prompt","'"&amp;B648,IF('Paste Editor (Beta)'!$C$90="Challenge prompt",L648,IF('Paste Editor (Beta)'!$C$90="Reroll class prompt",S647,IF('Paste Editor (Beta)'!$C$90="Swap hero prompt",S647,IF('Paste Editor (Beta)'!$C$90="Anvil prompt",AD647,"")))))))</f>
        <v>0</v>
      </c>
      <c r="AK647" s="283">
        <f>IF('Paste Editor (Beta)'!$C$90="Level-up prompt",G648,IF('Paste Editor (Beta)'!$C$90="Item prompt",E648,IF('Paste Editor (Beta)'!$C$90="Modifier prompt","'"&amp;B648,IF('Paste Editor (Beta)'!$C$90="Challenge prompt",E648,IF('Paste Editor (Beta)'!$C$90="Reroll class prompt",S647,IF('Paste Editor (Beta)'!$C$90="Swap hero prompt",S647,IF('Paste Editor (Beta)'!$C$90="Anvil prompt",AD647,"")))))))</f>
        <v>0</v>
      </c>
    </row>
    <row r="648" spans="2:37" ht="17.25">
      <c r="B648" s="284" t="s">
        <v>2228</v>
      </c>
      <c r="C648" s="284" t="s">
        <v>2228</v>
      </c>
      <c r="D648" s="284" t="s">
        <v>2228</v>
      </c>
      <c r="AH648" s="280" t="str">
        <f>IF('Paste Editor (Beta)'!$C$82="Level-up prompt",G649,IF('Paste Editor (Beta)'!$C$82="Item prompt",E649,IF('Paste Editor (Beta)'!$C$82="Modifier prompt","'"&amp;B649,IF('Paste Editor (Beta)'!$C$82="Challenge prompt",L649,IF('Paste Editor (Beta)'!$C$82="Reroll class prompt",S648,IF('Paste Editor (Beta)'!$C$82="Swap hero prompt",S648,IF('Paste Editor (Beta)'!$C$82="Anvil prompt",AD648,"")))))))</f>
        <v/>
      </c>
      <c r="AI648" s="280" t="str">
        <f>IF('Paste Editor (Beta)'!$C$82="Level-up prompt",G649,IF('Paste Editor (Beta)'!$C$82="Item prompt",E649,IF('Paste Editor (Beta)'!$C$82="Modifier prompt","'"&amp;B649,IF('Paste Editor (Beta)'!$C$82="Challenge prompt",E649,IF('Paste Editor (Beta)'!$C$82="Reroll class prompt",S648,IF('Paste Editor (Beta)'!$C$82="Swap hero prompt",S648,IF('Paste Editor (Beta)'!$C$82="Anvil prompt",AD648,"")))))))</f>
        <v/>
      </c>
      <c r="AJ648" s="283">
        <f>IF('Paste Editor (Beta)'!$C$90="Level-up prompt",G649,IF('Paste Editor (Beta)'!$C$90="Item prompt",E649,IF('Paste Editor (Beta)'!$C$90="Modifier prompt","'"&amp;B649,IF('Paste Editor (Beta)'!$C$90="Challenge prompt",L649,IF('Paste Editor (Beta)'!$C$90="Reroll class prompt",S648,IF('Paste Editor (Beta)'!$C$90="Swap hero prompt",S648,IF('Paste Editor (Beta)'!$C$90="Anvil prompt",AD648,"")))))))</f>
        <v>0</v>
      </c>
      <c r="AK648" s="283">
        <f>IF('Paste Editor (Beta)'!$C$90="Level-up prompt",G649,IF('Paste Editor (Beta)'!$C$90="Item prompt",E649,IF('Paste Editor (Beta)'!$C$90="Modifier prompt","'"&amp;B649,IF('Paste Editor (Beta)'!$C$90="Challenge prompt",E649,IF('Paste Editor (Beta)'!$C$90="Reroll class prompt",S648,IF('Paste Editor (Beta)'!$C$90="Swap hero prompt",S648,IF('Paste Editor (Beta)'!$C$90="Anvil prompt",AD648,"")))))))</f>
        <v>0</v>
      </c>
    </row>
    <row r="649" spans="2:37" ht="17.25">
      <c r="B649" s="284" t="s">
        <v>2999</v>
      </c>
      <c r="C649" s="284" t="s">
        <v>2999</v>
      </c>
      <c r="D649" s="284" t="s">
        <v>2999</v>
      </c>
      <c r="AH649" s="280" t="str">
        <f>IF('Paste Editor (Beta)'!$C$82="Level-up prompt",G650,IF('Paste Editor (Beta)'!$C$82="Item prompt",E650,IF('Paste Editor (Beta)'!$C$82="Modifier prompt","'"&amp;B650,IF('Paste Editor (Beta)'!$C$82="Challenge prompt",L650,IF('Paste Editor (Beta)'!$C$82="Reroll class prompt",S649,IF('Paste Editor (Beta)'!$C$82="Swap hero prompt",S649,IF('Paste Editor (Beta)'!$C$82="Anvil prompt",AD649,"")))))))</f>
        <v/>
      </c>
      <c r="AI649" s="280" t="str">
        <f>IF('Paste Editor (Beta)'!$C$82="Level-up prompt",G650,IF('Paste Editor (Beta)'!$C$82="Item prompt",E650,IF('Paste Editor (Beta)'!$C$82="Modifier prompt","'"&amp;B650,IF('Paste Editor (Beta)'!$C$82="Challenge prompt",E650,IF('Paste Editor (Beta)'!$C$82="Reroll class prompt",S649,IF('Paste Editor (Beta)'!$C$82="Swap hero prompt",S649,IF('Paste Editor (Beta)'!$C$82="Anvil prompt",AD649,"")))))))</f>
        <v/>
      </c>
      <c r="AJ649" s="283">
        <f>IF('Paste Editor (Beta)'!$C$90="Level-up prompt",G650,IF('Paste Editor (Beta)'!$C$90="Item prompt",E650,IF('Paste Editor (Beta)'!$C$90="Modifier prompt","'"&amp;B650,IF('Paste Editor (Beta)'!$C$90="Challenge prompt",L650,IF('Paste Editor (Beta)'!$C$90="Reroll class prompt",S649,IF('Paste Editor (Beta)'!$C$90="Swap hero prompt",S649,IF('Paste Editor (Beta)'!$C$90="Anvil prompt",AD649,"")))))))</f>
        <v>0</v>
      </c>
      <c r="AK649" s="283">
        <f>IF('Paste Editor (Beta)'!$C$90="Level-up prompt",G650,IF('Paste Editor (Beta)'!$C$90="Item prompt",E650,IF('Paste Editor (Beta)'!$C$90="Modifier prompt","'"&amp;B650,IF('Paste Editor (Beta)'!$C$90="Challenge prompt",E650,IF('Paste Editor (Beta)'!$C$90="Reroll class prompt",S649,IF('Paste Editor (Beta)'!$C$90="Swap hero prompt",S649,IF('Paste Editor (Beta)'!$C$90="Anvil prompt",AD649,"")))))))</f>
        <v>0</v>
      </c>
    </row>
    <row r="650" spans="2:37" ht="17.25">
      <c r="B650" s="284" t="s">
        <v>2155</v>
      </c>
      <c r="C650" s="284" t="s">
        <v>2155</v>
      </c>
      <c r="D650" s="284" t="s">
        <v>2155</v>
      </c>
      <c r="AH650" s="280" t="str">
        <f>IF('Paste Editor (Beta)'!$C$82="Level-up prompt",G651,IF('Paste Editor (Beta)'!$C$82="Item prompt",E651,IF('Paste Editor (Beta)'!$C$82="Modifier prompt","'"&amp;B651,IF('Paste Editor (Beta)'!$C$82="Challenge prompt",L651,IF('Paste Editor (Beta)'!$C$82="Reroll class prompt",S650,IF('Paste Editor (Beta)'!$C$82="Swap hero prompt",S650,IF('Paste Editor (Beta)'!$C$82="Anvil prompt",AD650,"")))))))</f>
        <v/>
      </c>
      <c r="AI650" s="280" t="str">
        <f>IF('Paste Editor (Beta)'!$C$82="Level-up prompt",G651,IF('Paste Editor (Beta)'!$C$82="Item prompt",E651,IF('Paste Editor (Beta)'!$C$82="Modifier prompt","'"&amp;B651,IF('Paste Editor (Beta)'!$C$82="Challenge prompt",E651,IF('Paste Editor (Beta)'!$C$82="Reroll class prompt",S650,IF('Paste Editor (Beta)'!$C$82="Swap hero prompt",S650,IF('Paste Editor (Beta)'!$C$82="Anvil prompt",AD650,"")))))))</f>
        <v/>
      </c>
      <c r="AJ650" s="283">
        <f>IF('Paste Editor (Beta)'!$C$90="Level-up prompt",G651,IF('Paste Editor (Beta)'!$C$90="Item prompt",E651,IF('Paste Editor (Beta)'!$C$90="Modifier prompt","'"&amp;B651,IF('Paste Editor (Beta)'!$C$90="Challenge prompt",L651,IF('Paste Editor (Beta)'!$C$90="Reroll class prompt",S650,IF('Paste Editor (Beta)'!$C$90="Swap hero prompt",S650,IF('Paste Editor (Beta)'!$C$90="Anvil prompt",AD650,"")))))))</f>
        <v>0</v>
      </c>
      <c r="AK650" s="283">
        <f>IF('Paste Editor (Beta)'!$C$90="Level-up prompt",G651,IF('Paste Editor (Beta)'!$C$90="Item prompt",E651,IF('Paste Editor (Beta)'!$C$90="Modifier prompt","'"&amp;B651,IF('Paste Editor (Beta)'!$C$90="Challenge prompt",E651,IF('Paste Editor (Beta)'!$C$90="Reroll class prompt",S650,IF('Paste Editor (Beta)'!$C$90="Swap hero prompt",S650,IF('Paste Editor (Beta)'!$C$90="Anvil prompt",AD650,"")))))))</f>
        <v>0</v>
      </c>
    </row>
    <row r="651" spans="2:37" ht="17.25">
      <c r="B651" s="284" t="s">
        <v>2967</v>
      </c>
      <c r="C651" s="284" t="s">
        <v>2967</v>
      </c>
      <c r="D651" s="284" t="s">
        <v>2967</v>
      </c>
      <c r="AH651" s="280" t="str">
        <f>IF('Paste Editor (Beta)'!$C$82="Level-up prompt",G652,IF('Paste Editor (Beta)'!$C$82="Item prompt",E652,IF('Paste Editor (Beta)'!$C$82="Modifier prompt","'"&amp;B652,IF('Paste Editor (Beta)'!$C$82="Challenge prompt",L652,IF('Paste Editor (Beta)'!$C$82="Reroll class prompt",S651,IF('Paste Editor (Beta)'!$C$82="Swap hero prompt",S651,IF('Paste Editor (Beta)'!$C$82="Anvil prompt",AD651,"")))))))</f>
        <v/>
      </c>
      <c r="AI651" s="280" t="str">
        <f>IF('Paste Editor (Beta)'!$C$82="Level-up prompt",G652,IF('Paste Editor (Beta)'!$C$82="Item prompt",E652,IF('Paste Editor (Beta)'!$C$82="Modifier prompt","'"&amp;B652,IF('Paste Editor (Beta)'!$C$82="Challenge prompt",E652,IF('Paste Editor (Beta)'!$C$82="Reroll class prompt",S651,IF('Paste Editor (Beta)'!$C$82="Swap hero prompt",S651,IF('Paste Editor (Beta)'!$C$82="Anvil prompt",AD651,"")))))))</f>
        <v/>
      </c>
      <c r="AJ651" s="283">
        <f>IF('Paste Editor (Beta)'!$C$90="Level-up prompt",G652,IF('Paste Editor (Beta)'!$C$90="Item prompt",E652,IF('Paste Editor (Beta)'!$C$90="Modifier prompt","'"&amp;B652,IF('Paste Editor (Beta)'!$C$90="Challenge prompt",L652,IF('Paste Editor (Beta)'!$C$90="Reroll class prompt",S651,IF('Paste Editor (Beta)'!$C$90="Swap hero prompt",S651,IF('Paste Editor (Beta)'!$C$90="Anvil prompt",AD651,"")))))))</f>
        <v>0</v>
      </c>
      <c r="AK651" s="283">
        <f>IF('Paste Editor (Beta)'!$C$90="Level-up prompt",G652,IF('Paste Editor (Beta)'!$C$90="Item prompt",E652,IF('Paste Editor (Beta)'!$C$90="Modifier prompt","'"&amp;B652,IF('Paste Editor (Beta)'!$C$90="Challenge prompt",E652,IF('Paste Editor (Beta)'!$C$90="Reroll class prompt",S651,IF('Paste Editor (Beta)'!$C$90="Swap hero prompt",S651,IF('Paste Editor (Beta)'!$C$90="Anvil prompt",AD651,"")))))))</f>
        <v>0</v>
      </c>
    </row>
    <row r="652" spans="2:37" ht="17.25">
      <c r="B652" s="284" t="s">
        <v>2883</v>
      </c>
      <c r="C652" s="284" t="s">
        <v>2883</v>
      </c>
      <c r="D652" s="284" t="s">
        <v>2883</v>
      </c>
      <c r="AH652" s="280" t="str">
        <f>IF('Paste Editor (Beta)'!$C$82="Level-up prompt",G653,IF('Paste Editor (Beta)'!$C$82="Item prompt",E653,IF('Paste Editor (Beta)'!$C$82="Modifier prompt","'"&amp;B653,IF('Paste Editor (Beta)'!$C$82="Challenge prompt",L653,IF('Paste Editor (Beta)'!$C$82="Reroll class prompt",S652,IF('Paste Editor (Beta)'!$C$82="Swap hero prompt",S652,IF('Paste Editor (Beta)'!$C$82="Anvil prompt",AD652,"")))))))</f>
        <v/>
      </c>
      <c r="AI652" s="280" t="str">
        <f>IF('Paste Editor (Beta)'!$C$82="Level-up prompt",G653,IF('Paste Editor (Beta)'!$C$82="Item prompt",E653,IF('Paste Editor (Beta)'!$C$82="Modifier prompt","'"&amp;B653,IF('Paste Editor (Beta)'!$C$82="Challenge prompt",E653,IF('Paste Editor (Beta)'!$C$82="Reroll class prompt",S652,IF('Paste Editor (Beta)'!$C$82="Swap hero prompt",S652,IF('Paste Editor (Beta)'!$C$82="Anvil prompt",AD652,"")))))))</f>
        <v/>
      </c>
      <c r="AJ652" s="283">
        <f>IF('Paste Editor (Beta)'!$C$90="Level-up prompt",G653,IF('Paste Editor (Beta)'!$C$90="Item prompt",E653,IF('Paste Editor (Beta)'!$C$90="Modifier prompt","'"&amp;B653,IF('Paste Editor (Beta)'!$C$90="Challenge prompt",L653,IF('Paste Editor (Beta)'!$C$90="Reroll class prompt",S652,IF('Paste Editor (Beta)'!$C$90="Swap hero prompt",S652,IF('Paste Editor (Beta)'!$C$90="Anvil prompt",AD652,"")))))))</f>
        <v>0</v>
      </c>
      <c r="AK652" s="283">
        <f>IF('Paste Editor (Beta)'!$C$90="Level-up prompt",G653,IF('Paste Editor (Beta)'!$C$90="Item prompt",E653,IF('Paste Editor (Beta)'!$C$90="Modifier prompt","'"&amp;B653,IF('Paste Editor (Beta)'!$C$90="Challenge prompt",E653,IF('Paste Editor (Beta)'!$C$90="Reroll class prompt",S652,IF('Paste Editor (Beta)'!$C$90="Swap hero prompt",S652,IF('Paste Editor (Beta)'!$C$90="Anvil prompt",AD652,"")))))))</f>
        <v>0</v>
      </c>
    </row>
    <row r="653" spans="2:37" ht="17.25">
      <c r="B653" s="284" t="s">
        <v>2963</v>
      </c>
      <c r="C653" s="284" t="s">
        <v>2963</v>
      </c>
      <c r="D653" s="284" t="s">
        <v>2963</v>
      </c>
      <c r="AH653" s="280" t="str">
        <f>IF('Paste Editor (Beta)'!$C$82="Level-up prompt",G654,IF('Paste Editor (Beta)'!$C$82="Item prompt",E654,IF('Paste Editor (Beta)'!$C$82="Modifier prompt","'"&amp;B654,IF('Paste Editor (Beta)'!$C$82="Challenge prompt",L654,IF('Paste Editor (Beta)'!$C$82="Reroll class prompt",S653,IF('Paste Editor (Beta)'!$C$82="Swap hero prompt",S653,IF('Paste Editor (Beta)'!$C$82="Anvil prompt",AD653,"")))))))</f>
        <v/>
      </c>
      <c r="AI653" s="280" t="str">
        <f>IF('Paste Editor (Beta)'!$C$82="Level-up prompt",G654,IF('Paste Editor (Beta)'!$C$82="Item prompt",E654,IF('Paste Editor (Beta)'!$C$82="Modifier prompt","'"&amp;B654,IF('Paste Editor (Beta)'!$C$82="Challenge prompt",E654,IF('Paste Editor (Beta)'!$C$82="Reroll class prompt",S653,IF('Paste Editor (Beta)'!$C$82="Swap hero prompt",S653,IF('Paste Editor (Beta)'!$C$82="Anvil prompt",AD653,"")))))))</f>
        <v/>
      </c>
      <c r="AJ653" s="283">
        <f>IF('Paste Editor (Beta)'!$C$90="Level-up prompt",G654,IF('Paste Editor (Beta)'!$C$90="Item prompt",E654,IF('Paste Editor (Beta)'!$C$90="Modifier prompt","'"&amp;B654,IF('Paste Editor (Beta)'!$C$90="Challenge prompt",L654,IF('Paste Editor (Beta)'!$C$90="Reroll class prompt",S653,IF('Paste Editor (Beta)'!$C$90="Swap hero prompt",S653,IF('Paste Editor (Beta)'!$C$90="Anvil prompt",AD653,"")))))))</f>
        <v>0</v>
      </c>
      <c r="AK653" s="283">
        <f>IF('Paste Editor (Beta)'!$C$90="Level-up prompt",G654,IF('Paste Editor (Beta)'!$C$90="Item prompt",E654,IF('Paste Editor (Beta)'!$C$90="Modifier prompt","'"&amp;B654,IF('Paste Editor (Beta)'!$C$90="Challenge prompt",E654,IF('Paste Editor (Beta)'!$C$90="Reroll class prompt",S653,IF('Paste Editor (Beta)'!$C$90="Swap hero prompt",S653,IF('Paste Editor (Beta)'!$C$90="Anvil prompt",AD653,"")))))))</f>
        <v>0</v>
      </c>
    </row>
    <row r="654" spans="2:37" ht="17.25">
      <c r="B654" s="284" t="s">
        <v>2575</v>
      </c>
      <c r="C654" s="284" t="s">
        <v>2575</v>
      </c>
      <c r="D654" s="284" t="s">
        <v>2575</v>
      </c>
      <c r="AH654" s="280" t="str">
        <f>IF('Paste Editor (Beta)'!$C$82="Level-up prompt",G655,IF('Paste Editor (Beta)'!$C$82="Item prompt",E655,IF('Paste Editor (Beta)'!$C$82="Modifier prompt","'"&amp;B655,IF('Paste Editor (Beta)'!$C$82="Challenge prompt",L655,IF('Paste Editor (Beta)'!$C$82="Reroll class prompt",S654,IF('Paste Editor (Beta)'!$C$82="Swap hero prompt",S654,IF('Paste Editor (Beta)'!$C$82="Anvil prompt",AD654,"")))))))</f>
        <v/>
      </c>
      <c r="AI654" s="280" t="str">
        <f>IF('Paste Editor (Beta)'!$C$82="Level-up prompt",G655,IF('Paste Editor (Beta)'!$C$82="Item prompt",E655,IF('Paste Editor (Beta)'!$C$82="Modifier prompt","'"&amp;B655,IF('Paste Editor (Beta)'!$C$82="Challenge prompt",E655,IF('Paste Editor (Beta)'!$C$82="Reroll class prompt",S654,IF('Paste Editor (Beta)'!$C$82="Swap hero prompt",S654,IF('Paste Editor (Beta)'!$C$82="Anvil prompt",AD654,"")))))))</f>
        <v/>
      </c>
      <c r="AJ654" s="283">
        <f>IF('Paste Editor (Beta)'!$C$90="Level-up prompt",G655,IF('Paste Editor (Beta)'!$C$90="Item prompt",E655,IF('Paste Editor (Beta)'!$C$90="Modifier prompt","'"&amp;B655,IF('Paste Editor (Beta)'!$C$90="Challenge prompt",L655,IF('Paste Editor (Beta)'!$C$90="Reroll class prompt",S654,IF('Paste Editor (Beta)'!$C$90="Swap hero prompt",S654,IF('Paste Editor (Beta)'!$C$90="Anvil prompt",AD654,"")))))))</f>
        <v>0</v>
      </c>
      <c r="AK654" s="283">
        <f>IF('Paste Editor (Beta)'!$C$90="Level-up prompt",G655,IF('Paste Editor (Beta)'!$C$90="Item prompt",E655,IF('Paste Editor (Beta)'!$C$90="Modifier prompt","'"&amp;B655,IF('Paste Editor (Beta)'!$C$90="Challenge prompt",E655,IF('Paste Editor (Beta)'!$C$90="Reroll class prompt",S654,IF('Paste Editor (Beta)'!$C$90="Swap hero prompt",S654,IF('Paste Editor (Beta)'!$C$90="Anvil prompt",AD654,"")))))))</f>
        <v>0</v>
      </c>
    </row>
    <row r="655" spans="2:37" ht="17.25">
      <c r="B655" s="284" t="s">
        <v>2923</v>
      </c>
      <c r="C655" s="284" t="s">
        <v>2923</v>
      </c>
      <c r="D655" s="284" t="s">
        <v>2923</v>
      </c>
      <c r="AH655" s="280" t="str">
        <f>IF('Paste Editor (Beta)'!$C$82="Level-up prompt",G656,IF('Paste Editor (Beta)'!$C$82="Item prompt",E656,IF('Paste Editor (Beta)'!$C$82="Modifier prompt","'"&amp;B656,IF('Paste Editor (Beta)'!$C$82="Challenge prompt",L656,IF('Paste Editor (Beta)'!$C$82="Reroll class prompt",S655,IF('Paste Editor (Beta)'!$C$82="Swap hero prompt",S655,IF('Paste Editor (Beta)'!$C$82="Anvil prompt",AD655,"")))))))</f>
        <v/>
      </c>
      <c r="AI655" s="280" t="str">
        <f>IF('Paste Editor (Beta)'!$C$82="Level-up prompt",G656,IF('Paste Editor (Beta)'!$C$82="Item prompt",E656,IF('Paste Editor (Beta)'!$C$82="Modifier prompt","'"&amp;B656,IF('Paste Editor (Beta)'!$C$82="Challenge prompt",E656,IF('Paste Editor (Beta)'!$C$82="Reroll class prompt",S655,IF('Paste Editor (Beta)'!$C$82="Swap hero prompt",S655,IF('Paste Editor (Beta)'!$C$82="Anvil prompt",AD655,"")))))))</f>
        <v/>
      </c>
      <c r="AJ655" s="283">
        <f>IF('Paste Editor (Beta)'!$C$90="Level-up prompt",G656,IF('Paste Editor (Beta)'!$C$90="Item prompt",E656,IF('Paste Editor (Beta)'!$C$90="Modifier prompt","'"&amp;B656,IF('Paste Editor (Beta)'!$C$90="Challenge prompt",L656,IF('Paste Editor (Beta)'!$C$90="Reroll class prompt",S655,IF('Paste Editor (Beta)'!$C$90="Swap hero prompt",S655,IF('Paste Editor (Beta)'!$C$90="Anvil prompt",AD655,"")))))))</f>
        <v>0</v>
      </c>
      <c r="AK655" s="283">
        <f>IF('Paste Editor (Beta)'!$C$90="Level-up prompt",G656,IF('Paste Editor (Beta)'!$C$90="Item prompt",E656,IF('Paste Editor (Beta)'!$C$90="Modifier prompt","'"&amp;B656,IF('Paste Editor (Beta)'!$C$90="Challenge prompt",E656,IF('Paste Editor (Beta)'!$C$90="Reroll class prompt",S655,IF('Paste Editor (Beta)'!$C$90="Swap hero prompt",S655,IF('Paste Editor (Beta)'!$C$90="Anvil prompt",AD655,"")))))))</f>
        <v>0</v>
      </c>
    </row>
    <row r="656" spans="2:37" ht="17.25">
      <c r="B656" s="284" t="s">
        <v>3014</v>
      </c>
      <c r="C656" s="284" t="s">
        <v>3014</v>
      </c>
      <c r="D656" s="284" t="s">
        <v>3014</v>
      </c>
      <c r="AH656" s="280" t="str">
        <f>IF('Paste Editor (Beta)'!$C$82="Level-up prompt",G657,IF('Paste Editor (Beta)'!$C$82="Item prompt",E657,IF('Paste Editor (Beta)'!$C$82="Modifier prompt","'"&amp;B657,IF('Paste Editor (Beta)'!$C$82="Challenge prompt",L657,IF('Paste Editor (Beta)'!$C$82="Reroll class prompt",S656,IF('Paste Editor (Beta)'!$C$82="Swap hero prompt",S656,IF('Paste Editor (Beta)'!$C$82="Anvil prompt",AD656,"")))))))</f>
        <v/>
      </c>
      <c r="AI656" s="280" t="str">
        <f>IF('Paste Editor (Beta)'!$C$82="Level-up prompt",G657,IF('Paste Editor (Beta)'!$C$82="Item prompt",E657,IF('Paste Editor (Beta)'!$C$82="Modifier prompt","'"&amp;B657,IF('Paste Editor (Beta)'!$C$82="Challenge prompt",E657,IF('Paste Editor (Beta)'!$C$82="Reroll class prompt",S656,IF('Paste Editor (Beta)'!$C$82="Swap hero prompt",S656,IF('Paste Editor (Beta)'!$C$82="Anvil prompt",AD656,"")))))))</f>
        <v/>
      </c>
      <c r="AJ656" s="283">
        <f>IF('Paste Editor (Beta)'!$C$90="Level-up prompt",G657,IF('Paste Editor (Beta)'!$C$90="Item prompt",E657,IF('Paste Editor (Beta)'!$C$90="Modifier prompt","'"&amp;B657,IF('Paste Editor (Beta)'!$C$90="Challenge prompt",L657,IF('Paste Editor (Beta)'!$C$90="Reroll class prompt",S656,IF('Paste Editor (Beta)'!$C$90="Swap hero prompt",S656,IF('Paste Editor (Beta)'!$C$90="Anvil prompt",AD656,"")))))))</f>
        <v>0</v>
      </c>
      <c r="AK656" s="283">
        <f>IF('Paste Editor (Beta)'!$C$90="Level-up prompt",G657,IF('Paste Editor (Beta)'!$C$90="Item prompt",E657,IF('Paste Editor (Beta)'!$C$90="Modifier prompt","'"&amp;B657,IF('Paste Editor (Beta)'!$C$90="Challenge prompt",E657,IF('Paste Editor (Beta)'!$C$90="Reroll class prompt",S656,IF('Paste Editor (Beta)'!$C$90="Swap hero prompt",S656,IF('Paste Editor (Beta)'!$C$90="Anvil prompt",AD656,"")))))))</f>
        <v>0</v>
      </c>
    </row>
    <row r="657" spans="2:37" ht="17.25">
      <c r="B657" s="284" t="s">
        <v>2126</v>
      </c>
      <c r="C657" s="284" t="s">
        <v>2126</v>
      </c>
      <c r="D657" s="284" t="s">
        <v>2126</v>
      </c>
      <c r="AH657" s="280" t="str">
        <f>IF('Paste Editor (Beta)'!$C$82="Level-up prompt",G658,IF('Paste Editor (Beta)'!$C$82="Item prompt",E658,IF('Paste Editor (Beta)'!$C$82="Modifier prompt","'"&amp;B658,IF('Paste Editor (Beta)'!$C$82="Challenge prompt",L658,IF('Paste Editor (Beta)'!$C$82="Reroll class prompt",S657,IF('Paste Editor (Beta)'!$C$82="Swap hero prompt",S657,IF('Paste Editor (Beta)'!$C$82="Anvil prompt",AD657,"")))))))</f>
        <v/>
      </c>
      <c r="AI657" s="280" t="str">
        <f>IF('Paste Editor (Beta)'!$C$82="Level-up prompt",G658,IF('Paste Editor (Beta)'!$C$82="Item prompt",E658,IF('Paste Editor (Beta)'!$C$82="Modifier prompt","'"&amp;B658,IF('Paste Editor (Beta)'!$C$82="Challenge prompt",E658,IF('Paste Editor (Beta)'!$C$82="Reroll class prompt",S657,IF('Paste Editor (Beta)'!$C$82="Swap hero prompt",S657,IF('Paste Editor (Beta)'!$C$82="Anvil prompt",AD657,"")))))))</f>
        <v/>
      </c>
      <c r="AJ657" s="283">
        <f>IF('Paste Editor (Beta)'!$C$90="Level-up prompt",G658,IF('Paste Editor (Beta)'!$C$90="Item prompt",E658,IF('Paste Editor (Beta)'!$C$90="Modifier prompt","'"&amp;B658,IF('Paste Editor (Beta)'!$C$90="Challenge prompt",L658,IF('Paste Editor (Beta)'!$C$90="Reroll class prompt",S657,IF('Paste Editor (Beta)'!$C$90="Swap hero prompt",S657,IF('Paste Editor (Beta)'!$C$90="Anvil prompt",AD657,"")))))))</f>
        <v>0</v>
      </c>
      <c r="AK657" s="283">
        <f>IF('Paste Editor (Beta)'!$C$90="Level-up prompt",G658,IF('Paste Editor (Beta)'!$C$90="Item prompt",E658,IF('Paste Editor (Beta)'!$C$90="Modifier prompt","'"&amp;B658,IF('Paste Editor (Beta)'!$C$90="Challenge prompt",E658,IF('Paste Editor (Beta)'!$C$90="Reroll class prompt",S657,IF('Paste Editor (Beta)'!$C$90="Swap hero prompt",S657,IF('Paste Editor (Beta)'!$C$90="Anvil prompt",AD657,"")))))))</f>
        <v>0</v>
      </c>
    </row>
    <row r="658" spans="2:37" ht="17.25">
      <c r="B658" s="284" t="s">
        <v>1993</v>
      </c>
      <c r="C658" s="284" t="s">
        <v>1993</v>
      </c>
      <c r="D658" s="284" t="s">
        <v>1993</v>
      </c>
      <c r="AH658" s="280" t="str">
        <f>IF('Paste Editor (Beta)'!$C$82="Level-up prompt",G659,IF('Paste Editor (Beta)'!$C$82="Item prompt",E659,IF('Paste Editor (Beta)'!$C$82="Modifier prompt","'"&amp;B659,IF('Paste Editor (Beta)'!$C$82="Challenge prompt",L659,IF('Paste Editor (Beta)'!$C$82="Reroll class prompt",S658,IF('Paste Editor (Beta)'!$C$82="Swap hero prompt",S658,IF('Paste Editor (Beta)'!$C$82="Anvil prompt",AD658,"")))))))</f>
        <v/>
      </c>
      <c r="AI658" s="280" t="str">
        <f>IF('Paste Editor (Beta)'!$C$82="Level-up prompt",G659,IF('Paste Editor (Beta)'!$C$82="Item prompt",E659,IF('Paste Editor (Beta)'!$C$82="Modifier prompt","'"&amp;B659,IF('Paste Editor (Beta)'!$C$82="Challenge prompt",E659,IF('Paste Editor (Beta)'!$C$82="Reroll class prompt",S658,IF('Paste Editor (Beta)'!$C$82="Swap hero prompt",S658,IF('Paste Editor (Beta)'!$C$82="Anvil prompt",AD658,"")))))))</f>
        <v/>
      </c>
      <c r="AJ658" s="283">
        <f>IF('Paste Editor (Beta)'!$C$90="Level-up prompt",G659,IF('Paste Editor (Beta)'!$C$90="Item prompt",E659,IF('Paste Editor (Beta)'!$C$90="Modifier prompt","'"&amp;B659,IF('Paste Editor (Beta)'!$C$90="Challenge prompt",L659,IF('Paste Editor (Beta)'!$C$90="Reroll class prompt",S658,IF('Paste Editor (Beta)'!$C$90="Swap hero prompt",S658,IF('Paste Editor (Beta)'!$C$90="Anvil prompt",AD658,"")))))))</f>
        <v>0</v>
      </c>
      <c r="AK658" s="283">
        <f>IF('Paste Editor (Beta)'!$C$90="Level-up prompt",G659,IF('Paste Editor (Beta)'!$C$90="Item prompt",E659,IF('Paste Editor (Beta)'!$C$90="Modifier prompt","'"&amp;B659,IF('Paste Editor (Beta)'!$C$90="Challenge prompt",E659,IF('Paste Editor (Beta)'!$C$90="Reroll class prompt",S658,IF('Paste Editor (Beta)'!$C$90="Swap hero prompt",S658,IF('Paste Editor (Beta)'!$C$90="Anvil prompt",AD658,"")))))))</f>
        <v>0</v>
      </c>
    </row>
    <row r="659" spans="2:37" ht="17.25">
      <c r="B659" s="284" t="s">
        <v>1991</v>
      </c>
      <c r="C659" s="284" t="s">
        <v>1991</v>
      </c>
      <c r="D659" s="284" t="s">
        <v>1991</v>
      </c>
      <c r="AH659" s="280" t="str">
        <f>IF('Paste Editor (Beta)'!$C$82="Level-up prompt",G660,IF('Paste Editor (Beta)'!$C$82="Item prompt",E660,IF('Paste Editor (Beta)'!$C$82="Modifier prompt","'"&amp;B660,IF('Paste Editor (Beta)'!$C$82="Challenge prompt",L660,IF('Paste Editor (Beta)'!$C$82="Reroll class prompt",S659,IF('Paste Editor (Beta)'!$C$82="Swap hero prompt",S659,IF('Paste Editor (Beta)'!$C$82="Anvil prompt",AD659,"")))))))</f>
        <v/>
      </c>
      <c r="AI659" s="280" t="str">
        <f>IF('Paste Editor (Beta)'!$C$82="Level-up prompt",G660,IF('Paste Editor (Beta)'!$C$82="Item prompt",E660,IF('Paste Editor (Beta)'!$C$82="Modifier prompt","'"&amp;B660,IF('Paste Editor (Beta)'!$C$82="Challenge prompt",E660,IF('Paste Editor (Beta)'!$C$82="Reroll class prompt",S659,IF('Paste Editor (Beta)'!$C$82="Swap hero prompt",S659,IF('Paste Editor (Beta)'!$C$82="Anvil prompt",AD659,"")))))))</f>
        <v/>
      </c>
      <c r="AJ659" s="283">
        <f>IF('Paste Editor (Beta)'!$C$90="Level-up prompt",G660,IF('Paste Editor (Beta)'!$C$90="Item prompt",E660,IF('Paste Editor (Beta)'!$C$90="Modifier prompt","'"&amp;B660,IF('Paste Editor (Beta)'!$C$90="Challenge prompt",L660,IF('Paste Editor (Beta)'!$C$90="Reroll class prompt",S659,IF('Paste Editor (Beta)'!$C$90="Swap hero prompt",S659,IF('Paste Editor (Beta)'!$C$90="Anvil prompt",AD659,"")))))))</f>
        <v>0</v>
      </c>
      <c r="AK659" s="283">
        <f>IF('Paste Editor (Beta)'!$C$90="Level-up prompt",G660,IF('Paste Editor (Beta)'!$C$90="Item prompt",E660,IF('Paste Editor (Beta)'!$C$90="Modifier prompt","'"&amp;B660,IF('Paste Editor (Beta)'!$C$90="Challenge prompt",E660,IF('Paste Editor (Beta)'!$C$90="Reroll class prompt",S659,IF('Paste Editor (Beta)'!$C$90="Swap hero prompt",S659,IF('Paste Editor (Beta)'!$C$90="Anvil prompt",AD659,"")))))))</f>
        <v>0</v>
      </c>
    </row>
    <row r="660" spans="2:37" ht="17.25">
      <c r="B660" s="284" t="s">
        <v>2033</v>
      </c>
      <c r="C660" s="284" t="s">
        <v>2033</v>
      </c>
      <c r="D660" s="284" t="s">
        <v>2033</v>
      </c>
      <c r="AH660" s="280" t="str">
        <f>IF('Paste Editor (Beta)'!$C$82="Level-up prompt",G661,IF('Paste Editor (Beta)'!$C$82="Item prompt",E661,IF('Paste Editor (Beta)'!$C$82="Modifier prompt","'"&amp;B661,IF('Paste Editor (Beta)'!$C$82="Challenge prompt",L661,IF('Paste Editor (Beta)'!$C$82="Reroll class prompt",S660,IF('Paste Editor (Beta)'!$C$82="Swap hero prompt",S660,IF('Paste Editor (Beta)'!$C$82="Anvil prompt",AD660,"")))))))</f>
        <v/>
      </c>
      <c r="AI660" s="280" t="str">
        <f>IF('Paste Editor (Beta)'!$C$82="Level-up prompt",G661,IF('Paste Editor (Beta)'!$C$82="Item prompt",E661,IF('Paste Editor (Beta)'!$C$82="Modifier prompt","'"&amp;B661,IF('Paste Editor (Beta)'!$C$82="Challenge prompt",E661,IF('Paste Editor (Beta)'!$C$82="Reroll class prompt",S660,IF('Paste Editor (Beta)'!$C$82="Swap hero prompt",S660,IF('Paste Editor (Beta)'!$C$82="Anvil prompt",AD660,"")))))))</f>
        <v/>
      </c>
      <c r="AJ660" s="283">
        <f>IF('Paste Editor (Beta)'!$C$90="Level-up prompt",G661,IF('Paste Editor (Beta)'!$C$90="Item prompt",E661,IF('Paste Editor (Beta)'!$C$90="Modifier prompt","'"&amp;B661,IF('Paste Editor (Beta)'!$C$90="Challenge prompt",L661,IF('Paste Editor (Beta)'!$C$90="Reroll class prompt",S660,IF('Paste Editor (Beta)'!$C$90="Swap hero prompt",S660,IF('Paste Editor (Beta)'!$C$90="Anvil prompt",AD660,"")))))))</f>
        <v>0</v>
      </c>
      <c r="AK660" s="283">
        <f>IF('Paste Editor (Beta)'!$C$90="Level-up prompt",G661,IF('Paste Editor (Beta)'!$C$90="Item prompt",E661,IF('Paste Editor (Beta)'!$C$90="Modifier prompt","'"&amp;B661,IF('Paste Editor (Beta)'!$C$90="Challenge prompt",E661,IF('Paste Editor (Beta)'!$C$90="Reroll class prompt",S660,IF('Paste Editor (Beta)'!$C$90="Swap hero prompt",S660,IF('Paste Editor (Beta)'!$C$90="Anvil prompt",AD660,"")))))))</f>
        <v>0</v>
      </c>
    </row>
    <row r="661" spans="2:37" ht="17.25">
      <c r="B661" s="284" t="s">
        <v>2237</v>
      </c>
      <c r="C661" s="284" t="s">
        <v>2237</v>
      </c>
      <c r="D661" s="284" t="s">
        <v>2237</v>
      </c>
      <c r="AH661" s="280" t="str">
        <f>IF('Paste Editor (Beta)'!$C$82="Level-up prompt",G662,IF('Paste Editor (Beta)'!$C$82="Item prompt",E662,IF('Paste Editor (Beta)'!$C$82="Modifier prompt","'"&amp;B662,IF('Paste Editor (Beta)'!$C$82="Challenge prompt",L662,IF('Paste Editor (Beta)'!$C$82="Reroll class prompt",S661,IF('Paste Editor (Beta)'!$C$82="Swap hero prompt",S661,IF('Paste Editor (Beta)'!$C$82="Anvil prompt",AD661,"")))))))</f>
        <v/>
      </c>
      <c r="AI661" s="280" t="str">
        <f>IF('Paste Editor (Beta)'!$C$82="Level-up prompt",G662,IF('Paste Editor (Beta)'!$C$82="Item prompt",E662,IF('Paste Editor (Beta)'!$C$82="Modifier prompt","'"&amp;B662,IF('Paste Editor (Beta)'!$C$82="Challenge prompt",E662,IF('Paste Editor (Beta)'!$C$82="Reroll class prompt",S661,IF('Paste Editor (Beta)'!$C$82="Swap hero prompt",S661,IF('Paste Editor (Beta)'!$C$82="Anvil prompt",AD661,"")))))))</f>
        <v/>
      </c>
      <c r="AJ661" s="283">
        <f>IF('Paste Editor (Beta)'!$C$90="Level-up prompt",G662,IF('Paste Editor (Beta)'!$C$90="Item prompt",E662,IF('Paste Editor (Beta)'!$C$90="Modifier prompt","'"&amp;B662,IF('Paste Editor (Beta)'!$C$90="Challenge prompt",L662,IF('Paste Editor (Beta)'!$C$90="Reroll class prompt",S661,IF('Paste Editor (Beta)'!$C$90="Swap hero prompt",S661,IF('Paste Editor (Beta)'!$C$90="Anvil prompt",AD661,"")))))))</f>
        <v>0</v>
      </c>
      <c r="AK661" s="283">
        <f>IF('Paste Editor (Beta)'!$C$90="Level-up prompt",G662,IF('Paste Editor (Beta)'!$C$90="Item prompt",E662,IF('Paste Editor (Beta)'!$C$90="Modifier prompt","'"&amp;B662,IF('Paste Editor (Beta)'!$C$90="Challenge prompt",E662,IF('Paste Editor (Beta)'!$C$90="Reroll class prompt",S661,IF('Paste Editor (Beta)'!$C$90="Swap hero prompt",S661,IF('Paste Editor (Beta)'!$C$90="Anvil prompt",AD661,"")))))))</f>
        <v>0</v>
      </c>
    </row>
    <row r="662" spans="2:37" ht="17.25">
      <c r="B662" s="284" t="s">
        <v>2569</v>
      </c>
      <c r="C662" s="284" t="s">
        <v>2569</v>
      </c>
      <c r="D662" s="284" t="s">
        <v>2569</v>
      </c>
      <c r="AH662" s="280" t="str">
        <f>IF('Paste Editor (Beta)'!$C$82="Level-up prompt",G663,IF('Paste Editor (Beta)'!$C$82="Item prompt",E663,IF('Paste Editor (Beta)'!$C$82="Modifier prompt","'"&amp;B663,IF('Paste Editor (Beta)'!$C$82="Challenge prompt",L663,IF('Paste Editor (Beta)'!$C$82="Reroll class prompt",S662,IF('Paste Editor (Beta)'!$C$82="Swap hero prompt",S662,IF('Paste Editor (Beta)'!$C$82="Anvil prompt",AD662,"")))))))</f>
        <v/>
      </c>
      <c r="AI662" s="280" t="str">
        <f>IF('Paste Editor (Beta)'!$C$82="Level-up prompt",G663,IF('Paste Editor (Beta)'!$C$82="Item prompt",E663,IF('Paste Editor (Beta)'!$C$82="Modifier prompt","'"&amp;B663,IF('Paste Editor (Beta)'!$C$82="Challenge prompt",E663,IF('Paste Editor (Beta)'!$C$82="Reroll class prompt",S662,IF('Paste Editor (Beta)'!$C$82="Swap hero prompt",S662,IF('Paste Editor (Beta)'!$C$82="Anvil prompt",AD662,"")))))))</f>
        <v/>
      </c>
      <c r="AJ662" s="283">
        <f>IF('Paste Editor (Beta)'!$C$90="Level-up prompt",G663,IF('Paste Editor (Beta)'!$C$90="Item prompt",E663,IF('Paste Editor (Beta)'!$C$90="Modifier prompt","'"&amp;B663,IF('Paste Editor (Beta)'!$C$90="Challenge prompt",L663,IF('Paste Editor (Beta)'!$C$90="Reroll class prompt",S662,IF('Paste Editor (Beta)'!$C$90="Swap hero prompt",S662,IF('Paste Editor (Beta)'!$C$90="Anvil prompt",AD662,"")))))))</f>
        <v>0</v>
      </c>
      <c r="AK662" s="283">
        <f>IF('Paste Editor (Beta)'!$C$90="Level-up prompt",G663,IF('Paste Editor (Beta)'!$C$90="Item prompt",E663,IF('Paste Editor (Beta)'!$C$90="Modifier prompt","'"&amp;B663,IF('Paste Editor (Beta)'!$C$90="Challenge prompt",E663,IF('Paste Editor (Beta)'!$C$90="Reroll class prompt",S662,IF('Paste Editor (Beta)'!$C$90="Swap hero prompt",S662,IF('Paste Editor (Beta)'!$C$90="Anvil prompt",AD662,"")))))))</f>
        <v>0</v>
      </c>
    </row>
    <row r="663" spans="2:37" ht="17.25">
      <c r="B663" s="284" t="s">
        <v>1962</v>
      </c>
      <c r="C663" s="284" t="s">
        <v>1962</v>
      </c>
      <c r="D663" s="284" t="s">
        <v>1962</v>
      </c>
      <c r="AH663" s="280" t="str">
        <f>IF('Paste Editor (Beta)'!$C$82="Level-up prompt",G664,IF('Paste Editor (Beta)'!$C$82="Item prompt",E664,IF('Paste Editor (Beta)'!$C$82="Modifier prompt","'"&amp;B664,IF('Paste Editor (Beta)'!$C$82="Challenge prompt",L664,IF('Paste Editor (Beta)'!$C$82="Reroll class prompt",S663,IF('Paste Editor (Beta)'!$C$82="Swap hero prompt",S663,IF('Paste Editor (Beta)'!$C$82="Anvil prompt",AD663,"")))))))</f>
        <v/>
      </c>
      <c r="AI663" s="280" t="str">
        <f>IF('Paste Editor (Beta)'!$C$82="Level-up prompt",G664,IF('Paste Editor (Beta)'!$C$82="Item prompt",E664,IF('Paste Editor (Beta)'!$C$82="Modifier prompt","'"&amp;B664,IF('Paste Editor (Beta)'!$C$82="Challenge prompt",E664,IF('Paste Editor (Beta)'!$C$82="Reroll class prompt",S663,IF('Paste Editor (Beta)'!$C$82="Swap hero prompt",S663,IF('Paste Editor (Beta)'!$C$82="Anvil prompt",AD663,"")))))))</f>
        <v/>
      </c>
      <c r="AJ663" s="283">
        <f>IF('Paste Editor (Beta)'!$C$90="Level-up prompt",G664,IF('Paste Editor (Beta)'!$C$90="Item prompt",E664,IF('Paste Editor (Beta)'!$C$90="Modifier prompt","'"&amp;B664,IF('Paste Editor (Beta)'!$C$90="Challenge prompt",L664,IF('Paste Editor (Beta)'!$C$90="Reroll class prompt",S663,IF('Paste Editor (Beta)'!$C$90="Swap hero prompt",S663,IF('Paste Editor (Beta)'!$C$90="Anvil prompt",AD663,"")))))))</f>
        <v>0</v>
      </c>
      <c r="AK663" s="283">
        <f>IF('Paste Editor (Beta)'!$C$90="Level-up prompt",G664,IF('Paste Editor (Beta)'!$C$90="Item prompt",E664,IF('Paste Editor (Beta)'!$C$90="Modifier prompt","'"&amp;B664,IF('Paste Editor (Beta)'!$C$90="Challenge prompt",E664,IF('Paste Editor (Beta)'!$C$90="Reroll class prompt",S663,IF('Paste Editor (Beta)'!$C$90="Swap hero prompt",S663,IF('Paste Editor (Beta)'!$C$90="Anvil prompt",AD663,"")))))))</f>
        <v>0</v>
      </c>
    </row>
    <row r="664" spans="2:37" ht="17.25">
      <c r="B664" s="284" t="s">
        <v>1964</v>
      </c>
      <c r="C664" s="284" t="s">
        <v>1964</v>
      </c>
      <c r="D664" s="284" t="s">
        <v>1964</v>
      </c>
      <c r="AH664" s="280" t="str">
        <f>IF('Paste Editor (Beta)'!$C$82="Level-up prompt",G665,IF('Paste Editor (Beta)'!$C$82="Item prompt",E665,IF('Paste Editor (Beta)'!$C$82="Modifier prompt","'"&amp;B665,IF('Paste Editor (Beta)'!$C$82="Challenge prompt",L665,IF('Paste Editor (Beta)'!$C$82="Reroll class prompt",S664,IF('Paste Editor (Beta)'!$C$82="Swap hero prompt",S664,IF('Paste Editor (Beta)'!$C$82="Anvil prompt",AD664,"")))))))</f>
        <v/>
      </c>
      <c r="AI664" s="280" t="str">
        <f>IF('Paste Editor (Beta)'!$C$82="Level-up prompt",G665,IF('Paste Editor (Beta)'!$C$82="Item prompt",E665,IF('Paste Editor (Beta)'!$C$82="Modifier prompt","'"&amp;B665,IF('Paste Editor (Beta)'!$C$82="Challenge prompt",E665,IF('Paste Editor (Beta)'!$C$82="Reroll class prompt",S664,IF('Paste Editor (Beta)'!$C$82="Swap hero prompt",S664,IF('Paste Editor (Beta)'!$C$82="Anvil prompt",AD664,"")))))))</f>
        <v/>
      </c>
      <c r="AJ664" s="283">
        <f>IF('Paste Editor (Beta)'!$C$90="Level-up prompt",G665,IF('Paste Editor (Beta)'!$C$90="Item prompt",E665,IF('Paste Editor (Beta)'!$C$90="Modifier prompt","'"&amp;B665,IF('Paste Editor (Beta)'!$C$90="Challenge prompt",L665,IF('Paste Editor (Beta)'!$C$90="Reroll class prompt",S664,IF('Paste Editor (Beta)'!$C$90="Swap hero prompt",S664,IF('Paste Editor (Beta)'!$C$90="Anvil prompt",AD664,"")))))))</f>
        <v>0</v>
      </c>
      <c r="AK664" s="283">
        <f>IF('Paste Editor (Beta)'!$C$90="Level-up prompt",G665,IF('Paste Editor (Beta)'!$C$90="Item prompt",E665,IF('Paste Editor (Beta)'!$C$90="Modifier prompt","'"&amp;B665,IF('Paste Editor (Beta)'!$C$90="Challenge prompt",E665,IF('Paste Editor (Beta)'!$C$90="Reroll class prompt",S664,IF('Paste Editor (Beta)'!$C$90="Swap hero prompt",S664,IF('Paste Editor (Beta)'!$C$90="Anvil prompt",AD664,"")))))))</f>
        <v>0</v>
      </c>
    </row>
    <row r="665" spans="2:37" ht="17.25">
      <c r="B665" s="284" t="s">
        <v>2108</v>
      </c>
      <c r="C665" s="284" t="s">
        <v>2108</v>
      </c>
      <c r="D665" s="284" t="s">
        <v>2108</v>
      </c>
      <c r="AH665" s="280" t="str">
        <f>IF('Paste Editor (Beta)'!$C$82="Level-up prompt",G666,IF('Paste Editor (Beta)'!$C$82="Item prompt",E666,IF('Paste Editor (Beta)'!$C$82="Modifier prompt","'"&amp;B666,IF('Paste Editor (Beta)'!$C$82="Challenge prompt",L666,IF('Paste Editor (Beta)'!$C$82="Reroll class prompt",S665,IF('Paste Editor (Beta)'!$C$82="Swap hero prompt",S665,IF('Paste Editor (Beta)'!$C$82="Anvil prompt",AD665,"")))))))</f>
        <v/>
      </c>
      <c r="AI665" s="280" t="str">
        <f>IF('Paste Editor (Beta)'!$C$82="Level-up prompt",G666,IF('Paste Editor (Beta)'!$C$82="Item prompt",E666,IF('Paste Editor (Beta)'!$C$82="Modifier prompt","'"&amp;B666,IF('Paste Editor (Beta)'!$C$82="Challenge prompt",E666,IF('Paste Editor (Beta)'!$C$82="Reroll class prompt",S665,IF('Paste Editor (Beta)'!$C$82="Swap hero prompt",S665,IF('Paste Editor (Beta)'!$C$82="Anvil prompt",AD665,"")))))))</f>
        <v/>
      </c>
      <c r="AJ665" s="283">
        <f>IF('Paste Editor (Beta)'!$C$90="Level-up prompt",G666,IF('Paste Editor (Beta)'!$C$90="Item prompt",E666,IF('Paste Editor (Beta)'!$C$90="Modifier prompt","'"&amp;B666,IF('Paste Editor (Beta)'!$C$90="Challenge prompt",L666,IF('Paste Editor (Beta)'!$C$90="Reroll class prompt",S665,IF('Paste Editor (Beta)'!$C$90="Swap hero prompt",S665,IF('Paste Editor (Beta)'!$C$90="Anvil prompt",AD665,"")))))))</f>
        <v>0</v>
      </c>
      <c r="AK665" s="283">
        <f>IF('Paste Editor (Beta)'!$C$90="Level-up prompt",G666,IF('Paste Editor (Beta)'!$C$90="Item prompt",E666,IF('Paste Editor (Beta)'!$C$90="Modifier prompt","'"&amp;B666,IF('Paste Editor (Beta)'!$C$90="Challenge prompt",E666,IF('Paste Editor (Beta)'!$C$90="Reroll class prompt",S665,IF('Paste Editor (Beta)'!$C$90="Swap hero prompt",S665,IF('Paste Editor (Beta)'!$C$90="Anvil prompt",AD665,"")))))))</f>
        <v>0</v>
      </c>
    </row>
    <row r="666" spans="2:37" ht="17.25">
      <c r="B666" s="284" t="s">
        <v>2210</v>
      </c>
      <c r="C666" s="284" t="s">
        <v>2210</v>
      </c>
      <c r="D666" s="284" t="s">
        <v>2210</v>
      </c>
      <c r="AH666" s="280" t="str">
        <f>IF('Paste Editor (Beta)'!$C$82="Level-up prompt",G667,IF('Paste Editor (Beta)'!$C$82="Item prompt",E667,IF('Paste Editor (Beta)'!$C$82="Modifier prompt","'"&amp;B667,IF('Paste Editor (Beta)'!$C$82="Challenge prompt",L667,IF('Paste Editor (Beta)'!$C$82="Reroll class prompt",S666,IF('Paste Editor (Beta)'!$C$82="Swap hero prompt",S666,IF('Paste Editor (Beta)'!$C$82="Anvil prompt",AD666,"")))))))</f>
        <v/>
      </c>
      <c r="AI666" s="280" t="str">
        <f>IF('Paste Editor (Beta)'!$C$82="Level-up prompt",G667,IF('Paste Editor (Beta)'!$C$82="Item prompt",E667,IF('Paste Editor (Beta)'!$C$82="Modifier prompt","'"&amp;B667,IF('Paste Editor (Beta)'!$C$82="Challenge prompt",E667,IF('Paste Editor (Beta)'!$C$82="Reroll class prompt",S666,IF('Paste Editor (Beta)'!$C$82="Swap hero prompt",S666,IF('Paste Editor (Beta)'!$C$82="Anvil prompt",AD666,"")))))))</f>
        <v/>
      </c>
      <c r="AJ666" s="283">
        <f>IF('Paste Editor (Beta)'!$C$90="Level-up prompt",G667,IF('Paste Editor (Beta)'!$C$90="Item prompt",E667,IF('Paste Editor (Beta)'!$C$90="Modifier prompt","'"&amp;B667,IF('Paste Editor (Beta)'!$C$90="Challenge prompt",L667,IF('Paste Editor (Beta)'!$C$90="Reroll class prompt",S666,IF('Paste Editor (Beta)'!$C$90="Swap hero prompt",S666,IF('Paste Editor (Beta)'!$C$90="Anvil prompt",AD666,"")))))))</f>
        <v>0</v>
      </c>
      <c r="AK666" s="283">
        <f>IF('Paste Editor (Beta)'!$C$90="Level-up prompt",G667,IF('Paste Editor (Beta)'!$C$90="Item prompt",E667,IF('Paste Editor (Beta)'!$C$90="Modifier prompt","'"&amp;B667,IF('Paste Editor (Beta)'!$C$90="Challenge prompt",E667,IF('Paste Editor (Beta)'!$C$90="Reroll class prompt",S666,IF('Paste Editor (Beta)'!$C$90="Swap hero prompt",S666,IF('Paste Editor (Beta)'!$C$90="Anvil prompt",AD666,"")))))))</f>
        <v>0</v>
      </c>
    </row>
    <row r="667" spans="2:37" ht="17.25">
      <c r="B667" s="284" t="s">
        <v>2326</v>
      </c>
      <c r="C667" s="284" t="s">
        <v>2326</v>
      </c>
      <c r="D667" s="284" t="s">
        <v>2326</v>
      </c>
      <c r="AH667" s="280" t="str">
        <f>IF('Paste Editor (Beta)'!$C$82="Level-up prompt",G668,IF('Paste Editor (Beta)'!$C$82="Item prompt",E668,IF('Paste Editor (Beta)'!$C$82="Modifier prompt","'"&amp;B668,IF('Paste Editor (Beta)'!$C$82="Challenge prompt",L668,IF('Paste Editor (Beta)'!$C$82="Reroll class prompt",S667,IF('Paste Editor (Beta)'!$C$82="Swap hero prompt",S667,IF('Paste Editor (Beta)'!$C$82="Anvil prompt",AD667,"")))))))</f>
        <v/>
      </c>
      <c r="AI667" s="280" t="str">
        <f>IF('Paste Editor (Beta)'!$C$82="Level-up prompt",G668,IF('Paste Editor (Beta)'!$C$82="Item prompt",E668,IF('Paste Editor (Beta)'!$C$82="Modifier prompt","'"&amp;B668,IF('Paste Editor (Beta)'!$C$82="Challenge prompt",E668,IF('Paste Editor (Beta)'!$C$82="Reroll class prompt",S667,IF('Paste Editor (Beta)'!$C$82="Swap hero prompt",S667,IF('Paste Editor (Beta)'!$C$82="Anvil prompt",AD667,"")))))))</f>
        <v/>
      </c>
      <c r="AJ667" s="283">
        <f>IF('Paste Editor (Beta)'!$C$90="Level-up prompt",G668,IF('Paste Editor (Beta)'!$C$90="Item prompt",E668,IF('Paste Editor (Beta)'!$C$90="Modifier prompt","'"&amp;B668,IF('Paste Editor (Beta)'!$C$90="Challenge prompt",L668,IF('Paste Editor (Beta)'!$C$90="Reroll class prompt",S667,IF('Paste Editor (Beta)'!$C$90="Swap hero prompt",S667,IF('Paste Editor (Beta)'!$C$90="Anvil prompt",AD667,"")))))))</f>
        <v>0</v>
      </c>
      <c r="AK667" s="283">
        <f>IF('Paste Editor (Beta)'!$C$90="Level-up prompt",G668,IF('Paste Editor (Beta)'!$C$90="Item prompt",E668,IF('Paste Editor (Beta)'!$C$90="Modifier prompt","'"&amp;B668,IF('Paste Editor (Beta)'!$C$90="Challenge prompt",E668,IF('Paste Editor (Beta)'!$C$90="Reroll class prompt",S667,IF('Paste Editor (Beta)'!$C$90="Swap hero prompt",S667,IF('Paste Editor (Beta)'!$C$90="Anvil prompt",AD667,"")))))))</f>
        <v>0</v>
      </c>
    </row>
    <row r="668" spans="2:37" ht="17.25">
      <c r="B668" s="284" t="s">
        <v>2429</v>
      </c>
      <c r="C668" s="284" t="s">
        <v>2429</v>
      </c>
      <c r="D668" s="284" t="s">
        <v>2429</v>
      </c>
      <c r="AH668" s="280" t="str">
        <f>IF('Paste Editor (Beta)'!$C$82="Level-up prompt",G669,IF('Paste Editor (Beta)'!$C$82="Item prompt",E669,IF('Paste Editor (Beta)'!$C$82="Modifier prompt","'"&amp;B669,IF('Paste Editor (Beta)'!$C$82="Challenge prompt",L669,IF('Paste Editor (Beta)'!$C$82="Reroll class prompt",S668,IF('Paste Editor (Beta)'!$C$82="Swap hero prompt",S668,IF('Paste Editor (Beta)'!$C$82="Anvil prompt",AD668,"")))))))</f>
        <v/>
      </c>
      <c r="AI668" s="280" t="str">
        <f>IF('Paste Editor (Beta)'!$C$82="Level-up prompt",G669,IF('Paste Editor (Beta)'!$C$82="Item prompt",E669,IF('Paste Editor (Beta)'!$C$82="Modifier prompt","'"&amp;B669,IF('Paste Editor (Beta)'!$C$82="Challenge prompt",E669,IF('Paste Editor (Beta)'!$C$82="Reroll class prompt",S668,IF('Paste Editor (Beta)'!$C$82="Swap hero prompt",S668,IF('Paste Editor (Beta)'!$C$82="Anvil prompt",AD668,"")))))))</f>
        <v/>
      </c>
      <c r="AJ668" s="283">
        <f>IF('Paste Editor (Beta)'!$C$90="Level-up prompt",G669,IF('Paste Editor (Beta)'!$C$90="Item prompt",E669,IF('Paste Editor (Beta)'!$C$90="Modifier prompt","'"&amp;B669,IF('Paste Editor (Beta)'!$C$90="Challenge prompt",L669,IF('Paste Editor (Beta)'!$C$90="Reroll class prompt",S668,IF('Paste Editor (Beta)'!$C$90="Swap hero prompt",S668,IF('Paste Editor (Beta)'!$C$90="Anvil prompt",AD668,"")))))))</f>
        <v>0</v>
      </c>
      <c r="AK668" s="283">
        <f>IF('Paste Editor (Beta)'!$C$90="Level-up prompt",G669,IF('Paste Editor (Beta)'!$C$90="Item prompt",E669,IF('Paste Editor (Beta)'!$C$90="Modifier prompt","'"&amp;B669,IF('Paste Editor (Beta)'!$C$90="Challenge prompt",E669,IF('Paste Editor (Beta)'!$C$90="Reroll class prompt",S668,IF('Paste Editor (Beta)'!$C$90="Swap hero prompt",S668,IF('Paste Editor (Beta)'!$C$90="Anvil prompt",AD668,"")))))))</f>
        <v>0</v>
      </c>
    </row>
    <row r="669" spans="2:37" ht="17.25">
      <c r="B669" s="284" t="s">
        <v>2493</v>
      </c>
      <c r="C669" s="284" t="s">
        <v>2493</v>
      </c>
      <c r="D669" s="284" t="s">
        <v>2493</v>
      </c>
      <c r="AH669" s="280" t="str">
        <f>IF('Paste Editor (Beta)'!$C$82="Level-up prompt",G670,IF('Paste Editor (Beta)'!$C$82="Item prompt",E670,IF('Paste Editor (Beta)'!$C$82="Modifier prompt","'"&amp;B670,IF('Paste Editor (Beta)'!$C$82="Challenge prompt",L670,IF('Paste Editor (Beta)'!$C$82="Reroll class prompt",S669,IF('Paste Editor (Beta)'!$C$82="Swap hero prompt",S669,IF('Paste Editor (Beta)'!$C$82="Anvil prompt",AD669,"")))))))</f>
        <v/>
      </c>
      <c r="AI669" s="280" t="str">
        <f>IF('Paste Editor (Beta)'!$C$82="Level-up prompt",G670,IF('Paste Editor (Beta)'!$C$82="Item prompt",E670,IF('Paste Editor (Beta)'!$C$82="Modifier prompt","'"&amp;B670,IF('Paste Editor (Beta)'!$C$82="Challenge prompt",E670,IF('Paste Editor (Beta)'!$C$82="Reroll class prompt",S669,IF('Paste Editor (Beta)'!$C$82="Swap hero prompt",S669,IF('Paste Editor (Beta)'!$C$82="Anvil prompt",AD669,"")))))))</f>
        <v/>
      </c>
      <c r="AJ669" s="283">
        <f>IF('Paste Editor (Beta)'!$C$90="Level-up prompt",G670,IF('Paste Editor (Beta)'!$C$90="Item prompt",E670,IF('Paste Editor (Beta)'!$C$90="Modifier prompt","'"&amp;B670,IF('Paste Editor (Beta)'!$C$90="Challenge prompt",L670,IF('Paste Editor (Beta)'!$C$90="Reroll class prompt",S669,IF('Paste Editor (Beta)'!$C$90="Swap hero prompt",S669,IF('Paste Editor (Beta)'!$C$90="Anvil prompt",AD669,"")))))))</f>
        <v>0</v>
      </c>
      <c r="AK669" s="283">
        <f>IF('Paste Editor (Beta)'!$C$90="Level-up prompt",G670,IF('Paste Editor (Beta)'!$C$90="Item prompt",E670,IF('Paste Editor (Beta)'!$C$90="Modifier prompt","'"&amp;B670,IF('Paste Editor (Beta)'!$C$90="Challenge prompt",E670,IF('Paste Editor (Beta)'!$C$90="Reroll class prompt",S669,IF('Paste Editor (Beta)'!$C$90="Swap hero prompt",S669,IF('Paste Editor (Beta)'!$C$90="Anvil prompt",AD669,"")))))))</f>
        <v>0</v>
      </c>
    </row>
    <row r="670" spans="2:37" ht="17.25">
      <c r="B670" s="284" t="s">
        <v>2556</v>
      </c>
      <c r="C670" s="284" t="s">
        <v>2556</v>
      </c>
      <c r="D670" s="284" t="s">
        <v>2556</v>
      </c>
      <c r="AH670" s="280" t="str">
        <f>IF('Paste Editor (Beta)'!$C$82="Level-up prompt",G671,IF('Paste Editor (Beta)'!$C$82="Item prompt",E671,IF('Paste Editor (Beta)'!$C$82="Modifier prompt","'"&amp;B671,IF('Paste Editor (Beta)'!$C$82="Challenge prompt",L671,IF('Paste Editor (Beta)'!$C$82="Reroll class prompt",S670,IF('Paste Editor (Beta)'!$C$82="Swap hero prompt",S670,IF('Paste Editor (Beta)'!$C$82="Anvil prompt",AD670,"")))))))</f>
        <v/>
      </c>
      <c r="AI670" s="280" t="str">
        <f>IF('Paste Editor (Beta)'!$C$82="Level-up prompt",G671,IF('Paste Editor (Beta)'!$C$82="Item prompt",E671,IF('Paste Editor (Beta)'!$C$82="Modifier prompt","'"&amp;B671,IF('Paste Editor (Beta)'!$C$82="Challenge prompt",E671,IF('Paste Editor (Beta)'!$C$82="Reroll class prompt",S670,IF('Paste Editor (Beta)'!$C$82="Swap hero prompt",S670,IF('Paste Editor (Beta)'!$C$82="Anvil prompt",AD670,"")))))))</f>
        <v/>
      </c>
      <c r="AJ670" s="283">
        <f>IF('Paste Editor (Beta)'!$C$90="Level-up prompt",G671,IF('Paste Editor (Beta)'!$C$90="Item prompt",E671,IF('Paste Editor (Beta)'!$C$90="Modifier prompt","'"&amp;B671,IF('Paste Editor (Beta)'!$C$90="Challenge prompt",L671,IF('Paste Editor (Beta)'!$C$90="Reroll class prompt",S670,IF('Paste Editor (Beta)'!$C$90="Swap hero prompt",S670,IF('Paste Editor (Beta)'!$C$90="Anvil prompt",AD670,"")))))))</f>
        <v>0</v>
      </c>
      <c r="AK670" s="283">
        <f>IF('Paste Editor (Beta)'!$C$90="Level-up prompt",G671,IF('Paste Editor (Beta)'!$C$90="Item prompt",E671,IF('Paste Editor (Beta)'!$C$90="Modifier prompt","'"&amp;B671,IF('Paste Editor (Beta)'!$C$90="Challenge prompt",E671,IF('Paste Editor (Beta)'!$C$90="Reroll class prompt",S670,IF('Paste Editor (Beta)'!$C$90="Swap hero prompt",S670,IF('Paste Editor (Beta)'!$C$90="Anvil prompt",AD670,"")))))))</f>
        <v>0</v>
      </c>
    </row>
    <row r="671" spans="2:37" ht="17.25">
      <c r="B671" s="284" t="s">
        <v>2607</v>
      </c>
      <c r="C671" s="284" t="s">
        <v>2607</v>
      </c>
      <c r="D671" s="284" t="s">
        <v>2607</v>
      </c>
      <c r="AH671" s="280" t="str">
        <f>IF('Paste Editor (Beta)'!$C$82="Level-up prompt",G672,IF('Paste Editor (Beta)'!$C$82="Item prompt",E672,IF('Paste Editor (Beta)'!$C$82="Modifier prompt","'"&amp;B672,IF('Paste Editor (Beta)'!$C$82="Challenge prompt",L672,IF('Paste Editor (Beta)'!$C$82="Reroll class prompt",S671,IF('Paste Editor (Beta)'!$C$82="Swap hero prompt",S671,IF('Paste Editor (Beta)'!$C$82="Anvil prompt",AD671,"")))))))</f>
        <v/>
      </c>
      <c r="AI671" s="280" t="str">
        <f>IF('Paste Editor (Beta)'!$C$82="Level-up prompt",G672,IF('Paste Editor (Beta)'!$C$82="Item prompt",E672,IF('Paste Editor (Beta)'!$C$82="Modifier prompt","'"&amp;B672,IF('Paste Editor (Beta)'!$C$82="Challenge prompt",E672,IF('Paste Editor (Beta)'!$C$82="Reroll class prompt",S671,IF('Paste Editor (Beta)'!$C$82="Swap hero prompt",S671,IF('Paste Editor (Beta)'!$C$82="Anvil prompt",AD671,"")))))))</f>
        <v/>
      </c>
      <c r="AJ671" s="283">
        <f>IF('Paste Editor (Beta)'!$C$90="Level-up prompt",G672,IF('Paste Editor (Beta)'!$C$90="Item prompt",E672,IF('Paste Editor (Beta)'!$C$90="Modifier prompt","'"&amp;B672,IF('Paste Editor (Beta)'!$C$90="Challenge prompt",L672,IF('Paste Editor (Beta)'!$C$90="Reroll class prompt",S671,IF('Paste Editor (Beta)'!$C$90="Swap hero prompt",S671,IF('Paste Editor (Beta)'!$C$90="Anvil prompt",AD671,"")))))))</f>
        <v>0</v>
      </c>
      <c r="AK671" s="283">
        <f>IF('Paste Editor (Beta)'!$C$90="Level-up prompt",G672,IF('Paste Editor (Beta)'!$C$90="Item prompt",E672,IF('Paste Editor (Beta)'!$C$90="Modifier prompt","'"&amp;B672,IF('Paste Editor (Beta)'!$C$90="Challenge prompt",E672,IF('Paste Editor (Beta)'!$C$90="Reroll class prompt",S671,IF('Paste Editor (Beta)'!$C$90="Swap hero prompt",S671,IF('Paste Editor (Beta)'!$C$90="Anvil prompt",AD671,"")))))))</f>
        <v>0</v>
      </c>
    </row>
    <row r="672" spans="2:37" ht="17.25">
      <c r="B672" s="284" t="s">
        <v>2973</v>
      </c>
      <c r="C672" s="284" t="s">
        <v>2973</v>
      </c>
      <c r="D672" s="284" t="s">
        <v>2973</v>
      </c>
      <c r="AH672" s="280" t="str">
        <f>IF('Paste Editor (Beta)'!$C$82="Level-up prompt",G673,IF('Paste Editor (Beta)'!$C$82="Item prompt",E673,IF('Paste Editor (Beta)'!$C$82="Modifier prompt","'"&amp;B673,IF('Paste Editor (Beta)'!$C$82="Challenge prompt",L673,IF('Paste Editor (Beta)'!$C$82="Reroll class prompt",S672,IF('Paste Editor (Beta)'!$C$82="Swap hero prompt",S672,IF('Paste Editor (Beta)'!$C$82="Anvil prompt",AD672,"")))))))</f>
        <v/>
      </c>
      <c r="AI672" s="280" t="str">
        <f>IF('Paste Editor (Beta)'!$C$82="Level-up prompt",G673,IF('Paste Editor (Beta)'!$C$82="Item prompt",E673,IF('Paste Editor (Beta)'!$C$82="Modifier prompt","'"&amp;B673,IF('Paste Editor (Beta)'!$C$82="Challenge prompt",E673,IF('Paste Editor (Beta)'!$C$82="Reroll class prompt",S672,IF('Paste Editor (Beta)'!$C$82="Swap hero prompt",S672,IF('Paste Editor (Beta)'!$C$82="Anvil prompt",AD672,"")))))))</f>
        <v/>
      </c>
      <c r="AJ672" s="283">
        <f>IF('Paste Editor (Beta)'!$C$90="Level-up prompt",G673,IF('Paste Editor (Beta)'!$C$90="Item prompt",E673,IF('Paste Editor (Beta)'!$C$90="Modifier prompt","'"&amp;B673,IF('Paste Editor (Beta)'!$C$90="Challenge prompt",L673,IF('Paste Editor (Beta)'!$C$90="Reroll class prompt",S672,IF('Paste Editor (Beta)'!$C$90="Swap hero prompt",S672,IF('Paste Editor (Beta)'!$C$90="Anvil prompt",AD672,"")))))))</f>
        <v>0</v>
      </c>
      <c r="AK672" s="283">
        <f>IF('Paste Editor (Beta)'!$C$90="Level-up prompt",G673,IF('Paste Editor (Beta)'!$C$90="Item prompt",E673,IF('Paste Editor (Beta)'!$C$90="Modifier prompt","'"&amp;B673,IF('Paste Editor (Beta)'!$C$90="Challenge prompt",E673,IF('Paste Editor (Beta)'!$C$90="Reroll class prompt",S672,IF('Paste Editor (Beta)'!$C$90="Swap hero prompt",S672,IF('Paste Editor (Beta)'!$C$90="Anvil prompt",AD672,"")))))))</f>
        <v>0</v>
      </c>
    </row>
    <row r="673" spans="2:37" ht="17.25">
      <c r="B673" s="284" t="s">
        <v>2608</v>
      </c>
      <c r="C673" s="284" t="s">
        <v>2608</v>
      </c>
      <c r="D673" s="284" t="s">
        <v>2608</v>
      </c>
      <c r="AH673" s="280" t="str">
        <f>IF('Paste Editor (Beta)'!$C$82="Level-up prompt",G674,IF('Paste Editor (Beta)'!$C$82="Item prompt",E674,IF('Paste Editor (Beta)'!$C$82="Modifier prompt","'"&amp;B674,IF('Paste Editor (Beta)'!$C$82="Challenge prompt",L674,IF('Paste Editor (Beta)'!$C$82="Reroll class prompt",S673,IF('Paste Editor (Beta)'!$C$82="Swap hero prompt",S673,IF('Paste Editor (Beta)'!$C$82="Anvil prompt",AD673,"")))))))</f>
        <v/>
      </c>
      <c r="AI673" s="280" t="str">
        <f>IF('Paste Editor (Beta)'!$C$82="Level-up prompt",G674,IF('Paste Editor (Beta)'!$C$82="Item prompt",E674,IF('Paste Editor (Beta)'!$C$82="Modifier prompt","'"&amp;B674,IF('Paste Editor (Beta)'!$C$82="Challenge prompt",E674,IF('Paste Editor (Beta)'!$C$82="Reroll class prompt",S673,IF('Paste Editor (Beta)'!$C$82="Swap hero prompt",S673,IF('Paste Editor (Beta)'!$C$82="Anvil prompt",AD673,"")))))))</f>
        <v/>
      </c>
      <c r="AJ673" s="283">
        <f>IF('Paste Editor (Beta)'!$C$90="Level-up prompt",G674,IF('Paste Editor (Beta)'!$C$90="Item prompt",E674,IF('Paste Editor (Beta)'!$C$90="Modifier prompt","'"&amp;B674,IF('Paste Editor (Beta)'!$C$90="Challenge prompt",L674,IF('Paste Editor (Beta)'!$C$90="Reroll class prompt",S673,IF('Paste Editor (Beta)'!$C$90="Swap hero prompt",S673,IF('Paste Editor (Beta)'!$C$90="Anvil prompt",AD673,"")))))))</f>
        <v>0</v>
      </c>
      <c r="AK673" s="283">
        <f>IF('Paste Editor (Beta)'!$C$90="Level-up prompt",G674,IF('Paste Editor (Beta)'!$C$90="Item prompt",E674,IF('Paste Editor (Beta)'!$C$90="Modifier prompt","'"&amp;B674,IF('Paste Editor (Beta)'!$C$90="Challenge prompt",E674,IF('Paste Editor (Beta)'!$C$90="Reroll class prompt",S673,IF('Paste Editor (Beta)'!$C$90="Swap hero prompt",S673,IF('Paste Editor (Beta)'!$C$90="Anvil prompt",AD673,"")))))))</f>
        <v>0</v>
      </c>
    </row>
    <row r="674" spans="2:37" ht="17.25">
      <c r="B674" s="284" t="s">
        <v>2141</v>
      </c>
      <c r="C674" s="284" t="s">
        <v>2141</v>
      </c>
      <c r="D674" s="284" t="s">
        <v>2141</v>
      </c>
      <c r="AH674" s="280" t="str">
        <f>IF('Paste Editor (Beta)'!$C$82="Level-up prompt",G675,IF('Paste Editor (Beta)'!$C$82="Item prompt",E675,IF('Paste Editor (Beta)'!$C$82="Modifier prompt","'"&amp;B675,IF('Paste Editor (Beta)'!$C$82="Challenge prompt",L675,IF('Paste Editor (Beta)'!$C$82="Reroll class prompt",S674,IF('Paste Editor (Beta)'!$C$82="Swap hero prompt",S674,IF('Paste Editor (Beta)'!$C$82="Anvil prompt",AD674,"")))))))</f>
        <v/>
      </c>
      <c r="AI674" s="280" t="str">
        <f>IF('Paste Editor (Beta)'!$C$82="Level-up prompt",G675,IF('Paste Editor (Beta)'!$C$82="Item prompt",E675,IF('Paste Editor (Beta)'!$C$82="Modifier prompt","'"&amp;B675,IF('Paste Editor (Beta)'!$C$82="Challenge prompt",E675,IF('Paste Editor (Beta)'!$C$82="Reroll class prompt",S674,IF('Paste Editor (Beta)'!$C$82="Swap hero prompt",S674,IF('Paste Editor (Beta)'!$C$82="Anvil prompt",AD674,"")))))))</f>
        <v/>
      </c>
      <c r="AJ674" s="283">
        <f>IF('Paste Editor (Beta)'!$C$90="Level-up prompt",G675,IF('Paste Editor (Beta)'!$C$90="Item prompt",E675,IF('Paste Editor (Beta)'!$C$90="Modifier prompt","'"&amp;B675,IF('Paste Editor (Beta)'!$C$90="Challenge prompt",L675,IF('Paste Editor (Beta)'!$C$90="Reroll class prompt",S674,IF('Paste Editor (Beta)'!$C$90="Swap hero prompt",S674,IF('Paste Editor (Beta)'!$C$90="Anvil prompt",AD674,"")))))))</f>
        <v>0</v>
      </c>
      <c r="AK674" s="283">
        <f>IF('Paste Editor (Beta)'!$C$90="Level-up prompt",G675,IF('Paste Editor (Beta)'!$C$90="Item prompt",E675,IF('Paste Editor (Beta)'!$C$90="Modifier prompt","'"&amp;B675,IF('Paste Editor (Beta)'!$C$90="Challenge prompt",E675,IF('Paste Editor (Beta)'!$C$90="Reroll class prompt",S674,IF('Paste Editor (Beta)'!$C$90="Swap hero prompt",S674,IF('Paste Editor (Beta)'!$C$90="Anvil prompt",AD674,"")))))))</f>
        <v>0</v>
      </c>
    </row>
    <row r="675" spans="2:37" ht="17.25">
      <c r="B675" s="284" t="s">
        <v>2053</v>
      </c>
      <c r="C675" s="284" t="s">
        <v>2053</v>
      </c>
      <c r="D675" s="284" t="s">
        <v>2053</v>
      </c>
      <c r="AH675" s="280" t="str">
        <f>IF('Paste Editor (Beta)'!$C$82="Level-up prompt",G676,IF('Paste Editor (Beta)'!$C$82="Item prompt",E676,IF('Paste Editor (Beta)'!$C$82="Modifier prompt","'"&amp;B676,IF('Paste Editor (Beta)'!$C$82="Challenge prompt",L676,IF('Paste Editor (Beta)'!$C$82="Reroll class prompt",S675,IF('Paste Editor (Beta)'!$C$82="Swap hero prompt",S675,IF('Paste Editor (Beta)'!$C$82="Anvil prompt",AD675,"")))))))</f>
        <v/>
      </c>
      <c r="AI675" s="280" t="str">
        <f>IF('Paste Editor (Beta)'!$C$82="Level-up prompt",G676,IF('Paste Editor (Beta)'!$C$82="Item prompt",E676,IF('Paste Editor (Beta)'!$C$82="Modifier prompt","'"&amp;B676,IF('Paste Editor (Beta)'!$C$82="Challenge prompt",E676,IF('Paste Editor (Beta)'!$C$82="Reroll class prompt",S675,IF('Paste Editor (Beta)'!$C$82="Swap hero prompt",S675,IF('Paste Editor (Beta)'!$C$82="Anvil prompt",AD675,"")))))))</f>
        <v/>
      </c>
      <c r="AJ675" s="283">
        <f>IF('Paste Editor (Beta)'!$C$90="Level-up prompt",G676,IF('Paste Editor (Beta)'!$C$90="Item prompt",E676,IF('Paste Editor (Beta)'!$C$90="Modifier prompt","'"&amp;B676,IF('Paste Editor (Beta)'!$C$90="Challenge prompt",L676,IF('Paste Editor (Beta)'!$C$90="Reroll class prompt",S675,IF('Paste Editor (Beta)'!$C$90="Swap hero prompt",S675,IF('Paste Editor (Beta)'!$C$90="Anvil prompt",AD675,"")))))))</f>
        <v>0</v>
      </c>
      <c r="AK675" s="283">
        <f>IF('Paste Editor (Beta)'!$C$90="Level-up prompt",G676,IF('Paste Editor (Beta)'!$C$90="Item prompt",E676,IF('Paste Editor (Beta)'!$C$90="Modifier prompt","'"&amp;B676,IF('Paste Editor (Beta)'!$C$90="Challenge prompt",E676,IF('Paste Editor (Beta)'!$C$90="Reroll class prompt",S675,IF('Paste Editor (Beta)'!$C$90="Swap hero prompt",S675,IF('Paste Editor (Beta)'!$C$90="Anvil prompt",AD675,"")))))))</f>
        <v>0</v>
      </c>
    </row>
    <row r="676" spans="2:37" ht="17.25">
      <c r="B676" s="284" t="s">
        <v>2257</v>
      </c>
      <c r="C676" s="284" t="s">
        <v>2257</v>
      </c>
      <c r="D676" s="284" t="s">
        <v>2257</v>
      </c>
      <c r="AH676" s="280" t="str">
        <f>IF('Paste Editor (Beta)'!$C$82="Level-up prompt",G677,IF('Paste Editor (Beta)'!$C$82="Item prompt",E677,IF('Paste Editor (Beta)'!$C$82="Modifier prompt","'"&amp;B677,IF('Paste Editor (Beta)'!$C$82="Challenge prompt",L677,IF('Paste Editor (Beta)'!$C$82="Reroll class prompt",S676,IF('Paste Editor (Beta)'!$C$82="Swap hero prompt",S676,IF('Paste Editor (Beta)'!$C$82="Anvil prompt",AD676,"")))))))</f>
        <v/>
      </c>
      <c r="AI676" s="280" t="str">
        <f>IF('Paste Editor (Beta)'!$C$82="Level-up prompt",G677,IF('Paste Editor (Beta)'!$C$82="Item prompt",E677,IF('Paste Editor (Beta)'!$C$82="Modifier prompt","'"&amp;B677,IF('Paste Editor (Beta)'!$C$82="Challenge prompt",E677,IF('Paste Editor (Beta)'!$C$82="Reroll class prompt",S676,IF('Paste Editor (Beta)'!$C$82="Swap hero prompt",S676,IF('Paste Editor (Beta)'!$C$82="Anvil prompt",AD676,"")))))))</f>
        <v/>
      </c>
      <c r="AJ676" s="283">
        <f>IF('Paste Editor (Beta)'!$C$90="Level-up prompt",G677,IF('Paste Editor (Beta)'!$C$90="Item prompt",E677,IF('Paste Editor (Beta)'!$C$90="Modifier prompt","'"&amp;B677,IF('Paste Editor (Beta)'!$C$90="Challenge prompt",L677,IF('Paste Editor (Beta)'!$C$90="Reroll class prompt",S676,IF('Paste Editor (Beta)'!$C$90="Swap hero prompt",S676,IF('Paste Editor (Beta)'!$C$90="Anvil prompt",AD676,"")))))))</f>
        <v>0</v>
      </c>
      <c r="AK676" s="283">
        <f>IF('Paste Editor (Beta)'!$C$90="Level-up prompt",G677,IF('Paste Editor (Beta)'!$C$90="Item prompt",E677,IF('Paste Editor (Beta)'!$C$90="Modifier prompt","'"&amp;B677,IF('Paste Editor (Beta)'!$C$90="Challenge prompt",E677,IF('Paste Editor (Beta)'!$C$90="Reroll class prompt",S676,IF('Paste Editor (Beta)'!$C$90="Swap hero prompt",S676,IF('Paste Editor (Beta)'!$C$90="Anvil prompt",AD676,"")))))))</f>
        <v>0</v>
      </c>
    </row>
    <row r="677" spans="2:37" ht="17.25">
      <c r="B677" s="284" t="s">
        <v>3004</v>
      </c>
      <c r="C677" s="284" t="s">
        <v>3004</v>
      </c>
      <c r="D677" s="284" t="s">
        <v>3004</v>
      </c>
      <c r="AH677" s="280" t="str">
        <f>IF('Paste Editor (Beta)'!$C$82="Level-up prompt",G678,IF('Paste Editor (Beta)'!$C$82="Item prompt",E678,IF('Paste Editor (Beta)'!$C$82="Modifier prompt","'"&amp;B678,IF('Paste Editor (Beta)'!$C$82="Challenge prompt",L678,IF('Paste Editor (Beta)'!$C$82="Reroll class prompt",S677,IF('Paste Editor (Beta)'!$C$82="Swap hero prompt",S677,IF('Paste Editor (Beta)'!$C$82="Anvil prompt",AD677,"")))))))</f>
        <v/>
      </c>
      <c r="AI677" s="280" t="str">
        <f>IF('Paste Editor (Beta)'!$C$82="Level-up prompt",G678,IF('Paste Editor (Beta)'!$C$82="Item prompt",E678,IF('Paste Editor (Beta)'!$C$82="Modifier prompt","'"&amp;B678,IF('Paste Editor (Beta)'!$C$82="Challenge prompt",E678,IF('Paste Editor (Beta)'!$C$82="Reroll class prompt",S677,IF('Paste Editor (Beta)'!$C$82="Swap hero prompt",S677,IF('Paste Editor (Beta)'!$C$82="Anvil prompt",AD677,"")))))))</f>
        <v/>
      </c>
      <c r="AJ677" s="283">
        <f>IF('Paste Editor (Beta)'!$C$90="Level-up prompt",G678,IF('Paste Editor (Beta)'!$C$90="Item prompt",E678,IF('Paste Editor (Beta)'!$C$90="Modifier prompt","'"&amp;B678,IF('Paste Editor (Beta)'!$C$90="Challenge prompt",L678,IF('Paste Editor (Beta)'!$C$90="Reroll class prompt",S677,IF('Paste Editor (Beta)'!$C$90="Swap hero prompt",S677,IF('Paste Editor (Beta)'!$C$90="Anvil prompt",AD677,"")))))))</f>
        <v>0</v>
      </c>
      <c r="AK677" s="283">
        <f>IF('Paste Editor (Beta)'!$C$90="Level-up prompt",G678,IF('Paste Editor (Beta)'!$C$90="Item prompt",E678,IF('Paste Editor (Beta)'!$C$90="Modifier prompt","'"&amp;B678,IF('Paste Editor (Beta)'!$C$90="Challenge prompt",E678,IF('Paste Editor (Beta)'!$C$90="Reroll class prompt",S677,IF('Paste Editor (Beta)'!$C$90="Swap hero prompt",S677,IF('Paste Editor (Beta)'!$C$90="Anvil prompt",AD677,"")))))))</f>
        <v>0</v>
      </c>
    </row>
    <row r="678" spans="2:37" ht="17.25">
      <c r="B678" s="284" t="s">
        <v>2036</v>
      </c>
      <c r="C678" s="284" t="s">
        <v>2036</v>
      </c>
      <c r="D678" s="284" t="s">
        <v>2036</v>
      </c>
      <c r="AH678" s="280" t="str">
        <f>IF('Paste Editor (Beta)'!$C$82="Level-up prompt",G679,IF('Paste Editor (Beta)'!$C$82="Item prompt",E679,IF('Paste Editor (Beta)'!$C$82="Modifier prompt","'"&amp;B679,IF('Paste Editor (Beta)'!$C$82="Challenge prompt",L679,IF('Paste Editor (Beta)'!$C$82="Reroll class prompt",S678,IF('Paste Editor (Beta)'!$C$82="Swap hero prompt",S678,IF('Paste Editor (Beta)'!$C$82="Anvil prompt",AD678,"")))))))</f>
        <v/>
      </c>
      <c r="AI678" s="280" t="str">
        <f>IF('Paste Editor (Beta)'!$C$82="Level-up prompt",G679,IF('Paste Editor (Beta)'!$C$82="Item prompt",E679,IF('Paste Editor (Beta)'!$C$82="Modifier prompt","'"&amp;B679,IF('Paste Editor (Beta)'!$C$82="Challenge prompt",E679,IF('Paste Editor (Beta)'!$C$82="Reroll class prompt",S678,IF('Paste Editor (Beta)'!$C$82="Swap hero prompt",S678,IF('Paste Editor (Beta)'!$C$82="Anvil prompt",AD678,"")))))))</f>
        <v/>
      </c>
      <c r="AJ678" s="283">
        <f>IF('Paste Editor (Beta)'!$C$90="Level-up prompt",G679,IF('Paste Editor (Beta)'!$C$90="Item prompt",E679,IF('Paste Editor (Beta)'!$C$90="Modifier prompt","'"&amp;B679,IF('Paste Editor (Beta)'!$C$90="Challenge prompt",L679,IF('Paste Editor (Beta)'!$C$90="Reroll class prompt",S678,IF('Paste Editor (Beta)'!$C$90="Swap hero prompt",S678,IF('Paste Editor (Beta)'!$C$90="Anvil prompt",AD678,"")))))))</f>
        <v>0</v>
      </c>
      <c r="AK678" s="283">
        <f>IF('Paste Editor (Beta)'!$C$90="Level-up prompt",G679,IF('Paste Editor (Beta)'!$C$90="Item prompt",E679,IF('Paste Editor (Beta)'!$C$90="Modifier prompt","'"&amp;B679,IF('Paste Editor (Beta)'!$C$90="Challenge prompt",E679,IF('Paste Editor (Beta)'!$C$90="Reroll class prompt",S678,IF('Paste Editor (Beta)'!$C$90="Swap hero prompt",S678,IF('Paste Editor (Beta)'!$C$90="Anvil prompt",AD678,"")))))))</f>
        <v>0</v>
      </c>
    </row>
    <row r="679" spans="2:37" ht="17.25">
      <c r="B679" s="284" t="s">
        <v>2239</v>
      </c>
      <c r="C679" s="284" t="s">
        <v>2239</v>
      </c>
      <c r="D679" s="284" t="s">
        <v>2239</v>
      </c>
      <c r="AH679" s="280" t="str">
        <f>IF('Paste Editor (Beta)'!$C$82="Level-up prompt",G680,IF('Paste Editor (Beta)'!$C$82="Item prompt",E680,IF('Paste Editor (Beta)'!$C$82="Modifier prompt","'"&amp;B680,IF('Paste Editor (Beta)'!$C$82="Challenge prompt",L680,IF('Paste Editor (Beta)'!$C$82="Reroll class prompt",S679,IF('Paste Editor (Beta)'!$C$82="Swap hero prompt",S679,IF('Paste Editor (Beta)'!$C$82="Anvil prompt",AD679,"")))))))</f>
        <v/>
      </c>
      <c r="AI679" s="280" t="str">
        <f>IF('Paste Editor (Beta)'!$C$82="Level-up prompt",G680,IF('Paste Editor (Beta)'!$C$82="Item prompt",E680,IF('Paste Editor (Beta)'!$C$82="Modifier prompt","'"&amp;B680,IF('Paste Editor (Beta)'!$C$82="Challenge prompt",E680,IF('Paste Editor (Beta)'!$C$82="Reroll class prompt",S679,IF('Paste Editor (Beta)'!$C$82="Swap hero prompt",S679,IF('Paste Editor (Beta)'!$C$82="Anvil prompt",AD679,"")))))))</f>
        <v/>
      </c>
      <c r="AJ679" s="283">
        <f>IF('Paste Editor (Beta)'!$C$90="Level-up prompt",G680,IF('Paste Editor (Beta)'!$C$90="Item prompt",E680,IF('Paste Editor (Beta)'!$C$90="Modifier prompt","'"&amp;B680,IF('Paste Editor (Beta)'!$C$90="Challenge prompt",L680,IF('Paste Editor (Beta)'!$C$90="Reroll class prompt",S679,IF('Paste Editor (Beta)'!$C$90="Swap hero prompt",S679,IF('Paste Editor (Beta)'!$C$90="Anvil prompt",AD679,"")))))))</f>
        <v>0</v>
      </c>
      <c r="AK679" s="283">
        <f>IF('Paste Editor (Beta)'!$C$90="Level-up prompt",G680,IF('Paste Editor (Beta)'!$C$90="Item prompt",E680,IF('Paste Editor (Beta)'!$C$90="Modifier prompt","'"&amp;B680,IF('Paste Editor (Beta)'!$C$90="Challenge prompt",E680,IF('Paste Editor (Beta)'!$C$90="Reroll class prompt",S679,IF('Paste Editor (Beta)'!$C$90="Swap hero prompt",S679,IF('Paste Editor (Beta)'!$C$90="Anvil prompt",AD679,"")))))))</f>
        <v>0</v>
      </c>
    </row>
    <row r="680" spans="2:37" ht="17.25">
      <c r="B680" s="284" t="s">
        <v>2434</v>
      </c>
      <c r="C680" s="284" t="s">
        <v>2434</v>
      </c>
      <c r="D680" s="284" t="s">
        <v>2434</v>
      </c>
      <c r="AH680" s="280" t="str">
        <f>IF('Paste Editor (Beta)'!$C$82="Level-up prompt",G681,IF('Paste Editor (Beta)'!$C$82="Item prompt",E681,IF('Paste Editor (Beta)'!$C$82="Modifier prompt","'"&amp;B681,IF('Paste Editor (Beta)'!$C$82="Challenge prompt",L681,IF('Paste Editor (Beta)'!$C$82="Reroll class prompt",S680,IF('Paste Editor (Beta)'!$C$82="Swap hero prompt",S680,IF('Paste Editor (Beta)'!$C$82="Anvil prompt",AD680,"")))))))</f>
        <v/>
      </c>
      <c r="AI680" s="280" t="str">
        <f>IF('Paste Editor (Beta)'!$C$82="Level-up prompt",G681,IF('Paste Editor (Beta)'!$C$82="Item prompt",E681,IF('Paste Editor (Beta)'!$C$82="Modifier prompt","'"&amp;B681,IF('Paste Editor (Beta)'!$C$82="Challenge prompt",E681,IF('Paste Editor (Beta)'!$C$82="Reroll class prompt",S680,IF('Paste Editor (Beta)'!$C$82="Swap hero prompt",S680,IF('Paste Editor (Beta)'!$C$82="Anvil prompt",AD680,"")))))))</f>
        <v/>
      </c>
      <c r="AJ680" s="283">
        <f>IF('Paste Editor (Beta)'!$C$90="Level-up prompt",G681,IF('Paste Editor (Beta)'!$C$90="Item prompt",E681,IF('Paste Editor (Beta)'!$C$90="Modifier prompt","'"&amp;B681,IF('Paste Editor (Beta)'!$C$90="Challenge prompt",L681,IF('Paste Editor (Beta)'!$C$90="Reroll class prompt",S680,IF('Paste Editor (Beta)'!$C$90="Swap hero prompt",S680,IF('Paste Editor (Beta)'!$C$90="Anvil prompt",AD680,"")))))))</f>
        <v>0</v>
      </c>
      <c r="AK680" s="283">
        <f>IF('Paste Editor (Beta)'!$C$90="Level-up prompt",G681,IF('Paste Editor (Beta)'!$C$90="Item prompt",E681,IF('Paste Editor (Beta)'!$C$90="Modifier prompt","'"&amp;B681,IF('Paste Editor (Beta)'!$C$90="Challenge prompt",E681,IF('Paste Editor (Beta)'!$C$90="Reroll class prompt",S680,IF('Paste Editor (Beta)'!$C$90="Swap hero prompt",S680,IF('Paste Editor (Beta)'!$C$90="Anvil prompt",AD680,"")))))))</f>
        <v>0</v>
      </c>
    </row>
    <row r="681" spans="2:37" ht="17.25">
      <c r="B681" s="284" t="s">
        <v>3010</v>
      </c>
      <c r="C681" s="284" t="s">
        <v>3010</v>
      </c>
      <c r="D681" s="284" t="s">
        <v>3010</v>
      </c>
      <c r="AH681" s="280" t="str">
        <f>IF('Paste Editor (Beta)'!$C$82="Level-up prompt",G682,IF('Paste Editor (Beta)'!$C$82="Item prompt",E682,IF('Paste Editor (Beta)'!$C$82="Modifier prompt","'"&amp;B682,IF('Paste Editor (Beta)'!$C$82="Challenge prompt",L682,IF('Paste Editor (Beta)'!$C$82="Reroll class prompt",S681,IF('Paste Editor (Beta)'!$C$82="Swap hero prompt",S681,IF('Paste Editor (Beta)'!$C$82="Anvil prompt",AD681,"")))))))</f>
        <v/>
      </c>
      <c r="AI681" s="280" t="str">
        <f>IF('Paste Editor (Beta)'!$C$82="Level-up prompt",G682,IF('Paste Editor (Beta)'!$C$82="Item prompt",E682,IF('Paste Editor (Beta)'!$C$82="Modifier prompt","'"&amp;B682,IF('Paste Editor (Beta)'!$C$82="Challenge prompt",E682,IF('Paste Editor (Beta)'!$C$82="Reroll class prompt",S681,IF('Paste Editor (Beta)'!$C$82="Swap hero prompt",S681,IF('Paste Editor (Beta)'!$C$82="Anvil prompt",AD681,"")))))))</f>
        <v/>
      </c>
      <c r="AJ681" s="283">
        <f>IF('Paste Editor (Beta)'!$C$90="Level-up prompt",G682,IF('Paste Editor (Beta)'!$C$90="Item prompt",E682,IF('Paste Editor (Beta)'!$C$90="Modifier prompt","'"&amp;B682,IF('Paste Editor (Beta)'!$C$90="Challenge prompt",L682,IF('Paste Editor (Beta)'!$C$90="Reroll class prompt",S681,IF('Paste Editor (Beta)'!$C$90="Swap hero prompt",S681,IF('Paste Editor (Beta)'!$C$90="Anvil prompt",AD681,"")))))))</f>
        <v>0</v>
      </c>
      <c r="AK681" s="283">
        <f>IF('Paste Editor (Beta)'!$C$90="Level-up prompt",G682,IF('Paste Editor (Beta)'!$C$90="Item prompt",E682,IF('Paste Editor (Beta)'!$C$90="Modifier prompt","'"&amp;B682,IF('Paste Editor (Beta)'!$C$90="Challenge prompt",E682,IF('Paste Editor (Beta)'!$C$90="Reroll class prompt",S681,IF('Paste Editor (Beta)'!$C$90="Swap hero prompt",S681,IF('Paste Editor (Beta)'!$C$90="Anvil prompt",AD681,"")))))))</f>
        <v>0</v>
      </c>
    </row>
    <row r="682" spans="2:37" ht="17.25">
      <c r="B682" s="284" t="s">
        <v>2440</v>
      </c>
      <c r="C682" s="284" t="s">
        <v>2440</v>
      </c>
      <c r="D682" s="284" t="s">
        <v>2440</v>
      </c>
      <c r="AH682" s="280" t="str">
        <f>IF('Paste Editor (Beta)'!$C$82="Level-up prompt",G683,IF('Paste Editor (Beta)'!$C$82="Item prompt",E683,IF('Paste Editor (Beta)'!$C$82="Modifier prompt","'"&amp;B683,IF('Paste Editor (Beta)'!$C$82="Challenge prompt",L683,IF('Paste Editor (Beta)'!$C$82="Reroll class prompt",S682,IF('Paste Editor (Beta)'!$C$82="Swap hero prompt",S682,IF('Paste Editor (Beta)'!$C$82="Anvil prompt",AD682,"")))))))</f>
        <v/>
      </c>
      <c r="AI682" s="280" t="str">
        <f>IF('Paste Editor (Beta)'!$C$82="Level-up prompt",G683,IF('Paste Editor (Beta)'!$C$82="Item prompt",E683,IF('Paste Editor (Beta)'!$C$82="Modifier prompt","'"&amp;B683,IF('Paste Editor (Beta)'!$C$82="Challenge prompt",E683,IF('Paste Editor (Beta)'!$C$82="Reroll class prompt",S682,IF('Paste Editor (Beta)'!$C$82="Swap hero prompt",S682,IF('Paste Editor (Beta)'!$C$82="Anvil prompt",AD682,"")))))))</f>
        <v/>
      </c>
      <c r="AJ682" s="283">
        <f>IF('Paste Editor (Beta)'!$C$90="Level-up prompt",G683,IF('Paste Editor (Beta)'!$C$90="Item prompt",E683,IF('Paste Editor (Beta)'!$C$90="Modifier prompt","'"&amp;B683,IF('Paste Editor (Beta)'!$C$90="Challenge prompt",L683,IF('Paste Editor (Beta)'!$C$90="Reroll class prompt",S682,IF('Paste Editor (Beta)'!$C$90="Swap hero prompt",S682,IF('Paste Editor (Beta)'!$C$90="Anvil prompt",AD682,"")))))))</f>
        <v>0</v>
      </c>
      <c r="AK682" s="283">
        <f>IF('Paste Editor (Beta)'!$C$90="Level-up prompt",G683,IF('Paste Editor (Beta)'!$C$90="Item prompt",E683,IF('Paste Editor (Beta)'!$C$90="Modifier prompt","'"&amp;B683,IF('Paste Editor (Beta)'!$C$90="Challenge prompt",E683,IF('Paste Editor (Beta)'!$C$90="Reroll class prompt",S682,IF('Paste Editor (Beta)'!$C$90="Swap hero prompt",S682,IF('Paste Editor (Beta)'!$C$90="Anvil prompt",AD682,"")))))))</f>
        <v>0</v>
      </c>
    </row>
    <row r="683" spans="2:37" ht="17.25">
      <c r="B683" s="284" t="s">
        <v>2957</v>
      </c>
      <c r="C683" s="284" t="s">
        <v>2957</v>
      </c>
      <c r="D683" s="284" t="s">
        <v>2957</v>
      </c>
      <c r="AH683" s="280" t="str">
        <f>IF('Paste Editor (Beta)'!$C$82="Level-up prompt",G684,IF('Paste Editor (Beta)'!$C$82="Item prompt",E684,IF('Paste Editor (Beta)'!$C$82="Modifier prompt","'"&amp;B684,IF('Paste Editor (Beta)'!$C$82="Challenge prompt",L684,IF('Paste Editor (Beta)'!$C$82="Reroll class prompt",S683,IF('Paste Editor (Beta)'!$C$82="Swap hero prompt",S683,IF('Paste Editor (Beta)'!$C$82="Anvil prompt",AD683,"")))))))</f>
        <v/>
      </c>
      <c r="AI683" s="280" t="str">
        <f>IF('Paste Editor (Beta)'!$C$82="Level-up prompt",G684,IF('Paste Editor (Beta)'!$C$82="Item prompt",E684,IF('Paste Editor (Beta)'!$C$82="Modifier prompt","'"&amp;B684,IF('Paste Editor (Beta)'!$C$82="Challenge prompt",E684,IF('Paste Editor (Beta)'!$C$82="Reroll class prompt",S683,IF('Paste Editor (Beta)'!$C$82="Swap hero prompt",S683,IF('Paste Editor (Beta)'!$C$82="Anvil prompt",AD683,"")))))))</f>
        <v/>
      </c>
      <c r="AJ683" s="283">
        <f>IF('Paste Editor (Beta)'!$C$90="Level-up prompt",G684,IF('Paste Editor (Beta)'!$C$90="Item prompt",E684,IF('Paste Editor (Beta)'!$C$90="Modifier prompt","'"&amp;B684,IF('Paste Editor (Beta)'!$C$90="Challenge prompt",L684,IF('Paste Editor (Beta)'!$C$90="Reroll class prompt",S683,IF('Paste Editor (Beta)'!$C$90="Swap hero prompt",S683,IF('Paste Editor (Beta)'!$C$90="Anvil prompt",AD683,"")))))))</f>
        <v>0</v>
      </c>
      <c r="AK683" s="283">
        <f>IF('Paste Editor (Beta)'!$C$90="Level-up prompt",G684,IF('Paste Editor (Beta)'!$C$90="Item prompt",E684,IF('Paste Editor (Beta)'!$C$90="Modifier prompt","'"&amp;B684,IF('Paste Editor (Beta)'!$C$90="Challenge prompt",E684,IF('Paste Editor (Beta)'!$C$90="Reroll class prompt",S683,IF('Paste Editor (Beta)'!$C$90="Swap hero prompt",S683,IF('Paste Editor (Beta)'!$C$90="Anvil prompt",AD683,"")))))))</f>
        <v>0</v>
      </c>
    </row>
    <row r="684" spans="2:37" ht="17.25">
      <c r="B684" s="284" t="s">
        <v>2985</v>
      </c>
      <c r="C684" s="284" t="s">
        <v>2985</v>
      </c>
      <c r="D684" s="284" t="s">
        <v>2985</v>
      </c>
      <c r="AH684" s="280" t="str">
        <f>IF('Paste Editor (Beta)'!$C$82="Level-up prompt",G685,IF('Paste Editor (Beta)'!$C$82="Item prompt",E685,IF('Paste Editor (Beta)'!$C$82="Modifier prompt","'"&amp;B685,IF('Paste Editor (Beta)'!$C$82="Challenge prompt",L685,IF('Paste Editor (Beta)'!$C$82="Reroll class prompt",S684,IF('Paste Editor (Beta)'!$C$82="Swap hero prompt",S684,IF('Paste Editor (Beta)'!$C$82="Anvil prompt",AD684,"")))))))</f>
        <v/>
      </c>
      <c r="AI684" s="280" t="str">
        <f>IF('Paste Editor (Beta)'!$C$82="Level-up prompt",G685,IF('Paste Editor (Beta)'!$C$82="Item prompt",E685,IF('Paste Editor (Beta)'!$C$82="Modifier prompt","'"&amp;B685,IF('Paste Editor (Beta)'!$C$82="Challenge prompt",E685,IF('Paste Editor (Beta)'!$C$82="Reroll class prompt",S684,IF('Paste Editor (Beta)'!$C$82="Swap hero prompt",S684,IF('Paste Editor (Beta)'!$C$82="Anvil prompt",AD684,"")))))))</f>
        <v/>
      </c>
      <c r="AJ684" s="283">
        <f>IF('Paste Editor (Beta)'!$C$90="Level-up prompt",G685,IF('Paste Editor (Beta)'!$C$90="Item prompt",E685,IF('Paste Editor (Beta)'!$C$90="Modifier prompt","'"&amp;B685,IF('Paste Editor (Beta)'!$C$90="Challenge prompt",L685,IF('Paste Editor (Beta)'!$C$90="Reroll class prompt",S684,IF('Paste Editor (Beta)'!$C$90="Swap hero prompt",S684,IF('Paste Editor (Beta)'!$C$90="Anvil prompt",AD684,"")))))))</f>
        <v>0</v>
      </c>
      <c r="AK684" s="283">
        <f>IF('Paste Editor (Beta)'!$C$90="Level-up prompt",G685,IF('Paste Editor (Beta)'!$C$90="Item prompt",E685,IF('Paste Editor (Beta)'!$C$90="Modifier prompt","'"&amp;B685,IF('Paste Editor (Beta)'!$C$90="Challenge prompt",E685,IF('Paste Editor (Beta)'!$C$90="Reroll class prompt",S684,IF('Paste Editor (Beta)'!$C$90="Swap hero prompt",S684,IF('Paste Editor (Beta)'!$C$90="Anvil prompt",AD684,"")))))))</f>
        <v>0</v>
      </c>
    </row>
    <row r="685" spans="2:37" ht="17.25">
      <c r="B685" s="284" t="s">
        <v>2012</v>
      </c>
      <c r="C685" s="284" t="s">
        <v>2012</v>
      </c>
      <c r="D685" s="284" t="s">
        <v>2012</v>
      </c>
      <c r="AH685" s="280" t="str">
        <f>IF('Paste Editor (Beta)'!$C$82="Level-up prompt",G686,IF('Paste Editor (Beta)'!$C$82="Item prompt",E686,IF('Paste Editor (Beta)'!$C$82="Modifier prompt","'"&amp;B686,IF('Paste Editor (Beta)'!$C$82="Challenge prompt",L686,IF('Paste Editor (Beta)'!$C$82="Reroll class prompt",S685,IF('Paste Editor (Beta)'!$C$82="Swap hero prompt",S685,IF('Paste Editor (Beta)'!$C$82="Anvil prompt",AD685,"")))))))</f>
        <v/>
      </c>
      <c r="AI685" s="280" t="str">
        <f>IF('Paste Editor (Beta)'!$C$82="Level-up prompt",G686,IF('Paste Editor (Beta)'!$C$82="Item prompt",E686,IF('Paste Editor (Beta)'!$C$82="Modifier prompt","'"&amp;B686,IF('Paste Editor (Beta)'!$C$82="Challenge prompt",E686,IF('Paste Editor (Beta)'!$C$82="Reroll class prompt",S685,IF('Paste Editor (Beta)'!$C$82="Swap hero prompt",S685,IF('Paste Editor (Beta)'!$C$82="Anvil prompt",AD685,"")))))))</f>
        <v/>
      </c>
      <c r="AJ685" s="283">
        <f>IF('Paste Editor (Beta)'!$C$90="Level-up prompt",G686,IF('Paste Editor (Beta)'!$C$90="Item prompt",E686,IF('Paste Editor (Beta)'!$C$90="Modifier prompt","'"&amp;B686,IF('Paste Editor (Beta)'!$C$90="Challenge prompt",L686,IF('Paste Editor (Beta)'!$C$90="Reroll class prompt",S685,IF('Paste Editor (Beta)'!$C$90="Swap hero prompt",S685,IF('Paste Editor (Beta)'!$C$90="Anvil prompt",AD685,"")))))))</f>
        <v>0</v>
      </c>
      <c r="AK685" s="283">
        <f>IF('Paste Editor (Beta)'!$C$90="Level-up prompt",G686,IF('Paste Editor (Beta)'!$C$90="Item prompt",E686,IF('Paste Editor (Beta)'!$C$90="Modifier prompt","'"&amp;B686,IF('Paste Editor (Beta)'!$C$90="Challenge prompt",E686,IF('Paste Editor (Beta)'!$C$90="Reroll class prompt",S685,IF('Paste Editor (Beta)'!$C$90="Swap hero prompt",S685,IF('Paste Editor (Beta)'!$C$90="Anvil prompt",AD685,"")))))))</f>
        <v>0</v>
      </c>
    </row>
    <row r="686" spans="2:37" ht="17.25">
      <c r="B686" s="284" t="s">
        <v>2442</v>
      </c>
      <c r="C686" s="284" t="s">
        <v>2442</v>
      </c>
      <c r="D686" s="284" t="s">
        <v>2442</v>
      </c>
      <c r="AH686" s="280" t="str">
        <f>IF('Paste Editor (Beta)'!$C$82="Level-up prompt",G687,IF('Paste Editor (Beta)'!$C$82="Item prompt",E687,IF('Paste Editor (Beta)'!$C$82="Modifier prompt","'"&amp;B687,IF('Paste Editor (Beta)'!$C$82="Challenge prompt",L687,IF('Paste Editor (Beta)'!$C$82="Reroll class prompt",S686,IF('Paste Editor (Beta)'!$C$82="Swap hero prompt",S686,IF('Paste Editor (Beta)'!$C$82="Anvil prompt",AD686,"")))))))</f>
        <v/>
      </c>
      <c r="AI686" s="280" t="str">
        <f>IF('Paste Editor (Beta)'!$C$82="Level-up prompt",G687,IF('Paste Editor (Beta)'!$C$82="Item prompt",E687,IF('Paste Editor (Beta)'!$C$82="Modifier prompt","'"&amp;B687,IF('Paste Editor (Beta)'!$C$82="Challenge prompt",E687,IF('Paste Editor (Beta)'!$C$82="Reroll class prompt",S686,IF('Paste Editor (Beta)'!$C$82="Swap hero prompt",S686,IF('Paste Editor (Beta)'!$C$82="Anvil prompt",AD686,"")))))))</f>
        <v/>
      </c>
      <c r="AJ686" s="283">
        <f>IF('Paste Editor (Beta)'!$C$90="Level-up prompt",G687,IF('Paste Editor (Beta)'!$C$90="Item prompt",E687,IF('Paste Editor (Beta)'!$C$90="Modifier prompt","'"&amp;B687,IF('Paste Editor (Beta)'!$C$90="Challenge prompt",L687,IF('Paste Editor (Beta)'!$C$90="Reroll class prompt",S686,IF('Paste Editor (Beta)'!$C$90="Swap hero prompt",S686,IF('Paste Editor (Beta)'!$C$90="Anvil prompt",AD686,"")))))))</f>
        <v>0</v>
      </c>
      <c r="AK686" s="283">
        <f>IF('Paste Editor (Beta)'!$C$90="Level-up prompt",G687,IF('Paste Editor (Beta)'!$C$90="Item prompt",E687,IF('Paste Editor (Beta)'!$C$90="Modifier prompt","'"&amp;B687,IF('Paste Editor (Beta)'!$C$90="Challenge prompt",E687,IF('Paste Editor (Beta)'!$C$90="Reroll class prompt",S686,IF('Paste Editor (Beta)'!$C$90="Swap hero prompt",S686,IF('Paste Editor (Beta)'!$C$90="Anvil prompt",AD686,"")))))))</f>
        <v>0</v>
      </c>
    </row>
    <row r="687" spans="2:37" ht="17.25">
      <c r="B687" s="284" t="s">
        <v>2763</v>
      </c>
      <c r="C687" s="284" t="s">
        <v>2763</v>
      </c>
      <c r="D687" s="284" t="s">
        <v>2763</v>
      </c>
      <c r="AH687" s="280" t="str">
        <f>IF('Paste Editor (Beta)'!$C$82="Level-up prompt",G688,IF('Paste Editor (Beta)'!$C$82="Item prompt",E688,IF('Paste Editor (Beta)'!$C$82="Modifier prompt","'"&amp;B688,IF('Paste Editor (Beta)'!$C$82="Challenge prompt",L688,IF('Paste Editor (Beta)'!$C$82="Reroll class prompt",S687,IF('Paste Editor (Beta)'!$C$82="Swap hero prompt",S687,IF('Paste Editor (Beta)'!$C$82="Anvil prompt",AD687,"")))))))</f>
        <v/>
      </c>
      <c r="AI687" s="280" t="str">
        <f>IF('Paste Editor (Beta)'!$C$82="Level-up prompt",G688,IF('Paste Editor (Beta)'!$C$82="Item prompt",E688,IF('Paste Editor (Beta)'!$C$82="Modifier prompt","'"&amp;B688,IF('Paste Editor (Beta)'!$C$82="Challenge prompt",E688,IF('Paste Editor (Beta)'!$C$82="Reroll class prompt",S687,IF('Paste Editor (Beta)'!$C$82="Swap hero prompt",S687,IF('Paste Editor (Beta)'!$C$82="Anvil prompt",AD687,"")))))))</f>
        <v/>
      </c>
      <c r="AJ687" s="283">
        <f>IF('Paste Editor (Beta)'!$C$90="Level-up prompt",G688,IF('Paste Editor (Beta)'!$C$90="Item prompt",E688,IF('Paste Editor (Beta)'!$C$90="Modifier prompt","'"&amp;B688,IF('Paste Editor (Beta)'!$C$90="Challenge prompt",L688,IF('Paste Editor (Beta)'!$C$90="Reroll class prompt",S687,IF('Paste Editor (Beta)'!$C$90="Swap hero prompt",S687,IF('Paste Editor (Beta)'!$C$90="Anvil prompt",AD687,"")))))))</f>
        <v>0</v>
      </c>
      <c r="AK687" s="283">
        <f>IF('Paste Editor (Beta)'!$C$90="Level-up prompt",G688,IF('Paste Editor (Beta)'!$C$90="Item prompt",E688,IF('Paste Editor (Beta)'!$C$90="Modifier prompt","'"&amp;B688,IF('Paste Editor (Beta)'!$C$90="Challenge prompt",E688,IF('Paste Editor (Beta)'!$C$90="Reroll class prompt",S687,IF('Paste Editor (Beta)'!$C$90="Swap hero prompt",S687,IF('Paste Editor (Beta)'!$C$90="Anvil prompt",AD687,"")))))))</f>
        <v>0</v>
      </c>
    </row>
    <row r="688" spans="2:37" ht="17.25">
      <c r="B688" s="284" t="s">
        <v>2255</v>
      </c>
      <c r="C688" s="284" t="s">
        <v>2255</v>
      </c>
      <c r="D688" s="284" t="s">
        <v>2255</v>
      </c>
      <c r="AH688" s="280" t="str">
        <f>IF('Paste Editor (Beta)'!$C$82="Level-up prompt",G689,IF('Paste Editor (Beta)'!$C$82="Item prompt",E689,IF('Paste Editor (Beta)'!$C$82="Modifier prompt","'"&amp;B689,IF('Paste Editor (Beta)'!$C$82="Challenge prompt",L689,IF('Paste Editor (Beta)'!$C$82="Reroll class prompt",S688,IF('Paste Editor (Beta)'!$C$82="Swap hero prompt",S688,IF('Paste Editor (Beta)'!$C$82="Anvil prompt",AD688,"")))))))</f>
        <v/>
      </c>
      <c r="AI688" s="280" t="str">
        <f>IF('Paste Editor (Beta)'!$C$82="Level-up prompt",G689,IF('Paste Editor (Beta)'!$C$82="Item prompt",E689,IF('Paste Editor (Beta)'!$C$82="Modifier prompt","'"&amp;B689,IF('Paste Editor (Beta)'!$C$82="Challenge prompt",E689,IF('Paste Editor (Beta)'!$C$82="Reroll class prompt",S688,IF('Paste Editor (Beta)'!$C$82="Swap hero prompt",S688,IF('Paste Editor (Beta)'!$C$82="Anvil prompt",AD688,"")))))))</f>
        <v/>
      </c>
      <c r="AJ688" s="283">
        <f>IF('Paste Editor (Beta)'!$C$90="Level-up prompt",G689,IF('Paste Editor (Beta)'!$C$90="Item prompt",E689,IF('Paste Editor (Beta)'!$C$90="Modifier prompt","'"&amp;B689,IF('Paste Editor (Beta)'!$C$90="Challenge prompt",L689,IF('Paste Editor (Beta)'!$C$90="Reroll class prompt",S688,IF('Paste Editor (Beta)'!$C$90="Swap hero prompt",S688,IF('Paste Editor (Beta)'!$C$90="Anvil prompt",AD688,"")))))))</f>
        <v>0</v>
      </c>
      <c r="AK688" s="283">
        <f>IF('Paste Editor (Beta)'!$C$90="Level-up prompt",G689,IF('Paste Editor (Beta)'!$C$90="Item prompt",E689,IF('Paste Editor (Beta)'!$C$90="Modifier prompt","'"&amp;B689,IF('Paste Editor (Beta)'!$C$90="Challenge prompt",E689,IF('Paste Editor (Beta)'!$C$90="Reroll class prompt",S688,IF('Paste Editor (Beta)'!$C$90="Swap hero prompt",S688,IF('Paste Editor (Beta)'!$C$90="Anvil prompt",AD688,"")))))))</f>
        <v>0</v>
      </c>
    </row>
    <row r="689" spans="2:37" ht="17.25">
      <c r="B689" s="284" t="s">
        <v>2253</v>
      </c>
      <c r="C689" s="284" t="s">
        <v>2253</v>
      </c>
      <c r="D689" s="284" t="s">
        <v>2253</v>
      </c>
      <c r="AH689" s="280" t="str">
        <f>IF('Paste Editor (Beta)'!$C$82="Level-up prompt",G690,IF('Paste Editor (Beta)'!$C$82="Item prompt",E690,IF('Paste Editor (Beta)'!$C$82="Modifier prompt","'"&amp;B690,IF('Paste Editor (Beta)'!$C$82="Challenge prompt",L690,IF('Paste Editor (Beta)'!$C$82="Reroll class prompt",S689,IF('Paste Editor (Beta)'!$C$82="Swap hero prompt",S689,IF('Paste Editor (Beta)'!$C$82="Anvil prompt",AD689,"")))))))</f>
        <v/>
      </c>
      <c r="AI689" s="280" t="str">
        <f>IF('Paste Editor (Beta)'!$C$82="Level-up prompt",G690,IF('Paste Editor (Beta)'!$C$82="Item prompt",E690,IF('Paste Editor (Beta)'!$C$82="Modifier prompt","'"&amp;B690,IF('Paste Editor (Beta)'!$C$82="Challenge prompt",E690,IF('Paste Editor (Beta)'!$C$82="Reroll class prompt",S689,IF('Paste Editor (Beta)'!$C$82="Swap hero prompt",S689,IF('Paste Editor (Beta)'!$C$82="Anvil prompt",AD689,"")))))))</f>
        <v/>
      </c>
      <c r="AJ689" s="283">
        <f>IF('Paste Editor (Beta)'!$C$90="Level-up prompt",G690,IF('Paste Editor (Beta)'!$C$90="Item prompt",E690,IF('Paste Editor (Beta)'!$C$90="Modifier prompt","'"&amp;B690,IF('Paste Editor (Beta)'!$C$90="Challenge prompt",L690,IF('Paste Editor (Beta)'!$C$90="Reroll class prompt",S689,IF('Paste Editor (Beta)'!$C$90="Swap hero prompt",S689,IF('Paste Editor (Beta)'!$C$90="Anvil prompt",AD689,"")))))))</f>
        <v>0</v>
      </c>
      <c r="AK689" s="283">
        <f>IF('Paste Editor (Beta)'!$C$90="Level-up prompt",G690,IF('Paste Editor (Beta)'!$C$90="Item prompt",E690,IF('Paste Editor (Beta)'!$C$90="Modifier prompt","'"&amp;B690,IF('Paste Editor (Beta)'!$C$90="Challenge prompt",E690,IF('Paste Editor (Beta)'!$C$90="Reroll class prompt",S689,IF('Paste Editor (Beta)'!$C$90="Swap hero prompt",S689,IF('Paste Editor (Beta)'!$C$90="Anvil prompt",AD689,"")))))))</f>
        <v>0</v>
      </c>
    </row>
    <row r="690" spans="2:37" ht="17.25">
      <c r="B690" s="284" t="s">
        <v>2014</v>
      </c>
      <c r="C690" s="284" t="s">
        <v>2014</v>
      </c>
      <c r="D690" s="284" t="s">
        <v>2014</v>
      </c>
      <c r="AH690" s="280" t="str">
        <f>IF('Paste Editor (Beta)'!$C$82="Level-up prompt",G691,IF('Paste Editor (Beta)'!$C$82="Item prompt",E691,IF('Paste Editor (Beta)'!$C$82="Modifier prompt","'"&amp;B691,IF('Paste Editor (Beta)'!$C$82="Challenge prompt",L691,IF('Paste Editor (Beta)'!$C$82="Reroll class prompt",S690,IF('Paste Editor (Beta)'!$C$82="Swap hero prompt",S690,IF('Paste Editor (Beta)'!$C$82="Anvil prompt",AD690,"")))))))</f>
        <v/>
      </c>
      <c r="AI690" s="280" t="str">
        <f>IF('Paste Editor (Beta)'!$C$82="Level-up prompt",G691,IF('Paste Editor (Beta)'!$C$82="Item prompt",E691,IF('Paste Editor (Beta)'!$C$82="Modifier prompt","'"&amp;B691,IF('Paste Editor (Beta)'!$C$82="Challenge prompt",E691,IF('Paste Editor (Beta)'!$C$82="Reroll class prompt",S690,IF('Paste Editor (Beta)'!$C$82="Swap hero prompt",S690,IF('Paste Editor (Beta)'!$C$82="Anvil prompt",AD690,"")))))))</f>
        <v/>
      </c>
      <c r="AJ690" s="283">
        <f>IF('Paste Editor (Beta)'!$C$90="Level-up prompt",G691,IF('Paste Editor (Beta)'!$C$90="Item prompt",E691,IF('Paste Editor (Beta)'!$C$90="Modifier prompt","'"&amp;B691,IF('Paste Editor (Beta)'!$C$90="Challenge prompt",L691,IF('Paste Editor (Beta)'!$C$90="Reroll class prompt",S690,IF('Paste Editor (Beta)'!$C$90="Swap hero prompt",S690,IF('Paste Editor (Beta)'!$C$90="Anvil prompt",AD690,"")))))))</f>
        <v>0</v>
      </c>
      <c r="AK690" s="283">
        <f>IF('Paste Editor (Beta)'!$C$90="Level-up prompt",G691,IF('Paste Editor (Beta)'!$C$90="Item prompt",E691,IF('Paste Editor (Beta)'!$C$90="Modifier prompt","'"&amp;B691,IF('Paste Editor (Beta)'!$C$90="Challenge prompt",E691,IF('Paste Editor (Beta)'!$C$90="Reroll class prompt",S690,IF('Paste Editor (Beta)'!$C$90="Swap hero prompt",S690,IF('Paste Editor (Beta)'!$C$90="Anvil prompt",AD690,"")))))))</f>
        <v>0</v>
      </c>
    </row>
    <row r="691" spans="2:37" ht="17.25">
      <c r="B691" s="284" t="s">
        <v>2016</v>
      </c>
      <c r="C691" s="284" t="s">
        <v>2016</v>
      </c>
      <c r="D691" s="284" t="s">
        <v>2016</v>
      </c>
      <c r="AH691" s="280" t="str">
        <f>IF('Paste Editor (Beta)'!$C$82="Level-up prompt",G692,IF('Paste Editor (Beta)'!$C$82="Item prompt",E692,IF('Paste Editor (Beta)'!$C$82="Modifier prompt","'"&amp;B692,IF('Paste Editor (Beta)'!$C$82="Challenge prompt",L692,IF('Paste Editor (Beta)'!$C$82="Reroll class prompt",S691,IF('Paste Editor (Beta)'!$C$82="Swap hero prompt",S691,IF('Paste Editor (Beta)'!$C$82="Anvil prompt",AD691,"")))))))</f>
        <v/>
      </c>
      <c r="AI691" s="280" t="str">
        <f>IF('Paste Editor (Beta)'!$C$82="Level-up prompt",G692,IF('Paste Editor (Beta)'!$C$82="Item prompt",E692,IF('Paste Editor (Beta)'!$C$82="Modifier prompt","'"&amp;B692,IF('Paste Editor (Beta)'!$C$82="Challenge prompt",E692,IF('Paste Editor (Beta)'!$C$82="Reroll class prompt",S691,IF('Paste Editor (Beta)'!$C$82="Swap hero prompt",S691,IF('Paste Editor (Beta)'!$C$82="Anvil prompt",AD691,"")))))))</f>
        <v/>
      </c>
      <c r="AJ691" s="283">
        <f>IF('Paste Editor (Beta)'!$C$90="Level-up prompt",G692,IF('Paste Editor (Beta)'!$C$90="Item prompt",E692,IF('Paste Editor (Beta)'!$C$90="Modifier prompt","'"&amp;B692,IF('Paste Editor (Beta)'!$C$90="Challenge prompt",L692,IF('Paste Editor (Beta)'!$C$90="Reroll class prompt",S691,IF('Paste Editor (Beta)'!$C$90="Swap hero prompt",S691,IF('Paste Editor (Beta)'!$C$90="Anvil prompt",AD691,"")))))))</f>
        <v>0</v>
      </c>
      <c r="AK691" s="283">
        <f>IF('Paste Editor (Beta)'!$C$90="Level-up prompt",G692,IF('Paste Editor (Beta)'!$C$90="Item prompt",E692,IF('Paste Editor (Beta)'!$C$90="Modifier prompt","'"&amp;B692,IF('Paste Editor (Beta)'!$C$90="Challenge prompt",E692,IF('Paste Editor (Beta)'!$C$90="Reroll class prompt",S691,IF('Paste Editor (Beta)'!$C$90="Swap hero prompt",S691,IF('Paste Editor (Beta)'!$C$90="Anvil prompt",AD691,"")))))))</f>
        <v>0</v>
      </c>
    </row>
    <row r="692" spans="2:37" ht="17.25">
      <c r="B692" s="284" t="s">
        <v>2138</v>
      </c>
      <c r="C692" s="284" t="s">
        <v>2138</v>
      </c>
      <c r="D692" s="284" t="s">
        <v>2138</v>
      </c>
      <c r="AH692" s="280" t="str">
        <f>IF('Paste Editor (Beta)'!$C$82="Level-up prompt",G693,IF('Paste Editor (Beta)'!$C$82="Item prompt",E693,IF('Paste Editor (Beta)'!$C$82="Modifier prompt","'"&amp;B693,IF('Paste Editor (Beta)'!$C$82="Challenge prompt",L693,IF('Paste Editor (Beta)'!$C$82="Reroll class prompt",S692,IF('Paste Editor (Beta)'!$C$82="Swap hero prompt",S692,IF('Paste Editor (Beta)'!$C$82="Anvil prompt",AD692,"")))))))</f>
        <v/>
      </c>
      <c r="AI692" s="280" t="str">
        <f>IF('Paste Editor (Beta)'!$C$82="Level-up prompt",G693,IF('Paste Editor (Beta)'!$C$82="Item prompt",E693,IF('Paste Editor (Beta)'!$C$82="Modifier prompt","'"&amp;B693,IF('Paste Editor (Beta)'!$C$82="Challenge prompt",E693,IF('Paste Editor (Beta)'!$C$82="Reroll class prompt",S692,IF('Paste Editor (Beta)'!$C$82="Swap hero prompt",S692,IF('Paste Editor (Beta)'!$C$82="Anvil prompt",AD692,"")))))))</f>
        <v/>
      </c>
      <c r="AJ692" s="283">
        <f>IF('Paste Editor (Beta)'!$C$90="Level-up prompt",G693,IF('Paste Editor (Beta)'!$C$90="Item prompt",E693,IF('Paste Editor (Beta)'!$C$90="Modifier prompt","'"&amp;B693,IF('Paste Editor (Beta)'!$C$90="Challenge prompt",L693,IF('Paste Editor (Beta)'!$C$90="Reroll class prompt",S692,IF('Paste Editor (Beta)'!$C$90="Swap hero prompt",S692,IF('Paste Editor (Beta)'!$C$90="Anvil prompt",AD692,"")))))))</f>
        <v>0</v>
      </c>
      <c r="AK692" s="283">
        <f>IF('Paste Editor (Beta)'!$C$90="Level-up prompt",G693,IF('Paste Editor (Beta)'!$C$90="Item prompt",E693,IF('Paste Editor (Beta)'!$C$90="Modifier prompt","'"&amp;B693,IF('Paste Editor (Beta)'!$C$90="Challenge prompt",E693,IF('Paste Editor (Beta)'!$C$90="Reroll class prompt",S692,IF('Paste Editor (Beta)'!$C$90="Swap hero prompt",S692,IF('Paste Editor (Beta)'!$C$90="Anvil prompt",AD692,"")))))))</f>
        <v>0</v>
      </c>
    </row>
    <row r="693" spans="2:37" ht="17.25">
      <c r="B693" s="284" t="s">
        <v>2371</v>
      </c>
      <c r="C693" s="284" t="s">
        <v>2371</v>
      </c>
      <c r="D693" s="284" t="s">
        <v>2371</v>
      </c>
      <c r="AH693" s="280" t="str">
        <f>IF('Paste Editor (Beta)'!$C$82="Level-up prompt",G694,IF('Paste Editor (Beta)'!$C$82="Item prompt",E694,IF('Paste Editor (Beta)'!$C$82="Modifier prompt","'"&amp;B694,IF('Paste Editor (Beta)'!$C$82="Challenge prompt",L694,IF('Paste Editor (Beta)'!$C$82="Reroll class prompt",S693,IF('Paste Editor (Beta)'!$C$82="Swap hero prompt",S693,IF('Paste Editor (Beta)'!$C$82="Anvil prompt",AD693,"")))))))</f>
        <v/>
      </c>
      <c r="AI693" s="280" t="str">
        <f>IF('Paste Editor (Beta)'!$C$82="Level-up prompt",G694,IF('Paste Editor (Beta)'!$C$82="Item prompt",E694,IF('Paste Editor (Beta)'!$C$82="Modifier prompt","'"&amp;B694,IF('Paste Editor (Beta)'!$C$82="Challenge prompt",E694,IF('Paste Editor (Beta)'!$C$82="Reroll class prompt",S693,IF('Paste Editor (Beta)'!$C$82="Swap hero prompt",S693,IF('Paste Editor (Beta)'!$C$82="Anvil prompt",AD693,"")))))))</f>
        <v/>
      </c>
      <c r="AJ693" s="283">
        <f>IF('Paste Editor (Beta)'!$C$90="Level-up prompt",G694,IF('Paste Editor (Beta)'!$C$90="Item prompt",E694,IF('Paste Editor (Beta)'!$C$90="Modifier prompt","'"&amp;B694,IF('Paste Editor (Beta)'!$C$90="Challenge prompt",L694,IF('Paste Editor (Beta)'!$C$90="Reroll class prompt",S693,IF('Paste Editor (Beta)'!$C$90="Swap hero prompt",S693,IF('Paste Editor (Beta)'!$C$90="Anvil prompt",AD693,"")))))))</f>
        <v>0</v>
      </c>
      <c r="AK693" s="283">
        <f>IF('Paste Editor (Beta)'!$C$90="Level-up prompt",G694,IF('Paste Editor (Beta)'!$C$90="Item prompt",E694,IF('Paste Editor (Beta)'!$C$90="Modifier prompt","'"&amp;B694,IF('Paste Editor (Beta)'!$C$90="Challenge prompt",E694,IF('Paste Editor (Beta)'!$C$90="Reroll class prompt",S693,IF('Paste Editor (Beta)'!$C$90="Swap hero prompt",S693,IF('Paste Editor (Beta)'!$C$90="Anvil prompt",AD693,"")))))))</f>
        <v>0</v>
      </c>
    </row>
    <row r="694" spans="2:37" ht="17.25">
      <c r="B694" s="284" t="s">
        <v>1967</v>
      </c>
      <c r="C694" s="284" t="s">
        <v>1967</v>
      </c>
      <c r="D694" s="284" t="s">
        <v>1967</v>
      </c>
      <c r="AH694" s="280" t="str">
        <f>IF('Paste Editor (Beta)'!$C$82="Level-up prompt",G695,IF('Paste Editor (Beta)'!$C$82="Item prompt",E695,IF('Paste Editor (Beta)'!$C$82="Modifier prompt","'"&amp;B695,IF('Paste Editor (Beta)'!$C$82="Challenge prompt",L695,IF('Paste Editor (Beta)'!$C$82="Reroll class prompt",S694,IF('Paste Editor (Beta)'!$C$82="Swap hero prompt",S694,IF('Paste Editor (Beta)'!$C$82="Anvil prompt",AD694,"")))))))</f>
        <v/>
      </c>
      <c r="AI694" s="280" t="str">
        <f>IF('Paste Editor (Beta)'!$C$82="Level-up prompt",G695,IF('Paste Editor (Beta)'!$C$82="Item prompt",E695,IF('Paste Editor (Beta)'!$C$82="Modifier prompt","'"&amp;B695,IF('Paste Editor (Beta)'!$C$82="Challenge prompt",E695,IF('Paste Editor (Beta)'!$C$82="Reroll class prompt",S694,IF('Paste Editor (Beta)'!$C$82="Swap hero prompt",S694,IF('Paste Editor (Beta)'!$C$82="Anvil prompt",AD694,"")))))))</f>
        <v/>
      </c>
      <c r="AJ694" s="283">
        <f>IF('Paste Editor (Beta)'!$C$90="Level-up prompt",G695,IF('Paste Editor (Beta)'!$C$90="Item prompt",E695,IF('Paste Editor (Beta)'!$C$90="Modifier prompt","'"&amp;B695,IF('Paste Editor (Beta)'!$C$90="Challenge prompt",L695,IF('Paste Editor (Beta)'!$C$90="Reroll class prompt",S694,IF('Paste Editor (Beta)'!$C$90="Swap hero prompt",S694,IF('Paste Editor (Beta)'!$C$90="Anvil prompt",AD694,"")))))))</f>
        <v>0</v>
      </c>
      <c r="AK694" s="283">
        <f>IF('Paste Editor (Beta)'!$C$90="Level-up prompt",G695,IF('Paste Editor (Beta)'!$C$90="Item prompt",E695,IF('Paste Editor (Beta)'!$C$90="Modifier prompt","'"&amp;B695,IF('Paste Editor (Beta)'!$C$90="Challenge prompt",E695,IF('Paste Editor (Beta)'!$C$90="Reroll class prompt",S694,IF('Paste Editor (Beta)'!$C$90="Swap hero prompt",S694,IF('Paste Editor (Beta)'!$C$90="Anvil prompt",AD694,"")))))))</f>
        <v>0</v>
      </c>
    </row>
    <row r="695" spans="2:37" ht="17.25">
      <c r="B695" s="284" t="s">
        <v>2212</v>
      </c>
      <c r="C695" s="284" t="s">
        <v>2212</v>
      </c>
      <c r="D695" s="284" t="s">
        <v>2212</v>
      </c>
      <c r="AH695" s="280" t="str">
        <f>IF('Paste Editor (Beta)'!$C$82="Level-up prompt",G696,IF('Paste Editor (Beta)'!$C$82="Item prompt",E696,IF('Paste Editor (Beta)'!$C$82="Modifier prompt","'"&amp;B696,IF('Paste Editor (Beta)'!$C$82="Challenge prompt",L696,IF('Paste Editor (Beta)'!$C$82="Reroll class prompt",S695,IF('Paste Editor (Beta)'!$C$82="Swap hero prompt",S695,IF('Paste Editor (Beta)'!$C$82="Anvil prompt",AD695,"")))))))</f>
        <v/>
      </c>
      <c r="AI695" s="280" t="str">
        <f>IF('Paste Editor (Beta)'!$C$82="Level-up prompt",G696,IF('Paste Editor (Beta)'!$C$82="Item prompt",E696,IF('Paste Editor (Beta)'!$C$82="Modifier prompt","'"&amp;B696,IF('Paste Editor (Beta)'!$C$82="Challenge prompt",E696,IF('Paste Editor (Beta)'!$C$82="Reroll class prompt",S695,IF('Paste Editor (Beta)'!$C$82="Swap hero prompt",S695,IF('Paste Editor (Beta)'!$C$82="Anvil prompt",AD695,"")))))))</f>
        <v/>
      </c>
      <c r="AJ695" s="283">
        <f>IF('Paste Editor (Beta)'!$C$90="Level-up prompt",G696,IF('Paste Editor (Beta)'!$C$90="Item prompt",E696,IF('Paste Editor (Beta)'!$C$90="Modifier prompt","'"&amp;B696,IF('Paste Editor (Beta)'!$C$90="Challenge prompt",L696,IF('Paste Editor (Beta)'!$C$90="Reroll class prompt",S695,IF('Paste Editor (Beta)'!$C$90="Swap hero prompt",S695,IF('Paste Editor (Beta)'!$C$90="Anvil prompt",AD695,"")))))))</f>
        <v>0</v>
      </c>
      <c r="AK695" s="283">
        <f>IF('Paste Editor (Beta)'!$C$90="Level-up prompt",G696,IF('Paste Editor (Beta)'!$C$90="Item prompt",E696,IF('Paste Editor (Beta)'!$C$90="Modifier prompt","'"&amp;B696,IF('Paste Editor (Beta)'!$C$90="Challenge prompt",E696,IF('Paste Editor (Beta)'!$C$90="Reroll class prompt",S695,IF('Paste Editor (Beta)'!$C$90="Swap hero prompt",S695,IF('Paste Editor (Beta)'!$C$90="Anvil prompt",AD695,"")))))))</f>
        <v>0</v>
      </c>
    </row>
    <row r="696" spans="2:37" ht="17.25">
      <c r="B696" s="284" t="s">
        <v>2494</v>
      </c>
      <c r="C696" s="284" t="s">
        <v>2494</v>
      </c>
      <c r="D696" s="284" t="s">
        <v>2494</v>
      </c>
      <c r="AH696" s="280" t="str">
        <f>IF('Paste Editor (Beta)'!$C$82="Level-up prompt",G697,IF('Paste Editor (Beta)'!$C$82="Item prompt",E697,IF('Paste Editor (Beta)'!$C$82="Modifier prompt","'"&amp;B697,IF('Paste Editor (Beta)'!$C$82="Challenge prompt",L697,IF('Paste Editor (Beta)'!$C$82="Reroll class prompt",S696,IF('Paste Editor (Beta)'!$C$82="Swap hero prompt",S696,IF('Paste Editor (Beta)'!$C$82="Anvil prompt",AD696,"")))))))</f>
        <v/>
      </c>
      <c r="AI696" s="280" t="str">
        <f>IF('Paste Editor (Beta)'!$C$82="Level-up prompt",G697,IF('Paste Editor (Beta)'!$C$82="Item prompt",E697,IF('Paste Editor (Beta)'!$C$82="Modifier prompt","'"&amp;B697,IF('Paste Editor (Beta)'!$C$82="Challenge prompt",E697,IF('Paste Editor (Beta)'!$C$82="Reroll class prompt",S696,IF('Paste Editor (Beta)'!$C$82="Swap hero prompt",S696,IF('Paste Editor (Beta)'!$C$82="Anvil prompt",AD696,"")))))))</f>
        <v/>
      </c>
      <c r="AJ696" s="283">
        <f>IF('Paste Editor (Beta)'!$C$90="Level-up prompt",G697,IF('Paste Editor (Beta)'!$C$90="Item prompt",E697,IF('Paste Editor (Beta)'!$C$90="Modifier prompt","'"&amp;B697,IF('Paste Editor (Beta)'!$C$90="Challenge prompt",L697,IF('Paste Editor (Beta)'!$C$90="Reroll class prompt",S696,IF('Paste Editor (Beta)'!$C$90="Swap hero prompt",S696,IF('Paste Editor (Beta)'!$C$90="Anvil prompt",AD696,"")))))))</f>
        <v>0</v>
      </c>
      <c r="AK696" s="283">
        <f>IF('Paste Editor (Beta)'!$C$90="Level-up prompt",G697,IF('Paste Editor (Beta)'!$C$90="Item prompt",E697,IF('Paste Editor (Beta)'!$C$90="Modifier prompt","'"&amp;B697,IF('Paste Editor (Beta)'!$C$90="Challenge prompt",E697,IF('Paste Editor (Beta)'!$C$90="Reroll class prompt",S696,IF('Paste Editor (Beta)'!$C$90="Swap hero prompt",S696,IF('Paste Editor (Beta)'!$C$90="Anvil prompt",AD696,"")))))))</f>
        <v>0</v>
      </c>
    </row>
    <row r="697" spans="2:37" ht="17.25">
      <c r="B697" s="284" t="s">
        <v>1995</v>
      </c>
      <c r="C697" s="284" t="s">
        <v>1995</v>
      </c>
      <c r="D697" s="284" t="s">
        <v>1995</v>
      </c>
      <c r="AH697" s="280" t="str">
        <f>IF('Paste Editor (Beta)'!$C$82="Level-up prompt",G698,IF('Paste Editor (Beta)'!$C$82="Item prompt",E698,IF('Paste Editor (Beta)'!$C$82="Modifier prompt","'"&amp;B698,IF('Paste Editor (Beta)'!$C$82="Challenge prompt",L698,IF('Paste Editor (Beta)'!$C$82="Reroll class prompt",S697,IF('Paste Editor (Beta)'!$C$82="Swap hero prompt",S697,IF('Paste Editor (Beta)'!$C$82="Anvil prompt",AD697,"")))))))</f>
        <v/>
      </c>
      <c r="AI697" s="280" t="str">
        <f>IF('Paste Editor (Beta)'!$C$82="Level-up prompt",G698,IF('Paste Editor (Beta)'!$C$82="Item prompt",E698,IF('Paste Editor (Beta)'!$C$82="Modifier prompt","'"&amp;B698,IF('Paste Editor (Beta)'!$C$82="Challenge prompt",E698,IF('Paste Editor (Beta)'!$C$82="Reroll class prompt",S697,IF('Paste Editor (Beta)'!$C$82="Swap hero prompt",S697,IF('Paste Editor (Beta)'!$C$82="Anvil prompt",AD697,"")))))))</f>
        <v/>
      </c>
      <c r="AJ697" s="283">
        <f>IF('Paste Editor (Beta)'!$C$90="Level-up prompt",G698,IF('Paste Editor (Beta)'!$C$90="Item prompt",E698,IF('Paste Editor (Beta)'!$C$90="Modifier prompt","'"&amp;B698,IF('Paste Editor (Beta)'!$C$90="Challenge prompt",L698,IF('Paste Editor (Beta)'!$C$90="Reroll class prompt",S697,IF('Paste Editor (Beta)'!$C$90="Swap hero prompt",S697,IF('Paste Editor (Beta)'!$C$90="Anvil prompt",AD697,"")))))))</f>
        <v>0</v>
      </c>
      <c r="AK697" s="283">
        <f>IF('Paste Editor (Beta)'!$C$90="Level-up prompt",G698,IF('Paste Editor (Beta)'!$C$90="Item prompt",E698,IF('Paste Editor (Beta)'!$C$90="Modifier prompt","'"&amp;B698,IF('Paste Editor (Beta)'!$C$90="Challenge prompt",E698,IF('Paste Editor (Beta)'!$C$90="Reroll class prompt",S697,IF('Paste Editor (Beta)'!$C$90="Swap hero prompt",S697,IF('Paste Editor (Beta)'!$C$90="Anvil prompt",AD697,"")))))))</f>
        <v>0</v>
      </c>
    </row>
    <row r="698" spans="2:37" ht="17.25">
      <c r="B698" s="284" t="s">
        <v>1997</v>
      </c>
      <c r="C698" s="284" t="s">
        <v>1997</v>
      </c>
      <c r="D698" s="284" t="s">
        <v>1997</v>
      </c>
      <c r="AH698" s="280" t="str">
        <f>IF('Paste Editor (Beta)'!$C$82="Level-up prompt",G699,IF('Paste Editor (Beta)'!$C$82="Item prompt",E699,IF('Paste Editor (Beta)'!$C$82="Modifier prompt","'"&amp;B699,IF('Paste Editor (Beta)'!$C$82="Challenge prompt",L699,IF('Paste Editor (Beta)'!$C$82="Reroll class prompt",S698,IF('Paste Editor (Beta)'!$C$82="Swap hero prompt",S698,IF('Paste Editor (Beta)'!$C$82="Anvil prompt",AD698,"")))))))</f>
        <v/>
      </c>
      <c r="AI698" s="280" t="str">
        <f>IF('Paste Editor (Beta)'!$C$82="Level-up prompt",G699,IF('Paste Editor (Beta)'!$C$82="Item prompt",E699,IF('Paste Editor (Beta)'!$C$82="Modifier prompt","'"&amp;B699,IF('Paste Editor (Beta)'!$C$82="Challenge prompt",E699,IF('Paste Editor (Beta)'!$C$82="Reroll class prompt",S698,IF('Paste Editor (Beta)'!$C$82="Swap hero prompt",S698,IF('Paste Editor (Beta)'!$C$82="Anvil prompt",AD698,"")))))))</f>
        <v/>
      </c>
      <c r="AJ698" s="283">
        <f>IF('Paste Editor (Beta)'!$C$90="Level-up prompt",G699,IF('Paste Editor (Beta)'!$C$90="Item prompt",E699,IF('Paste Editor (Beta)'!$C$90="Modifier prompt","'"&amp;B699,IF('Paste Editor (Beta)'!$C$90="Challenge prompt",L699,IF('Paste Editor (Beta)'!$C$90="Reroll class prompt",S698,IF('Paste Editor (Beta)'!$C$90="Swap hero prompt",S698,IF('Paste Editor (Beta)'!$C$90="Anvil prompt",AD698,"")))))))</f>
        <v>0</v>
      </c>
      <c r="AK698" s="283">
        <f>IF('Paste Editor (Beta)'!$C$90="Level-up prompt",G699,IF('Paste Editor (Beta)'!$C$90="Item prompt",E699,IF('Paste Editor (Beta)'!$C$90="Modifier prompt","'"&amp;B699,IF('Paste Editor (Beta)'!$C$90="Challenge prompt",E699,IF('Paste Editor (Beta)'!$C$90="Reroll class prompt",S698,IF('Paste Editor (Beta)'!$C$90="Swap hero prompt",S698,IF('Paste Editor (Beta)'!$C$90="Anvil prompt",AD698,"")))))))</f>
        <v>0</v>
      </c>
    </row>
    <row r="699" spans="2:37" ht="17.25">
      <c r="B699" s="284" t="s">
        <v>2128</v>
      </c>
      <c r="C699" s="284" t="s">
        <v>2128</v>
      </c>
      <c r="D699" s="284" t="s">
        <v>2128</v>
      </c>
      <c r="AH699" s="280" t="str">
        <f>IF('Paste Editor (Beta)'!$C$82="Level-up prompt",G700,IF('Paste Editor (Beta)'!$C$82="Item prompt",E700,IF('Paste Editor (Beta)'!$C$82="Modifier prompt","'"&amp;B700,IF('Paste Editor (Beta)'!$C$82="Challenge prompt",L700,IF('Paste Editor (Beta)'!$C$82="Reroll class prompt",S699,IF('Paste Editor (Beta)'!$C$82="Swap hero prompt",S699,IF('Paste Editor (Beta)'!$C$82="Anvil prompt",AD699,"")))))))</f>
        <v/>
      </c>
      <c r="AI699" s="280" t="str">
        <f>IF('Paste Editor (Beta)'!$C$82="Level-up prompt",G700,IF('Paste Editor (Beta)'!$C$82="Item prompt",E700,IF('Paste Editor (Beta)'!$C$82="Modifier prompt","'"&amp;B700,IF('Paste Editor (Beta)'!$C$82="Challenge prompt",E700,IF('Paste Editor (Beta)'!$C$82="Reroll class prompt",S699,IF('Paste Editor (Beta)'!$C$82="Swap hero prompt",S699,IF('Paste Editor (Beta)'!$C$82="Anvil prompt",AD699,"")))))))</f>
        <v/>
      </c>
      <c r="AJ699" s="283">
        <f>IF('Paste Editor (Beta)'!$C$90="Level-up prompt",G700,IF('Paste Editor (Beta)'!$C$90="Item prompt",E700,IF('Paste Editor (Beta)'!$C$90="Modifier prompt","'"&amp;B700,IF('Paste Editor (Beta)'!$C$90="Challenge prompt",L700,IF('Paste Editor (Beta)'!$C$90="Reroll class prompt",S699,IF('Paste Editor (Beta)'!$C$90="Swap hero prompt",S699,IF('Paste Editor (Beta)'!$C$90="Anvil prompt",AD699,"")))))))</f>
        <v>0</v>
      </c>
      <c r="AK699" s="283">
        <f>IF('Paste Editor (Beta)'!$C$90="Level-up prompt",G700,IF('Paste Editor (Beta)'!$C$90="Item prompt",E700,IF('Paste Editor (Beta)'!$C$90="Modifier prompt","'"&amp;B700,IF('Paste Editor (Beta)'!$C$90="Challenge prompt",E700,IF('Paste Editor (Beta)'!$C$90="Reroll class prompt",S699,IF('Paste Editor (Beta)'!$C$90="Swap hero prompt",S699,IF('Paste Editor (Beta)'!$C$90="Anvil prompt",AD699,"")))))))</f>
        <v>0</v>
      </c>
    </row>
    <row r="700" spans="2:37" ht="17.25">
      <c r="B700" s="284" t="s">
        <v>2230</v>
      </c>
      <c r="C700" s="284" t="s">
        <v>2230</v>
      </c>
      <c r="D700" s="284" t="s">
        <v>2230</v>
      </c>
      <c r="AH700" s="280" t="str">
        <f>IF('Paste Editor (Beta)'!$C$82="Level-up prompt",G701,IF('Paste Editor (Beta)'!$C$82="Item prompt",E701,IF('Paste Editor (Beta)'!$C$82="Modifier prompt","'"&amp;B701,IF('Paste Editor (Beta)'!$C$82="Challenge prompt",L701,IF('Paste Editor (Beta)'!$C$82="Reroll class prompt",S700,IF('Paste Editor (Beta)'!$C$82="Swap hero prompt",S700,IF('Paste Editor (Beta)'!$C$82="Anvil prompt",AD700,"")))))))</f>
        <v/>
      </c>
      <c r="AI700" s="280" t="str">
        <f>IF('Paste Editor (Beta)'!$C$82="Level-up prompt",G701,IF('Paste Editor (Beta)'!$C$82="Item prompt",E701,IF('Paste Editor (Beta)'!$C$82="Modifier prompt","'"&amp;B701,IF('Paste Editor (Beta)'!$C$82="Challenge prompt",E701,IF('Paste Editor (Beta)'!$C$82="Reroll class prompt",S700,IF('Paste Editor (Beta)'!$C$82="Swap hero prompt",S700,IF('Paste Editor (Beta)'!$C$82="Anvil prompt",AD700,"")))))))</f>
        <v/>
      </c>
      <c r="AJ700" s="283">
        <f>IF('Paste Editor (Beta)'!$C$90="Level-up prompt",G701,IF('Paste Editor (Beta)'!$C$90="Item prompt",E701,IF('Paste Editor (Beta)'!$C$90="Modifier prompt","'"&amp;B701,IF('Paste Editor (Beta)'!$C$90="Challenge prompt",L701,IF('Paste Editor (Beta)'!$C$90="Reroll class prompt",S700,IF('Paste Editor (Beta)'!$C$90="Swap hero prompt",S700,IF('Paste Editor (Beta)'!$C$90="Anvil prompt",AD700,"")))))))</f>
        <v>0</v>
      </c>
      <c r="AK700" s="283">
        <f>IF('Paste Editor (Beta)'!$C$90="Level-up prompt",G701,IF('Paste Editor (Beta)'!$C$90="Item prompt",E701,IF('Paste Editor (Beta)'!$C$90="Modifier prompt","'"&amp;B701,IF('Paste Editor (Beta)'!$C$90="Challenge prompt",E701,IF('Paste Editor (Beta)'!$C$90="Reroll class prompt",S700,IF('Paste Editor (Beta)'!$C$90="Swap hero prompt",S700,IF('Paste Editor (Beta)'!$C$90="Anvil prompt",AD700,"")))))))</f>
        <v>0</v>
      </c>
    </row>
    <row r="701" spans="2:37" ht="17.25">
      <c r="B701" s="284" t="s">
        <v>1976</v>
      </c>
      <c r="C701" s="284" t="s">
        <v>1976</v>
      </c>
      <c r="D701" s="284" t="s">
        <v>1976</v>
      </c>
      <c r="AH701" s="280" t="str">
        <f>IF('Paste Editor (Beta)'!$C$82="Level-up prompt",G702,IF('Paste Editor (Beta)'!$C$82="Item prompt",E702,IF('Paste Editor (Beta)'!$C$82="Modifier prompt","'"&amp;B702,IF('Paste Editor (Beta)'!$C$82="Challenge prompt",L702,IF('Paste Editor (Beta)'!$C$82="Reroll class prompt",S701,IF('Paste Editor (Beta)'!$C$82="Swap hero prompt",S701,IF('Paste Editor (Beta)'!$C$82="Anvil prompt",AD701,"")))))))</f>
        <v/>
      </c>
      <c r="AI701" s="280" t="str">
        <f>IF('Paste Editor (Beta)'!$C$82="Level-up prompt",G702,IF('Paste Editor (Beta)'!$C$82="Item prompt",E702,IF('Paste Editor (Beta)'!$C$82="Modifier prompt","'"&amp;B702,IF('Paste Editor (Beta)'!$C$82="Challenge prompt",E702,IF('Paste Editor (Beta)'!$C$82="Reroll class prompt",S701,IF('Paste Editor (Beta)'!$C$82="Swap hero prompt",S701,IF('Paste Editor (Beta)'!$C$82="Anvil prompt",AD701,"")))))))</f>
        <v/>
      </c>
      <c r="AJ701" s="283">
        <f>IF('Paste Editor (Beta)'!$C$90="Level-up prompt",G702,IF('Paste Editor (Beta)'!$C$90="Item prompt",E702,IF('Paste Editor (Beta)'!$C$90="Modifier prompt","'"&amp;B702,IF('Paste Editor (Beta)'!$C$90="Challenge prompt",L702,IF('Paste Editor (Beta)'!$C$90="Reroll class prompt",S701,IF('Paste Editor (Beta)'!$C$90="Swap hero prompt",S701,IF('Paste Editor (Beta)'!$C$90="Anvil prompt",AD701,"")))))))</f>
        <v>0</v>
      </c>
      <c r="AK701" s="283">
        <f>IF('Paste Editor (Beta)'!$C$90="Level-up prompt",G702,IF('Paste Editor (Beta)'!$C$90="Item prompt",E702,IF('Paste Editor (Beta)'!$C$90="Modifier prompt","'"&amp;B702,IF('Paste Editor (Beta)'!$C$90="Challenge prompt",E702,IF('Paste Editor (Beta)'!$C$90="Reroll class prompt",S701,IF('Paste Editor (Beta)'!$C$90="Swap hero prompt",S701,IF('Paste Editor (Beta)'!$C$90="Anvil prompt",AD701,"")))))))</f>
        <v>0</v>
      </c>
    </row>
    <row r="702" spans="2:37" ht="17.25">
      <c r="B702" s="284" t="s">
        <v>1978</v>
      </c>
      <c r="C702" s="284" t="s">
        <v>1978</v>
      </c>
      <c r="D702" s="284" t="s">
        <v>1978</v>
      </c>
      <c r="AH702" s="280" t="str">
        <f>IF('Paste Editor (Beta)'!$C$82="Level-up prompt",G703,IF('Paste Editor (Beta)'!$C$82="Item prompt",E703,IF('Paste Editor (Beta)'!$C$82="Modifier prompt","'"&amp;B703,IF('Paste Editor (Beta)'!$C$82="Challenge prompt",L703,IF('Paste Editor (Beta)'!$C$82="Reroll class prompt",S702,IF('Paste Editor (Beta)'!$C$82="Swap hero prompt",S702,IF('Paste Editor (Beta)'!$C$82="Anvil prompt",AD702,"")))))))</f>
        <v/>
      </c>
      <c r="AI702" s="280" t="str">
        <f>IF('Paste Editor (Beta)'!$C$82="Level-up prompt",G703,IF('Paste Editor (Beta)'!$C$82="Item prompt",E703,IF('Paste Editor (Beta)'!$C$82="Modifier prompt","'"&amp;B703,IF('Paste Editor (Beta)'!$C$82="Challenge prompt",E703,IF('Paste Editor (Beta)'!$C$82="Reroll class prompt",S702,IF('Paste Editor (Beta)'!$C$82="Swap hero prompt",S702,IF('Paste Editor (Beta)'!$C$82="Anvil prompt",AD702,"")))))))</f>
        <v/>
      </c>
      <c r="AJ702" s="283">
        <f>IF('Paste Editor (Beta)'!$C$90="Level-up prompt",G703,IF('Paste Editor (Beta)'!$C$90="Item prompt",E703,IF('Paste Editor (Beta)'!$C$90="Modifier prompt","'"&amp;B703,IF('Paste Editor (Beta)'!$C$90="Challenge prompt",L703,IF('Paste Editor (Beta)'!$C$90="Reroll class prompt",S702,IF('Paste Editor (Beta)'!$C$90="Swap hero prompt",S702,IF('Paste Editor (Beta)'!$C$90="Anvil prompt",AD702,"")))))))</f>
        <v>0</v>
      </c>
      <c r="AK702" s="283">
        <f>IF('Paste Editor (Beta)'!$C$90="Level-up prompt",G703,IF('Paste Editor (Beta)'!$C$90="Item prompt",E703,IF('Paste Editor (Beta)'!$C$90="Modifier prompt","'"&amp;B703,IF('Paste Editor (Beta)'!$C$90="Challenge prompt",E703,IF('Paste Editor (Beta)'!$C$90="Reroll class prompt",S702,IF('Paste Editor (Beta)'!$C$90="Swap hero prompt",S702,IF('Paste Editor (Beta)'!$C$90="Anvil prompt",AD702,"")))))))</f>
        <v>0</v>
      </c>
    </row>
    <row r="703" spans="2:37" ht="17.25">
      <c r="B703" s="284" t="s">
        <v>2116</v>
      </c>
      <c r="C703" s="284" t="s">
        <v>2116</v>
      </c>
      <c r="D703" s="284" t="s">
        <v>2116</v>
      </c>
      <c r="AH703" s="280" t="str">
        <f>IF('Paste Editor (Beta)'!$C$82="Level-up prompt",G704,IF('Paste Editor (Beta)'!$C$82="Item prompt",E704,IF('Paste Editor (Beta)'!$C$82="Modifier prompt","'"&amp;B704,IF('Paste Editor (Beta)'!$C$82="Challenge prompt",L704,IF('Paste Editor (Beta)'!$C$82="Reroll class prompt",S703,IF('Paste Editor (Beta)'!$C$82="Swap hero prompt",S703,IF('Paste Editor (Beta)'!$C$82="Anvil prompt",AD703,"")))))))</f>
        <v/>
      </c>
      <c r="AI703" s="280" t="str">
        <f>IF('Paste Editor (Beta)'!$C$82="Level-up prompt",G704,IF('Paste Editor (Beta)'!$C$82="Item prompt",E704,IF('Paste Editor (Beta)'!$C$82="Modifier prompt","'"&amp;B704,IF('Paste Editor (Beta)'!$C$82="Challenge prompt",E704,IF('Paste Editor (Beta)'!$C$82="Reroll class prompt",S703,IF('Paste Editor (Beta)'!$C$82="Swap hero prompt",S703,IF('Paste Editor (Beta)'!$C$82="Anvil prompt",AD703,"")))))))</f>
        <v/>
      </c>
      <c r="AJ703" s="283">
        <f>IF('Paste Editor (Beta)'!$C$90="Level-up prompt",G704,IF('Paste Editor (Beta)'!$C$90="Item prompt",E704,IF('Paste Editor (Beta)'!$C$90="Modifier prompt","'"&amp;B704,IF('Paste Editor (Beta)'!$C$90="Challenge prompt",L704,IF('Paste Editor (Beta)'!$C$90="Reroll class prompt",S703,IF('Paste Editor (Beta)'!$C$90="Swap hero prompt",S703,IF('Paste Editor (Beta)'!$C$90="Anvil prompt",AD703,"")))))))</f>
        <v>0</v>
      </c>
      <c r="AK703" s="283">
        <f>IF('Paste Editor (Beta)'!$C$90="Level-up prompt",G704,IF('Paste Editor (Beta)'!$C$90="Item prompt",E704,IF('Paste Editor (Beta)'!$C$90="Modifier prompt","'"&amp;B704,IF('Paste Editor (Beta)'!$C$90="Challenge prompt",E704,IF('Paste Editor (Beta)'!$C$90="Reroll class prompt",S703,IF('Paste Editor (Beta)'!$C$90="Swap hero prompt",S703,IF('Paste Editor (Beta)'!$C$90="Anvil prompt",AD703,"")))))))</f>
        <v>0</v>
      </c>
    </row>
    <row r="704" spans="2:37" ht="17.25">
      <c r="B704" s="284" t="s">
        <v>2218</v>
      </c>
      <c r="C704" s="284" t="s">
        <v>2218</v>
      </c>
      <c r="D704" s="284" t="s">
        <v>2218</v>
      </c>
      <c r="AH704" s="280" t="str">
        <f>IF('Paste Editor (Beta)'!$C$82="Level-up prompt",G705,IF('Paste Editor (Beta)'!$C$82="Item prompt",E705,IF('Paste Editor (Beta)'!$C$82="Modifier prompt","'"&amp;B705,IF('Paste Editor (Beta)'!$C$82="Challenge prompt",L705,IF('Paste Editor (Beta)'!$C$82="Reroll class prompt",S704,IF('Paste Editor (Beta)'!$C$82="Swap hero prompt",S704,IF('Paste Editor (Beta)'!$C$82="Anvil prompt",AD704,"")))))))</f>
        <v/>
      </c>
      <c r="AI704" s="280" t="str">
        <f>IF('Paste Editor (Beta)'!$C$82="Level-up prompt",G705,IF('Paste Editor (Beta)'!$C$82="Item prompt",E705,IF('Paste Editor (Beta)'!$C$82="Modifier prompt","'"&amp;B705,IF('Paste Editor (Beta)'!$C$82="Challenge prompt",E705,IF('Paste Editor (Beta)'!$C$82="Reroll class prompt",S704,IF('Paste Editor (Beta)'!$C$82="Swap hero prompt",S704,IF('Paste Editor (Beta)'!$C$82="Anvil prompt",AD704,"")))))))</f>
        <v/>
      </c>
      <c r="AJ704" s="283">
        <f>IF('Paste Editor (Beta)'!$C$90="Level-up prompt",G705,IF('Paste Editor (Beta)'!$C$90="Item prompt",E705,IF('Paste Editor (Beta)'!$C$90="Modifier prompt","'"&amp;B705,IF('Paste Editor (Beta)'!$C$90="Challenge prompt",L705,IF('Paste Editor (Beta)'!$C$90="Reroll class prompt",S704,IF('Paste Editor (Beta)'!$C$90="Swap hero prompt",S704,IF('Paste Editor (Beta)'!$C$90="Anvil prompt",AD704,"")))))))</f>
        <v>0</v>
      </c>
      <c r="AK704" s="283">
        <f>IF('Paste Editor (Beta)'!$C$90="Level-up prompt",G705,IF('Paste Editor (Beta)'!$C$90="Item prompt",E705,IF('Paste Editor (Beta)'!$C$90="Modifier prompt","'"&amp;B705,IF('Paste Editor (Beta)'!$C$90="Challenge prompt",E705,IF('Paste Editor (Beta)'!$C$90="Reroll class prompt",S704,IF('Paste Editor (Beta)'!$C$90="Swap hero prompt",S704,IF('Paste Editor (Beta)'!$C$90="Anvil prompt",AD704,"")))))))</f>
        <v>0</v>
      </c>
    </row>
    <row r="705" spans="2:37" ht="17.25">
      <c r="B705" s="284" t="s">
        <v>2334</v>
      </c>
      <c r="C705" s="284" t="s">
        <v>2334</v>
      </c>
      <c r="D705" s="284" t="s">
        <v>2334</v>
      </c>
      <c r="AH705" s="280" t="str">
        <f>IF('Paste Editor (Beta)'!$C$82="Level-up prompt",G706,IF('Paste Editor (Beta)'!$C$82="Item prompt",E706,IF('Paste Editor (Beta)'!$C$82="Modifier prompt","'"&amp;B706,IF('Paste Editor (Beta)'!$C$82="Challenge prompt",L706,IF('Paste Editor (Beta)'!$C$82="Reroll class prompt",S705,IF('Paste Editor (Beta)'!$C$82="Swap hero prompt",S705,IF('Paste Editor (Beta)'!$C$82="Anvil prompt",AD705,"")))))))</f>
        <v/>
      </c>
      <c r="AI705" s="280" t="str">
        <f>IF('Paste Editor (Beta)'!$C$82="Level-up prompt",G706,IF('Paste Editor (Beta)'!$C$82="Item prompt",E706,IF('Paste Editor (Beta)'!$C$82="Modifier prompt","'"&amp;B706,IF('Paste Editor (Beta)'!$C$82="Challenge prompt",E706,IF('Paste Editor (Beta)'!$C$82="Reroll class prompt",S705,IF('Paste Editor (Beta)'!$C$82="Swap hero prompt",S705,IF('Paste Editor (Beta)'!$C$82="Anvil prompt",AD705,"")))))))</f>
        <v/>
      </c>
      <c r="AJ705" s="283">
        <f>IF('Paste Editor (Beta)'!$C$90="Level-up prompt",G706,IF('Paste Editor (Beta)'!$C$90="Item prompt",E706,IF('Paste Editor (Beta)'!$C$90="Modifier prompt","'"&amp;B706,IF('Paste Editor (Beta)'!$C$90="Challenge prompt",L706,IF('Paste Editor (Beta)'!$C$90="Reroll class prompt",S705,IF('Paste Editor (Beta)'!$C$90="Swap hero prompt",S705,IF('Paste Editor (Beta)'!$C$90="Anvil prompt",AD705,"")))))))</f>
        <v>0</v>
      </c>
      <c r="AK705" s="283">
        <f>IF('Paste Editor (Beta)'!$C$90="Level-up prompt",G706,IF('Paste Editor (Beta)'!$C$90="Item prompt",E706,IF('Paste Editor (Beta)'!$C$90="Modifier prompt","'"&amp;B706,IF('Paste Editor (Beta)'!$C$90="Challenge prompt",E706,IF('Paste Editor (Beta)'!$C$90="Reroll class prompt",S705,IF('Paste Editor (Beta)'!$C$90="Swap hero prompt",S705,IF('Paste Editor (Beta)'!$C$90="Anvil prompt",AD705,"")))))))</f>
        <v>0</v>
      </c>
    </row>
    <row r="706" spans="2:37" ht="17.25">
      <c r="B706" s="284" t="s">
        <v>2879</v>
      </c>
      <c r="C706" s="284" t="s">
        <v>2879</v>
      </c>
      <c r="D706" s="284" t="s">
        <v>2879</v>
      </c>
      <c r="AH706" s="280" t="str">
        <f>IF('Paste Editor (Beta)'!$C$82="Level-up prompt",G707,IF('Paste Editor (Beta)'!$C$82="Item prompt",E707,IF('Paste Editor (Beta)'!$C$82="Modifier prompt","'"&amp;B707,IF('Paste Editor (Beta)'!$C$82="Challenge prompt",L707,IF('Paste Editor (Beta)'!$C$82="Reroll class prompt",S706,IF('Paste Editor (Beta)'!$C$82="Swap hero prompt",S706,IF('Paste Editor (Beta)'!$C$82="Anvil prompt",AD706,"")))))))</f>
        <v/>
      </c>
      <c r="AI706" s="280" t="str">
        <f>IF('Paste Editor (Beta)'!$C$82="Level-up prompt",G707,IF('Paste Editor (Beta)'!$C$82="Item prompt",E707,IF('Paste Editor (Beta)'!$C$82="Modifier prompt","'"&amp;B707,IF('Paste Editor (Beta)'!$C$82="Challenge prompt",E707,IF('Paste Editor (Beta)'!$C$82="Reroll class prompt",S706,IF('Paste Editor (Beta)'!$C$82="Swap hero prompt",S706,IF('Paste Editor (Beta)'!$C$82="Anvil prompt",AD706,"")))))))</f>
        <v/>
      </c>
      <c r="AJ706" s="283">
        <f>IF('Paste Editor (Beta)'!$C$90="Level-up prompt",G707,IF('Paste Editor (Beta)'!$C$90="Item prompt",E707,IF('Paste Editor (Beta)'!$C$90="Modifier prompt","'"&amp;B707,IF('Paste Editor (Beta)'!$C$90="Challenge prompt",L707,IF('Paste Editor (Beta)'!$C$90="Reroll class prompt",S706,IF('Paste Editor (Beta)'!$C$90="Swap hero prompt",S706,IF('Paste Editor (Beta)'!$C$90="Anvil prompt",AD706,"")))))))</f>
        <v>0</v>
      </c>
      <c r="AK706" s="283">
        <f>IF('Paste Editor (Beta)'!$C$90="Level-up prompt",G707,IF('Paste Editor (Beta)'!$C$90="Item prompt",E707,IF('Paste Editor (Beta)'!$C$90="Modifier prompt","'"&amp;B707,IF('Paste Editor (Beta)'!$C$90="Challenge prompt",E707,IF('Paste Editor (Beta)'!$C$90="Reroll class prompt",S706,IF('Paste Editor (Beta)'!$C$90="Swap hero prompt",S706,IF('Paste Editor (Beta)'!$C$90="Anvil prompt",AD706,"")))))))</f>
        <v>0</v>
      </c>
    </row>
    <row r="707" spans="2:37" ht="17.25">
      <c r="B707" s="284" t="s">
        <v>2903</v>
      </c>
      <c r="C707" s="284" t="s">
        <v>2903</v>
      </c>
      <c r="D707" s="284" t="s">
        <v>2903</v>
      </c>
      <c r="AH707" s="280" t="str">
        <f>IF('Paste Editor (Beta)'!$C$82="Level-up prompt",G708,IF('Paste Editor (Beta)'!$C$82="Item prompt",E708,IF('Paste Editor (Beta)'!$C$82="Modifier prompt","'"&amp;B708,IF('Paste Editor (Beta)'!$C$82="Challenge prompt",L708,IF('Paste Editor (Beta)'!$C$82="Reroll class prompt",S707,IF('Paste Editor (Beta)'!$C$82="Swap hero prompt",S707,IF('Paste Editor (Beta)'!$C$82="Anvil prompt",AD707,"")))))))</f>
        <v/>
      </c>
      <c r="AI707" s="280" t="str">
        <f>IF('Paste Editor (Beta)'!$C$82="Level-up prompt",G708,IF('Paste Editor (Beta)'!$C$82="Item prompt",E708,IF('Paste Editor (Beta)'!$C$82="Modifier prompt","'"&amp;B708,IF('Paste Editor (Beta)'!$C$82="Challenge prompt",E708,IF('Paste Editor (Beta)'!$C$82="Reroll class prompt",S707,IF('Paste Editor (Beta)'!$C$82="Swap hero prompt",S707,IF('Paste Editor (Beta)'!$C$82="Anvil prompt",AD707,"")))))))</f>
        <v/>
      </c>
      <c r="AJ707" s="283">
        <f>IF('Paste Editor (Beta)'!$C$90="Level-up prompt",G708,IF('Paste Editor (Beta)'!$C$90="Item prompt",E708,IF('Paste Editor (Beta)'!$C$90="Modifier prompt","'"&amp;B708,IF('Paste Editor (Beta)'!$C$90="Challenge prompt",L708,IF('Paste Editor (Beta)'!$C$90="Reroll class prompt",S707,IF('Paste Editor (Beta)'!$C$90="Swap hero prompt",S707,IF('Paste Editor (Beta)'!$C$90="Anvil prompt",AD707,"")))))))</f>
        <v>0</v>
      </c>
      <c r="AK707" s="283">
        <f>IF('Paste Editor (Beta)'!$C$90="Level-up prompt",G708,IF('Paste Editor (Beta)'!$C$90="Item prompt",E708,IF('Paste Editor (Beta)'!$C$90="Modifier prompt","'"&amp;B708,IF('Paste Editor (Beta)'!$C$90="Challenge prompt",E708,IF('Paste Editor (Beta)'!$C$90="Reroll class prompt",S707,IF('Paste Editor (Beta)'!$C$90="Swap hero prompt",S707,IF('Paste Editor (Beta)'!$C$90="Anvil prompt",AD707,"")))))))</f>
        <v>0</v>
      </c>
    </row>
    <row r="708" spans="2:37" ht="17.25">
      <c r="B708" s="284" t="s">
        <v>2049</v>
      </c>
      <c r="C708" s="284" t="s">
        <v>2049</v>
      </c>
      <c r="D708" s="284" t="s">
        <v>2049</v>
      </c>
      <c r="AH708" s="280" t="str">
        <f>IF('Paste Editor (Beta)'!$C$82="Level-up prompt",G709,IF('Paste Editor (Beta)'!$C$82="Item prompt",E709,IF('Paste Editor (Beta)'!$C$82="Modifier prompt","'"&amp;B709,IF('Paste Editor (Beta)'!$C$82="Challenge prompt",L709,IF('Paste Editor (Beta)'!$C$82="Reroll class prompt",S708,IF('Paste Editor (Beta)'!$C$82="Swap hero prompt",S708,IF('Paste Editor (Beta)'!$C$82="Anvil prompt",AD708,"")))))))</f>
        <v/>
      </c>
      <c r="AI708" s="280" t="str">
        <f>IF('Paste Editor (Beta)'!$C$82="Level-up prompt",G709,IF('Paste Editor (Beta)'!$C$82="Item prompt",E709,IF('Paste Editor (Beta)'!$C$82="Modifier prompt","'"&amp;B709,IF('Paste Editor (Beta)'!$C$82="Challenge prompt",E709,IF('Paste Editor (Beta)'!$C$82="Reroll class prompt",S708,IF('Paste Editor (Beta)'!$C$82="Swap hero prompt",S708,IF('Paste Editor (Beta)'!$C$82="Anvil prompt",AD708,"")))))))</f>
        <v/>
      </c>
      <c r="AJ708" s="283">
        <f>IF('Paste Editor (Beta)'!$C$90="Level-up prompt",G709,IF('Paste Editor (Beta)'!$C$90="Item prompt",E709,IF('Paste Editor (Beta)'!$C$90="Modifier prompt","'"&amp;B709,IF('Paste Editor (Beta)'!$C$90="Challenge prompt",L709,IF('Paste Editor (Beta)'!$C$90="Reroll class prompt",S708,IF('Paste Editor (Beta)'!$C$90="Swap hero prompt",S708,IF('Paste Editor (Beta)'!$C$90="Anvil prompt",AD708,"")))))))</f>
        <v>0</v>
      </c>
      <c r="AK708" s="283">
        <f>IF('Paste Editor (Beta)'!$C$90="Level-up prompt",G709,IF('Paste Editor (Beta)'!$C$90="Item prompt",E709,IF('Paste Editor (Beta)'!$C$90="Modifier prompt","'"&amp;B709,IF('Paste Editor (Beta)'!$C$90="Challenge prompt",E709,IF('Paste Editor (Beta)'!$C$90="Reroll class prompt",S708,IF('Paste Editor (Beta)'!$C$90="Swap hero prompt",S708,IF('Paste Editor (Beta)'!$C$90="Anvil prompt",AD708,"")))))))</f>
        <v>0</v>
      </c>
    </row>
    <row r="709" spans="2:37" ht="17.25">
      <c r="B709" s="284" t="s">
        <v>1972</v>
      </c>
      <c r="C709" s="284" t="s">
        <v>1972</v>
      </c>
      <c r="D709" s="284" t="s">
        <v>1972</v>
      </c>
      <c r="AH709" s="280" t="str">
        <f>IF('Paste Editor (Beta)'!$C$82="Level-up prompt",G710,IF('Paste Editor (Beta)'!$C$82="Item prompt",E710,IF('Paste Editor (Beta)'!$C$82="Modifier prompt","'"&amp;B710,IF('Paste Editor (Beta)'!$C$82="Challenge prompt",L710,IF('Paste Editor (Beta)'!$C$82="Reroll class prompt",S709,IF('Paste Editor (Beta)'!$C$82="Swap hero prompt",S709,IF('Paste Editor (Beta)'!$C$82="Anvil prompt",AD709,"")))))))</f>
        <v/>
      </c>
      <c r="AI709" s="280" t="str">
        <f>IF('Paste Editor (Beta)'!$C$82="Level-up prompt",G710,IF('Paste Editor (Beta)'!$C$82="Item prompt",E710,IF('Paste Editor (Beta)'!$C$82="Modifier prompt","'"&amp;B710,IF('Paste Editor (Beta)'!$C$82="Challenge prompt",E710,IF('Paste Editor (Beta)'!$C$82="Reroll class prompt",S709,IF('Paste Editor (Beta)'!$C$82="Swap hero prompt",S709,IF('Paste Editor (Beta)'!$C$82="Anvil prompt",AD709,"")))))))</f>
        <v/>
      </c>
      <c r="AJ709" s="283">
        <f>IF('Paste Editor (Beta)'!$C$90="Level-up prompt",G710,IF('Paste Editor (Beta)'!$C$90="Item prompt",E710,IF('Paste Editor (Beta)'!$C$90="Modifier prompt","'"&amp;B710,IF('Paste Editor (Beta)'!$C$90="Challenge prompt",L710,IF('Paste Editor (Beta)'!$C$90="Reroll class prompt",S709,IF('Paste Editor (Beta)'!$C$90="Swap hero prompt",S709,IF('Paste Editor (Beta)'!$C$90="Anvil prompt",AD709,"")))))))</f>
        <v>0</v>
      </c>
      <c r="AK709" s="283">
        <f>IF('Paste Editor (Beta)'!$C$90="Level-up prompt",G710,IF('Paste Editor (Beta)'!$C$90="Item prompt",E710,IF('Paste Editor (Beta)'!$C$90="Modifier prompt","'"&amp;B710,IF('Paste Editor (Beta)'!$C$90="Challenge prompt",E710,IF('Paste Editor (Beta)'!$C$90="Reroll class prompt",S709,IF('Paste Editor (Beta)'!$C$90="Swap hero prompt",S709,IF('Paste Editor (Beta)'!$C$90="Anvil prompt",AD709,"")))))))</f>
        <v>0</v>
      </c>
    </row>
    <row r="710" spans="2:37" ht="17.25">
      <c r="B710" s="284" t="s">
        <v>1974</v>
      </c>
      <c r="C710" s="284" t="s">
        <v>1974</v>
      </c>
      <c r="D710" s="284" t="s">
        <v>1974</v>
      </c>
      <c r="AH710" s="280" t="str">
        <f>IF('Paste Editor (Beta)'!$C$82="Level-up prompt",G711,IF('Paste Editor (Beta)'!$C$82="Item prompt",E711,IF('Paste Editor (Beta)'!$C$82="Modifier prompt","'"&amp;B711,IF('Paste Editor (Beta)'!$C$82="Challenge prompt",L711,IF('Paste Editor (Beta)'!$C$82="Reroll class prompt",S710,IF('Paste Editor (Beta)'!$C$82="Swap hero prompt",S710,IF('Paste Editor (Beta)'!$C$82="Anvil prompt",AD710,"")))))))</f>
        <v/>
      </c>
      <c r="AI710" s="280" t="str">
        <f>IF('Paste Editor (Beta)'!$C$82="Level-up prompt",G711,IF('Paste Editor (Beta)'!$C$82="Item prompt",E711,IF('Paste Editor (Beta)'!$C$82="Modifier prompt","'"&amp;B711,IF('Paste Editor (Beta)'!$C$82="Challenge prompt",E711,IF('Paste Editor (Beta)'!$C$82="Reroll class prompt",S710,IF('Paste Editor (Beta)'!$C$82="Swap hero prompt",S710,IF('Paste Editor (Beta)'!$C$82="Anvil prompt",AD710,"")))))))</f>
        <v/>
      </c>
      <c r="AJ710" s="283">
        <f>IF('Paste Editor (Beta)'!$C$90="Level-up prompt",G711,IF('Paste Editor (Beta)'!$C$90="Item prompt",E711,IF('Paste Editor (Beta)'!$C$90="Modifier prompt","'"&amp;B711,IF('Paste Editor (Beta)'!$C$90="Challenge prompt",L711,IF('Paste Editor (Beta)'!$C$90="Reroll class prompt",S710,IF('Paste Editor (Beta)'!$C$90="Swap hero prompt",S710,IF('Paste Editor (Beta)'!$C$90="Anvil prompt",AD710,"")))))))</f>
        <v>0</v>
      </c>
      <c r="AK710" s="283">
        <f>IF('Paste Editor (Beta)'!$C$90="Level-up prompt",G711,IF('Paste Editor (Beta)'!$C$90="Item prompt",E711,IF('Paste Editor (Beta)'!$C$90="Modifier prompt","'"&amp;B711,IF('Paste Editor (Beta)'!$C$90="Challenge prompt",E711,IF('Paste Editor (Beta)'!$C$90="Reroll class prompt",S710,IF('Paste Editor (Beta)'!$C$90="Swap hero prompt",S710,IF('Paste Editor (Beta)'!$C$90="Anvil prompt",AD710,"")))))))</f>
        <v>0</v>
      </c>
    </row>
    <row r="711" spans="2:37" ht="17.25">
      <c r="B711" s="284" t="s">
        <v>2114</v>
      </c>
      <c r="C711" s="284" t="s">
        <v>2114</v>
      </c>
      <c r="D711" s="284" t="s">
        <v>2114</v>
      </c>
      <c r="AH711" s="280" t="str">
        <f>IF('Paste Editor (Beta)'!$C$82="Level-up prompt",G712,IF('Paste Editor (Beta)'!$C$82="Item prompt",E712,IF('Paste Editor (Beta)'!$C$82="Modifier prompt","'"&amp;B712,IF('Paste Editor (Beta)'!$C$82="Challenge prompt",L712,IF('Paste Editor (Beta)'!$C$82="Reroll class prompt",S711,IF('Paste Editor (Beta)'!$C$82="Swap hero prompt",S711,IF('Paste Editor (Beta)'!$C$82="Anvil prompt",AD711,"")))))))</f>
        <v/>
      </c>
      <c r="AI711" s="280" t="str">
        <f>IF('Paste Editor (Beta)'!$C$82="Level-up prompt",G712,IF('Paste Editor (Beta)'!$C$82="Item prompt",E712,IF('Paste Editor (Beta)'!$C$82="Modifier prompt","'"&amp;B712,IF('Paste Editor (Beta)'!$C$82="Challenge prompt",E712,IF('Paste Editor (Beta)'!$C$82="Reroll class prompt",S711,IF('Paste Editor (Beta)'!$C$82="Swap hero prompt",S711,IF('Paste Editor (Beta)'!$C$82="Anvil prompt",AD711,"")))))))</f>
        <v/>
      </c>
      <c r="AJ711" s="283">
        <f>IF('Paste Editor (Beta)'!$C$90="Level-up prompt",G712,IF('Paste Editor (Beta)'!$C$90="Item prompt",E712,IF('Paste Editor (Beta)'!$C$90="Modifier prompt","'"&amp;B712,IF('Paste Editor (Beta)'!$C$90="Challenge prompt",L712,IF('Paste Editor (Beta)'!$C$90="Reroll class prompt",S711,IF('Paste Editor (Beta)'!$C$90="Swap hero prompt",S711,IF('Paste Editor (Beta)'!$C$90="Anvil prompt",AD711,"")))))))</f>
        <v>0</v>
      </c>
      <c r="AK711" s="283">
        <f>IF('Paste Editor (Beta)'!$C$90="Level-up prompt",G712,IF('Paste Editor (Beta)'!$C$90="Item prompt",E712,IF('Paste Editor (Beta)'!$C$90="Modifier prompt","'"&amp;B712,IF('Paste Editor (Beta)'!$C$90="Challenge prompt",E712,IF('Paste Editor (Beta)'!$C$90="Reroll class prompt",S711,IF('Paste Editor (Beta)'!$C$90="Swap hero prompt",S711,IF('Paste Editor (Beta)'!$C$90="Anvil prompt",AD711,"")))))))</f>
        <v>0</v>
      </c>
    </row>
    <row r="712" spans="2:37" ht="17.25">
      <c r="B712" s="284" t="s">
        <v>2216</v>
      </c>
      <c r="C712" s="284" t="s">
        <v>2216</v>
      </c>
      <c r="D712" s="284" t="s">
        <v>2216</v>
      </c>
      <c r="AH712" s="280" t="str">
        <f>IF('Paste Editor (Beta)'!$C$82="Level-up prompt",G713,IF('Paste Editor (Beta)'!$C$82="Item prompt",E713,IF('Paste Editor (Beta)'!$C$82="Modifier prompt","'"&amp;B713,IF('Paste Editor (Beta)'!$C$82="Challenge prompt",L713,IF('Paste Editor (Beta)'!$C$82="Reroll class prompt",S712,IF('Paste Editor (Beta)'!$C$82="Swap hero prompt",S712,IF('Paste Editor (Beta)'!$C$82="Anvil prompt",AD712,"")))))))</f>
        <v/>
      </c>
      <c r="AI712" s="280" t="str">
        <f>IF('Paste Editor (Beta)'!$C$82="Level-up prompt",G713,IF('Paste Editor (Beta)'!$C$82="Item prompt",E713,IF('Paste Editor (Beta)'!$C$82="Modifier prompt","'"&amp;B713,IF('Paste Editor (Beta)'!$C$82="Challenge prompt",E713,IF('Paste Editor (Beta)'!$C$82="Reroll class prompt",S712,IF('Paste Editor (Beta)'!$C$82="Swap hero prompt",S712,IF('Paste Editor (Beta)'!$C$82="Anvil prompt",AD712,"")))))))</f>
        <v/>
      </c>
      <c r="AJ712" s="283">
        <f>IF('Paste Editor (Beta)'!$C$90="Level-up prompt",G713,IF('Paste Editor (Beta)'!$C$90="Item prompt",E713,IF('Paste Editor (Beta)'!$C$90="Modifier prompt","'"&amp;B713,IF('Paste Editor (Beta)'!$C$90="Challenge prompt",L713,IF('Paste Editor (Beta)'!$C$90="Reroll class prompt",S712,IF('Paste Editor (Beta)'!$C$90="Swap hero prompt",S712,IF('Paste Editor (Beta)'!$C$90="Anvil prompt",AD712,"")))))))</f>
        <v>0</v>
      </c>
      <c r="AK712" s="283">
        <f>IF('Paste Editor (Beta)'!$C$90="Level-up prompt",G713,IF('Paste Editor (Beta)'!$C$90="Item prompt",E713,IF('Paste Editor (Beta)'!$C$90="Modifier prompt","'"&amp;B713,IF('Paste Editor (Beta)'!$C$90="Challenge prompt",E713,IF('Paste Editor (Beta)'!$C$90="Reroll class prompt",S712,IF('Paste Editor (Beta)'!$C$90="Swap hero prompt",S712,IF('Paste Editor (Beta)'!$C$90="Anvil prompt",AD712,"")))))))</f>
        <v>0</v>
      </c>
    </row>
    <row r="713" spans="2:37" ht="17.25">
      <c r="B713" s="284" t="s">
        <v>2332</v>
      </c>
      <c r="C713" s="284" t="s">
        <v>2332</v>
      </c>
      <c r="D713" s="284" t="s">
        <v>2332</v>
      </c>
      <c r="AH713" s="280" t="str">
        <f>IF('Paste Editor (Beta)'!$C$82="Level-up prompt",G714,IF('Paste Editor (Beta)'!$C$82="Item prompt",E714,IF('Paste Editor (Beta)'!$C$82="Modifier prompt","'"&amp;B714,IF('Paste Editor (Beta)'!$C$82="Challenge prompt",L714,IF('Paste Editor (Beta)'!$C$82="Reroll class prompt",S713,IF('Paste Editor (Beta)'!$C$82="Swap hero prompt",S713,IF('Paste Editor (Beta)'!$C$82="Anvil prompt",AD713,"")))))))</f>
        <v/>
      </c>
      <c r="AI713" s="280" t="str">
        <f>IF('Paste Editor (Beta)'!$C$82="Level-up prompt",G714,IF('Paste Editor (Beta)'!$C$82="Item prompt",E714,IF('Paste Editor (Beta)'!$C$82="Modifier prompt","'"&amp;B714,IF('Paste Editor (Beta)'!$C$82="Challenge prompt",E714,IF('Paste Editor (Beta)'!$C$82="Reroll class prompt",S713,IF('Paste Editor (Beta)'!$C$82="Swap hero prompt",S713,IF('Paste Editor (Beta)'!$C$82="Anvil prompt",AD713,"")))))))</f>
        <v/>
      </c>
      <c r="AJ713" s="283">
        <f>IF('Paste Editor (Beta)'!$C$90="Level-up prompt",G714,IF('Paste Editor (Beta)'!$C$90="Item prompt",E714,IF('Paste Editor (Beta)'!$C$90="Modifier prompt","'"&amp;B714,IF('Paste Editor (Beta)'!$C$90="Challenge prompt",L714,IF('Paste Editor (Beta)'!$C$90="Reroll class prompt",S713,IF('Paste Editor (Beta)'!$C$90="Swap hero prompt",S713,IF('Paste Editor (Beta)'!$C$90="Anvil prompt",AD713,"")))))))</f>
        <v>0</v>
      </c>
      <c r="AK713" s="283">
        <f>IF('Paste Editor (Beta)'!$C$90="Level-up prompt",G714,IF('Paste Editor (Beta)'!$C$90="Item prompt",E714,IF('Paste Editor (Beta)'!$C$90="Modifier prompt","'"&amp;B714,IF('Paste Editor (Beta)'!$C$90="Challenge prompt",E714,IF('Paste Editor (Beta)'!$C$90="Reroll class prompt",S713,IF('Paste Editor (Beta)'!$C$90="Swap hero prompt",S713,IF('Paste Editor (Beta)'!$C$90="Anvil prompt",AD713,"")))))))</f>
        <v>0</v>
      </c>
    </row>
    <row r="714" spans="2:37" ht="17.25">
      <c r="B714" s="284" t="s">
        <v>2438</v>
      </c>
      <c r="C714" s="284" t="s">
        <v>2438</v>
      </c>
      <c r="D714" s="284" t="s">
        <v>2438</v>
      </c>
      <c r="AH714" s="280" t="str">
        <f>IF('Paste Editor (Beta)'!$C$82="Level-up prompt",G715,IF('Paste Editor (Beta)'!$C$82="Item prompt",E715,IF('Paste Editor (Beta)'!$C$82="Modifier prompt","'"&amp;B715,IF('Paste Editor (Beta)'!$C$82="Challenge prompt",L715,IF('Paste Editor (Beta)'!$C$82="Reroll class prompt",S714,IF('Paste Editor (Beta)'!$C$82="Swap hero prompt",S714,IF('Paste Editor (Beta)'!$C$82="Anvil prompt",AD714,"")))))))</f>
        <v/>
      </c>
      <c r="AI714" s="280" t="str">
        <f>IF('Paste Editor (Beta)'!$C$82="Level-up prompt",G715,IF('Paste Editor (Beta)'!$C$82="Item prompt",E715,IF('Paste Editor (Beta)'!$C$82="Modifier prompt","'"&amp;B715,IF('Paste Editor (Beta)'!$C$82="Challenge prompt",E715,IF('Paste Editor (Beta)'!$C$82="Reroll class prompt",S714,IF('Paste Editor (Beta)'!$C$82="Swap hero prompt",S714,IF('Paste Editor (Beta)'!$C$82="Anvil prompt",AD714,"")))))))</f>
        <v/>
      </c>
      <c r="AJ714" s="283">
        <f>IF('Paste Editor (Beta)'!$C$90="Level-up prompt",G715,IF('Paste Editor (Beta)'!$C$90="Item prompt",E715,IF('Paste Editor (Beta)'!$C$90="Modifier prompt","'"&amp;B715,IF('Paste Editor (Beta)'!$C$90="Challenge prompt",L715,IF('Paste Editor (Beta)'!$C$90="Reroll class prompt",S714,IF('Paste Editor (Beta)'!$C$90="Swap hero prompt",S714,IF('Paste Editor (Beta)'!$C$90="Anvil prompt",AD714,"")))))))</f>
        <v>0</v>
      </c>
      <c r="AK714" s="283">
        <f>IF('Paste Editor (Beta)'!$C$90="Level-up prompt",G715,IF('Paste Editor (Beta)'!$C$90="Item prompt",E715,IF('Paste Editor (Beta)'!$C$90="Modifier prompt","'"&amp;B715,IF('Paste Editor (Beta)'!$C$90="Challenge prompt",E715,IF('Paste Editor (Beta)'!$C$90="Reroll class prompt",S714,IF('Paste Editor (Beta)'!$C$90="Swap hero prompt",S714,IF('Paste Editor (Beta)'!$C$90="Anvil prompt",AD714,"")))))))</f>
        <v>0</v>
      </c>
    </row>
    <row r="715" spans="2:37" ht="17.25">
      <c r="B715" s="284" t="s">
        <v>2144</v>
      </c>
      <c r="C715" s="284" t="s">
        <v>2144</v>
      </c>
      <c r="D715" s="284" t="s">
        <v>2144</v>
      </c>
      <c r="AH715" s="280" t="str">
        <f>IF('Paste Editor (Beta)'!$C$82="Level-up prompt",G716,IF('Paste Editor (Beta)'!$C$82="Item prompt",E716,IF('Paste Editor (Beta)'!$C$82="Modifier prompt","'"&amp;B716,IF('Paste Editor (Beta)'!$C$82="Challenge prompt",L716,IF('Paste Editor (Beta)'!$C$82="Reroll class prompt",S715,IF('Paste Editor (Beta)'!$C$82="Swap hero prompt",S715,IF('Paste Editor (Beta)'!$C$82="Anvil prompt",AD715,"")))))))</f>
        <v/>
      </c>
      <c r="AI715" s="280" t="str">
        <f>IF('Paste Editor (Beta)'!$C$82="Level-up prompt",G716,IF('Paste Editor (Beta)'!$C$82="Item prompt",E716,IF('Paste Editor (Beta)'!$C$82="Modifier prompt","'"&amp;B716,IF('Paste Editor (Beta)'!$C$82="Challenge prompt",E716,IF('Paste Editor (Beta)'!$C$82="Reroll class prompt",S715,IF('Paste Editor (Beta)'!$C$82="Swap hero prompt",S715,IF('Paste Editor (Beta)'!$C$82="Anvil prompt",AD715,"")))))))</f>
        <v/>
      </c>
      <c r="AJ715" s="283">
        <f>IF('Paste Editor (Beta)'!$C$90="Level-up prompt",G716,IF('Paste Editor (Beta)'!$C$90="Item prompt",E716,IF('Paste Editor (Beta)'!$C$90="Modifier prompt","'"&amp;B716,IF('Paste Editor (Beta)'!$C$90="Challenge prompt",L716,IF('Paste Editor (Beta)'!$C$90="Reroll class prompt",S715,IF('Paste Editor (Beta)'!$C$90="Swap hero prompt",S715,IF('Paste Editor (Beta)'!$C$90="Anvil prompt",AD715,"")))))))</f>
        <v>0</v>
      </c>
      <c r="AK715" s="283">
        <f>IF('Paste Editor (Beta)'!$C$90="Level-up prompt",G716,IF('Paste Editor (Beta)'!$C$90="Item prompt",E716,IF('Paste Editor (Beta)'!$C$90="Modifier prompt","'"&amp;B716,IF('Paste Editor (Beta)'!$C$90="Challenge prompt",E716,IF('Paste Editor (Beta)'!$C$90="Reroll class prompt",S715,IF('Paste Editor (Beta)'!$C$90="Swap hero prompt",S715,IF('Paste Editor (Beta)'!$C$90="Anvil prompt",AD715,"")))))))</f>
        <v>0</v>
      </c>
    </row>
    <row r="716" spans="2:37" ht="17.25">
      <c r="B716" s="284" t="s">
        <v>2345</v>
      </c>
      <c r="C716" s="284" t="s">
        <v>2345</v>
      </c>
      <c r="D716" s="284" t="s">
        <v>2345</v>
      </c>
      <c r="AH716" s="280" t="str">
        <f>IF('Paste Editor (Beta)'!$C$82="Level-up prompt",G717,IF('Paste Editor (Beta)'!$C$82="Item prompt",E717,IF('Paste Editor (Beta)'!$C$82="Modifier prompt","'"&amp;B717,IF('Paste Editor (Beta)'!$C$82="Challenge prompt",L717,IF('Paste Editor (Beta)'!$C$82="Reroll class prompt",S716,IF('Paste Editor (Beta)'!$C$82="Swap hero prompt",S716,IF('Paste Editor (Beta)'!$C$82="Anvil prompt",AD716,"")))))))</f>
        <v/>
      </c>
      <c r="AI716" s="280" t="str">
        <f>IF('Paste Editor (Beta)'!$C$82="Level-up prompt",G717,IF('Paste Editor (Beta)'!$C$82="Item prompt",E717,IF('Paste Editor (Beta)'!$C$82="Modifier prompt","'"&amp;B717,IF('Paste Editor (Beta)'!$C$82="Challenge prompt",E717,IF('Paste Editor (Beta)'!$C$82="Reroll class prompt",S716,IF('Paste Editor (Beta)'!$C$82="Swap hero prompt",S716,IF('Paste Editor (Beta)'!$C$82="Anvil prompt",AD716,"")))))))</f>
        <v/>
      </c>
      <c r="AJ716" s="283">
        <f>IF('Paste Editor (Beta)'!$C$90="Level-up prompt",G717,IF('Paste Editor (Beta)'!$C$90="Item prompt",E717,IF('Paste Editor (Beta)'!$C$90="Modifier prompt","'"&amp;B717,IF('Paste Editor (Beta)'!$C$90="Challenge prompt",L717,IF('Paste Editor (Beta)'!$C$90="Reroll class prompt",S716,IF('Paste Editor (Beta)'!$C$90="Swap hero prompt",S716,IF('Paste Editor (Beta)'!$C$90="Anvil prompt",AD716,"")))))))</f>
        <v>0</v>
      </c>
      <c r="AK716" s="283">
        <f>IF('Paste Editor (Beta)'!$C$90="Level-up prompt",G717,IF('Paste Editor (Beta)'!$C$90="Item prompt",E717,IF('Paste Editor (Beta)'!$C$90="Modifier prompt","'"&amp;B717,IF('Paste Editor (Beta)'!$C$90="Challenge prompt",E717,IF('Paste Editor (Beta)'!$C$90="Reroll class prompt",S716,IF('Paste Editor (Beta)'!$C$90="Swap hero prompt",S716,IF('Paste Editor (Beta)'!$C$90="Anvil prompt",AD716,"")))))))</f>
        <v>0</v>
      </c>
    </row>
    <row r="717" spans="2:37" ht="17.25">
      <c r="B717" s="284" t="s">
        <v>2367</v>
      </c>
      <c r="C717" s="284" t="s">
        <v>2367</v>
      </c>
      <c r="D717" s="284" t="s">
        <v>2367</v>
      </c>
      <c r="AH717" s="280" t="str">
        <f>IF('Paste Editor (Beta)'!$C$82="Level-up prompt",G718,IF('Paste Editor (Beta)'!$C$82="Item prompt",E718,IF('Paste Editor (Beta)'!$C$82="Modifier prompt","'"&amp;B718,IF('Paste Editor (Beta)'!$C$82="Challenge prompt",L718,IF('Paste Editor (Beta)'!$C$82="Reroll class prompt",S717,IF('Paste Editor (Beta)'!$C$82="Swap hero prompt",S717,IF('Paste Editor (Beta)'!$C$82="Anvil prompt",AD717,"")))))))</f>
        <v/>
      </c>
      <c r="AI717" s="280" t="str">
        <f>IF('Paste Editor (Beta)'!$C$82="Level-up prompt",G718,IF('Paste Editor (Beta)'!$C$82="Item prompt",E718,IF('Paste Editor (Beta)'!$C$82="Modifier prompt","'"&amp;B718,IF('Paste Editor (Beta)'!$C$82="Challenge prompt",E718,IF('Paste Editor (Beta)'!$C$82="Reroll class prompt",S717,IF('Paste Editor (Beta)'!$C$82="Swap hero prompt",S717,IF('Paste Editor (Beta)'!$C$82="Anvil prompt",AD717,"")))))))</f>
        <v/>
      </c>
      <c r="AJ717" s="283">
        <f>IF('Paste Editor (Beta)'!$C$90="Level-up prompt",G718,IF('Paste Editor (Beta)'!$C$90="Item prompt",E718,IF('Paste Editor (Beta)'!$C$90="Modifier prompt","'"&amp;B718,IF('Paste Editor (Beta)'!$C$90="Challenge prompt",L718,IF('Paste Editor (Beta)'!$C$90="Reroll class prompt",S717,IF('Paste Editor (Beta)'!$C$90="Swap hero prompt",S717,IF('Paste Editor (Beta)'!$C$90="Anvil prompt",AD717,"")))))))</f>
        <v>0</v>
      </c>
      <c r="AK717" s="283">
        <f>IF('Paste Editor (Beta)'!$C$90="Level-up prompt",G718,IF('Paste Editor (Beta)'!$C$90="Item prompt",E718,IF('Paste Editor (Beta)'!$C$90="Modifier prompt","'"&amp;B718,IF('Paste Editor (Beta)'!$C$90="Challenge prompt",E718,IF('Paste Editor (Beta)'!$C$90="Reroll class prompt",S717,IF('Paste Editor (Beta)'!$C$90="Swap hero prompt",S717,IF('Paste Editor (Beta)'!$C$90="Anvil prompt",AD717,"")))))))</f>
        <v>0</v>
      </c>
    </row>
    <row r="718" spans="2:37" ht="17.25">
      <c r="B718" s="284" t="s">
        <v>2251</v>
      </c>
      <c r="C718" s="284" t="s">
        <v>2251</v>
      </c>
      <c r="D718" s="284" t="s">
        <v>2251</v>
      </c>
      <c r="AH718" s="280" t="str">
        <f>IF('Paste Editor (Beta)'!$C$82="Level-up prompt",G719,IF('Paste Editor (Beta)'!$C$82="Item prompt",E719,IF('Paste Editor (Beta)'!$C$82="Modifier prompt","'"&amp;B719,IF('Paste Editor (Beta)'!$C$82="Challenge prompt",L719,IF('Paste Editor (Beta)'!$C$82="Reroll class prompt",S718,IF('Paste Editor (Beta)'!$C$82="Swap hero prompt",S718,IF('Paste Editor (Beta)'!$C$82="Anvil prompt",AD718,"")))))))</f>
        <v/>
      </c>
      <c r="AI718" s="280" t="str">
        <f>IF('Paste Editor (Beta)'!$C$82="Level-up prompt",G719,IF('Paste Editor (Beta)'!$C$82="Item prompt",E719,IF('Paste Editor (Beta)'!$C$82="Modifier prompt","'"&amp;B719,IF('Paste Editor (Beta)'!$C$82="Challenge prompt",E719,IF('Paste Editor (Beta)'!$C$82="Reroll class prompt",S718,IF('Paste Editor (Beta)'!$C$82="Swap hero prompt",S718,IF('Paste Editor (Beta)'!$C$82="Anvil prompt",AD718,"")))))))</f>
        <v/>
      </c>
      <c r="AJ718" s="283">
        <f>IF('Paste Editor (Beta)'!$C$90="Level-up prompt",G719,IF('Paste Editor (Beta)'!$C$90="Item prompt",E719,IF('Paste Editor (Beta)'!$C$90="Modifier prompt","'"&amp;B719,IF('Paste Editor (Beta)'!$C$90="Challenge prompt",L719,IF('Paste Editor (Beta)'!$C$90="Reroll class prompt",S718,IF('Paste Editor (Beta)'!$C$90="Swap hero prompt",S718,IF('Paste Editor (Beta)'!$C$90="Anvil prompt",AD718,"")))))))</f>
        <v>0</v>
      </c>
      <c r="AK718" s="283">
        <f>IF('Paste Editor (Beta)'!$C$90="Level-up prompt",G719,IF('Paste Editor (Beta)'!$C$90="Item prompt",E719,IF('Paste Editor (Beta)'!$C$90="Modifier prompt","'"&amp;B719,IF('Paste Editor (Beta)'!$C$90="Challenge prompt",E719,IF('Paste Editor (Beta)'!$C$90="Reroll class prompt",S718,IF('Paste Editor (Beta)'!$C$90="Swap hero prompt",S718,IF('Paste Editor (Beta)'!$C$90="Anvil prompt",AD718,"")))))))</f>
        <v>0</v>
      </c>
    </row>
    <row r="719" spans="2:37" ht="17.25">
      <c r="B719" s="284" t="s">
        <v>3025</v>
      </c>
      <c r="C719" s="284" t="s">
        <v>3025</v>
      </c>
      <c r="D719" s="284" t="s">
        <v>3025</v>
      </c>
      <c r="AH719" s="280" t="str">
        <f>IF('Paste Editor (Beta)'!$C$82="Level-up prompt",G720,IF('Paste Editor (Beta)'!$C$82="Item prompt",E720,IF('Paste Editor (Beta)'!$C$82="Modifier prompt","'"&amp;B720,IF('Paste Editor (Beta)'!$C$82="Challenge prompt",L720,IF('Paste Editor (Beta)'!$C$82="Reroll class prompt",S719,IF('Paste Editor (Beta)'!$C$82="Swap hero prompt",S719,IF('Paste Editor (Beta)'!$C$82="Anvil prompt",AD719,"")))))))</f>
        <v/>
      </c>
      <c r="AI719" s="280" t="str">
        <f>IF('Paste Editor (Beta)'!$C$82="Level-up prompt",G720,IF('Paste Editor (Beta)'!$C$82="Item prompt",E720,IF('Paste Editor (Beta)'!$C$82="Modifier prompt","'"&amp;B720,IF('Paste Editor (Beta)'!$C$82="Challenge prompt",E720,IF('Paste Editor (Beta)'!$C$82="Reroll class prompt",S719,IF('Paste Editor (Beta)'!$C$82="Swap hero prompt",S719,IF('Paste Editor (Beta)'!$C$82="Anvil prompt",AD719,"")))))))</f>
        <v/>
      </c>
      <c r="AJ719" s="283">
        <f>IF('Paste Editor (Beta)'!$C$90="Level-up prompt",G720,IF('Paste Editor (Beta)'!$C$90="Item prompt",E720,IF('Paste Editor (Beta)'!$C$90="Modifier prompt","'"&amp;B720,IF('Paste Editor (Beta)'!$C$90="Challenge prompt",L720,IF('Paste Editor (Beta)'!$C$90="Reroll class prompt",S719,IF('Paste Editor (Beta)'!$C$90="Swap hero prompt",S719,IF('Paste Editor (Beta)'!$C$90="Anvil prompt",AD719,"")))))))</f>
        <v>0</v>
      </c>
      <c r="AK719" s="283">
        <f>IF('Paste Editor (Beta)'!$C$90="Level-up prompt",G720,IF('Paste Editor (Beta)'!$C$90="Item prompt",E720,IF('Paste Editor (Beta)'!$C$90="Modifier prompt","'"&amp;B720,IF('Paste Editor (Beta)'!$C$90="Challenge prompt",E720,IF('Paste Editor (Beta)'!$C$90="Reroll class prompt",S719,IF('Paste Editor (Beta)'!$C$90="Swap hero prompt",S719,IF('Paste Editor (Beta)'!$C$90="Anvil prompt",AD719,"")))))))</f>
        <v>0</v>
      </c>
    </row>
    <row r="720" spans="2:37" ht="17.25">
      <c r="B720" s="284" t="s">
        <v>2843</v>
      </c>
      <c r="C720" s="284" t="s">
        <v>2843</v>
      </c>
      <c r="D720" s="284" t="s">
        <v>2843</v>
      </c>
      <c r="AH720" s="280" t="str">
        <f>IF('Paste Editor (Beta)'!$C$82="Level-up prompt",G721,IF('Paste Editor (Beta)'!$C$82="Item prompt",E721,IF('Paste Editor (Beta)'!$C$82="Modifier prompt","'"&amp;B721,IF('Paste Editor (Beta)'!$C$82="Challenge prompt",L721,IF('Paste Editor (Beta)'!$C$82="Reroll class prompt",S720,IF('Paste Editor (Beta)'!$C$82="Swap hero prompt",S720,IF('Paste Editor (Beta)'!$C$82="Anvil prompt",AD720,"")))))))</f>
        <v/>
      </c>
      <c r="AI720" s="280" t="str">
        <f>IF('Paste Editor (Beta)'!$C$82="Level-up prompt",G721,IF('Paste Editor (Beta)'!$C$82="Item prompt",E721,IF('Paste Editor (Beta)'!$C$82="Modifier prompt","'"&amp;B721,IF('Paste Editor (Beta)'!$C$82="Challenge prompt",E721,IF('Paste Editor (Beta)'!$C$82="Reroll class prompt",S720,IF('Paste Editor (Beta)'!$C$82="Swap hero prompt",S720,IF('Paste Editor (Beta)'!$C$82="Anvil prompt",AD720,"")))))))</f>
        <v/>
      </c>
      <c r="AJ720" s="283">
        <f>IF('Paste Editor (Beta)'!$C$90="Level-up prompt",G721,IF('Paste Editor (Beta)'!$C$90="Item prompt",E721,IF('Paste Editor (Beta)'!$C$90="Modifier prompt","'"&amp;B721,IF('Paste Editor (Beta)'!$C$90="Challenge prompt",L721,IF('Paste Editor (Beta)'!$C$90="Reroll class prompt",S720,IF('Paste Editor (Beta)'!$C$90="Swap hero prompt",S720,IF('Paste Editor (Beta)'!$C$90="Anvil prompt",AD720,"")))))))</f>
        <v>0</v>
      </c>
      <c r="AK720" s="283">
        <f>IF('Paste Editor (Beta)'!$C$90="Level-up prompt",G721,IF('Paste Editor (Beta)'!$C$90="Item prompt",E721,IF('Paste Editor (Beta)'!$C$90="Modifier prompt","'"&amp;B721,IF('Paste Editor (Beta)'!$C$90="Challenge prompt",E721,IF('Paste Editor (Beta)'!$C$90="Reroll class prompt",S720,IF('Paste Editor (Beta)'!$C$90="Swap hero prompt",S720,IF('Paste Editor (Beta)'!$C$90="Anvil prompt",AD720,"")))))))</f>
        <v>0</v>
      </c>
    </row>
    <row r="721" spans="2:37" ht="17.25">
      <c r="B721" s="284" t="s">
        <v>2602</v>
      </c>
      <c r="C721" s="284" t="s">
        <v>2602</v>
      </c>
      <c r="D721" s="284" t="s">
        <v>2602</v>
      </c>
      <c r="AH721" s="280" t="str">
        <f>IF('Paste Editor (Beta)'!$C$82="Level-up prompt",G722,IF('Paste Editor (Beta)'!$C$82="Item prompt",E722,IF('Paste Editor (Beta)'!$C$82="Modifier prompt","'"&amp;B722,IF('Paste Editor (Beta)'!$C$82="Challenge prompt",L722,IF('Paste Editor (Beta)'!$C$82="Reroll class prompt",S721,IF('Paste Editor (Beta)'!$C$82="Swap hero prompt",S721,IF('Paste Editor (Beta)'!$C$82="Anvil prompt",AD721,"")))))))</f>
        <v/>
      </c>
      <c r="AI721" s="280" t="str">
        <f>IF('Paste Editor (Beta)'!$C$82="Level-up prompt",G722,IF('Paste Editor (Beta)'!$C$82="Item prompt",E722,IF('Paste Editor (Beta)'!$C$82="Modifier prompt","'"&amp;B722,IF('Paste Editor (Beta)'!$C$82="Challenge prompt",E722,IF('Paste Editor (Beta)'!$C$82="Reroll class prompt",S721,IF('Paste Editor (Beta)'!$C$82="Swap hero prompt",S721,IF('Paste Editor (Beta)'!$C$82="Anvil prompt",AD721,"")))))))</f>
        <v/>
      </c>
      <c r="AJ721" s="283">
        <f>IF('Paste Editor (Beta)'!$C$90="Level-up prompt",G722,IF('Paste Editor (Beta)'!$C$90="Item prompt",E722,IF('Paste Editor (Beta)'!$C$90="Modifier prompt","'"&amp;B722,IF('Paste Editor (Beta)'!$C$90="Challenge prompt",L722,IF('Paste Editor (Beta)'!$C$90="Reroll class prompt",S721,IF('Paste Editor (Beta)'!$C$90="Swap hero prompt",S721,IF('Paste Editor (Beta)'!$C$90="Anvil prompt",AD721,"")))))))</f>
        <v>0</v>
      </c>
      <c r="AK721" s="283">
        <f>IF('Paste Editor (Beta)'!$C$90="Level-up prompt",G722,IF('Paste Editor (Beta)'!$C$90="Item prompt",E722,IF('Paste Editor (Beta)'!$C$90="Modifier prompt","'"&amp;B722,IF('Paste Editor (Beta)'!$C$90="Challenge prompt",E722,IF('Paste Editor (Beta)'!$C$90="Reroll class prompt",S721,IF('Paste Editor (Beta)'!$C$90="Swap hero prompt",S721,IF('Paste Editor (Beta)'!$C$90="Anvil prompt",AD721,"")))))))</f>
        <v>0</v>
      </c>
    </row>
    <row r="722" spans="2:37" ht="17.25">
      <c r="B722" s="284" t="s">
        <v>2800</v>
      </c>
      <c r="C722" s="284" t="s">
        <v>2800</v>
      </c>
      <c r="D722" s="284" t="s">
        <v>2800</v>
      </c>
      <c r="AH722" s="280" t="str">
        <f>IF('Paste Editor (Beta)'!$C$82="Level-up prompt",G723,IF('Paste Editor (Beta)'!$C$82="Item prompt",E723,IF('Paste Editor (Beta)'!$C$82="Modifier prompt","'"&amp;B723,IF('Paste Editor (Beta)'!$C$82="Challenge prompt",L723,IF('Paste Editor (Beta)'!$C$82="Reroll class prompt",S722,IF('Paste Editor (Beta)'!$C$82="Swap hero prompt",S722,IF('Paste Editor (Beta)'!$C$82="Anvil prompt",AD722,"")))))))</f>
        <v/>
      </c>
      <c r="AI722" s="280" t="str">
        <f>IF('Paste Editor (Beta)'!$C$82="Level-up prompt",G723,IF('Paste Editor (Beta)'!$C$82="Item prompt",E723,IF('Paste Editor (Beta)'!$C$82="Modifier prompt","'"&amp;B723,IF('Paste Editor (Beta)'!$C$82="Challenge prompt",E723,IF('Paste Editor (Beta)'!$C$82="Reroll class prompt",S722,IF('Paste Editor (Beta)'!$C$82="Swap hero prompt",S722,IF('Paste Editor (Beta)'!$C$82="Anvil prompt",AD722,"")))))))</f>
        <v/>
      </c>
      <c r="AJ722" s="283">
        <f>IF('Paste Editor (Beta)'!$C$90="Level-up prompt",G723,IF('Paste Editor (Beta)'!$C$90="Item prompt",E723,IF('Paste Editor (Beta)'!$C$90="Modifier prompt","'"&amp;B723,IF('Paste Editor (Beta)'!$C$90="Challenge prompt",L723,IF('Paste Editor (Beta)'!$C$90="Reroll class prompt",S722,IF('Paste Editor (Beta)'!$C$90="Swap hero prompt",S722,IF('Paste Editor (Beta)'!$C$90="Anvil prompt",AD722,"")))))))</f>
        <v>0</v>
      </c>
      <c r="AK722" s="283">
        <f>IF('Paste Editor (Beta)'!$C$90="Level-up prompt",G723,IF('Paste Editor (Beta)'!$C$90="Item prompt",E723,IF('Paste Editor (Beta)'!$C$90="Modifier prompt","'"&amp;B723,IF('Paste Editor (Beta)'!$C$90="Challenge prompt",E723,IF('Paste Editor (Beta)'!$C$90="Reroll class prompt",S722,IF('Paste Editor (Beta)'!$C$90="Swap hero prompt",S722,IF('Paste Editor (Beta)'!$C$90="Anvil prompt",AD722,"")))))))</f>
        <v>0</v>
      </c>
    </row>
    <row r="723" spans="2:37" ht="17.25">
      <c r="B723" s="284" t="s">
        <v>2861</v>
      </c>
      <c r="C723" s="284" t="s">
        <v>2861</v>
      </c>
      <c r="D723" s="284" t="s">
        <v>2861</v>
      </c>
      <c r="AH723" s="280" t="str">
        <f>IF('Paste Editor (Beta)'!$C$82="Level-up prompt",G724,IF('Paste Editor (Beta)'!$C$82="Item prompt",E724,IF('Paste Editor (Beta)'!$C$82="Modifier prompt","'"&amp;B724,IF('Paste Editor (Beta)'!$C$82="Challenge prompt",L724,IF('Paste Editor (Beta)'!$C$82="Reroll class prompt",S723,IF('Paste Editor (Beta)'!$C$82="Swap hero prompt",S723,IF('Paste Editor (Beta)'!$C$82="Anvil prompt",AD723,"")))))))</f>
        <v/>
      </c>
      <c r="AI723" s="280" t="str">
        <f>IF('Paste Editor (Beta)'!$C$82="Level-up prompt",G724,IF('Paste Editor (Beta)'!$C$82="Item prompt",E724,IF('Paste Editor (Beta)'!$C$82="Modifier prompt","'"&amp;B724,IF('Paste Editor (Beta)'!$C$82="Challenge prompt",E724,IF('Paste Editor (Beta)'!$C$82="Reroll class prompt",S723,IF('Paste Editor (Beta)'!$C$82="Swap hero prompt",S723,IF('Paste Editor (Beta)'!$C$82="Anvil prompt",AD723,"")))))))</f>
        <v/>
      </c>
      <c r="AJ723" s="283">
        <f>IF('Paste Editor (Beta)'!$C$90="Level-up prompt",G724,IF('Paste Editor (Beta)'!$C$90="Item prompt",E724,IF('Paste Editor (Beta)'!$C$90="Modifier prompt","'"&amp;B724,IF('Paste Editor (Beta)'!$C$90="Challenge prompt",L724,IF('Paste Editor (Beta)'!$C$90="Reroll class prompt",S723,IF('Paste Editor (Beta)'!$C$90="Swap hero prompt",S723,IF('Paste Editor (Beta)'!$C$90="Anvil prompt",AD723,"")))))))</f>
        <v>0</v>
      </c>
      <c r="AK723" s="283">
        <f>IF('Paste Editor (Beta)'!$C$90="Level-up prompt",G724,IF('Paste Editor (Beta)'!$C$90="Item prompt",E724,IF('Paste Editor (Beta)'!$C$90="Modifier prompt","'"&amp;B724,IF('Paste Editor (Beta)'!$C$90="Challenge prompt",E724,IF('Paste Editor (Beta)'!$C$90="Reroll class prompt",S723,IF('Paste Editor (Beta)'!$C$90="Swap hero prompt",S723,IF('Paste Editor (Beta)'!$C$90="Anvil prompt",AD723,"")))))))</f>
        <v>0</v>
      </c>
    </row>
    <row r="724" spans="2:37" ht="17.25">
      <c r="B724" s="284" t="s">
        <v>2849</v>
      </c>
      <c r="C724" s="284" t="s">
        <v>2849</v>
      </c>
      <c r="D724" s="284" t="s">
        <v>2849</v>
      </c>
      <c r="AH724" s="280" t="str">
        <f>IF('Paste Editor (Beta)'!$C$82="Level-up prompt",G725,IF('Paste Editor (Beta)'!$C$82="Item prompt",E725,IF('Paste Editor (Beta)'!$C$82="Modifier prompt","'"&amp;B725,IF('Paste Editor (Beta)'!$C$82="Challenge prompt",L725,IF('Paste Editor (Beta)'!$C$82="Reroll class prompt",S724,IF('Paste Editor (Beta)'!$C$82="Swap hero prompt",S724,IF('Paste Editor (Beta)'!$C$82="Anvil prompt",AD724,"")))))))</f>
        <v/>
      </c>
      <c r="AI724" s="280" t="str">
        <f>IF('Paste Editor (Beta)'!$C$82="Level-up prompt",G725,IF('Paste Editor (Beta)'!$C$82="Item prompt",E725,IF('Paste Editor (Beta)'!$C$82="Modifier prompt","'"&amp;B725,IF('Paste Editor (Beta)'!$C$82="Challenge prompt",E725,IF('Paste Editor (Beta)'!$C$82="Reroll class prompt",S724,IF('Paste Editor (Beta)'!$C$82="Swap hero prompt",S724,IF('Paste Editor (Beta)'!$C$82="Anvil prompt",AD724,"")))))))</f>
        <v/>
      </c>
      <c r="AJ724" s="283">
        <f>IF('Paste Editor (Beta)'!$C$90="Level-up prompt",G725,IF('Paste Editor (Beta)'!$C$90="Item prompt",E725,IF('Paste Editor (Beta)'!$C$90="Modifier prompt","'"&amp;B725,IF('Paste Editor (Beta)'!$C$90="Challenge prompt",L725,IF('Paste Editor (Beta)'!$C$90="Reroll class prompt",S724,IF('Paste Editor (Beta)'!$C$90="Swap hero prompt",S724,IF('Paste Editor (Beta)'!$C$90="Anvil prompt",AD724,"")))))))</f>
        <v>0</v>
      </c>
      <c r="AK724" s="283">
        <f>IF('Paste Editor (Beta)'!$C$90="Level-up prompt",G725,IF('Paste Editor (Beta)'!$C$90="Item prompt",E725,IF('Paste Editor (Beta)'!$C$90="Modifier prompt","'"&amp;B725,IF('Paste Editor (Beta)'!$C$90="Challenge prompt",E725,IF('Paste Editor (Beta)'!$C$90="Reroll class prompt",S724,IF('Paste Editor (Beta)'!$C$90="Swap hero prompt",S724,IF('Paste Editor (Beta)'!$C$90="Anvil prompt",AD724,"")))))))</f>
        <v>0</v>
      </c>
    </row>
    <row r="725" spans="2:37" ht="17.25">
      <c r="B725" s="284" t="s">
        <v>2794</v>
      </c>
      <c r="C725" s="284" t="s">
        <v>2794</v>
      </c>
      <c r="D725" s="284" t="s">
        <v>2794</v>
      </c>
      <c r="AH725" s="280" t="str">
        <f>IF('Paste Editor (Beta)'!$C$82="Level-up prompt",G726,IF('Paste Editor (Beta)'!$C$82="Item prompt",E726,IF('Paste Editor (Beta)'!$C$82="Modifier prompt","'"&amp;B726,IF('Paste Editor (Beta)'!$C$82="Challenge prompt",L726,IF('Paste Editor (Beta)'!$C$82="Reroll class prompt",S725,IF('Paste Editor (Beta)'!$C$82="Swap hero prompt",S725,IF('Paste Editor (Beta)'!$C$82="Anvil prompt",AD725,"")))))))</f>
        <v/>
      </c>
      <c r="AI725" s="280" t="str">
        <f>IF('Paste Editor (Beta)'!$C$82="Level-up prompt",G726,IF('Paste Editor (Beta)'!$C$82="Item prompt",E726,IF('Paste Editor (Beta)'!$C$82="Modifier prompt","'"&amp;B726,IF('Paste Editor (Beta)'!$C$82="Challenge prompt",E726,IF('Paste Editor (Beta)'!$C$82="Reroll class prompt",S725,IF('Paste Editor (Beta)'!$C$82="Swap hero prompt",S725,IF('Paste Editor (Beta)'!$C$82="Anvil prompt",AD725,"")))))))</f>
        <v/>
      </c>
      <c r="AJ725" s="283">
        <f>IF('Paste Editor (Beta)'!$C$90="Level-up prompt",G726,IF('Paste Editor (Beta)'!$C$90="Item prompt",E726,IF('Paste Editor (Beta)'!$C$90="Modifier prompt","'"&amp;B726,IF('Paste Editor (Beta)'!$C$90="Challenge prompt",L726,IF('Paste Editor (Beta)'!$C$90="Reroll class prompt",S725,IF('Paste Editor (Beta)'!$C$90="Swap hero prompt",S725,IF('Paste Editor (Beta)'!$C$90="Anvil prompt",AD725,"")))))))</f>
        <v>0</v>
      </c>
      <c r="AK725" s="283">
        <f>IF('Paste Editor (Beta)'!$C$90="Level-up prompt",G726,IF('Paste Editor (Beta)'!$C$90="Item prompt",E726,IF('Paste Editor (Beta)'!$C$90="Modifier prompt","'"&amp;B726,IF('Paste Editor (Beta)'!$C$90="Challenge prompt",E726,IF('Paste Editor (Beta)'!$C$90="Reroll class prompt",S725,IF('Paste Editor (Beta)'!$C$90="Swap hero prompt",S725,IF('Paste Editor (Beta)'!$C$90="Anvil prompt",AD725,"")))))))</f>
        <v>0</v>
      </c>
    </row>
    <row r="726" spans="2:37" ht="17.25">
      <c r="B726" s="284" t="s">
        <v>2712</v>
      </c>
      <c r="C726" s="284" t="s">
        <v>2712</v>
      </c>
      <c r="D726" s="284" t="s">
        <v>2712</v>
      </c>
      <c r="AH726" s="280" t="str">
        <f>IF('Paste Editor (Beta)'!$C$82="Level-up prompt",G727,IF('Paste Editor (Beta)'!$C$82="Item prompt",E727,IF('Paste Editor (Beta)'!$C$82="Modifier prompt","'"&amp;B727,IF('Paste Editor (Beta)'!$C$82="Challenge prompt",L727,IF('Paste Editor (Beta)'!$C$82="Reroll class prompt",S726,IF('Paste Editor (Beta)'!$C$82="Swap hero prompt",S726,IF('Paste Editor (Beta)'!$C$82="Anvil prompt",AD726,"")))))))</f>
        <v/>
      </c>
      <c r="AI726" s="280" t="str">
        <f>IF('Paste Editor (Beta)'!$C$82="Level-up prompt",G727,IF('Paste Editor (Beta)'!$C$82="Item prompt",E727,IF('Paste Editor (Beta)'!$C$82="Modifier prompt","'"&amp;B727,IF('Paste Editor (Beta)'!$C$82="Challenge prompt",E727,IF('Paste Editor (Beta)'!$C$82="Reroll class prompt",S726,IF('Paste Editor (Beta)'!$C$82="Swap hero prompt",S726,IF('Paste Editor (Beta)'!$C$82="Anvil prompt",AD726,"")))))))</f>
        <v/>
      </c>
      <c r="AJ726" s="283">
        <f>IF('Paste Editor (Beta)'!$C$90="Level-up prompt",G727,IF('Paste Editor (Beta)'!$C$90="Item prompt",E727,IF('Paste Editor (Beta)'!$C$90="Modifier prompt","'"&amp;B727,IF('Paste Editor (Beta)'!$C$90="Challenge prompt",L727,IF('Paste Editor (Beta)'!$C$90="Reroll class prompt",S726,IF('Paste Editor (Beta)'!$C$90="Swap hero prompt",S726,IF('Paste Editor (Beta)'!$C$90="Anvil prompt",AD726,"")))))))</f>
        <v>0</v>
      </c>
      <c r="AK726" s="283">
        <f>IF('Paste Editor (Beta)'!$C$90="Level-up prompt",G727,IF('Paste Editor (Beta)'!$C$90="Item prompt",E727,IF('Paste Editor (Beta)'!$C$90="Modifier prompt","'"&amp;B727,IF('Paste Editor (Beta)'!$C$90="Challenge prompt",E727,IF('Paste Editor (Beta)'!$C$90="Reroll class prompt",S726,IF('Paste Editor (Beta)'!$C$90="Swap hero prompt",S726,IF('Paste Editor (Beta)'!$C$90="Anvil prompt",AD726,"")))))))</f>
        <v>0</v>
      </c>
    </row>
    <row r="727" spans="2:37" ht="17.25">
      <c r="B727" s="284" t="s">
        <v>2855</v>
      </c>
      <c r="C727" s="284" t="s">
        <v>2855</v>
      </c>
      <c r="D727" s="284" t="s">
        <v>2855</v>
      </c>
      <c r="AH727" s="280" t="str">
        <f>IF('Paste Editor (Beta)'!$C$82="Level-up prompt",G728,IF('Paste Editor (Beta)'!$C$82="Item prompt",E728,IF('Paste Editor (Beta)'!$C$82="Modifier prompt","'"&amp;B728,IF('Paste Editor (Beta)'!$C$82="Challenge prompt",L728,IF('Paste Editor (Beta)'!$C$82="Reroll class prompt",S727,IF('Paste Editor (Beta)'!$C$82="Swap hero prompt",S727,IF('Paste Editor (Beta)'!$C$82="Anvil prompt",AD727,"")))))))</f>
        <v/>
      </c>
      <c r="AI727" s="280" t="str">
        <f>IF('Paste Editor (Beta)'!$C$82="Level-up prompt",G728,IF('Paste Editor (Beta)'!$C$82="Item prompt",E728,IF('Paste Editor (Beta)'!$C$82="Modifier prompt","'"&amp;B728,IF('Paste Editor (Beta)'!$C$82="Challenge prompt",E728,IF('Paste Editor (Beta)'!$C$82="Reroll class prompt",S727,IF('Paste Editor (Beta)'!$C$82="Swap hero prompt",S727,IF('Paste Editor (Beta)'!$C$82="Anvil prompt",AD727,"")))))))</f>
        <v/>
      </c>
      <c r="AJ727" s="283">
        <f>IF('Paste Editor (Beta)'!$C$90="Level-up prompt",G728,IF('Paste Editor (Beta)'!$C$90="Item prompt",E728,IF('Paste Editor (Beta)'!$C$90="Modifier prompt","'"&amp;B728,IF('Paste Editor (Beta)'!$C$90="Challenge prompt",L728,IF('Paste Editor (Beta)'!$C$90="Reroll class prompt",S727,IF('Paste Editor (Beta)'!$C$90="Swap hero prompt",S727,IF('Paste Editor (Beta)'!$C$90="Anvil prompt",AD727,"")))))))</f>
        <v>0</v>
      </c>
      <c r="AK727" s="283">
        <f>IF('Paste Editor (Beta)'!$C$90="Level-up prompt",G728,IF('Paste Editor (Beta)'!$C$90="Item prompt",E728,IF('Paste Editor (Beta)'!$C$90="Modifier prompt","'"&amp;B728,IF('Paste Editor (Beta)'!$C$90="Challenge prompt",E728,IF('Paste Editor (Beta)'!$C$90="Reroll class prompt",S727,IF('Paste Editor (Beta)'!$C$90="Swap hero prompt",S727,IF('Paste Editor (Beta)'!$C$90="Anvil prompt",AD727,"")))))))</f>
        <v>0</v>
      </c>
    </row>
    <row r="728" spans="2:37" ht="17.25">
      <c r="B728" s="284" t="s">
        <v>2776</v>
      </c>
      <c r="C728" s="284" t="s">
        <v>2776</v>
      </c>
      <c r="D728" s="284" t="s">
        <v>2776</v>
      </c>
      <c r="AH728" s="280" t="str">
        <f>IF('Paste Editor (Beta)'!$C$82="Level-up prompt",G729,IF('Paste Editor (Beta)'!$C$82="Item prompt",E729,IF('Paste Editor (Beta)'!$C$82="Modifier prompt","'"&amp;B729,IF('Paste Editor (Beta)'!$C$82="Challenge prompt",L729,IF('Paste Editor (Beta)'!$C$82="Reroll class prompt",S728,IF('Paste Editor (Beta)'!$C$82="Swap hero prompt",S728,IF('Paste Editor (Beta)'!$C$82="Anvil prompt",AD728,"")))))))</f>
        <v/>
      </c>
      <c r="AI728" s="280" t="str">
        <f>IF('Paste Editor (Beta)'!$C$82="Level-up prompt",G729,IF('Paste Editor (Beta)'!$C$82="Item prompt",E729,IF('Paste Editor (Beta)'!$C$82="Modifier prompt","'"&amp;B729,IF('Paste Editor (Beta)'!$C$82="Challenge prompt",E729,IF('Paste Editor (Beta)'!$C$82="Reroll class prompt",S728,IF('Paste Editor (Beta)'!$C$82="Swap hero prompt",S728,IF('Paste Editor (Beta)'!$C$82="Anvil prompt",AD728,"")))))))</f>
        <v/>
      </c>
      <c r="AJ728" s="283">
        <f>IF('Paste Editor (Beta)'!$C$90="Level-up prompt",G729,IF('Paste Editor (Beta)'!$C$90="Item prompt",E729,IF('Paste Editor (Beta)'!$C$90="Modifier prompt","'"&amp;B729,IF('Paste Editor (Beta)'!$C$90="Challenge prompt",L729,IF('Paste Editor (Beta)'!$C$90="Reroll class prompt",S728,IF('Paste Editor (Beta)'!$C$90="Swap hero prompt",S728,IF('Paste Editor (Beta)'!$C$90="Anvil prompt",AD728,"")))))))</f>
        <v>0</v>
      </c>
      <c r="AK728" s="283">
        <f>IF('Paste Editor (Beta)'!$C$90="Level-up prompt",G729,IF('Paste Editor (Beta)'!$C$90="Item prompt",E729,IF('Paste Editor (Beta)'!$C$90="Modifier prompt","'"&amp;B729,IF('Paste Editor (Beta)'!$C$90="Challenge prompt",E729,IF('Paste Editor (Beta)'!$C$90="Reroll class prompt",S728,IF('Paste Editor (Beta)'!$C$90="Swap hero prompt",S728,IF('Paste Editor (Beta)'!$C$90="Anvil prompt",AD728,"")))))))</f>
        <v>0</v>
      </c>
    </row>
    <row r="729" spans="2:37" ht="17.25">
      <c r="B729" s="284" t="s">
        <v>2837</v>
      </c>
      <c r="C729" s="284" t="s">
        <v>2837</v>
      </c>
      <c r="D729" s="284" t="s">
        <v>2837</v>
      </c>
      <c r="AH729" s="280" t="str">
        <f>IF('Paste Editor (Beta)'!$C$82="Level-up prompt",G730,IF('Paste Editor (Beta)'!$C$82="Item prompt",E730,IF('Paste Editor (Beta)'!$C$82="Modifier prompt","'"&amp;B730,IF('Paste Editor (Beta)'!$C$82="Challenge prompt",L730,IF('Paste Editor (Beta)'!$C$82="Reroll class prompt",S729,IF('Paste Editor (Beta)'!$C$82="Swap hero prompt",S729,IF('Paste Editor (Beta)'!$C$82="Anvil prompt",AD729,"")))))))</f>
        <v/>
      </c>
      <c r="AI729" s="280" t="str">
        <f>IF('Paste Editor (Beta)'!$C$82="Level-up prompt",G730,IF('Paste Editor (Beta)'!$C$82="Item prompt",E730,IF('Paste Editor (Beta)'!$C$82="Modifier prompt","'"&amp;B730,IF('Paste Editor (Beta)'!$C$82="Challenge prompt",E730,IF('Paste Editor (Beta)'!$C$82="Reroll class prompt",S729,IF('Paste Editor (Beta)'!$C$82="Swap hero prompt",S729,IF('Paste Editor (Beta)'!$C$82="Anvil prompt",AD729,"")))))))</f>
        <v/>
      </c>
      <c r="AJ729" s="283">
        <f>IF('Paste Editor (Beta)'!$C$90="Level-up prompt",G730,IF('Paste Editor (Beta)'!$C$90="Item prompt",E730,IF('Paste Editor (Beta)'!$C$90="Modifier prompt","'"&amp;B730,IF('Paste Editor (Beta)'!$C$90="Challenge prompt",L730,IF('Paste Editor (Beta)'!$C$90="Reroll class prompt",S729,IF('Paste Editor (Beta)'!$C$90="Swap hero prompt",S729,IF('Paste Editor (Beta)'!$C$90="Anvil prompt",AD729,"")))))))</f>
        <v>0</v>
      </c>
      <c r="AK729" s="283">
        <f>IF('Paste Editor (Beta)'!$C$90="Level-up prompt",G730,IF('Paste Editor (Beta)'!$C$90="Item prompt",E730,IF('Paste Editor (Beta)'!$C$90="Modifier prompt","'"&amp;B730,IF('Paste Editor (Beta)'!$C$90="Challenge prompt",E730,IF('Paste Editor (Beta)'!$C$90="Reroll class prompt",S729,IF('Paste Editor (Beta)'!$C$90="Swap hero prompt",S729,IF('Paste Editor (Beta)'!$C$90="Anvil prompt",AD729,"")))))))</f>
        <v>0</v>
      </c>
    </row>
    <row r="730" spans="2:37" ht="17.25">
      <c r="B730" s="284" t="s">
        <v>2802</v>
      </c>
      <c r="C730" s="284" t="s">
        <v>2802</v>
      </c>
      <c r="D730" s="284" t="s">
        <v>2802</v>
      </c>
      <c r="AH730" s="280" t="str">
        <f>IF('Paste Editor (Beta)'!$C$82="Level-up prompt",G731,IF('Paste Editor (Beta)'!$C$82="Item prompt",E731,IF('Paste Editor (Beta)'!$C$82="Modifier prompt","'"&amp;B731,IF('Paste Editor (Beta)'!$C$82="Challenge prompt",L731,IF('Paste Editor (Beta)'!$C$82="Reroll class prompt",S730,IF('Paste Editor (Beta)'!$C$82="Swap hero prompt",S730,IF('Paste Editor (Beta)'!$C$82="Anvil prompt",AD730,"")))))))</f>
        <v/>
      </c>
      <c r="AI730" s="280" t="str">
        <f>IF('Paste Editor (Beta)'!$C$82="Level-up prompt",G731,IF('Paste Editor (Beta)'!$C$82="Item prompt",E731,IF('Paste Editor (Beta)'!$C$82="Modifier prompt","'"&amp;B731,IF('Paste Editor (Beta)'!$C$82="Challenge prompt",E731,IF('Paste Editor (Beta)'!$C$82="Reroll class prompt",S730,IF('Paste Editor (Beta)'!$C$82="Swap hero prompt",S730,IF('Paste Editor (Beta)'!$C$82="Anvil prompt",AD730,"")))))))</f>
        <v/>
      </c>
      <c r="AJ730" s="283">
        <f>IF('Paste Editor (Beta)'!$C$90="Level-up prompt",G731,IF('Paste Editor (Beta)'!$C$90="Item prompt",E731,IF('Paste Editor (Beta)'!$C$90="Modifier prompt","'"&amp;B731,IF('Paste Editor (Beta)'!$C$90="Challenge prompt",L731,IF('Paste Editor (Beta)'!$C$90="Reroll class prompt",S730,IF('Paste Editor (Beta)'!$C$90="Swap hero prompt",S730,IF('Paste Editor (Beta)'!$C$90="Anvil prompt",AD730,"")))))))</f>
        <v>0</v>
      </c>
      <c r="AK730" s="283">
        <f>IF('Paste Editor (Beta)'!$C$90="Level-up prompt",G731,IF('Paste Editor (Beta)'!$C$90="Item prompt",E731,IF('Paste Editor (Beta)'!$C$90="Modifier prompt","'"&amp;B731,IF('Paste Editor (Beta)'!$C$90="Challenge prompt",E731,IF('Paste Editor (Beta)'!$C$90="Reroll class prompt",S730,IF('Paste Editor (Beta)'!$C$90="Swap hero prompt",S730,IF('Paste Editor (Beta)'!$C$90="Anvil prompt",AD730,"")))))))</f>
        <v>0</v>
      </c>
    </row>
    <row r="731" spans="2:37" ht="17.25">
      <c r="B731" s="284" t="s">
        <v>2853</v>
      </c>
      <c r="C731" s="284" t="s">
        <v>2853</v>
      </c>
      <c r="D731" s="284" t="s">
        <v>2853</v>
      </c>
      <c r="AH731" s="280" t="str">
        <f>IF('Paste Editor (Beta)'!$C$82="Level-up prompt",G732,IF('Paste Editor (Beta)'!$C$82="Item prompt",E732,IF('Paste Editor (Beta)'!$C$82="Modifier prompt","'"&amp;B732,IF('Paste Editor (Beta)'!$C$82="Challenge prompt",L732,IF('Paste Editor (Beta)'!$C$82="Reroll class prompt",S731,IF('Paste Editor (Beta)'!$C$82="Swap hero prompt",S731,IF('Paste Editor (Beta)'!$C$82="Anvil prompt",AD731,"")))))))</f>
        <v/>
      </c>
      <c r="AI731" s="280" t="str">
        <f>IF('Paste Editor (Beta)'!$C$82="Level-up prompt",G732,IF('Paste Editor (Beta)'!$C$82="Item prompt",E732,IF('Paste Editor (Beta)'!$C$82="Modifier prompt","'"&amp;B732,IF('Paste Editor (Beta)'!$C$82="Challenge prompt",E732,IF('Paste Editor (Beta)'!$C$82="Reroll class prompt",S731,IF('Paste Editor (Beta)'!$C$82="Swap hero prompt",S731,IF('Paste Editor (Beta)'!$C$82="Anvil prompt",AD731,"")))))))</f>
        <v/>
      </c>
      <c r="AJ731" s="283">
        <f>IF('Paste Editor (Beta)'!$C$90="Level-up prompt",G732,IF('Paste Editor (Beta)'!$C$90="Item prompt",E732,IF('Paste Editor (Beta)'!$C$90="Modifier prompt","'"&amp;B732,IF('Paste Editor (Beta)'!$C$90="Challenge prompt",L732,IF('Paste Editor (Beta)'!$C$90="Reroll class prompt",S731,IF('Paste Editor (Beta)'!$C$90="Swap hero prompt",S731,IF('Paste Editor (Beta)'!$C$90="Anvil prompt",AD731,"")))))))</f>
        <v>0</v>
      </c>
      <c r="AK731" s="283">
        <f>IF('Paste Editor (Beta)'!$C$90="Level-up prompt",G732,IF('Paste Editor (Beta)'!$C$90="Item prompt",E732,IF('Paste Editor (Beta)'!$C$90="Modifier prompt","'"&amp;B732,IF('Paste Editor (Beta)'!$C$90="Challenge prompt",E732,IF('Paste Editor (Beta)'!$C$90="Reroll class prompt",S731,IF('Paste Editor (Beta)'!$C$90="Swap hero prompt",S731,IF('Paste Editor (Beta)'!$C$90="Anvil prompt",AD731,"")))))))</f>
        <v>0</v>
      </c>
    </row>
    <row r="732" spans="2:37" ht="17.25">
      <c r="B732" s="284" t="s">
        <v>2851</v>
      </c>
      <c r="C732" s="284" t="s">
        <v>2851</v>
      </c>
      <c r="D732" s="284" t="s">
        <v>2851</v>
      </c>
      <c r="AH732" s="280" t="str">
        <f>IF('Paste Editor (Beta)'!$C$82="Level-up prompt",G733,IF('Paste Editor (Beta)'!$C$82="Item prompt",E733,IF('Paste Editor (Beta)'!$C$82="Modifier prompt","'"&amp;B733,IF('Paste Editor (Beta)'!$C$82="Challenge prompt",L733,IF('Paste Editor (Beta)'!$C$82="Reroll class prompt",S732,IF('Paste Editor (Beta)'!$C$82="Swap hero prompt",S732,IF('Paste Editor (Beta)'!$C$82="Anvil prompt",AD732,"")))))))</f>
        <v/>
      </c>
      <c r="AI732" s="280" t="str">
        <f>IF('Paste Editor (Beta)'!$C$82="Level-up prompt",G733,IF('Paste Editor (Beta)'!$C$82="Item prompt",E733,IF('Paste Editor (Beta)'!$C$82="Modifier prompt","'"&amp;B733,IF('Paste Editor (Beta)'!$C$82="Challenge prompt",E733,IF('Paste Editor (Beta)'!$C$82="Reroll class prompt",S732,IF('Paste Editor (Beta)'!$C$82="Swap hero prompt",S732,IF('Paste Editor (Beta)'!$C$82="Anvil prompt",AD732,"")))))))</f>
        <v/>
      </c>
      <c r="AJ732" s="283">
        <f>IF('Paste Editor (Beta)'!$C$90="Level-up prompt",G733,IF('Paste Editor (Beta)'!$C$90="Item prompt",E733,IF('Paste Editor (Beta)'!$C$90="Modifier prompt","'"&amp;B733,IF('Paste Editor (Beta)'!$C$90="Challenge prompt",L733,IF('Paste Editor (Beta)'!$C$90="Reroll class prompt",S732,IF('Paste Editor (Beta)'!$C$90="Swap hero prompt",S732,IF('Paste Editor (Beta)'!$C$90="Anvil prompt",AD732,"")))))))</f>
        <v>0</v>
      </c>
      <c r="AK732" s="283">
        <f>IF('Paste Editor (Beta)'!$C$90="Level-up prompt",G733,IF('Paste Editor (Beta)'!$C$90="Item prompt",E733,IF('Paste Editor (Beta)'!$C$90="Modifier prompt","'"&amp;B733,IF('Paste Editor (Beta)'!$C$90="Challenge prompt",E733,IF('Paste Editor (Beta)'!$C$90="Reroll class prompt",S732,IF('Paste Editor (Beta)'!$C$90="Swap hero prompt",S732,IF('Paste Editor (Beta)'!$C$90="Anvil prompt",AD732,"")))))))</f>
        <v>0</v>
      </c>
    </row>
    <row r="733" spans="2:37" ht="17.25">
      <c r="B733" s="284" t="s">
        <v>2811</v>
      </c>
      <c r="C733" s="284" t="s">
        <v>2811</v>
      </c>
      <c r="D733" s="284" t="s">
        <v>2811</v>
      </c>
      <c r="AH733" s="280" t="str">
        <f>IF('Paste Editor (Beta)'!$C$82="Level-up prompt",G734,IF('Paste Editor (Beta)'!$C$82="Item prompt",E734,IF('Paste Editor (Beta)'!$C$82="Modifier prompt","'"&amp;B734,IF('Paste Editor (Beta)'!$C$82="Challenge prompt",L734,IF('Paste Editor (Beta)'!$C$82="Reroll class prompt",S733,IF('Paste Editor (Beta)'!$C$82="Swap hero prompt",S733,IF('Paste Editor (Beta)'!$C$82="Anvil prompt",AD733,"")))))))</f>
        <v/>
      </c>
      <c r="AI733" s="280" t="str">
        <f>IF('Paste Editor (Beta)'!$C$82="Level-up prompt",G734,IF('Paste Editor (Beta)'!$C$82="Item prompt",E734,IF('Paste Editor (Beta)'!$C$82="Modifier prompt","'"&amp;B734,IF('Paste Editor (Beta)'!$C$82="Challenge prompt",E734,IF('Paste Editor (Beta)'!$C$82="Reroll class prompt",S733,IF('Paste Editor (Beta)'!$C$82="Swap hero prompt",S733,IF('Paste Editor (Beta)'!$C$82="Anvil prompt",AD733,"")))))))</f>
        <v/>
      </c>
      <c r="AJ733" s="283">
        <f>IF('Paste Editor (Beta)'!$C$90="Level-up prompt",G734,IF('Paste Editor (Beta)'!$C$90="Item prompt",E734,IF('Paste Editor (Beta)'!$C$90="Modifier prompt","'"&amp;B734,IF('Paste Editor (Beta)'!$C$90="Challenge prompt",L734,IF('Paste Editor (Beta)'!$C$90="Reroll class prompt",S733,IF('Paste Editor (Beta)'!$C$90="Swap hero prompt",S733,IF('Paste Editor (Beta)'!$C$90="Anvil prompt",AD733,"")))))))</f>
        <v>0</v>
      </c>
      <c r="AK733" s="283">
        <f>IF('Paste Editor (Beta)'!$C$90="Level-up prompt",G734,IF('Paste Editor (Beta)'!$C$90="Item prompt",E734,IF('Paste Editor (Beta)'!$C$90="Modifier prompt","'"&amp;B734,IF('Paste Editor (Beta)'!$C$90="Challenge prompt",E734,IF('Paste Editor (Beta)'!$C$90="Reroll class prompt",S733,IF('Paste Editor (Beta)'!$C$90="Swap hero prompt",S733,IF('Paste Editor (Beta)'!$C$90="Anvil prompt",AD733,"")))))))</f>
        <v>0</v>
      </c>
    </row>
    <row r="734" spans="2:37" ht="17.25">
      <c r="B734" s="284" t="s">
        <v>2815</v>
      </c>
      <c r="C734" s="284" t="s">
        <v>2815</v>
      </c>
      <c r="D734" s="284" t="s">
        <v>2815</v>
      </c>
      <c r="AH734" s="280" t="str">
        <f>IF('Paste Editor (Beta)'!$C$82="Level-up prompt",G735,IF('Paste Editor (Beta)'!$C$82="Item prompt",E735,IF('Paste Editor (Beta)'!$C$82="Modifier prompt","'"&amp;B735,IF('Paste Editor (Beta)'!$C$82="Challenge prompt",L735,IF('Paste Editor (Beta)'!$C$82="Reroll class prompt",S734,IF('Paste Editor (Beta)'!$C$82="Swap hero prompt",S734,IF('Paste Editor (Beta)'!$C$82="Anvil prompt",AD734,"")))))))</f>
        <v/>
      </c>
      <c r="AI734" s="280" t="str">
        <f>IF('Paste Editor (Beta)'!$C$82="Level-up prompt",G735,IF('Paste Editor (Beta)'!$C$82="Item prompt",E735,IF('Paste Editor (Beta)'!$C$82="Modifier prompt","'"&amp;B735,IF('Paste Editor (Beta)'!$C$82="Challenge prompt",E735,IF('Paste Editor (Beta)'!$C$82="Reroll class prompt",S734,IF('Paste Editor (Beta)'!$C$82="Swap hero prompt",S734,IF('Paste Editor (Beta)'!$C$82="Anvil prompt",AD734,"")))))))</f>
        <v/>
      </c>
      <c r="AJ734" s="283">
        <f>IF('Paste Editor (Beta)'!$C$90="Level-up prompt",G735,IF('Paste Editor (Beta)'!$C$90="Item prompt",E735,IF('Paste Editor (Beta)'!$C$90="Modifier prompt","'"&amp;B735,IF('Paste Editor (Beta)'!$C$90="Challenge prompt",L735,IF('Paste Editor (Beta)'!$C$90="Reroll class prompt",S734,IF('Paste Editor (Beta)'!$C$90="Swap hero prompt",S734,IF('Paste Editor (Beta)'!$C$90="Anvil prompt",AD734,"")))))))</f>
        <v>0</v>
      </c>
      <c r="AK734" s="283">
        <f>IF('Paste Editor (Beta)'!$C$90="Level-up prompt",G735,IF('Paste Editor (Beta)'!$C$90="Item prompt",E735,IF('Paste Editor (Beta)'!$C$90="Modifier prompt","'"&amp;B735,IF('Paste Editor (Beta)'!$C$90="Challenge prompt",E735,IF('Paste Editor (Beta)'!$C$90="Reroll class prompt",S734,IF('Paste Editor (Beta)'!$C$90="Swap hero prompt",S734,IF('Paste Editor (Beta)'!$C$90="Anvil prompt",AD734,"")))))))</f>
        <v>0</v>
      </c>
    </row>
    <row r="735" spans="2:37" ht="17.25">
      <c r="B735" s="284" t="s">
        <v>2817</v>
      </c>
      <c r="C735" s="284" t="s">
        <v>2817</v>
      </c>
      <c r="D735" s="284" t="s">
        <v>2817</v>
      </c>
      <c r="AH735" s="280" t="str">
        <f>IF('Paste Editor (Beta)'!$C$82="Level-up prompt",G736,IF('Paste Editor (Beta)'!$C$82="Item prompt",E736,IF('Paste Editor (Beta)'!$C$82="Modifier prompt","'"&amp;B736,IF('Paste Editor (Beta)'!$C$82="Challenge prompt",L736,IF('Paste Editor (Beta)'!$C$82="Reroll class prompt",S735,IF('Paste Editor (Beta)'!$C$82="Swap hero prompt",S735,IF('Paste Editor (Beta)'!$C$82="Anvil prompt",AD735,"")))))))</f>
        <v/>
      </c>
      <c r="AI735" s="280" t="str">
        <f>IF('Paste Editor (Beta)'!$C$82="Level-up prompt",G736,IF('Paste Editor (Beta)'!$C$82="Item prompt",E736,IF('Paste Editor (Beta)'!$C$82="Modifier prompt","'"&amp;B736,IF('Paste Editor (Beta)'!$C$82="Challenge prompt",E736,IF('Paste Editor (Beta)'!$C$82="Reroll class prompt",S735,IF('Paste Editor (Beta)'!$C$82="Swap hero prompt",S735,IF('Paste Editor (Beta)'!$C$82="Anvil prompt",AD735,"")))))))</f>
        <v/>
      </c>
      <c r="AJ735" s="283">
        <f>IF('Paste Editor (Beta)'!$C$90="Level-up prompt",G736,IF('Paste Editor (Beta)'!$C$90="Item prompt",E736,IF('Paste Editor (Beta)'!$C$90="Modifier prompt","'"&amp;B736,IF('Paste Editor (Beta)'!$C$90="Challenge prompt",L736,IF('Paste Editor (Beta)'!$C$90="Reroll class prompt",S735,IF('Paste Editor (Beta)'!$C$90="Swap hero prompt",S735,IF('Paste Editor (Beta)'!$C$90="Anvil prompt",AD735,"")))))))</f>
        <v>0</v>
      </c>
      <c r="AK735" s="283">
        <f>IF('Paste Editor (Beta)'!$C$90="Level-up prompt",G736,IF('Paste Editor (Beta)'!$C$90="Item prompt",E736,IF('Paste Editor (Beta)'!$C$90="Modifier prompt","'"&amp;B736,IF('Paste Editor (Beta)'!$C$90="Challenge prompt",E736,IF('Paste Editor (Beta)'!$C$90="Reroll class prompt",S735,IF('Paste Editor (Beta)'!$C$90="Swap hero prompt",S735,IF('Paste Editor (Beta)'!$C$90="Anvil prompt",AD735,"")))))))</f>
        <v>0</v>
      </c>
    </row>
    <row r="736" spans="2:37" ht="17.25">
      <c r="B736" s="284" t="s">
        <v>2786</v>
      </c>
      <c r="C736" s="284" t="s">
        <v>2786</v>
      </c>
      <c r="D736" s="284" t="s">
        <v>2786</v>
      </c>
      <c r="AH736" s="280" t="str">
        <f>IF('Paste Editor (Beta)'!$C$82="Level-up prompt",G737,IF('Paste Editor (Beta)'!$C$82="Item prompt",E737,IF('Paste Editor (Beta)'!$C$82="Modifier prompt","'"&amp;B737,IF('Paste Editor (Beta)'!$C$82="Challenge prompt",L737,IF('Paste Editor (Beta)'!$C$82="Reroll class prompt",S736,IF('Paste Editor (Beta)'!$C$82="Swap hero prompt",S736,IF('Paste Editor (Beta)'!$C$82="Anvil prompt",AD736,"")))))))</f>
        <v/>
      </c>
      <c r="AI736" s="280" t="str">
        <f>IF('Paste Editor (Beta)'!$C$82="Level-up prompt",G737,IF('Paste Editor (Beta)'!$C$82="Item prompt",E737,IF('Paste Editor (Beta)'!$C$82="Modifier prompt","'"&amp;B737,IF('Paste Editor (Beta)'!$C$82="Challenge prompt",E737,IF('Paste Editor (Beta)'!$C$82="Reroll class prompt",S736,IF('Paste Editor (Beta)'!$C$82="Swap hero prompt",S736,IF('Paste Editor (Beta)'!$C$82="Anvil prompt",AD736,"")))))))</f>
        <v/>
      </c>
      <c r="AJ736" s="283">
        <f>IF('Paste Editor (Beta)'!$C$90="Level-up prompt",G737,IF('Paste Editor (Beta)'!$C$90="Item prompt",E737,IF('Paste Editor (Beta)'!$C$90="Modifier prompt","'"&amp;B737,IF('Paste Editor (Beta)'!$C$90="Challenge prompt",L737,IF('Paste Editor (Beta)'!$C$90="Reroll class prompt",S736,IF('Paste Editor (Beta)'!$C$90="Swap hero prompt",S736,IF('Paste Editor (Beta)'!$C$90="Anvil prompt",AD736,"")))))))</f>
        <v>0</v>
      </c>
      <c r="AK736" s="283">
        <f>IF('Paste Editor (Beta)'!$C$90="Level-up prompt",G737,IF('Paste Editor (Beta)'!$C$90="Item prompt",E737,IF('Paste Editor (Beta)'!$C$90="Modifier prompt","'"&amp;B737,IF('Paste Editor (Beta)'!$C$90="Challenge prompt",E737,IF('Paste Editor (Beta)'!$C$90="Reroll class prompt",S736,IF('Paste Editor (Beta)'!$C$90="Swap hero prompt",S736,IF('Paste Editor (Beta)'!$C$90="Anvil prompt",AD736,"")))))))</f>
        <v>0</v>
      </c>
    </row>
    <row r="737" spans="2:37" ht="17.25">
      <c r="B737" s="284" t="s">
        <v>2750</v>
      </c>
      <c r="C737" s="284" t="s">
        <v>2750</v>
      </c>
      <c r="D737" s="284" t="s">
        <v>2750</v>
      </c>
      <c r="AH737" s="280" t="str">
        <f>IF('Paste Editor (Beta)'!$C$82="Level-up prompt",G738,IF('Paste Editor (Beta)'!$C$82="Item prompt",E738,IF('Paste Editor (Beta)'!$C$82="Modifier prompt","'"&amp;B738,IF('Paste Editor (Beta)'!$C$82="Challenge prompt",L738,IF('Paste Editor (Beta)'!$C$82="Reroll class prompt",S737,IF('Paste Editor (Beta)'!$C$82="Swap hero prompt",S737,IF('Paste Editor (Beta)'!$C$82="Anvil prompt",AD737,"")))))))</f>
        <v/>
      </c>
      <c r="AI737" s="280" t="str">
        <f>IF('Paste Editor (Beta)'!$C$82="Level-up prompt",G738,IF('Paste Editor (Beta)'!$C$82="Item prompt",E738,IF('Paste Editor (Beta)'!$C$82="Modifier prompt","'"&amp;B738,IF('Paste Editor (Beta)'!$C$82="Challenge prompt",E738,IF('Paste Editor (Beta)'!$C$82="Reroll class prompt",S737,IF('Paste Editor (Beta)'!$C$82="Swap hero prompt",S737,IF('Paste Editor (Beta)'!$C$82="Anvil prompt",AD737,"")))))))</f>
        <v/>
      </c>
      <c r="AJ737" s="283">
        <f>IF('Paste Editor (Beta)'!$C$90="Level-up prompt",G738,IF('Paste Editor (Beta)'!$C$90="Item prompt",E738,IF('Paste Editor (Beta)'!$C$90="Modifier prompt","'"&amp;B738,IF('Paste Editor (Beta)'!$C$90="Challenge prompt",L738,IF('Paste Editor (Beta)'!$C$90="Reroll class prompt",S737,IF('Paste Editor (Beta)'!$C$90="Swap hero prompt",S737,IF('Paste Editor (Beta)'!$C$90="Anvil prompt",AD737,"")))))))</f>
        <v>0</v>
      </c>
      <c r="AK737" s="283">
        <f>IF('Paste Editor (Beta)'!$C$90="Level-up prompt",G738,IF('Paste Editor (Beta)'!$C$90="Item prompt",E738,IF('Paste Editor (Beta)'!$C$90="Modifier prompt","'"&amp;B738,IF('Paste Editor (Beta)'!$C$90="Challenge prompt",E738,IF('Paste Editor (Beta)'!$C$90="Reroll class prompt",S737,IF('Paste Editor (Beta)'!$C$90="Swap hero prompt",S737,IF('Paste Editor (Beta)'!$C$90="Anvil prompt",AD737,"")))))))</f>
        <v>0</v>
      </c>
    </row>
    <row r="738" spans="2:37" ht="17.25">
      <c r="B738" s="284" t="s">
        <v>2798</v>
      </c>
      <c r="C738" s="284" t="s">
        <v>2798</v>
      </c>
      <c r="D738" s="284" t="s">
        <v>2798</v>
      </c>
      <c r="AH738" s="280" t="str">
        <f>IF('Paste Editor (Beta)'!$C$82="Level-up prompt",G739,IF('Paste Editor (Beta)'!$C$82="Item prompt",E739,IF('Paste Editor (Beta)'!$C$82="Modifier prompt","'"&amp;B739,IF('Paste Editor (Beta)'!$C$82="Challenge prompt",L739,IF('Paste Editor (Beta)'!$C$82="Reroll class prompt",S738,IF('Paste Editor (Beta)'!$C$82="Swap hero prompt",S738,IF('Paste Editor (Beta)'!$C$82="Anvil prompt",AD738,"")))))))</f>
        <v/>
      </c>
      <c r="AI738" s="280" t="str">
        <f>IF('Paste Editor (Beta)'!$C$82="Level-up prompt",G739,IF('Paste Editor (Beta)'!$C$82="Item prompt",E739,IF('Paste Editor (Beta)'!$C$82="Modifier prompt","'"&amp;B739,IF('Paste Editor (Beta)'!$C$82="Challenge prompt",E739,IF('Paste Editor (Beta)'!$C$82="Reroll class prompt",S738,IF('Paste Editor (Beta)'!$C$82="Swap hero prompt",S738,IF('Paste Editor (Beta)'!$C$82="Anvil prompt",AD738,"")))))))</f>
        <v/>
      </c>
      <c r="AJ738" s="283">
        <f>IF('Paste Editor (Beta)'!$C$90="Level-up prompt",G739,IF('Paste Editor (Beta)'!$C$90="Item prompt",E739,IF('Paste Editor (Beta)'!$C$90="Modifier prompt","'"&amp;B739,IF('Paste Editor (Beta)'!$C$90="Challenge prompt",L739,IF('Paste Editor (Beta)'!$C$90="Reroll class prompt",S738,IF('Paste Editor (Beta)'!$C$90="Swap hero prompt",S738,IF('Paste Editor (Beta)'!$C$90="Anvil prompt",AD738,"")))))))</f>
        <v>0</v>
      </c>
      <c r="AK738" s="283">
        <f>IF('Paste Editor (Beta)'!$C$90="Level-up prompt",G739,IF('Paste Editor (Beta)'!$C$90="Item prompt",E739,IF('Paste Editor (Beta)'!$C$90="Modifier prompt","'"&amp;B739,IF('Paste Editor (Beta)'!$C$90="Challenge prompt",E739,IF('Paste Editor (Beta)'!$C$90="Reroll class prompt",S738,IF('Paste Editor (Beta)'!$C$90="Swap hero prompt",S738,IF('Paste Editor (Beta)'!$C$90="Anvil prompt",AD738,"")))))))</f>
        <v>0</v>
      </c>
    </row>
    <row r="739" spans="2:37" ht="17.25">
      <c r="B739" s="284" t="s">
        <v>2868</v>
      </c>
      <c r="C739" s="284" t="s">
        <v>2868</v>
      </c>
      <c r="D739" s="284" t="s">
        <v>2868</v>
      </c>
      <c r="AH739" s="280" t="str">
        <f>IF('Paste Editor (Beta)'!$C$82="Level-up prompt",G740,IF('Paste Editor (Beta)'!$C$82="Item prompt",E740,IF('Paste Editor (Beta)'!$C$82="Modifier prompt","'"&amp;B740,IF('Paste Editor (Beta)'!$C$82="Challenge prompt",L740,IF('Paste Editor (Beta)'!$C$82="Reroll class prompt",S739,IF('Paste Editor (Beta)'!$C$82="Swap hero prompt",S739,IF('Paste Editor (Beta)'!$C$82="Anvil prompt",AD739,"")))))))</f>
        <v/>
      </c>
      <c r="AI739" s="280" t="str">
        <f>IF('Paste Editor (Beta)'!$C$82="Level-up prompt",G740,IF('Paste Editor (Beta)'!$C$82="Item prompt",E740,IF('Paste Editor (Beta)'!$C$82="Modifier prompt","'"&amp;B740,IF('Paste Editor (Beta)'!$C$82="Challenge prompt",E740,IF('Paste Editor (Beta)'!$C$82="Reroll class prompt",S739,IF('Paste Editor (Beta)'!$C$82="Swap hero prompt",S739,IF('Paste Editor (Beta)'!$C$82="Anvil prompt",AD739,"")))))))</f>
        <v/>
      </c>
      <c r="AJ739" s="283">
        <f>IF('Paste Editor (Beta)'!$C$90="Level-up prompt",G740,IF('Paste Editor (Beta)'!$C$90="Item prompt",E740,IF('Paste Editor (Beta)'!$C$90="Modifier prompt","'"&amp;B740,IF('Paste Editor (Beta)'!$C$90="Challenge prompt",L740,IF('Paste Editor (Beta)'!$C$90="Reroll class prompt",S739,IF('Paste Editor (Beta)'!$C$90="Swap hero prompt",S739,IF('Paste Editor (Beta)'!$C$90="Anvil prompt",AD739,"")))))))</f>
        <v>0</v>
      </c>
      <c r="AK739" s="283">
        <f>IF('Paste Editor (Beta)'!$C$90="Level-up prompt",G740,IF('Paste Editor (Beta)'!$C$90="Item prompt",E740,IF('Paste Editor (Beta)'!$C$90="Modifier prompt","'"&amp;B740,IF('Paste Editor (Beta)'!$C$90="Challenge prompt",E740,IF('Paste Editor (Beta)'!$C$90="Reroll class prompt",S739,IF('Paste Editor (Beta)'!$C$90="Swap hero prompt",S739,IF('Paste Editor (Beta)'!$C$90="Anvil prompt",AD739,"")))))))</f>
        <v>0</v>
      </c>
    </row>
    <row r="740" spans="2:37" ht="17.25">
      <c r="B740" s="284" t="s">
        <v>2549</v>
      </c>
      <c r="C740" s="284" t="s">
        <v>2549</v>
      </c>
      <c r="D740" s="284" t="s">
        <v>2549</v>
      </c>
      <c r="AH740" s="280" t="str">
        <f>IF('Paste Editor (Beta)'!$C$82="Level-up prompt",G741,IF('Paste Editor (Beta)'!$C$82="Item prompt",E741,IF('Paste Editor (Beta)'!$C$82="Modifier prompt","'"&amp;B741,IF('Paste Editor (Beta)'!$C$82="Challenge prompt",L741,IF('Paste Editor (Beta)'!$C$82="Reroll class prompt",S740,IF('Paste Editor (Beta)'!$C$82="Swap hero prompt",S740,IF('Paste Editor (Beta)'!$C$82="Anvil prompt",AD740,"")))))))</f>
        <v/>
      </c>
      <c r="AI740" s="280" t="str">
        <f>IF('Paste Editor (Beta)'!$C$82="Level-up prompt",G741,IF('Paste Editor (Beta)'!$C$82="Item prompt",E741,IF('Paste Editor (Beta)'!$C$82="Modifier prompt","'"&amp;B741,IF('Paste Editor (Beta)'!$C$82="Challenge prompt",E741,IF('Paste Editor (Beta)'!$C$82="Reroll class prompt",S740,IF('Paste Editor (Beta)'!$C$82="Swap hero prompt",S740,IF('Paste Editor (Beta)'!$C$82="Anvil prompt",AD740,"")))))))</f>
        <v/>
      </c>
      <c r="AJ740" s="283">
        <f>IF('Paste Editor (Beta)'!$C$90="Level-up prompt",G741,IF('Paste Editor (Beta)'!$C$90="Item prompt",E741,IF('Paste Editor (Beta)'!$C$90="Modifier prompt","'"&amp;B741,IF('Paste Editor (Beta)'!$C$90="Challenge prompt",L741,IF('Paste Editor (Beta)'!$C$90="Reroll class prompt",S740,IF('Paste Editor (Beta)'!$C$90="Swap hero prompt",S740,IF('Paste Editor (Beta)'!$C$90="Anvil prompt",AD740,"")))))))</f>
        <v>0</v>
      </c>
      <c r="AK740" s="283">
        <f>IF('Paste Editor (Beta)'!$C$90="Level-up prompt",G741,IF('Paste Editor (Beta)'!$C$90="Item prompt",E741,IF('Paste Editor (Beta)'!$C$90="Modifier prompt","'"&amp;B741,IF('Paste Editor (Beta)'!$C$90="Challenge prompt",E741,IF('Paste Editor (Beta)'!$C$90="Reroll class prompt",S740,IF('Paste Editor (Beta)'!$C$90="Swap hero prompt",S740,IF('Paste Editor (Beta)'!$C$90="Anvil prompt",AD740,"")))))))</f>
        <v>0</v>
      </c>
    </row>
    <row r="741" spans="2:37" ht="17.25">
      <c r="B741" s="284" t="s">
        <v>2772</v>
      </c>
      <c r="C741" s="284" t="s">
        <v>2772</v>
      </c>
      <c r="D741" s="284" t="s">
        <v>2772</v>
      </c>
      <c r="AH741" s="280" t="str">
        <f>IF('Paste Editor (Beta)'!$C$82="Level-up prompt",G742,IF('Paste Editor (Beta)'!$C$82="Item prompt",E742,IF('Paste Editor (Beta)'!$C$82="Modifier prompt","'"&amp;B742,IF('Paste Editor (Beta)'!$C$82="Challenge prompt",L742,IF('Paste Editor (Beta)'!$C$82="Reroll class prompt",S741,IF('Paste Editor (Beta)'!$C$82="Swap hero prompt",S741,IF('Paste Editor (Beta)'!$C$82="Anvil prompt",AD741,"")))))))</f>
        <v/>
      </c>
      <c r="AI741" s="280" t="str">
        <f>IF('Paste Editor (Beta)'!$C$82="Level-up prompt",G742,IF('Paste Editor (Beta)'!$C$82="Item prompt",E742,IF('Paste Editor (Beta)'!$C$82="Modifier prompt","'"&amp;B742,IF('Paste Editor (Beta)'!$C$82="Challenge prompt",E742,IF('Paste Editor (Beta)'!$C$82="Reroll class prompt",S741,IF('Paste Editor (Beta)'!$C$82="Swap hero prompt",S741,IF('Paste Editor (Beta)'!$C$82="Anvil prompt",AD741,"")))))))</f>
        <v/>
      </c>
      <c r="AJ741" s="283">
        <f>IF('Paste Editor (Beta)'!$C$90="Level-up prompt",G742,IF('Paste Editor (Beta)'!$C$90="Item prompt",E742,IF('Paste Editor (Beta)'!$C$90="Modifier prompt","'"&amp;B742,IF('Paste Editor (Beta)'!$C$90="Challenge prompt",L742,IF('Paste Editor (Beta)'!$C$90="Reroll class prompt",S741,IF('Paste Editor (Beta)'!$C$90="Swap hero prompt",S741,IF('Paste Editor (Beta)'!$C$90="Anvil prompt",AD741,"")))))))</f>
        <v>0</v>
      </c>
      <c r="AK741" s="283">
        <f>IF('Paste Editor (Beta)'!$C$90="Level-up prompt",G742,IF('Paste Editor (Beta)'!$C$90="Item prompt",E742,IF('Paste Editor (Beta)'!$C$90="Modifier prompt","'"&amp;B742,IF('Paste Editor (Beta)'!$C$90="Challenge prompt",E742,IF('Paste Editor (Beta)'!$C$90="Reroll class prompt",S741,IF('Paste Editor (Beta)'!$C$90="Swap hero prompt",S741,IF('Paste Editor (Beta)'!$C$90="Anvil prompt",AD741,"")))))))</f>
        <v>0</v>
      </c>
    </row>
    <row r="742" spans="2:37" ht="17.25">
      <c r="B742" s="284" t="s">
        <v>2870</v>
      </c>
      <c r="C742" s="284" t="s">
        <v>2870</v>
      </c>
      <c r="D742" s="284" t="s">
        <v>2870</v>
      </c>
      <c r="AH742" s="280" t="str">
        <f>IF('Paste Editor (Beta)'!$C$82="Level-up prompt",G743,IF('Paste Editor (Beta)'!$C$82="Item prompt",E743,IF('Paste Editor (Beta)'!$C$82="Modifier prompt","'"&amp;B743,IF('Paste Editor (Beta)'!$C$82="Challenge prompt",L743,IF('Paste Editor (Beta)'!$C$82="Reroll class prompt",S742,IF('Paste Editor (Beta)'!$C$82="Swap hero prompt",S742,IF('Paste Editor (Beta)'!$C$82="Anvil prompt",AD742,"")))))))</f>
        <v/>
      </c>
      <c r="AI742" s="280" t="str">
        <f>IF('Paste Editor (Beta)'!$C$82="Level-up prompt",G743,IF('Paste Editor (Beta)'!$C$82="Item prompt",E743,IF('Paste Editor (Beta)'!$C$82="Modifier prompt","'"&amp;B743,IF('Paste Editor (Beta)'!$C$82="Challenge prompt",E743,IF('Paste Editor (Beta)'!$C$82="Reroll class prompt",S742,IF('Paste Editor (Beta)'!$C$82="Swap hero prompt",S742,IF('Paste Editor (Beta)'!$C$82="Anvil prompt",AD742,"")))))))</f>
        <v/>
      </c>
      <c r="AJ742" s="283">
        <f>IF('Paste Editor (Beta)'!$C$90="Level-up prompt",G743,IF('Paste Editor (Beta)'!$C$90="Item prompt",E743,IF('Paste Editor (Beta)'!$C$90="Modifier prompt","'"&amp;B743,IF('Paste Editor (Beta)'!$C$90="Challenge prompt",L743,IF('Paste Editor (Beta)'!$C$90="Reroll class prompt",S742,IF('Paste Editor (Beta)'!$C$90="Swap hero prompt",S742,IF('Paste Editor (Beta)'!$C$90="Anvil prompt",AD742,"")))))))</f>
        <v>0</v>
      </c>
      <c r="AK742" s="283">
        <f>IF('Paste Editor (Beta)'!$C$90="Level-up prompt",G743,IF('Paste Editor (Beta)'!$C$90="Item prompt",E743,IF('Paste Editor (Beta)'!$C$90="Modifier prompt","'"&amp;B743,IF('Paste Editor (Beta)'!$C$90="Challenge prompt",E743,IF('Paste Editor (Beta)'!$C$90="Reroll class prompt",S742,IF('Paste Editor (Beta)'!$C$90="Swap hero prompt",S742,IF('Paste Editor (Beta)'!$C$90="Anvil prompt",AD742,"")))))))</f>
        <v>0</v>
      </c>
    </row>
    <row r="743" spans="2:37" ht="17.25">
      <c r="B743" s="284" t="s">
        <v>2841</v>
      </c>
      <c r="C743" s="284" t="s">
        <v>2841</v>
      </c>
      <c r="D743" s="284" t="s">
        <v>2841</v>
      </c>
      <c r="AH743" s="280" t="str">
        <f>IF('Paste Editor (Beta)'!$C$82="Level-up prompt",G744,IF('Paste Editor (Beta)'!$C$82="Item prompt",E744,IF('Paste Editor (Beta)'!$C$82="Modifier prompt","'"&amp;B744,IF('Paste Editor (Beta)'!$C$82="Challenge prompt",L744,IF('Paste Editor (Beta)'!$C$82="Reroll class prompt",S743,IF('Paste Editor (Beta)'!$C$82="Swap hero prompt",S743,IF('Paste Editor (Beta)'!$C$82="Anvil prompt",AD743,"")))))))</f>
        <v/>
      </c>
      <c r="AI743" s="280" t="str">
        <f>IF('Paste Editor (Beta)'!$C$82="Level-up prompt",G744,IF('Paste Editor (Beta)'!$C$82="Item prompt",E744,IF('Paste Editor (Beta)'!$C$82="Modifier prompt","'"&amp;B744,IF('Paste Editor (Beta)'!$C$82="Challenge prompt",E744,IF('Paste Editor (Beta)'!$C$82="Reroll class prompt",S743,IF('Paste Editor (Beta)'!$C$82="Swap hero prompt",S743,IF('Paste Editor (Beta)'!$C$82="Anvil prompt",AD743,"")))))))</f>
        <v/>
      </c>
      <c r="AJ743" s="283">
        <f>IF('Paste Editor (Beta)'!$C$90="Level-up prompt",G744,IF('Paste Editor (Beta)'!$C$90="Item prompt",E744,IF('Paste Editor (Beta)'!$C$90="Modifier prompt","'"&amp;B744,IF('Paste Editor (Beta)'!$C$90="Challenge prompt",L744,IF('Paste Editor (Beta)'!$C$90="Reroll class prompt",S743,IF('Paste Editor (Beta)'!$C$90="Swap hero prompt",S743,IF('Paste Editor (Beta)'!$C$90="Anvil prompt",AD743,"")))))))</f>
        <v>0</v>
      </c>
      <c r="AK743" s="283">
        <f>IF('Paste Editor (Beta)'!$C$90="Level-up prompt",G744,IF('Paste Editor (Beta)'!$C$90="Item prompt",E744,IF('Paste Editor (Beta)'!$C$90="Modifier prompt","'"&amp;B744,IF('Paste Editor (Beta)'!$C$90="Challenge prompt",E744,IF('Paste Editor (Beta)'!$C$90="Reroll class prompt",S743,IF('Paste Editor (Beta)'!$C$90="Swap hero prompt",S743,IF('Paste Editor (Beta)'!$C$90="Anvil prompt",AD743,"")))))))</f>
        <v>0</v>
      </c>
    </row>
    <row r="744" spans="2:37" ht="17.25">
      <c r="B744" s="284" t="s">
        <v>2796</v>
      </c>
      <c r="C744" s="284" t="s">
        <v>2796</v>
      </c>
      <c r="D744" s="284" t="s">
        <v>2796</v>
      </c>
      <c r="AH744" s="280" t="str">
        <f>IF('Paste Editor (Beta)'!$C$82="Level-up prompt",G745,IF('Paste Editor (Beta)'!$C$82="Item prompt",E745,IF('Paste Editor (Beta)'!$C$82="Modifier prompt","'"&amp;B745,IF('Paste Editor (Beta)'!$C$82="Challenge prompt",L745,IF('Paste Editor (Beta)'!$C$82="Reroll class prompt",S744,IF('Paste Editor (Beta)'!$C$82="Swap hero prompt",S744,IF('Paste Editor (Beta)'!$C$82="Anvil prompt",AD744,"")))))))</f>
        <v/>
      </c>
      <c r="AI744" s="280" t="str">
        <f>IF('Paste Editor (Beta)'!$C$82="Level-up prompt",G745,IF('Paste Editor (Beta)'!$C$82="Item prompt",E745,IF('Paste Editor (Beta)'!$C$82="Modifier prompt","'"&amp;B745,IF('Paste Editor (Beta)'!$C$82="Challenge prompt",E745,IF('Paste Editor (Beta)'!$C$82="Reroll class prompt",S744,IF('Paste Editor (Beta)'!$C$82="Swap hero prompt",S744,IF('Paste Editor (Beta)'!$C$82="Anvil prompt",AD744,"")))))))</f>
        <v/>
      </c>
      <c r="AJ744" s="283">
        <f>IF('Paste Editor (Beta)'!$C$90="Level-up prompt",G745,IF('Paste Editor (Beta)'!$C$90="Item prompt",E745,IF('Paste Editor (Beta)'!$C$90="Modifier prompt","'"&amp;B745,IF('Paste Editor (Beta)'!$C$90="Challenge prompt",L745,IF('Paste Editor (Beta)'!$C$90="Reroll class prompt",S744,IF('Paste Editor (Beta)'!$C$90="Swap hero prompt",S744,IF('Paste Editor (Beta)'!$C$90="Anvil prompt",AD744,"")))))))</f>
        <v>0</v>
      </c>
      <c r="AK744" s="283">
        <f>IF('Paste Editor (Beta)'!$C$90="Level-up prompt",G745,IF('Paste Editor (Beta)'!$C$90="Item prompt",E745,IF('Paste Editor (Beta)'!$C$90="Modifier prompt","'"&amp;B745,IF('Paste Editor (Beta)'!$C$90="Challenge prompt",E745,IF('Paste Editor (Beta)'!$C$90="Reroll class prompt",S744,IF('Paste Editor (Beta)'!$C$90="Swap hero prompt",S744,IF('Paste Editor (Beta)'!$C$90="Anvil prompt",AD744,"")))))))</f>
        <v>0</v>
      </c>
    </row>
    <row r="745" spans="2:37" ht="17.25">
      <c r="B745" s="284" t="s">
        <v>2645</v>
      </c>
      <c r="C745" s="284" t="s">
        <v>2645</v>
      </c>
      <c r="D745" s="284" t="s">
        <v>2645</v>
      </c>
      <c r="AH745" s="280" t="str">
        <f>IF('Paste Editor (Beta)'!$C$82="Level-up prompt",G746,IF('Paste Editor (Beta)'!$C$82="Item prompt",E746,IF('Paste Editor (Beta)'!$C$82="Modifier prompt","'"&amp;B746,IF('Paste Editor (Beta)'!$C$82="Challenge prompt",L746,IF('Paste Editor (Beta)'!$C$82="Reroll class prompt",S745,IF('Paste Editor (Beta)'!$C$82="Swap hero prompt",S745,IF('Paste Editor (Beta)'!$C$82="Anvil prompt",AD745,"")))))))</f>
        <v/>
      </c>
      <c r="AI745" s="280" t="str">
        <f>IF('Paste Editor (Beta)'!$C$82="Level-up prompt",G746,IF('Paste Editor (Beta)'!$C$82="Item prompt",E746,IF('Paste Editor (Beta)'!$C$82="Modifier prompt","'"&amp;B746,IF('Paste Editor (Beta)'!$C$82="Challenge prompt",E746,IF('Paste Editor (Beta)'!$C$82="Reroll class prompt",S745,IF('Paste Editor (Beta)'!$C$82="Swap hero prompt",S745,IF('Paste Editor (Beta)'!$C$82="Anvil prompt",AD745,"")))))))</f>
        <v/>
      </c>
      <c r="AJ745" s="283">
        <f>IF('Paste Editor (Beta)'!$C$90="Level-up prompt",G746,IF('Paste Editor (Beta)'!$C$90="Item prompt",E746,IF('Paste Editor (Beta)'!$C$90="Modifier prompt","'"&amp;B746,IF('Paste Editor (Beta)'!$C$90="Challenge prompt",L746,IF('Paste Editor (Beta)'!$C$90="Reroll class prompt",S745,IF('Paste Editor (Beta)'!$C$90="Swap hero prompt",S745,IF('Paste Editor (Beta)'!$C$90="Anvil prompt",AD745,"")))))))</f>
        <v>0</v>
      </c>
      <c r="AK745" s="283">
        <f>IF('Paste Editor (Beta)'!$C$90="Level-up prompt",G746,IF('Paste Editor (Beta)'!$C$90="Item prompt",E746,IF('Paste Editor (Beta)'!$C$90="Modifier prompt","'"&amp;B746,IF('Paste Editor (Beta)'!$C$90="Challenge prompt",E746,IF('Paste Editor (Beta)'!$C$90="Reroll class prompt",S745,IF('Paste Editor (Beta)'!$C$90="Swap hero prompt",S745,IF('Paste Editor (Beta)'!$C$90="Anvil prompt",AD745,"")))))))</f>
        <v>0</v>
      </c>
    </row>
    <row r="746" spans="2:37" ht="17.25">
      <c r="B746" s="284" t="s">
        <v>2824</v>
      </c>
      <c r="C746" s="284" t="s">
        <v>2824</v>
      </c>
      <c r="D746" s="284" t="s">
        <v>2824</v>
      </c>
      <c r="AH746" s="280" t="str">
        <f>IF('Paste Editor (Beta)'!$C$82="Level-up prompt",G747,IF('Paste Editor (Beta)'!$C$82="Item prompt",E747,IF('Paste Editor (Beta)'!$C$82="Modifier prompt","'"&amp;B747,IF('Paste Editor (Beta)'!$C$82="Challenge prompt",L747,IF('Paste Editor (Beta)'!$C$82="Reroll class prompt",S746,IF('Paste Editor (Beta)'!$C$82="Swap hero prompt",S746,IF('Paste Editor (Beta)'!$C$82="Anvil prompt",AD746,"")))))))</f>
        <v/>
      </c>
      <c r="AI746" s="280" t="str">
        <f>IF('Paste Editor (Beta)'!$C$82="Level-up prompt",G747,IF('Paste Editor (Beta)'!$C$82="Item prompt",E747,IF('Paste Editor (Beta)'!$C$82="Modifier prompt","'"&amp;B747,IF('Paste Editor (Beta)'!$C$82="Challenge prompt",E747,IF('Paste Editor (Beta)'!$C$82="Reroll class prompt",S746,IF('Paste Editor (Beta)'!$C$82="Swap hero prompt",S746,IF('Paste Editor (Beta)'!$C$82="Anvil prompt",AD746,"")))))))</f>
        <v/>
      </c>
      <c r="AJ746" s="283">
        <f>IF('Paste Editor (Beta)'!$C$90="Level-up prompt",G747,IF('Paste Editor (Beta)'!$C$90="Item prompt",E747,IF('Paste Editor (Beta)'!$C$90="Modifier prompt","'"&amp;B747,IF('Paste Editor (Beta)'!$C$90="Challenge prompt",L747,IF('Paste Editor (Beta)'!$C$90="Reroll class prompt",S746,IF('Paste Editor (Beta)'!$C$90="Swap hero prompt",S746,IF('Paste Editor (Beta)'!$C$90="Anvil prompt",AD746,"")))))))</f>
        <v>0</v>
      </c>
      <c r="AK746" s="283">
        <f>IF('Paste Editor (Beta)'!$C$90="Level-up prompt",G747,IF('Paste Editor (Beta)'!$C$90="Item prompt",E747,IF('Paste Editor (Beta)'!$C$90="Modifier prompt","'"&amp;B747,IF('Paste Editor (Beta)'!$C$90="Challenge prompt",E747,IF('Paste Editor (Beta)'!$C$90="Reroll class prompt",S746,IF('Paste Editor (Beta)'!$C$90="Swap hero prompt",S746,IF('Paste Editor (Beta)'!$C$90="Anvil prompt",AD746,"")))))))</f>
        <v>0</v>
      </c>
    </row>
    <row r="747" spans="2:37" ht="17.25">
      <c r="B747" s="284" t="s">
        <v>2845</v>
      </c>
      <c r="C747" s="284" t="s">
        <v>2845</v>
      </c>
      <c r="D747" s="284" t="s">
        <v>2845</v>
      </c>
      <c r="AH747" s="280" t="str">
        <f>IF('Paste Editor (Beta)'!$C$82="Level-up prompt",G748,IF('Paste Editor (Beta)'!$C$82="Item prompt",E748,IF('Paste Editor (Beta)'!$C$82="Modifier prompt","'"&amp;B748,IF('Paste Editor (Beta)'!$C$82="Challenge prompt",L748,IF('Paste Editor (Beta)'!$C$82="Reroll class prompt",S747,IF('Paste Editor (Beta)'!$C$82="Swap hero prompt",S747,IF('Paste Editor (Beta)'!$C$82="Anvil prompt",AD747,"")))))))</f>
        <v/>
      </c>
      <c r="AI747" s="280" t="str">
        <f>IF('Paste Editor (Beta)'!$C$82="Level-up prompt",G748,IF('Paste Editor (Beta)'!$C$82="Item prompt",E748,IF('Paste Editor (Beta)'!$C$82="Modifier prompt","'"&amp;B748,IF('Paste Editor (Beta)'!$C$82="Challenge prompt",E748,IF('Paste Editor (Beta)'!$C$82="Reroll class prompt",S747,IF('Paste Editor (Beta)'!$C$82="Swap hero prompt",S747,IF('Paste Editor (Beta)'!$C$82="Anvil prompt",AD747,"")))))))</f>
        <v/>
      </c>
      <c r="AJ747" s="283">
        <f>IF('Paste Editor (Beta)'!$C$90="Level-up prompt",G748,IF('Paste Editor (Beta)'!$C$90="Item prompt",E748,IF('Paste Editor (Beta)'!$C$90="Modifier prompt","'"&amp;B748,IF('Paste Editor (Beta)'!$C$90="Challenge prompt",L748,IF('Paste Editor (Beta)'!$C$90="Reroll class prompt",S747,IF('Paste Editor (Beta)'!$C$90="Swap hero prompt",S747,IF('Paste Editor (Beta)'!$C$90="Anvil prompt",AD747,"")))))))</f>
        <v>0</v>
      </c>
      <c r="AK747" s="283">
        <f>IF('Paste Editor (Beta)'!$C$90="Level-up prompt",G748,IF('Paste Editor (Beta)'!$C$90="Item prompt",E748,IF('Paste Editor (Beta)'!$C$90="Modifier prompt","'"&amp;B748,IF('Paste Editor (Beta)'!$C$90="Challenge prompt",E748,IF('Paste Editor (Beta)'!$C$90="Reroll class prompt",S747,IF('Paste Editor (Beta)'!$C$90="Swap hero prompt",S747,IF('Paste Editor (Beta)'!$C$90="Anvil prompt",AD747,"")))))))</f>
        <v>0</v>
      </c>
    </row>
    <row r="748" spans="2:37" ht="17.25">
      <c r="B748" s="284" t="s">
        <v>2546</v>
      </c>
      <c r="C748" s="284" t="s">
        <v>2546</v>
      </c>
      <c r="D748" s="284" t="s">
        <v>2546</v>
      </c>
      <c r="AH748" s="280" t="str">
        <f>IF('Paste Editor (Beta)'!$C$82="Level-up prompt",G749,IF('Paste Editor (Beta)'!$C$82="Item prompt",E749,IF('Paste Editor (Beta)'!$C$82="Modifier prompt","'"&amp;B749,IF('Paste Editor (Beta)'!$C$82="Challenge prompt",L749,IF('Paste Editor (Beta)'!$C$82="Reroll class prompt",S748,IF('Paste Editor (Beta)'!$C$82="Swap hero prompt",S748,IF('Paste Editor (Beta)'!$C$82="Anvil prompt",AD748,"")))))))</f>
        <v/>
      </c>
      <c r="AI748" s="280" t="str">
        <f>IF('Paste Editor (Beta)'!$C$82="Level-up prompt",G749,IF('Paste Editor (Beta)'!$C$82="Item prompt",E749,IF('Paste Editor (Beta)'!$C$82="Modifier prompt","'"&amp;B749,IF('Paste Editor (Beta)'!$C$82="Challenge prompt",E749,IF('Paste Editor (Beta)'!$C$82="Reroll class prompt",S748,IF('Paste Editor (Beta)'!$C$82="Swap hero prompt",S748,IF('Paste Editor (Beta)'!$C$82="Anvil prompt",AD748,"")))))))</f>
        <v/>
      </c>
      <c r="AJ748" s="283">
        <f>IF('Paste Editor (Beta)'!$C$90="Level-up prompt",G749,IF('Paste Editor (Beta)'!$C$90="Item prompt",E749,IF('Paste Editor (Beta)'!$C$90="Modifier prompt","'"&amp;B749,IF('Paste Editor (Beta)'!$C$90="Challenge prompt",L749,IF('Paste Editor (Beta)'!$C$90="Reroll class prompt",S748,IF('Paste Editor (Beta)'!$C$90="Swap hero prompt",S748,IF('Paste Editor (Beta)'!$C$90="Anvil prompt",AD748,"")))))))</f>
        <v>0</v>
      </c>
      <c r="AK748" s="283">
        <f>IF('Paste Editor (Beta)'!$C$90="Level-up prompt",G749,IF('Paste Editor (Beta)'!$C$90="Item prompt",E749,IF('Paste Editor (Beta)'!$C$90="Modifier prompt","'"&amp;B749,IF('Paste Editor (Beta)'!$C$90="Challenge prompt",E749,IF('Paste Editor (Beta)'!$C$90="Reroll class prompt",S748,IF('Paste Editor (Beta)'!$C$90="Swap hero prompt",S748,IF('Paste Editor (Beta)'!$C$90="Anvil prompt",AD748,"")))))))</f>
        <v>0</v>
      </c>
    </row>
    <row r="749" spans="2:37" ht="17.25">
      <c r="B749" s="284" t="s">
        <v>2826</v>
      </c>
      <c r="C749" s="284" t="s">
        <v>2826</v>
      </c>
      <c r="D749" s="284" t="s">
        <v>2826</v>
      </c>
      <c r="AH749" s="280" t="str">
        <f>IF('Paste Editor (Beta)'!$C$82="Level-up prompt",G750,IF('Paste Editor (Beta)'!$C$82="Item prompt",E750,IF('Paste Editor (Beta)'!$C$82="Modifier prompt","'"&amp;B750,IF('Paste Editor (Beta)'!$C$82="Challenge prompt",L750,IF('Paste Editor (Beta)'!$C$82="Reroll class prompt",S749,IF('Paste Editor (Beta)'!$C$82="Swap hero prompt",S749,IF('Paste Editor (Beta)'!$C$82="Anvil prompt",AD749,"")))))))</f>
        <v/>
      </c>
      <c r="AI749" s="280" t="str">
        <f>IF('Paste Editor (Beta)'!$C$82="Level-up prompt",G750,IF('Paste Editor (Beta)'!$C$82="Item prompt",E750,IF('Paste Editor (Beta)'!$C$82="Modifier prompt","'"&amp;B750,IF('Paste Editor (Beta)'!$C$82="Challenge prompt",E750,IF('Paste Editor (Beta)'!$C$82="Reroll class prompt",S749,IF('Paste Editor (Beta)'!$C$82="Swap hero prompt",S749,IF('Paste Editor (Beta)'!$C$82="Anvil prompt",AD749,"")))))))</f>
        <v/>
      </c>
      <c r="AJ749" s="283">
        <f>IF('Paste Editor (Beta)'!$C$90="Level-up prompt",G750,IF('Paste Editor (Beta)'!$C$90="Item prompt",E750,IF('Paste Editor (Beta)'!$C$90="Modifier prompt","'"&amp;B750,IF('Paste Editor (Beta)'!$C$90="Challenge prompt",L750,IF('Paste Editor (Beta)'!$C$90="Reroll class prompt",S749,IF('Paste Editor (Beta)'!$C$90="Swap hero prompt",S749,IF('Paste Editor (Beta)'!$C$90="Anvil prompt",AD749,"")))))))</f>
        <v>0</v>
      </c>
      <c r="AK749" s="283">
        <f>IF('Paste Editor (Beta)'!$C$90="Level-up prompt",G750,IF('Paste Editor (Beta)'!$C$90="Item prompt",E750,IF('Paste Editor (Beta)'!$C$90="Modifier prompt","'"&amp;B750,IF('Paste Editor (Beta)'!$C$90="Challenge prompt",E750,IF('Paste Editor (Beta)'!$C$90="Reroll class prompt",S749,IF('Paste Editor (Beta)'!$C$90="Swap hero prompt",S749,IF('Paste Editor (Beta)'!$C$90="Anvil prompt",AD749,"")))))))</f>
        <v>0</v>
      </c>
    </row>
    <row r="750" spans="2:37" ht="17.25">
      <c r="B750" s="284" t="s">
        <v>2778</v>
      </c>
      <c r="C750" s="284" t="s">
        <v>2778</v>
      </c>
      <c r="D750" s="284" t="s">
        <v>2778</v>
      </c>
      <c r="AH750" s="280" t="str">
        <f>IF('Paste Editor (Beta)'!$C$82="Level-up prompt",G751,IF('Paste Editor (Beta)'!$C$82="Item prompt",E751,IF('Paste Editor (Beta)'!$C$82="Modifier prompt","'"&amp;B751,IF('Paste Editor (Beta)'!$C$82="Challenge prompt",L751,IF('Paste Editor (Beta)'!$C$82="Reroll class prompt",S750,IF('Paste Editor (Beta)'!$C$82="Swap hero prompt",S750,IF('Paste Editor (Beta)'!$C$82="Anvil prompt",AD750,"")))))))</f>
        <v/>
      </c>
      <c r="AI750" s="280" t="str">
        <f>IF('Paste Editor (Beta)'!$C$82="Level-up prompt",G751,IF('Paste Editor (Beta)'!$C$82="Item prompt",E751,IF('Paste Editor (Beta)'!$C$82="Modifier prompt","'"&amp;B751,IF('Paste Editor (Beta)'!$C$82="Challenge prompt",E751,IF('Paste Editor (Beta)'!$C$82="Reroll class prompt",S750,IF('Paste Editor (Beta)'!$C$82="Swap hero prompt",S750,IF('Paste Editor (Beta)'!$C$82="Anvil prompt",AD750,"")))))))</f>
        <v/>
      </c>
      <c r="AJ750" s="283">
        <f>IF('Paste Editor (Beta)'!$C$90="Level-up prompt",G751,IF('Paste Editor (Beta)'!$C$90="Item prompt",E751,IF('Paste Editor (Beta)'!$C$90="Modifier prompt","'"&amp;B751,IF('Paste Editor (Beta)'!$C$90="Challenge prompt",L751,IF('Paste Editor (Beta)'!$C$90="Reroll class prompt",S750,IF('Paste Editor (Beta)'!$C$90="Swap hero prompt",S750,IF('Paste Editor (Beta)'!$C$90="Anvil prompt",AD750,"")))))))</f>
        <v>0</v>
      </c>
      <c r="AK750" s="283">
        <f>IF('Paste Editor (Beta)'!$C$90="Level-up prompt",G751,IF('Paste Editor (Beta)'!$C$90="Item prompt",E751,IF('Paste Editor (Beta)'!$C$90="Modifier prompt","'"&amp;B751,IF('Paste Editor (Beta)'!$C$90="Challenge prompt",E751,IF('Paste Editor (Beta)'!$C$90="Reroll class prompt",S750,IF('Paste Editor (Beta)'!$C$90="Swap hero prompt",S750,IF('Paste Editor (Beta)'!$C$90="Anvil prompt",AD750,"")))))))</f>
        <v>0</v>
      </c>
    </row>
    <row r="751" spans="2:37" ht="17.25">
      <c r="B751" s="284" t="s">
        <v>2774</v>
      </c>
      <c r="C751" s="284" t="s">
        <v>2774</v>
      </c>
      <c r="D751" s="284" t="s">
        <v>2774</v>
      </c>
      <c r="AH751" s="280" t="str">
        <f>IF('Paste Editor (Beta)'!$C$82="Level-up prompt",G752,IF('Paste Editor (Beta)'!$C$82="Item prompt",E752,IF('Paste Editor (Beta)'!$C$82="Modifier prompt","'"&amp;B752,IF('Paste Editor (Beta)'!$C$82="Challenge prompt",L752,IF('Paste Editor (Beta)'!$C$82="Reroll class prompt",S751,IF('Paste Editor (Beta)'!$C$82="Swap hero prompt",S751,IF('Paste Editor (Beta)'!$C$82="Anvil prompt",AD751,"")))))))</f>
        <v/>
      </c>
      <c r="AI751" s="280" t="str">
        <f>IF('Paste Editor (Beta)'!$C$82="Level-up prompt",G752,IF('Paste Editor (Beta)'!$C$82="Item prompt",E752,IF('Paste Editor (Beta)'!$C$82="Modifier prompt","'"&amp;B752,IF('Paste Editor (Beta)'!$C$82="Challenge prompt",E752,IF('Paste Editor (Beta)'!$C$82="Reroll class prompt",S751,IF('Paste Editor (Beta)'!$C$82="Swap hero prompt",S751,IF('Paste Editor (Beta)'!$C$82="Anvil prompt",AD751,"")))))))</f>
        <v/>
      </c>
      <c r="AJ751" s="283">
        <f>IF('Paste Editor (Beta)'!$C$90="Level-up prompt",G752,IF('Paste Editor (Beta)'!$C$90="Item prompt",E752,IF('Paste Editor (Beta)'!$C$90="Modifier prompt","'"&amp;B752,IF('Paste Editor (Beta)'!$C$90="Challenge prompt",L752,IF('Paste Editor (Beta)'!$C$90="Reroll class prompt",S751,IF('Paste Editor (Beta)'!$C$90="Swap hero prompt",S751,IF('Paste Editor (Beta)'!$C$90="Anvil prompt",AD751,"")))))))</f>
        <v>0</v>
      </c>
      <c r="AK751" s="283">
        <f>IF('Paste Editor (Beta)'!$C$90="Level-up prompt",G752,IF('Paste Editor (Beta)'!$C$90="Item prompt",E752,IF('Paste Editor (Beta)'!$C$90="Modifier prompt","'"&amp;B752,IF('Paste Editor (Beta)'!$C$90="Challenge prompt",E752,IF('Paste Editor (Beta)'!$C$90="Reroll class prompt",S751,IF('Paste Editor (Beta)'!$C$90="Swap hero prompt",S751,IF('Paste Editor (Beta)'!$C$90="Anvil prompt",AD751,"")))))))</f>
        <v>0</v>
      </c>
    </row>
    <row r="752" spans="2:37" ht="17.25">
      <c r="B752" s="284" t="s">
        <v>2714</v>
      </c>
      <c r="C752" s="284" t="s">
        <v>2714</v>
      </c>
      <c r="D752" s="284" t="s">
        <v>2714</v>
      </c>
      <c r="AH752" s="280" t="str">
        <f>IF('Paste Editor (Beta)'!$C$82="Level-up prompt",G753,IF('Paste Editor (Beta)'!$C$82="Item prompt",E753,IF('Paste Editor (Beta)'!$C$82="Modifier prompt","'"&amp;B753,IF('Paste Editor (Beta)'!$C$82="Challenge prompt",L753,IF('Paste Editor (Beta)'!$C$82="Reroll class prompt",S752,IF('Paste Editor (Beta)'!$C$82="Swap hero prompt",S752,IF('Paste Editor (Beta)'!$C$82="Anvil prompt",AD752,"")))))))</f>
        <v/>
      </c>
      <c r="AI752" s="280" t="str">
        <f>IF('Paste Editor (Beta)'!$C$82="Level-up prompt",G753,IF('Paste Editor (Beta)'!$C$82="Item prompt",E753,IF('Paste Editor (Beta)'!$C$82="Modifier prompt","'"&amp;B753,IF('Paste Editor (Beta)'!$C$82="Challenge prompt",E753,IF('Paste Editor (Beta)'!$C$82="Reroll class prompt",S752,IF('Paste Editor (Beta)'!$C$82="Swap hero prompt",S752,IF('Paste Editor (Beta)'!$C$82="Anvil prompt",AD752,"")))))))</f>
        <v/>
      </c>
      <c r="AJ752" s="283">
        <f>IF('Paste Editor (Beta)'!$C$90="Level-up prompt",G753,IF('Paste Editor (Beta)'!$C$90="Item prompt",E753,IF('Paste Editor (Beta)'!$C$90="Modifier prompt","'"&amp;B753,IF('Paste Editor (Beta)'!$C$90="Challenge prompt",L753,IF('Paste Editor (Beta)'!$C$90="Reroll class prompt",S752,IF('Paste Editor (Beta)'!$C$90="Swap hero prompt",S752,IF('Paste Editor (Beta)'!$C$90="Anvil prompt",AD752,"")))))))</f>
        <v>0</v>
      </c>
      <c r="AK752" s="283">
        <f>IF('Paste Editor (Beta)'!$C$90="Level-up prompt",G753,IF('Paste Editor (Beta)'!$C$90="Item prompt",E753,IF('Paste Editor (Beta)'!$C$90="Modifier prompt","'"&amp;B753,IF('Paste Editor (Beta)'!$C$90="Challenge prompt",E753,IF('Paste Editor (Beta)'!$C$90="Reroll class prompt",S752,IF('Paste Editor (Beta)'!$C$90="Swap hero prompt",S752,IF('Paste Editor (Beta)'!$C$90="Anvil prompt",AD752,"")))))))</f>
        <v>0</v>
      </c>
    </row>
    <row r="753" spans="2:37" ht="17.25">
      <c r="B753" s="284" t="s">
        <v>2863</v>
      </c>
      <c r="C753" s="284" t="s">
        <v>2863</v>
      </c>
      <c r="D753" s="284" t="s">
        <v>2863</v>
      </c>
      <c r="AH753" s="280" t="str">
        <f>IF('Paste Editor (Beta)'!$C$82="Level-up prompt",G754,IF('Paste Editor (Beta)'!$C$82="Item prompt",E754,IF('Paste Editor (Beta)'!$C$82="Modifier prompt","'"&amp;B754,IF('Paste Editor (Beta)'!$C$82="Challenge prompt",L754,IF('Paste Editor (Beta)'!$C$82="Reroll class prompt",S753,IF('Paste Editor (Beta)'!$C$82="Swap hero prompt",S753,IF('Paste Editor (Beta)'!$C$82="Anvil prompt",AD753,"")))))))</f>
        <v/>
      </c>
      <c r="AI753" s="280" t="str">
        <f>IF('Paste Editor (Beta)'!$C$82="Level-up prompt",G754,IF('Paste Editor (Beta)'!$C$82="Item prompt",E754,IF('Paste Editor (Beta)'!$C$82="Modifier prompt","'"&amp;B754,IF('Paste Editor (Beta)'!$C$82="Challenge prompt",E754,IF('Paste Editor (Beta)'!$C$82="Reroll class prompt",S753,IF('Paste Editor (Beta)'!$C$82="Swap hero prompt",S753,IF('Paste Editor (Beta)'!$C$82="Anvil prompt",AD753,"")))))))</f>
        <v/>
      </c>
      <c r="AJ753" s="283">
        <f>IF('Paste Editor (Beta)'!$C$90="Level-up prompt",G754,IF('Paste Editor (Beta)'!$C$90="Item prompt",E754,IF('Paste Editor (Beta)'!$C$90="Modifier prompt","'"&amp;B754,IF('Paste Editor (Beta)'!$C$90="Challenge prompt",L754,IF('Paste Editor (Beta)'!$C$90="Reroll class prompt",S753,IF('Paste Editor (Beta)'!$C$90="Swap hero prompt",S753,IF('Paste Editor (Beta)'!$C$90="Anvil prompt",AD753,"")))))))</f>
        <v>0</v>
      </c>
      <c r="AK753" s="283">
        <f>IF('Paste Editor (Beta)'!$C$90="Level-up prompt",G754,IF('Paste Editor (Beta)'!$C$90="Item prompt",E754,IF('Paste Editor (Beta)'!$C$90="Modifier prompt","'"&amp;B754,IF('Paste Editor (Beta)'!$C$90="Challenge prompt",E754,IF('Paste Editor (Beta)'!$C$90="Reroll class prompt",S753,IF('Paste Editor (Beta)'!$C$90="Swap hero prompt",S753,IF('Paste Editor (Beta)'!$C$90="Anvil prompt",AD753,"")))))))</f>
        <v>0</v>
      </c>
    </row>
    <row r="754" spans="2:37" ht="17.25">
      <c r="B754" s="284" t="s">
        <v>2755</v>
      </c>
      <c r="C754" s="284" t="s">
        <v>2755</v>
      </c>
      <c r="D754" s="284" t="s">
        <v>2755</v>
      </c>
      <c r="AH754" s="280" t="str">
        <f>IF('Paste Editor (Beta)'!$C$82="Level-up prompt",G755,IF('Paste Editor (Beta)'!$C$82="Item prompt",E755,IF('Paste Editor (Beta)'!$C$82="Modifier prompt","'"&amp;B755,IF('Paste Editor (Beta)'!$C$82="Challenge prompt",L755,IF('Paste Editor (Beta)'!$C$82="Reroll class prompt",S754,IF('Paste Editor (Beta)'!$C$82="Swap hero prompt",S754,IF('Paste Editor (Beta)'!$C$82="Anvil prompt",AD754,"")))))))</f>
        <v/>
      </c>
      <c r="AI754" s="280" t="str">
        <f>IF('Paste Editor (Beta)'!$C$82="Level-up prompt",G755,IF('Paste Editor (Beta)'!$C$82="Item prompt",E755,IF('Paste Editor (Beta)'!$C$82="Modifier prompt","'"&amp;B755,IF('Paste Editor (Beta)'!$C$82="Challenge prompt",E755,IF('Paste Editor (Beta)'!$C$82="Reroll class prompt",S754,IF('Paste Editor (Beta)'!$C$82="Swap hero prompt",S754,IF('Paste Editor (Beta)'!$C$82="Anvil prompt",AD754,"")))))))</f>
        <v/>
      </c>
      <c r="AJ754" s="283">
        <f>IF('Paste Editor (Beta)'!$C$90="Level-up prompt",G755,IF('Paste Editor (Beta)'!$C$90="Item prompt",E755,IF('Paste Editor (Beta)'!$C$90="Modifier prompt","'"&amp;B755,IF('Paste Editor (Beta)'!$C$90="Challenge prompt",L755,IF('Paste Editor (Beta)'!$C$90="Reroll class prompt",S754,IF('Paste Editor (Beta)'!$C$90="Swap hero prompt",S754,IF('Paste Editor (Beta)'!$C$90="Anvil prompt",AD754,"")))))))</f>
        <v>0</v>
      </c>
      <c r="AK754" s="283">
        <f>IF('Paste Editor (Beta)'!$C$90="Level-up prompt",G755,IF('Paste Editor (Beta)'!$C$90="Item prompt",E755,IF('Paste Editor (Beta)'!$C$90="Modifier prompt","'"&amp;B755,IF('Paste Editor (Beta)'!$C$90="Challenge prompt",E755,IF('Paste Editor (Beta)'!$C$90="Reroll class prompt",S754,IF('Paste Editor (Beta)'!$C$90="Swap hero prompt",S754,IF('Paste Editor (Beta)'!$C$90="Anvil prompt",AD754,"")))))))</f>
        <v>0</v>
      </c>
    </row>
    <row r="755" spans="2:37" ht="17.25">
      <c r="B755" s="284" t="s">
        <v>2790</v>
      </c>
      <c r="C755" s="284" t="s">
        <v>2790</v>
      </c>
      <c r="D755" s="284" t="s">
        <v>2790</v>
      </c>
      <c r="AH755" s="280" t="str">
        <f>IF('Paste Editor (Beta)'!$C$82="Level-up prompt",G756,IF('Paste Editor (Beta)'!$C$82="Item prompt",E756,IF('Paste Editor (Beta)'!$C$82="Modifier prompt","'"&amp;B756,IF('Paste Editor (Beta)'!$C$82="Challenge prompt",L756,IF('Paste Editor (Beta)'!$C$82="Reroll class prompt",S755,IF('Paste Editor (Beta)'!$C$82="Swap hero prompt",S755,IF('Paste Editor (Beta)'!$C$82="Anvil prompt",AD755,"")))))))</f>
        <v/>
      </c>
      <c r="AI755" s="280" t="str">
        <f>IF('Paste Editor (Beta)'!$C$82="Level-up prompt",G756,IF('Paste Editor (Beta)'!$C$82="Item prompt",E756,IF('Paste Editor (Beta)'!$C$82="Modifier prompt","'"&amp;B756,IF('Paste Editor (Beta)'!$C$82="Challenge prompt",E756,IF('Paste Editor (Beta)'!$C$82="Reroll class prompt",S755,IF('Paste Editor (Beta)'!$C$82="Swap hero prompt",S755,IF('Paste Editor (Beta)'!$C$82="Anvil prompt",AD755,"")))))))</f>
        <v/>
      </c>
      <c r="AJ755" s="283">
        <f>IF('Paste Editor (Beta)'!$C$90="Level-up prompt",G756,IF('Paste Editor (Beta)'!$C$90="Item prompt",E756,IF('Paste Editor (Beta)'!$C$90="Modifier prompt","'"&amp;B756,IF('Paste Editor (Beta)'!$C$90="Challenge prompt",L756,IF('Paste Editor (Beta)'!$C$90="Reroll class prompt",S755,IF('Paste Editor (Beta)'!$C$90="Swap hero prompt",S755,IF('Paste Editor (Beta)'!$C$90="Anvil prompt",AD755,"")))))))</f>
        <v>0</v>
      </c>
      <c r="AK755" s="283">
        <f>IF('Paste Editor (Beta)'!$C$90="Level-up prompt",G756,IF('Paste Editor (Beta)'!$C$90="Item prompt",E756,IF('Paste Editor (Beta)'!$C$90="Modifier prompt","'"&amp;B756,IF('Paste Editor (Beta)'!$C$90="Challenge prompt",E756,IF('Paste Editor (Beta)'!$C$90="Reroll class prompt",S755,IF('Paste Editor (Beta)'!$C$90="Swap hero prompt",S755,IF('Paste Editor (Beta)'!$C$90="Anvil prompt",AD755,"")))))))</f>
        <v>0</v>
      </c>
    </row>
    <row r="756" spans="2:37" ht="17.25">
      <c r="B756" s="284" t="s">
        <v>2857</v>
      </c>
      <c r="C756" s="284" t="s">
        <v>2857</v>
      </c>
      <c r="D756" s="284" t="s">
        <v>2857</v>
      </c>
      <c r="AH756" s="280" t="str">
        <f>IF('Paste Editor (Beta)'!$C$82="Level-up prompt",G757,IF('Paste Editor (Beta)'!$C$82="Item prompt",E757,IF('Paste Editor (Beta)'!$C$82="Modifier prompt","'"&amp;B757,IF('Paste Editor (Beta)'!$C$82="Challenge prompt",L757,IF('Paste Editor (Beta)'!$C$82="Reroll class prompt",S756,IF('Paste Editor (Beta)'!$C$82="Swap hero prompt",S756,IF('Paste Editor (Beta)'!$C$82="Anvil prompt",AD756,"")))))))</f>
        <v/>
      </c>
      <c r="AI756" s="280" t="str">
        <f>IF('Paste Editor (Beta)'!$C$82="Level-up prompt",G757,IF('Paste Editor (Beta)'!$C$82="Item prompt",E757,IF('Paste Editor (Beta)'!$C$82="Modifier prompt","'"&amp;B757,IF('Paste Editor (Beta)'!$C$82="Challenge prompt",E757,IF('Paste Editor (Beta)'!$C$82="Reroll class prompt",S756,IF('Paste Editor (Beta)'!$C$82="Swap hero prompt",S756,IF('Paste Editor (Beta)'!$C$82="Anvil prompt",AD756,"")))))))</f>
        <v/>
      </c>
      <c r="AJ756" s="283">
        <f>IF('Paste Editor (Beta)'!$C$90="Level-up prompt",G757,IF('Paste Editor (Beta)'!$C$90="Item prompt",E757,IF('Paste Editor (Beta)'!$C$90="Modifier prompt","'"&amp;B757,IF('Paste Editor (Beta)'!$C$90="Challenge prompt",L757,IF('Paste Editor (Beta)'!$C$90="Reroll class prompt",S756,IF('Paste Editor (Beta)'!$C$90="Swap hero prompt",S756,IF('Paste Editor (Beta)'!$C$90="Anvil prompt",AD756,"")))))))</f>
        <v>0</v>
      </c>
      <c r="AK756" s="283">
        <f>IF('Paste Editor (Beta)'!$C$90="Level-up prompt",G757,IF('Paste Editor (Beta)'!$C$90="Item prompt",E757,IF('Paste Editor (Beta)'!$C$90="Modifier prompt","'"&amp;B757,IF('Paste Editor (Beta)'!$C$90="Challenge prompt",E757,IF('Paste Editor (Beta)'!$C$90="Reroll class prompt",S756,IF('Paste Editor (Beta)'!$C$90="Swap hero prompt",S756,IF('Paste Editor (Beta)'!$C$90="Anvil prompt",AD756,"")))))))</f>
        <v>0</v>
      </c>
    </row>
    <row r="757" spans="2:37" ht="17.25">
      <c r="B757" s="284" t="s">
        <v>2839</v>
      </c>
      <c r="C757" s="284" t="s">
        <v>2839</v>
      </c>
      <c r="D757" s="284" t="s">
        <v>2839</v>
      </c>
      <c r="AH757" s="280" t="str">
        <f>IF('Paste Editor (Beta)'!$C$82="Level-up prompt",G758,IF('Paste Editor (Beta)'!$C$82="Item prompt",E758,IF('Paste Editor (Beta)'!$C$82="Modifier prompt","'"&amp;B758,IF('Paste Editor (Beta)'!$C$82="Challenge prompt",L758,IF('Paste Editor (Beta)'!$C$82="Reroll class prompt",S757,IF('Paste Editor (Beta)'!$C$82="Swap hero prompt",S757,IF('Paste Editor (Beta)'!$C$82="Anvil prompt",AD757,"")))))))</f>
        <v/>
      </c>
      <c r="AI757" s="280" t="str">
        <f>IF('Paste Editor (Beta)'!$C$82="Level-up prompt",G758,IF('Paste Editor (Beta)'!$C$82="Item prompt",E758,IF('Paste Editor (Beta)'!$C$82="Modifier prompt","'"&amp;B758,IF('Paste Editor (Beta)'!$C$82="Challenge prompt",E758,IF('Paste Editor (Beta)'!$C$82="Reroll class prompt",S757,IF('Paste Editor (Beta)'!$C$82="Swap hero prompt",S757,IF('Paste Editor (Beta)'!$C$82="Anvil prompt",AD757,"")))))))</f>
        <v/>
      </c>
      <c r="AJ757" s="283">
        <f>IF('Paste Editor (Beta)'!$C$90="Level-up prompt",G758,IF('Paste Editor (Beta)'!$C$90="Item prompt",E758,IF('Paste Editor (Beta)'!$C$90="Modifier prompt","'"&amp;B758,IF('Paste Editor (Beta)'!$C$90="Challenge prompt",L758,IF('Paste Editor (Beta)'!$C$90="Reroll class prompt",S757,IF('Paste Editor (Beta)'!$C$90="Swap hero prompt",S757,IF('Paste Editor (Beta)'!$C$90="Anvil prompt",AD757,"")))))))</f>
        <v>0</v>
      </c>
      <c r="AK757" s="283">
        <f>IF('Paste Editor (Beta)'!$C$90="Level-up prompt",G758,IF('Paste Editor (Beta)'!$C$90="Item prompt",E758,IF('Paste Editor (Beta)'!$C$90="Modifier prompt","'"&amp;B758,IF('Paste Editor (Beta)'!$C$90="Challenge prompt",E758,IF('Paste Editor (Beta)'!$C$90="Reroll class prompt",S757,IF('Paste Editor (Beta)'!$C$90="Swap hero prompt",S757,IF('Paste Editor (Beta)'!$C$90="Anvil prompt",AD757,"")))))))</f>
        <v>0</v>
      </c>
    </row>
    <row r="758" spans="2:37" ht="17.25">
      <c r="B758" s="284" t="s">
        <v>2748</v>
      </c>
      <c r="C758" s="284" t="s">
        <v>2748</v>
      </c>
      <c r="D758" s="284" t="s">
        <v>2748</v>
      </c>
      <c r="AH758" s="280" t="str">
        <f>IF('Paste Editor (Beta)'!$C$82="Level-up prompt",G759,IF('Paste Editor (Beta)'!$C$82="Item prompt",E759,IF('Paste Editor (Beta)'!$C$82="Modifier prompt","'"&amp;B759,IF('Paste Editor (Beta)'!$C$82="Challenge prompt",L759,IF('Paste Editor (Beta)'!$C$82="Reroll class prompt",S758,IF('Paste Editor (Beta)'!$C$82="Swap hero prompt",S758,IF('Paste Editor (Beta)'!$C$82="Anvil prompt",AD758,"")))))))</f>
        <v/>
      </c>
      <c r="AI758" s="280" t="str">
        <f>IF('Paste Editor (Beta)'!$C$82="Level-up prompt",G759,IF('Paste Editor (Beta)'!$C$82="Item prompt",E759,IF('Paste Editor (Beta)'!$C$82="Modifier prompt","'"&amp;B759,IF('Paste Editor (Beta)'!$C$82="Challenge prompt",E759,IF('Paste Editor (Beta)'!$C$82="Reroll class prompt",S758,IF('Paste Editor (Beta)'!$C$82="Swap hero prompt",S758,IF('Paste Editor (Beta)'!$C$82="Anvil prompt",AD758,"")))))))</f>
        <v/>
      </c>
      <c r="AJ758" s="283">
        <f>IF('Paste Editor (Beta)'!$C$90="Level-up prompt",G759,IF('Paste Editor (Beta)'!$C$90="Item prompt",E759,IF('Paste Editor (Beta)'!$C$90="Modifier prompt","'"&amp;B759,IF('Paste Editor (Beta)'!$C$90="Challenge prompt",L759,IF('Paste Editor (Beta)'!$C$90="Reroll class prompt",S758,IF('Paste Editor (Beta)'!$C$90="Swap hero prompt",S758,IF('Paste Editor (Beta)'!$C$90="Anvil prompt",AD758,"")))))))</f>
        <v>0</v>
      </c>
      <c r="AK758" s="283">
        <f>IF('Paste Editor (Beta)'!$C$90="Level-up prompt",G759,IF('Paste Editor (Beta)'!$C$90="Item prompt",E759,IF('Paste Editor (Beta)'!$C$90="Modifier prompt","'"&amp;B759,IF('Paste Editor (Beta)'!$C$90="Challenge prompt",E759,IF('Paste Editor (Beta)'!$C$90="Reroll class prompt",S758,IF('Paste Editor (Beta)'!$C$90="Swap hero prompt",S758,IF('Paste Editor (Beta)'!$C$90="Anvil prompt",AD758,"")))))))</f>
        <v>0</v>
      </c>
    </row>
    <row r="759" spans="2:37" ht="17.25">
      <c r="B759" s="284" t="s">
        <v>2813</v>
      </c>
      <c r="C759" s="284" t="s">
        <v>2813</v>
      </c>
      <c r="D759" s="284" t="s">
        <v>2813</v>
      </c>
      <c r="AH759" s="280" t="str">
        <f>IF('Paste Editor (Beta)'!$C$82="Level-up prompt",G760,IF('Paste Editor (Beta)'!$C$82="Item prompt",E760,IF('Paste Editor (Beta)'!$C$82="Modifier prompt","'"&amp;B760,IF('Paste Editor (Beta)'!$C$82="Challenge prompt",L760,IF('Paste Editor (Beta)'!$C$82="Reroll class prompt",S759,IF('Paste Editor (Beta)'!$C$82="Swap hero prompt",S759,IF('Paste Editor (Beta)'!$C$82="Anvil prompt",AD759,"")))))))</f>
        <v/>
      </c>
      <c r="AI759" s="280" t="str">
        <f>IF('Paste Editor (Beta)'!$C$82="Level-up prompt",G760,IF('Paste Editor (Beta)'!$C$82="Item prompt",E760,IF('Paste Editor (Beta)'!$C$82="Modifier prompt","'"&amp;B760,IF('Paste Editor (Beta)'!$C$82="Challenge prompt",E760,IF('Paste Editor (Beta)'!$C$82="Reroll class prompt",S759,IF('Paste Editor (Beta)'!$C$82="Swap hero prompt",S759,IF('Paste Editor (Beta)'!$C$82="Anvil prompt",AD759,"")))))))</f>
        <v/>
      </c>
      <c r="AJ759" s="283">
        <f>IF('Paste Editor (Beta)'!$C$90="Level-up prompt",G760,IF('Paste Editor (Beta)'!$C$90="Item prompt",E760,IF('Paste Editor (Beta)'!$C$90="Modifier prompt","'"&amp;B760,IF('Paste Editor (Beta)'!$C$90="Challenge prompt",L760,IF('Paste Editor (Beta)'!$C$90="Reroll class prompt",S759,IF('Paste Editor (Beta)'!$C$90="Swap hero prompt",S759,IF('Paste Editor (Beta)'!$C$90="Anvil prompt",AD759,"")))))))</f>
        <v>0</v>
      </c>
      <c r="AK759" s="283">
        <f>IF('Paste Editor (Beta)'!$C$90="Level-up prompt",G760,IF('Paste Editor (Beta)'!$C$90="Item prompt",E760,IF('Paste Editor (Beta)'!$C$90="Modifier prompt","'"&amp;B760,IF('Paste Editor (Beta)'!$C$90="Challenge prompt",E760,IF('Paste Editor (Beta)'!$C$90="Reroll class prompt",S759,IF('Paste Editor (Beta)'!$C$90="Swap hero prompt",S759,IF('Paste Editor (Beta)'!$C$90="Anvil prompt",AD759,"")))))))</f>
        <v>0</v>
      </c>
    </row>
    <row r="760" spans="2:37" ht="17.25">
      <c r="B760" s="284" t="s">
        <v>2757</v>
      </c>
      <c r="C760" s="284" t="s">
        <v>2757</v>
      </c>
      <c r="D760" s="284" t="s">
        <v>2757</v>
      </c>
      <c r="AH760" s="280" t="str">
        <f>IF('Paste Editor (Beta)'!$C$82="Level-up prompt",G761,IF('Paste Editor (Beta)'!$C$82="Item prompt",E761,IF('Paste Editor (Beta)'!$C$82="Modifier prompt","'"&amp;B761,IF('Paste Editor (Beta)'!$C$82="Challenge prompt",L761,IF('Paste Editor (Beta)'!$C$82="Reroll class prompt",S760,IF('Paste Editor (Beta)'!$C$82="Swap hero prompt",S760,IF('Paste Editor (Beta)'!$C$82="Anvil prompt",AD760,"")))))))</f>
        <v/>
      </c>
      <c r="AI760" s="280" t="str">
        <f>IF('Paste Editor (Beta)'!$C$82="Level-up prompt",G761,IF('Paste Editor (Beta)'!$C$82="Item prompt",E761,IF('Paste Editor (Beta)'!$C$82="Modifier prompt","'"&amp;B761,IF('Paste Editor (Beta)'!$C$82="Challenge prompt",E761,IF('Paste Editor (Beta)'!$C$82="Reroll class prompt",S760,IF('Paste Editor (Beta)'!$C$82="Swap hero prompt",S760,IF('Paste Editor (Beta)'!$C$82="Anvil prompt",AD760,"")))))))</f>
        <v/>
      </c>
      <c r="AJ760" s="283">
        <f>IF('Paste Editor (Beta)'!$C$90="Level-up prompt",G761,IF('Paste Editor (Beta)'!$C$90="Item prompt",E761,IF('Paste Editor (Beta)'!$C$90="Modifier prompt","'"&amp;B761,IF('Paste Editor (Beta)'!$C$90="Challenge prompt",L761,IF('Paste Editor (Beta)'!$C$90="Reroll class prompt",S760,IF('Paste Editor (Beta)'!$C$90="Swap hero prompt",S760,IF('Paste Editor (Beta)'!$C$90="Anvil prompt",AD760,"")))))))</f>
        <v>0</v>
      </c>
      <c r="AK760" s="283">
        <f>IF('Paste Editor (Beta)'!$C$90="Level-up prompt",G761,IF('Paste Editor (Beta)'!$C$90="Item prompt",E761,IF('Paste Editor (Beta)'!$C$90="Modifier prompt","'"&amp;B761,IF('Paste Editor (Beta)'!$C$90="Challenge prompt",E761,IF('Paste Editor (Beta)'!$C$90="Reroll class prompt",S760,IF('Paste Editor (Beta)'!$C$90="Swap hero prompt",S760,IF('Paste Editor (Beta)'!$C$90="Anvil prompt",AD760,"")))))))</f>
        <v>0</v>
      </c>
    </row>
    <row r="761" spans="2:37" ht="17.25">
      <c r="B761" s="284" t="s">
        <v>2847</v>
      </c>
      <c r="C761" s="284" t="s">
        <v>2847</v>
      </c>
      <c r="D761" s="284" t="s">
        <v>2847</v>
      </c>
      <c r="AH761" s="280" t="str">
        <f>IF('Paste Editor (Beta)'!$C$82="Level-up prompt",G762,IF('Paste Editor (Beta)'!$C$82="Item prompt",E762,IF('Paste Editor (Beta)'!$C$82="Modifier prompt","'"&amp;B762,IF('Paste Editor (Beta)'!$C$82="Challenge prompt",L762,IF('Paste Editor (Beta)'!$C$82="Reroll class prompt",S761,IF('Paste Editor (Beta)'!$C$82="Swap hero prompt",S761,IF('Paste Editor (Beta)'!$C$82="Anvil prompt",AD761,"")))))))</f>
        <v/>
      </c>
      <c r="AI761" s="280" t="str">
        <f>IF('Paste Editor (Beta)'!$C$82="Level-up prompt",G762,IF('Paste Editor (Beta)'!$C$82="Item prompt",E762,IF('Paste Editor (Beta)'!$C$82="Modifier prompt","'"&amp;B762,IF('Paste Editor (Beta)'!$C$82="Challenge prompt",E762,IF('Paste Editor (Beta)'!$C$82="Reroll class prompt",S761,IF('Paste Editor (Beta)'!$C$82="Swap hero prompt",S761,IF('Paste Editor (Beta)'!$C$82="Anvil prompt",AD761,"")))))))</f>
        <v/>
      </c>
      <c r="AJ761" s="283">
        <f>IF('Paste Editor (Beta)'!$C$90="Level-up prompt",G762,IF('Paste Editor (Beta)'!$C$90="Item prompt",E762,IF('Paste Editor (Beta)'!$C$90="Modifier prompt","'"&amp;B762,IF('Paste Editor (Beta)'!$C$90="Challenge prompt",L762,IF('Paste Editor (Beta)'!$C$90="Reroll class prompt",S761,IF('Paste Editor (Beta)'!$C$90="Swap hero prompt",S761,IF('Paste Editor (Beta)'!$C$90="Anvil prompt",AD761,"")))))))</f>
        <v>0</v>
      </c>
      <c r="AK761" s="283">
        <f>IF('Paste Editor (Beta)'!$C$90="Level-up prompt",G762,IF('Paste Editor (Beta)'!$C$90="Item prompt",E762,IF('Paste Editor (Beta)'!$C$90="Modifier prompt","'"&amp;B762,IF('Paste Editor (Beta)'!$C$90="Challenge prompt",E762,IF('Paste Editor (Beta)'!$C$90="Reroll class prompt",S761,IF('Paste Editor (Beta)'!$C$90="Swap hero prompt",S761,IF('Paste Editor (Beta)'!$C$90="Anvil prompt",AD761,"")))))))</f>
        <v>0</v>
      </c>
    </row>
    <row r="762" spans="2:37" ht="17.25">
      <c r="B762" s="284" t="s">
        <v>2822</v>
      </c>
      <c r="C762" s="284" t="s">
        <v>2822</v>
      </c>
      <c r="D762" s="284" t="s">
        <v>2822</v>
      </c>
      <c r="AH762" s="280" t="str">
        <f>IF('Paste Editor (Beta)'!$C$82="Level-up prompt",G763,IF('Paste Editor (Beta)'!$C$82="Item prompt",E763,IF('Paste Editor (Beta)'!$C$82="Modifier prompt","'"&amp;B763,IF('Paste Editor (Beta)'!$C$82="Challenge prompt",L763,IF('Paste Editor (Beta)'!$C$82="Reroll class prompt",S762,IF('Paste Editor (Beta)'!$C$82="Swap hero prompt",S762,IF('Paste Editor (Beta)'!$C$82="Anvil prompt",AD762,"")))))))</f>
        <v/>
      </c>
      <c r="AI762" s="280" t="str">
        <f>IF('Paste Editor (Beta)'!$C$82="Level-up prompt",G763,IF('Paste Editor (Beta)'!$C$82="Item prompt",E763,IF('Paste Editor (Beta)'!$C$82="Modifier prompt","'"&amp;B763,IF('Paste Editor (Beta)'!$C$82="Challenge prompt",E763,IF('Paste Editor (Beta)'!$C$82="Reroll class prompt",S762,IF('Paste Editor (Beta)'!$C$82="Swap hero prompt",S762,IF('Paste Editor (Beta)'!$C$82="Anvil prompt",AD762,"")))))))</f>
        <v/>
      </c>
      <c r="AJ762" s="283">
        <f>IF('Paste Editor (Beta)'!$C$90="Level-up prompt",G763,IF('Paste Editor (Beta)'!$C$90="Item prompt",E763,IF('Paste Editor (Beta)'!$C$90="Modifier prompt","'"&amp;B763,IF('Paste Editor (Beta)'!$C$90="Challenge prompt",L763,IF('Paste Editor (Beta)'!$C$90="Reroll class prompt",S762,IF('Paste Editor (Beta)'!$C$90="Swap hero prompt",S762,IF('Paste Editor (Beta)'!$C$90="Anvil prompt",AD762,"")))))))</f>
        <v>0</v>
      </c>
      <c r="AK762" s="283">
        <f>IF('Paste Editor (Beta)'!$C$90="Level-up prompt",G763,IF('Paste Editor (Beta)'!$C$90="Item prompt",E763,IF('Paste Editor (Beta)'!$C$90="Modifier prompt","'"&amp;B763,IF('Paste Editor (Beta)'!$C$90="Challenge prompt",E763,IF('Paste Editor (Beta)'!$C$90="Reroll class prompt",S762,IF('Paste Editor (Beta)'!$C$90="Swap hero prompt",S762,IF('Paste Editor (Beta)'!$C$90="Anvil prompt",AD762,"")))))))</f>
        <v>0</v>
      </c>
    </row>
    <row r="763" spans="2:37" ht="17.25">
      <c r="B763" s="284" t="s">
        <v>2941</v>
      </c>
      <c r="C763" s="284" t="s">
        <v>2941</v>
      </c>
      <c r="D763" s="284" t="s">
        <v>2941</v>
      </c>
      <c r="AH763" s="280" t="str">
        <f>IF('Paste Editor (Beta)'!$C$82="Level-up prompt",G764,IF('Paste Editor (Beta)'!$C$82="Item prompt",E764,IF('Paste Editor (Beta)'!$C$82="Modifier prompt","'"&amp;B764,IF('Paste Editor (Beta)'!$C$82="Challenge prompt",L764,IF('Paste Editor (Beta)'!$C$82="Reroll class prompt",S763,IF('Paste Editor (Beta)'!$C$82="Swap hero prompt",S763,IF('Paste Editor (Beta)'!$C$82="Anvil prompt",AD763,"")))))))</f>
        <v/>
      </c>
      <c r="AI763" s="280" t="str">
        <f>IF('Paste Editor (Beta)'!$C$82="Level-up prompt",G764,IF('Paste Editor (Beta)'!$C$82="Item prompt",E764,IF('Paste Editor (Beta)'!$C$82="Modifier prompt","'"&amp;B764,IF('Paste Editor (Beta)'!$C$82="Challenge prompt",E764,IF('Paste Editor (Beta)'!$C$82="Reroll class prompt",S763,IF('Paste Editor (Beta)'!$C$82="Swap hero prompt",S763,IF('Paste Editor (Beta)'!$C$82="Anvil prompt",AD763,"")))))))</f>
        <v/>
      </c>
      <c r="AJ763" s="283">
        <f>IF('Paste Editor (Beta)'!$C$90="Level-up prompt",G764,IF('Paste Editor (Beta)'!$C$90="Item prompt",E764,IF('Paste Editor (Beta)'!$C$90="Modifier prompt","'"&amp;B764,IF('Paste Editor (Beta)'!$C$90="Challenge prompt",L764,IF('Paste Editor (Beta)'!$C$90="Reroll class prompt",S763,IF('Paste Editor (Beta)'!$C$90="Swap hero prompt",S763,IF('Paste Editor (Beta)'!$C$90="Anvil prompt",AD763,"")))))))</f>
        <v>0</v>
      </c>
      <c r="AK763" s="283">
        <f>IF('Paste Editor (Beta)'!$C$90="Level-up prompt",G764,IF('Paste Editor (Beta)'!$C$90="Item prompt",E764,IF('Paste Editor (Beta)'!$C$90="Modifier prompt","'"&amp;B764,IF('Paste Editor (Beta)'!$C$90="Challenge prompt",E764,IF('Paste Editor (Beta)'!$C$90="Reroll class prompt",S763,IF('Paste Editor (Beta)'!$C$90="Swap hero prompt",S763,IF('Paste Editor (Beta)'!$C$90="Anvil prompt",AD763,"")))))))</f>
        <v>0</v>
      </c>
    </row>
    <row r="764" spans="2:37" ht="17.25">
      <c r="B764" s="284" t="s">
        <v>3043</v>
      </c>
      <c r="C764" s="284" t="s">
        <v>3043</v>
      </c>
      <c r="D764" s="284" t="s">
        <v>3043</v>
      </c>
      <c r="AH764" s="280" t="str">
        <f>IF('Paste Editor (Beta)'!$C$82="Level-up prompt",G765,IF('Paste Editor (Beta)'!$C$82="Item prompt",E765,IF('Paste Editor (Beta)'!$C$82="Modifier prompt","'"&amp;B765,IF('Paste Editor (Beta)'!$C$82="Challenge prompt",L765,IF('Paste Editor (Beta)'!$C$82="Reroll class prompt",S764,IF('Paste Editor (Beta)'!$C$82="Swap hero prompt",S764,IF('Paste Editor (Beta)'!$C$82="Anvil prompt",AD764,"")))))))</f>
        <v/>
      </c>
      <c r="AI764" s="280" t="str">
        <f>IF('Paste Editor (Beta)'!$C$82="Level-up prompt",G765,IF('Paste Editor (Beta)'!$C$82="Item prompt",E765,IF('Paste Editor (Beta)'!$C$82="Modifier prompt","'"&amp;B765,IF('Paste Editor (Beta)'!$C$82="Challenge prompt",E765,IF('Paste Editor (Beta)'!$C$82="Reroll class prompt",S764,IF('Paste Editor (Beta)'!$C$82="Swap hero prompt",S764,IF('Paste Editor (Beta)'!$C$82="Anvil prompt",AD764,"")))))))</f>
        <v/>
      </c>
      <c r="AJ764" s="283">
        <f>IF('Paste Editor (Beta)'!$C$90="Level-up prompt",G765,IF('Paste Editor (Beta)'!$C$90="Item prompt",E765,IF('Paste Editor (Beta)'!$C$90="Modifier prompt","'"&amp;B765,IF('Paste Editor (Beta)'!$C$90="Challenge prompt",L765,IF('Paste Editor (Beta)'!$C$90="Reroll class prompt",S764,IF('Paste Editor (Beta)'!$C$90="Swap hero prompt",S764,IF('Paste Editor (Beta)'!$C$90="Anvil prompt",AD764,"")))))))</f>
        <v>0</v>
      </c>
      <c r="AK764" s="283">
        <f>IF('Paste Editor (Beta)'!$C$90="Level-up prompt",G765,IF('Paste Editor (Beta)'!$C$90="Item prompt",E765,IF('Paste Editor (Beta)'!$C$90="Modifier prompt","'"&amp;B765,IF('Paste Editor (Beta)'!$C$90="Challenge prompt",E765,IF('Paste Editor (Beta)'!$C$90="Reroll class prompt",S764,IF('Paste Editor (Beta)'!$C$90="Swap hero prompt",S764,IF('Paste Editor (Beta)'!$C$90="Anvil prompt",AD764,"")))))))</f>
        <v>0</v>
      </c>
    </row>
    <row r="765" spans="2:37" ht="17.25">
      <c r="B765" s="284" t="s">
        <v>1985</v>
      </c>
      <c r="C765" s="284" t="s">
        <v>1985</v>
      </c>
      <c r="D765" s="284" t="s">
        <v>1985</v>
      </c>
      <c r="AH765" s="280" t="str">
        <f>IF('Paste Editor (Beta)'!$C$82="Level-up prompt",G766,IF('Paste Editor (Beta)'!$C$82="Item prompt",E766,IF('Paste Editor (Beta)'!$C$82="Modifier prompt","'"&amp;B766,IF('Paste Editor (Beta)'!$C$82="Challenge prompt",L766,IF('Paste Editor (Beta)'!$C$82="Reroll class prompt",S765,IF('Paste Editor (Beta)'!$C$82="Swap hero prompt",S765,IF('Paste Editor (Beta)'!$C$82="Anvil prompt",AD765,"")))))))</f>
        <v/>
      </c>
      <c r="AI765" s="280" t="str">
        <f>IF('Paste Editor (Beta)'!$C$82="Level-up prompt",G766,IF('Paste Editor (Beta)'!$C$82="Item prompt",E766,IF('Paste Editor (Beta)'!$C$82="Modifier prompt","'"&amp;B766,IF('Paste Editor (Beta)'!$C$82="Challenge prompt",E766,IF('Paste Editor (Beta)'!$C$82="Reroll class prompt",S765,IF('Paste Editor (Beta)'!$C$82="Swap hero prompt",S765,IF('Paste Editor (Beta)'!$C$82="Anvil prompt",AD765,"")))))))</f>
        <v/>
      </c>
      <c r="AJ765" s="283">
        <f>IF('Paste Editor (Beta)'!$C$90="Level-up prompt",G766,IF('Paste Editor (Beta)'!$C$90="Item prompt",E766,IF('Paste Editor (Beta)'!$C$90="Modifier prompt","'"&amp;B766,IF('Paste Editor (Beta)'!$C$90="Challenge prompt",L766,IF('Paste Editor (Beta)'!$C$90="Reroll class prompt",S765,IF('Paste Editor (Beta)'!$C$90="Swap hero prompt",S765,IF('Paste Editor (Beta)'!$C$90="Anvil prompt",AD765,"")))))))</f>
        <v>0</v>
      </c>
      <c r="AK765" s="283">
        <f>IF('Paste Editor (Beta)'!$C$90="Level-up prompt",G766,IF('Paste Editor (Beta)'!$C$90="Item prompt",E766,IF('Paste Editor (Beta)'!$C$90="Modifier prompt","'"&amp;B766,IF('Paste Editor (Beta)'!$C$90="Challenge prompt",E766,IF('Paste Editor (Beta)'!$C$90="Reroll class prompt",S765,IF('Paste Editor (Beta)'!$C$90="Swap hero prompt",S765,IF('Paste Editor (Beta)'!$C$90="Anvil prompt",AD765,"")))))))</f>
        <v>0</v>
      </c>
    </row>
    <row r="766" spans="2:37" ht="17.25">
      <c r="B766" s="284" t="s">
        <v>1987</v>
      </c>
      <c r="C766" s="284" t="s">
        <v>1987</v>
      </c>
      <c r="D766" s="284" t="s">
        <v>1987</v>
      </c>
      <c r="AH766" s="280" t="str">
        <f>IF('Paste Editor (Beta)'!$C$82="Level-up prompt",G767,IF('Paste Editor (Beta)'!$C$82="Item prompt",E767,IF('Paste Editor (Beta)'!$C$82="Modifier prompt","'"&amp;B767,IF('Paste Editor (Beta)'!$C$82="Challenge prompt",L767,IF('Paste Editor (Beta)'!$C$82="Reroll class prompt",S766,IF('Paste Editor (Beta)'!$C$82="Swap hero prompt",S766,IF('Paste Editor (Beta)'!$C$82="Anvil prompt",AD766,"")))))))</f>
        <v/>
      </c>
      <c r="AI766" s="280" t="str">
        <f>IF('Paste Editor (Beta)'!$C$82="Level-up prompt",G767,IF('Paste Editor (Beta)'!$C$82="Item prompt",E767,IF('Paste Editor (Beta)'!$C$82="Modifier prompt","'"&amp;B767,IF('Paste Editor (Beta)'!$C$82="Challenge prompt",E767,IF('Paste Editor (Beta)'!$C$82="Reroll class prompt",S766,IF('Paste Editor (Beta)'!$C$82="Swap hero prompt",S766,IF('Paste Editor (Beta)'!$C$82="Anvil prompt",AD766,"")))))))</f>
        <v/>
      </c>
      <c r="AJ766" s="283">
        <f>IF('Paste Editor (Beta)'!$C$90="Level-up prompt",G767,IF('Paste Editor (Beta)'!$C$90="Item prompt",E767,IF('Paste Editor (Beta)'!$C$90="Modifier prompt","'"&amp;B767,IF('Paste Editor (Beta)'!$C$90="Challenge prompt",L767,IF('Paste Editor (Beta)'!$C$90="Reroll class prompt",S766,IF('Paste Editor (Beta)'!$C$90="Swap hero prompt",S766,IF('Paste Editor (Beta)'!$C$90="Anvil prompt",AD766,"")))))))</f>
        <v>0</v>
      </c>
      <c r="AK766" s="283">
        <f>IF('Paste Editor (Beta)'!$C$90="Level-up prompt",G767,IF('Paste Editor (Beta)'!$C$90="Item prompt",E767,IF('Paste Editor (Beta)'!$C$90="Modifier prompt","'"&amp;B767,IF('Paste Editor (Beta)'!$C$90="Challenge prompt",E767,IF('Paste Editor (Beta)'!$C$90="Reroll class prompt",S766,IF('Paste Editor (Beta)'!$C$90="Swap hero prompt",S766,IF('Paste Editor (Beta)'!$C$90="Anvil prompt",AD766,"")))))))</f>
        <v>0</v>
      </c>
    </row>
    <row r="767" spans="2:37" ht="17.25">
      <c r="B767" s="284" t="s">
        <v>2122</v>
      </c>
      <c r="C767" s="284" t="s">
        <v>2122</v>
      </c>
      <c r="D767" s="284" t="s">
        <v>2122</v>
      </c>
      <c r="AH767" s="280" t="str">
        <f>IF('Paste Editor (Beta)'!$C$82="Level-up prompt",G768,IF('Paste Editor (Beta)'!$C$82="Item prompt",E768,IF('Paste Editor (Beta)'!$C$82="Modifier prompt","'"&amp;B768,IF('Paste Editor (Beta)'!$C$82="Challenge prompt",L768,IF('Paste Editor (Beta)'!$C$82="Reroll class prompt",S767,IF('Paste Editor (Beta)'!$C$82="Swap hero prompt",S767,IF('Paste Editor (Beta)'!$C$82="Anvil prompt",AD767,"")))))))</f>
        <v/>
      </c>
      <c r="AI767" s="280" t="str">
        <f>IF('Paste Editor (Beta)'!$C$82="Level-up prompt",G768,IF('Paste Editor (Beta)'!$C$82="Item prompt",E768,IF('Paste Editor (Beta)'!$C$82="Modifier prompt","'"&amp;B768,IF('Paste Editor (Beta)'!$C$82="Challenge prompt",E768,IF('Paste Editor (Beta)'!$C$82="Reroll class prompt",S767,IF('Paste Editor (Beta)'!$C$82="Swap hero prompt",S767,IF('Paste Editor (Beta)'!$C$82="Anvil prompt",AD767,"")))))))</f>
        <v/>
      </c>
      <c r="AJ767" s="283">
        <f>IF('Paste Editor (Beta)'!$C$90="Level-up prompt",G768,IF('Paste Editor (Beta)'!$C$90="Item prompt",E768,IF('Paste Editor (Beta)'!$C$90="Modifier prompt","'"&amp;B768,IF('Paste Editor (Beta)'!$C$90="Challenge prompt",L768,IF('Paste Editor (Beta)'!$C$90="Reroll class prompt",S767,IF('Paste Editor (Beta)'!$C$90="Swap hero prompt",S767,IF('Paste Editor (Beta)'!$C$90="Anvil prompt",AD767,"")))))))</f>
        <v>0</v>
      </c>
      <c r="AK767" s="283">
        <f>IF('Paste Editor (Beta)'!$C$90="Level-up prompt",G768,IF('Paste Editor (Beta)'!$C$90="Item prompt",E768,IF('Paste Editor (Beta)'!$C$90="Modifier prompt","'"&amp;B768,IF('Paste Editor (Beta)'!$C$90="Challenge prompt",E768,IF('Paste Editor (Beta)'!$C$90="Reroll class prompt",S767,IF('Paste Editor (Beta)'!$C$90="Swap hero prompt",S767,IF('Paste Editor (Beta)'!$C$90="Anvil prompt",AD767,"")))))))</f>
        <v>0</v>
      </c>
    </row>
    <row r="768" spans="2:37" ht="17.25">
      <c r="B768" s="284" t="s">
        <v>2224</v>
      </c>
      <c r="C768" s="284" t="s">
        <v>2224</v>
      </c>
      <c r="D768" s="284" t="s">
        <v>2224</v>
      </c>
      <c r="AH768" s="280" t="str">
        <f>IF('Paste Editor (Beta)'!$C$82="Level-up prompt",G769,IF('Paste Editor (Beta)'!$C$82="Item prompt",E769,IF('Paste Editor (Beta)'!$C$82="Modifier prompt","'"&amp;B769,IF('Paste Editor (Beta)'!$C$82="Challenge prompt",L769,IF('Paste Editor (Beta)'!$C$82="Reroll class prompt",S768,IF('Paste Editor (Beta)'!$C$82="Swap hero prompt",S768,IF('Paste Editor (Beta)'!$C$82="Anvil prompt",AD768,"")))))))</f>
        <v/>
      </c>
      <c r="AI768" s="280" t="str">
        <f>IF('Paste Editor (Beta)'!$C$82="Level-up prompt",G769,IF('Paste Editor (Beta)'!$C$82="Item prompt",E769,IF('Paste Editor (Beta)'!$C$82="Modifier prompt","'"&amp;B769,IF('Paste Editor (Beta)'!$C$82="Challenge prompt",E769,IF('Paste Editor (Beta)'!$C$82="Reroll class prompt",S768,IF('Paste Editor (Beta)'!$C$82="Swap hero prompt",S768,IF('Paste Editor (Beta)'!$C$82="Anvil prompt",AD768,"")))))))</f>
        <v/>
      </c>
      <c r="AJ768" s="283">
        <f>IF('Paste Editor (Beta)'!$C$90="Level-up prompt",G769,IF('Paste Editor (Beta)'!$C$90="Item prompt",E769,IF('Paste Editor (Beta)'!$C$90="Modifier prompt","'"&amp;B769,IF('Paste Editor (Beta)'!$C$90="Challenge prompt",L769,IF('Paste Editor (Beta)'!$C$90="Reroll class prompt",S768,IF('Paste Editor (Beta)'!$C$90="Swap hero prompt",S768,IF('Paste Editor (Beta)'!$C$90="Anvil prompt",AD768,"")))))))</f>
        <v>0</v>
      </c>
      <c r="AK768" s="283">
        <f>IF('Paste Editor (Beta)'!$C$90="Level-up prompt",G769,IF('Paste Editor (Beta)'!$C$90="Item prompt",E769,IF('Paste Editor (Beta)'!$C$90="Modifier prompt","'"&amp;B769,IF('Paste Editor (Beta)'!$C$90="Challenge prompt",E769,IF('Paste Editor (Beta)'!$C$90="Reroll class prompt",S768,IF('Paste Editor (Beta)'!$C$90="Swap hero prompt",S768,IF('Paste Editor (Beta)'!$C$90="Anvil prompt",AD768,"")))))))</f>
        <v>0</v>
      </c>
    </row>
    <row r="769" spans="2:37" ht="17.25">
      <c r="B769" s="284" t="s">
        <v>2496</v>
      </c>
      <c r="C769" s="284" t="s">
        <v>2496</v>
      </c>
      <c r="D769" s="284" t="s">
        <v>2496</v>
      </c>
      <c r="AH769" s="280" t="str">
        <f>IF('Paste Editor (Beta)'!$C$82="Level-up prompt",G770,IF('Paste Editor (Beta)'!$C$82="Item prompt",E770,IF('Paste Editor (Beta)'!$C$82="Modifier prompt","'"&amp;B770,IF('Paste Editor (Beta)'!$C$82="Challenge prompt",L770,IF('Paste Editor (Beta)'!$C$82="Reroll class prompt",S769,IF('Paste Editor (Beta)'!$C$82="Swap hero prompt",S769,IF('Paste Editor (Beta)'!$C$82="Anvil prompt",AD769,"")))))))</f>
        <v/>
      </c>
      <c r="AI769" s="280" t="str">
        <f>IF('Paste Editor (Beta)'!$C$82="Level-up prompt",G770,IF('Paste Editor (Beta)'!$C$82="Item prompt",E770,IF('Paste Editor (Beta)'!$C$82="Modifier prompt","'"&amp;B770,IF('Paste Editor (Beta)'!$C$82="Challenge prompt",E770,IF('Paste Editor (Beta)'!$C$82="Reroll class prompt",S769,IF('Paste Editor (Beta)'!$C$82="Swap hero prompt",S769,IF('Paste Editor (Beta)'!$C$82="Anvil prompt",AD769,"")))))))</f>
        <v/>
      </c>
      <c r="AJ769" s="283">
        <f>IF('Paste Editor (Beta)'!$C$90="Level-up prompt",G770,IF('Paste Editor (Beta)'!$C$90="Item prompt",E770,IF('Paste Editor (Beta)'!$C$90="Modifier prompt","'"&amp;B770,IF('Paste Editor (Beta)'!$C$90="Challenge prompt",L770,IF('Paste Editor (Beta)'!$C$90="Reroll class prompt",S769,IF('Paste Editor (Beta)'!$C$90="Swap hero prompt",S769,IF('Paste Editor (Beta)'!$C$90="Anvil prompt",AD769,"")))))))</f>
        <v>0</v>
      </c>
      <c r="AK769" s="283">
        <f>IF('Paste Editor (Beta)'!$C$90="Level-up prompt",G770,IF('Paste Editor (Beta)'!$C$90="Item prompt",E770,IF('Paste Editor (Beta)'!$C$90="Modifier prompt","'"&amp;B770,IF('Paste Editor (Beta)'!$C$90="Challenge prompt",E770,IF('Paste Editor (Beta)'!$C$90="Reroll class prompt",S769,IF('Paste Editor (Beta)'!$C$90="Swap hero prompt",S769,IF('Paste Editor (Beta)'!$C$90="Anvil prompt",AD769,"")))))))</f>
        <v>0</v>
      </c>
    </row>
    <row r="770" spans="2:37" ht="17.25">
      <c r="B770" s="284" t="s">
        <v>2927</v>
      </c>
      <c r="C770" s="284" t="s">
        <v>2927</v>
      </c>
      <c r="D770" s="284" t="s">
        <v>2927</v>
      </c>
      <c r="AH770" s="280" t="str">
        <f>IF('Paste Editor (Beta)'!$C$82="Level-up prompt",G771,IF('Paste Editor (Beta)'!$C$82="Item prompt",E771,IF('Paste Editor (Beta)'!$C$82="Modifier prompt","'"&amp;B771,IF('Paste Editor (Beta)'!$C$82="Challenge prompt",L771,IF('Paste Editor (Beta)'!$C$82="Reroll class prompt",S770,IF('Paste Editor (Beta)'!$C$82="Swap hero prompt",S770,IF('Paste Editor (Beta)'!$C$82="Anvil prompt",AD770,"")))))))</f>
        <v/>
      </c>
      <c r="AI770" s="280" t="str">
        <f>IF('Paste Editor (Beta)'!$C$82="Level-up prompt",G771,IF('Paste Editor (Beta)'!$C$82="Item prompt",E771,IF('Paste Editor (Beta)'!$C$82="Modifier prompt","'"&amp;B771,IF('Paste Editor (Beta)'!$C$82="Challenge prompt",E771,IF('Paste Editor (Beta)'!$C$82="Reroll class prompt",S770,IF('Paste Editor (Beta)'!$C$82="Swap hero prompt",S770,IF('Paste Editor (Beta)'!$C$82="Anvil prompt",AD770,"")))))))</f>
        <v/>
      </c>
      <c r="AJ770" s="283">
        <f>IF('Paste Editor (Beta)'!$C$90="Level-up prompt",G771,IF('Paste Editor (Beta)'!$C$90="Item prompt",E771,IF('Paste Editor (Beta)'!$C$90="Modifier prompt","'"&amp;B771,IF('Paste Editor (Beta)'!$C$90="Challenge prompt",L771,IF('Paste Editor (Beta)'!$C$90="Reroll class prompt",S770,IF('Paste Editor (Beta)'!$C$90="Swap hero prompt",S770,IF('Paste Editor (Beta)'!$C$90="Anvil prompt",AD770,"")))))))</f>
        <v>0</v>
      </c>
      <c r="AK770" s="283">
        <f>IF('Paste Editor (Beta)'!$C$90="Level-up prompt",G771,IF('Paste Editor (Beta)'!$C$90="Item prompt",E771,IF('Paste Editor (Beta)'!$C$90="Modifier prompt","'"&amp;B771,IF('Paste Editor (Beta)'!$C$90="Challenge prompt",E771,IF('Paste Editor (Beta)'!$C$90="Reroll class prompt",S770,IF('Paste Editor (Beta)'!$C$90="Swap hero prompt",S770,IF('Paste Editor (Beta)'!$C$90="Anvil prompt",AD770,"")))))))</f>
        <v>0</v>
      </c>
    </row>
    <row r="771" spans="2:37" ht="17.25">
      <c r="B771" s="284" t="s">
        <v>2245</v>
      </c>
      <c r="C771" s="284" t="s">
        <v>2245</v>
      </c>
      <c r="D771" s="284" t="s">
        <v>2245</v>
      </c>
      <c r="AH771" s="280" t="str">
        <f>IF('Paste Editor (Beta)'!$C$82="Level-up prompt",G772,IF('Paste Editor (Beta)'!$C$82="Item prompt",E772,IF('Paste Editor (Beta)'!$C$82="Modifier prompt","'"&amp;B772,IF('Paste Editor (Beta)'!$C$82="Challenge prompt",L772,IF('Paste Editor (Beta)'!$C$82="Reroll class prompt",S771,IF('Paste Editor (Beta)'!$C$82="Swap hero prompt",S771,IF('Paste Editor (Beta)'!$C$82="Anvil prompt",AD771,"")))))))</f>
        <v/>
      </c>
      <c r="AI771" s="280" t="str">
        <f>IF('Paste Editor (Beta)'!$C$82="Level-up prompt",G772,IF('Paste Editor (Beta)'!$C$82="Item prompt",E772,IF('Paste Editor (Beta)'!$C$82="Modifier prompt","'"&amp;B772,IF('Paste Editor (Beta)'!$C$82="Challenge prompt",E772,IF('Paste Editor (Beta)'!$C$82="Reroll class prompt",S771,IF('Paste Editor (Beta)'!$C$82="Swap hero prompt",S771,IF('Paste Editor (Beta)'!$C$82="Anvil prompt",AD771,"")))))))</f>
        <v/>
      </c>
      <c r="AJ771" s="283">
        <f>IF('Paste Editor (Beta)'!$C$90="Level-up prompt",G772,IF('Paste Editor (Beta)'!$C$90="Item prompt",E772,IF('Paste Editor (Beta)'!$C$90="Modifier prompt","'"&amp;B772,IF('Paste Editor (Beta)'!$C$90="Challenge prompt",L772,IF('Paste Editor (Beta)'!$C$90="Reroll class prompt",S771,IF('Paste Editor (Beta)'!$C$90="Swap hero prompt",S771,IF('Paste Editor (Beta)'!$C$90="Anvil prompt",AD771,"")))))))</f>
        <v>0</v>
      </c>
      <c r="AK771" s="283">
        <f>IF('Paste Editor (Beta)'!$C$90="Level-up prompt",G772,IF('Paste Editor (Beta)'!$C$90="Item prompt",E772,IF('Paste Editor (Beta)'!$C$90="Modifier prompt","'"&amp;B772,IF('Paste Editor (Beta)'!$C$90="Challenge prompt",E772,IF('Paste Editor (Beta)'!$C$90="Reroll class prompt",S771,IF('Paste Editor (Beta)'!$C$90="Swap hero prompt",S771,IF('Paste Editor (Beta)'!$C$90="Anvil prompt",AD771,"")))))))</f>
        <v>0</v>
      </c>
    </row>
    <row r="772" spans="2:37" ht="17.25">
      <c r="B772" s="284" t="s">
        <v>2341</v>
      </c>
      <c r="C772" s="284" t="s">
        <v>2341</v>
      </c>
      <c r="D772" s="284" t="s">
        <v>2341</v>
      </c>
      <c r="AH772" s="280" t="str">
        <f>IF('Paste Editor (Beta)'!$C$82="Level-up prompt",G773,IF('Paste Editor (Beta)'!$C$82="Item prompt",E773,IF('Paste Editor (Beta)'!$C$82="Modifier prompt","'"&amp;B773,IF('Paste Editor (Beta)'!$C$82="Challenge prompt",L773,IF('Paste Editor (Beta)'!$C$82="Reroll class prompt",S772,IF('Paste Editor (Beta)'!$C$82="Swap hero prompt",S772,IF('Paste Editor (Beta)'!$C$82="Anvil prompt",AD772,"")))))))</f>
        <v/>
      </c>
      <c r="AI772" s="280" t="str">
        <f>IF('Paste Editor (Beta)'!$C$82="Level-up prompt",G773,IF('Paste Editor (Beta)'!$C$82="Item prompt",E773,IF('Paste Editor (Beta)'!$C$82="Modifier prompt","'"&amp;B773,IF('Paste Editor (Beta)'!$C$82="Challenge prompt",E773,IF('Paste Editor (Beta)'!$C$82="Reroll class prompt",S772,IF('Paste Editor (Beta)'!$C$82="Swap hero prompt",S772,IF('Paste Editor (Beta)'!$C$82="Anvil prompt",AD772,"")))))))</f>
        <v/>
      </c>
      <c r="AJ772" s="283">
        <f>IF('Paste Editor (Beta)'!$C$90="Level-up prompt",G773,IF('Paste Editor (Beta)'!$C$90="Item prompt",E773,IF('Paste Editor (Beta)'!$C$90="Modifier prompt","'"&amp;B773,IF('Paste Editor (Beta)'!$C$90="Challenge prompt",L773,IF('Paste Editor (Beta)'!$C$90="Reroll class prompt",S772,IF('Paste Editor (Beta)'!$C$90="Swap hero prompt",S772,IF('Paste Editor (Beta)'!$C$90="Anvil prompt",AD772,"")))))))</f>
        <v>0</v>
      </c>
      <c r="AK772" s="283">
        <f>IF('Paste Editor (Beta)'!$C$90="Level-up prompt",G773,IF('Paste Editor (Beta)'!$C$90="Item prompt",E773,IF('Paste Editor (Beta)'!$C$90="Modifier prompt","'"&amp;B773,IF('Paste Editor (Beta)'!$C$90="Challenge prompt",E773,IF('Paste Editor (Beta)'!$C$90="Reroll class prompt",S772,IF('Paste Editor (Beta)'!$C$90="Swap hero prompt",S772,IF('Paste Editor (Beta)'!$C$90="Anvil prompt",AD772,"")))))))</f>
        <v>0</v>
      </c>
    </row>
    <row r="773" spans="2:37" ht="17.25">
      <c r="B773" s="284" t="s">
        <v>2563</v>
      </c>
      <c r="C773" s="284" t="s">
        <v>2563</v>
      </c>
      <c r="D773" s="284" t="s">
        <v>2563</v>
      </c>
      <c r="AH773" s="280" t="str">
        <f>IF('Paste Editor (Beta)'!$C$82="Level-up prompt",G774,IF('Paste Editor (Beta)'!$C$82="Item prompt",E774,IF('Paste Editor (Beta)'!$C$82="Modifier prompt","'"&amp;B774,IF('Paste Editor (Beta)'!$C$82="Challenge prompt",L774,IF('Paste Editor (Beta)'!$C$82="Reroll class prompt",S773,IF('Paste Editor (Beta)'!$C$82="Swap hero prompt",S773,IF('Paste Editor (Beta)'!$C$82="Anvil prompt",AD773,"")))))))</f>
        <v/>
      </c>
      <c r="AI773" s="280" t="str">
        <f>IF('Paste Editor (Beta)'!$C$82="Level-up prompt",G774,IF('Paste Editor (Beta)'!$C$82="Item prompt",E774,IF('Paste Editor (Beta)'!$C$82="Modifier prompt","'"&amp;B774,IF('Paste Editor (Beta)'!$C$82="Challenge prompt",E774,IF('Paste Editor (Beta)'!$C$82="Reroll class prompt",S773,IF('Paste Editor (Beta)'!$C$82="Swap hero prompt",S773,IF('Paste Editor (Beta)'!$C$82="Anvil prompt",AD773,"")))))))</f>
        <v/>
      </c>
      <c r="AJ773" s="283">
        <f>IF('Paste Editor (Beta)'!$C$90="Level-up prompt",G774,IF('Paste Editor (Beta)'!$C$90="Item prompt",E774,IF('Paste Editor (Beta)'!$C$90="Modifier prompt","'"&amp;B774,IF('Paste Editor (Beta)'!$C$90="Challenge prompt",L774,IF('Paste Editor (Beta)'!$C$90="Reroll class prompt",S773,IF('Paste Editor (Beta)'!$C$90="Swap hero prompt",S773,IF('Paste Editor (Beta)'!$C$90="Anvil prompt",AD773,"")))))))</f>
        <v>0</v>
      </c>
      <c r="AK773" s="283">
        <f>IF('Paste Editor (Beta)'!$C$90="Level-up prompt",G774,IF('Paste Editor (Beta)'!$C$90="Item prompt",E774,IF('Paste Editor (Beta)'!$C$90="Modifier prompt","'"&amp;B774,IF('Paste Editor (Beta)'!$C$90="Challenge prompt",E774,IF('Paste Editor (Beta)'!$C$90="Reroll class prompt",S773,IF('Paste Editor (Beta)'!$C$90="Swap hero prompt",S773,IF('Paste Editor (Beta)'!$C$90="Anvil prompt",AD773,"")))))))</f>
        <v>0</v>
      </c>
    </row>
    <row r="774" spans="2:37" ht="17.25">
      <c r="B774" s="284" t="s">
        <v>2881</v>
      </c>
      <c r="C774" s="284" t="s">
        <v>2881</v>
      </c>
      <c r="D774" s="284" t="s">
        <v>2881</v>
      </c>
      <c r="AH774" s="280" t="str">
        <f>IF('Paste Editor (Beta)'!$C$82="Level-up prompt",G775,IF('Paste Editor (Beta)'!$C$82="Item prompt",E775,IF('Paste Editor (Beta)'!$C$82="Modifier prompt","'"&amp;B775,IF('Paste Editor (Beta)'!$C$82="Challenge prompt",L775,IF('Paste Editor (Beta)'!$C$82="Reroll class prompt",S774,IF('Paste Editor (Beta)'!$C$82="Swap hero prompt",S774,IF('Paste Editor (Beta)'!$C$82="Anvil prompt",AD774,"")))))))</f>
        <v/>
      </c>
      <c r="AI774" s="280" t="str">
        <f>IF('Paste Editor (Beta)'!$C$82="Level-up prompt",G775,IF('Paste Editor (Beta)'!$C$82="Item prompt",E775,IF('Paste Editor (Beta)'!$C$82="Modifier prompt","'"&amp;B775,IF('Paste Editor (Beta)'!$C$82="Challenge prompt",E775,IF('Paste Editor (Beta)'!$C$82="Reroll class prompt",S774,IF('Paste Editor (Beta)'!$C$82="Swap hero prompt",S774,IF('Paste Editor (Beta)'!$C$82="Anvil prompt",AD774,"")))))))</f>
        <v/>
      </c>
      <c r="AJ774" s="283">
        <f>IF('Paste Editor (Beta)'!$C$90="Level-up prompt",G775,IF('Paste Editor (Beta)'!$C$90="Item prompt",E775,IF('Paste Editor (Beta)'!$C$90="Modifier prompt","'"&amp;B775,IF('Paste Editor (Beta)'!$C$90="Challenge prompt",L775,IF('Paste Editor (Beta)'!$C$90="Reroll class prompt",S774,IF('Paste Editor (Beta)'!$C$90="Swap hero prompt",S774,IF('Paste Editor (Beta)'!$C$90="Anvil prompt",AD774,"")))))))</f>
        <v>0</v>
      </c>
      <c r="AK774" s="283">
        <f>IF('Paste Editor (Beta)'!$C$90="Level-up prompt",G775,IF('Paste Editor (Beta)'!$C$90="Item prompt",E775,IF('Paste Editor (Beta)'!$C$90="Modifier prompt","'"&amp;B775,IF('Paste Editor (Beta)'!$C$90="Challenge prompt",E775,IF('Paste Editor (Beta)'!$C$90="Reroll class prompt",S774,IF('Paste Editor (Beta)'!$C$90="Swap hero prompt",S774,IF('Paste Editor (Beta)'!$C$90="Anvil prompt",AD774,"")))))))</f>
        <v>0</v>
      </c>
    </row>
    <row r="775" spans="2:37" ht="17.25">
      <c r="B775" s="284" t="s">
        <v>1979</v>
      </c>
      <c r="C775" s="284" t="s">
        <v>1979</v>
      </c>
      <c r="D775" s="284" t="s">
        <v>1979</v>
      </c>
      <c r="AH775" s="280" t="str">
        <f>IF('Paste Editor (Beta)'!$C$82="Level-up prompt",G776,IF('Paste Editor (Beta)'!$C$82="Item prompt",E776,IF('Paste Editor (Beta)'!$C$82="Modifier prompt","'"&amp;B776,IF('Paste Editor (Beta)'!$C$82="Challenge prompt",L776,IF('Paste Editor (Beta)'!$C$82="Reroll class prompt",S775,IF('Paste Editor (Beta)'!$C$82="Swap hero prompt",S775,IF('Paste Editor (Beta)'!$C$82="Anvil prompt",AD775,"")))))))</f>
        <v/>
      </c>
      <c r="AI775" s="280" t="str">
        <f>IF('Paste Editor (Beta)'!$C$82="Level-up prompt",G776,IF('Paste Editor (Beta)'!$C$82="Item prompt",E776,IF('Paste Editor (Beta)'!$C$82="Modifier prompt","'"&amp;B776,IF('Paste Editor (Beta)'!$C$82="Challenge prompt",E776,IF('Paste Editor (Beta)'!$C$82="Reroll class prompt",S775,IF('Paste Editor (Beta)'!$C$82="Swap hero prompt",S775,IF('Paste Editor (Beta)'!$C$82="Anvil prompt",AD775,"")))))))</f>
        <v/>
      </c>
      <c r="AJ775" s="283">
        <f>IF('Paste Editor (Beta)'!$C$90="Level-up prompt",G776,IF('Paste Editor (Beta)'!$C$90="Item prompt",E776,IF('Paste Editor (Beta)'!$C$90="Modifier prompt","'"&amp;B776,IF('Paste Editor (Beta)'!$C$90="Challenge prompt",L776,IF('Paste Editor (Beta)'!$C$90="Reroll class prompt",S775,IF('Paste Editor (Beta)'!$C$90="Swap hero prompt",S775,IF('Paste Editor (Beta)'!$C$90="Anvil prompt",AD775,"")))))))</f>
        <v>0</v>
      </c>
      <c r="AK775" s="283">
        <f>IF('Paste Editor (Beta)'!$C$90="Level-up prompt",G776,IF('Paste Editor (Beta)'!$C$90="Item prompt",E776,IF('Paste Editor (Beta)'!$C$90="Modifier prompt","'"&amp;B776,IF('Paste Editor (Beta)'!$C$90="Challenge prompt",E776,IF('Paste Editor (Beta)'!$C$90="Reroll class prompt",S775,IF('Paste Editor (Beta)'!$C$90="Swap hero prompt",S775,IF('Paste Editor (Beta)'!$C$90="Anvil prompt",AD775,"")))))))</f>
        <v>0</v>
      </c>
    </row>
    <row r="776" spans="2:37" ht="17.25">
      <c r="B776" s="284" t="s">
        <v>1981</v>
      </c>
      <c r="C776" s="284" t="s">
        <v>1981</v>
      </c>
      <c r="D776" s="284" t="s">
        <v>1981</v>
      </c>
      <c r="AH776" s="280" t="str">
        <f>IF('Paste Editor (Beta)'!$C$82="Level-up prompt",G777,IF('Paste Editor (Beta)'!$C$82="Item prompt",E777,IF('Paste Editor (Beta)'!$C$82="Modifier prompt","'"&amp;B777,IF('Paste Editor (Beta)'!$C$82="Challenge prompt",L777,IF('Paste Editor (Beta)'!$C$82="Reroll class prompt",S776,IF('Paste Editor (Beta)'!$C$82="Swap hero prompt",S776,IF('Paste Editor (Beta)'!$C$82="Anvil prompt",AD776,"")))))))</f>
        <v/>
      </c>
      <c r="AI776" s="280" t="str">
        <f>IF('Paste Editor (Beta)'!$C$82="Level-up prompt",G777,IF('Paste Editor (Beta)'!$C$82="Item prompt",E777,IF('Paste Editor (Beta)'!$C$82="Modifier prompt","'"&amp;B777,IF('Paste Editor (Beta)'!$C$82="Challenge prompt",E777,IF('Paste Editor (Beta)'!$C$82="Reroll class prompt",S776,IF('Paste Editor (Beta)'!$C$82="Swap hero prompt",S776,IF('Paste Editor (Beta)'!$C$82="Anvil prompt",AD776,"")))))))</f>
        <v/>
      </c>
      <c r="AJ776" s="283">
        <f>IF('Paste Editor (Beta)'!$C$90="Level-up prompt",G777,IF('Paste Editor (Beta)'!$C$90="Item prompt",E777,IF('Paste Editor (Beta)'!$C$90="Modifier prompt","'"&amp;B777,IF('Paste Editor (Beta)'!$C$90="Challenge prompt",L777,IF('Paste Editor (Beta)'!$C$90="Reroll class prompt",S776,IF('Paste Editor (Beta)'!$C$90="Swap hero prompt",S776,IF('Paste Editor (Beta)'!$C$90="Anvil prompt",AD776,"")))))))</f>
        <v>0</v>
      </c>
      <c r="AK776" s="283">
        <f>IF('Paste Editor (Beta)'!$C$90="Level-up prompt",G777,IF('Paste Editor (Beta)'!$C$90="Item prompt",E777,IF('Paste Editor (Beta)'!$C$90="Modifier prompt","'"&amp;B777,IF('Paste Editor (Beta)'!$C$90="Challenge prompt",E777,IF('Paste Editor (Beta)'!$C$90="Reroll class prompt",S776,IF('Paste Editor (Beta)'!$C$90="Swap hero prompt",S776,IF('Paste Editor (Beta)'!$C$90="Anvil prompt",AD776,"")))))))</f>
        <v>0</v>
      </c>
    </row>
    <row r="777" spans="2:37" ht="17.25">
      <c r="B777" s="284" t="s">
        <v>2118</v>
      </c>
      <c r="C777" s="284" t="s">
        <v>2118</v>
      </c>
      <c r="D777" s="284" t="s">
        <v>2118</v>
      </c>
      <c r="AH777" s="280" t="str">
        <f>IF('Paste Editor (Beta)'!$C$82="Level-up prompt",G778,IF('Paste Editor (Beta)'!$C$82="Item prompt",E778,IF('Paste Editor (Beta)'!$C$82="Modifier prompt","'"&amp;B778,IF('Paste Editor (Beta)'!$C$82="Challenge prompt",L778,IF('Paste Editor (Beta)'!$C$82="Reroll class prompt",S777,IF('Paste Editor (Beta)'!$C$82="Swap hero prompt",S777,IF('Paste Editor (Beta)'!$C$82="Anvil prompt",AD777,"")))))))</f>
        <v/>
      </c>
      <c r="AI777" s="280" t="str">
        <f>IF('Paste Editor (Beta)'!$C$82="Level-up prompt",G778,IF('Paste Editor (Beta)'!$C$82="Item prompt",E778,IF('Paste Editor (Beta)'!$C$82="Modifier prompt","'"&amp;B778,IF('Paste Editor (Beta)'!$C$82="Challenge prompt",E778,IF('Paste Editor (Beta)'!$C$82="Reroll class prompt",S777,IF('Paste Editor (Beta)'!$C$82="Swap hero prompt",S777,IF('Paste Editor (Beta)'!$C$82="Anvil prompt",AD777,"")))))))</f>
        <v/>
      </c>
      <c r="AJ777" s="283">
        <f>IF('Paste Editor (Beta)'!$C$90="Level-up prompt",G778,IF('Paste Editor (Beta)'!$C$90="Item prompt",E778,IF('Paste Editor (Beta)'!$C$90="Modifier prompt","'"&amp;B778,IF('Paste Editor (Beta)'!$C$90="Challenge prompt",L778,IF('Paste Editor (Beta)'!$C$90="Reroll class prompt",S777,IF('Paste Editor (Beta)'!$C$90="Swap hero prompt",S777,IF('Paste Editor (Beta)'!$C$90="Anvil prompt",AD777,"")))))))</f>
        <v>0</v>
      </c>
      <c r="AK777" s="283">
        <f>IF('Paste Editor (Beta)'!$C$90="Level-up prompt",G778,IF('Paste Editor (Beta)'!$C$90="Item prompt",E778,IF('Paste Editor (Beta)'!$C$90="Modifier prompt","'"&amp;B778,IF('Paste Editor (Beta)'!$C$90="Challenge prompt",E778,IF('Paste Editor (Beta)'!$C$90="Reroll class prompt",S777,IF('Paste Editor (Beta)'!$C$90="Swap hero prompt",S777,IF('Paste Editor (Beta)'!$C$90="Anvil prompt",AD777,"")))))))</f>
        <v>0</v>
      </c>
    </row>
    <row r="778" spans="2:37" ht="17.25">
      <c r="B778" s="284" t="s">
        <v>2220</v>
      </c>
      <c r="C778" s="284" t="s">
        <v>2220</v>
      </c>
      <c r="D778" s="284" t="s">
        <v>2220</v>
      </c>
      <c r="AH778" s="280" t="str">
        <f>IF('Paste Editor (Beta)'!$C$82="Level-up prompt",G779,IF('Paste Editor (Beta)'!$C$82="Item prompt",E779,IF('Paste Editor (Beta)'!$C$82="Modifier prompt","'"&amp;B779,IF('Paste Editor (Beta)'!$C$82="Challenge prompt",L779,IF('Paste Editor (Beta)'!$C$82="Reroll class prompt",S778,IF('Paste Editor (Beta)'!$C$82="Swap hero prompt",S778,IF('Paste Editor (Beta)'!$C$82="Anvil prompt",AD778,"")))))))</f>
        <v/>
      </c>
      <c r="AI778" s="280" t="str">
        <f>IF('Paste Editor (Beta)'!$C$82="Level-up prompt",G779,IF('Paste Editor (Beta)'!$C$82="Item prompt",E779,IF('Paste Editor (Beta)'!$C$82="Modifier prompt","'"&amp;B779,IF('Paste Editor (Beta)'!$C$82="Challenge prompt",E779,IF('Paste Editor (Beta)'!$C$82="Reroll class prompt",S778,IF('Paste Editor (Beta)'!$C$82="Swap hero prompt",S778,IF('Paste Editor (Beta)'!$C$82="Anvil prompt",AD778,"")))))))</f>
        <v/>
      </c>
      <c r="AJ778" s="283">
        <f>IF('Paste Editor (Beta)'!$C$90="Level-up prompt",G779,IF('Paste Editor (Beta)'!$C$90="Item prompt",E779,IF('Paste Editor (Beta)'!$C$90="Modifier prompt","'"&amp;B779,IF('Paste Editor (Beta)'!$C$90="Challenge prompt",L779,IF('Paste Editor (Beta)'!$C$90="Reroll class prompt",S778,IF('Paste Editor (Beta)'!$C$90="Swap hero prompt",S778,IF('Paste Editor (Beta)'!$C$90="Anvil prompt",AD778,"")))))))</f>
        <v>0</v>
      </c>
      <c r="AK778" s="283">
        <f>IF('Paste Editor (Beta)'!$C$90="Level-up prompt",G779,IF('Paste Editor (Beta)'!$C$90="Item prompt",E779,IF('Paste Editor (Beta)'!$C$90="Modifier prompt","'"&amp;B779,IF('Paste Editor (Beta)'!$C$90="Challenge prompt",E779,IF('Paste Editor (Beta)'!$C$90="Reroll class prompt",S778,IF('Paste Editor (Beta)'!$C$90="Swap hero prompt",S778,IF('Paste Editor (Beta)'!$C$90="Anvil prompt",AD778,"")))))))</f>
        <v>0</v>
      </c>
    </row>
    <row r="779" spans="2:37" ht="17.25">
      <c r="B779" s="284" t="s">
        <v>2891</v>
      </c>
      <c r="C779" s="284" t="s">
        <v>2891</v>
      </c>
      <c r="D779" s="284" t="s">
        <v>2891</v>
      </c>
      <c r="AH779" s="280" t="str">
        <f>IF('Paste Editor (Beta)'!$C$82="Level-up prompt",G780,IF('Paste Editor (Beta)'!$C$82="Item prompt",E780,IF('Paste Editor (Beta)'!$C$82="Modifier prompt","'"&amp;B780,IF('Paste Editor (Beta)'!$C$82="Challenge prompt",L780,IF('Paste Editor (Beta)'!$C$82="Reroll class prompt",S779,IF('Paste Editor (Beta)'!$C$82="Swap hero prompt",S779,IF('Paste Editor (Beta)'!$C$82="Anvil prompt",AD779,"")))))))</f>
        <v/>
      </c>
      <c r="AI779" s="280" t="str">
        <f>IF('Paste Editor (Beta)'!$C$82="Level-up prompt",G780,IF('Paste Editor (Beta)'!$C$82="Item prompt",E780,IF('Paste Editor (Beta)'!$C$82="Modifier prompt","'"&amp;B780,IF('Paste Editor (Beta)'!$C$82="Challenge prompt",E780,IF('Paste Editor (Beta)'!$C$82="Reroll class prompt",S779,IF('Paste Editor (Beta)'!$C$82="Swap hero prompt",S779,IF('Paste Editor (Beta)'!$C$82="Anvil prompt",AD779,"")))))))</f>
        <v/>
      </c>
      <c r="AJ779" s="283">
        <f>IF('Paste Editor (Beta)'!$C$90="Level-up prompt",G780,IF('Paste Editor (Beta)'!$C$90="Item prompt",E780,IF('Paste Editor (Beta)'!$C$90="Modifier prompt","'"&amp;B780,IF('Paste Editor (Beta)'!$C$90="Challenge prompt",L780,IF('Paste Editor (Beta)'!$C$90="Reroll class prompt",S779,IF('Paste Editor (Beta)'!$C$90="Swap hero prompt",S779,IF('Paste Editor (Beta)'!$C$90="Anvil prompt",AD779,"")))))))</f>
        <v>0</v>
      </c>
      <c r="AK779" s="283">
        <f>IF('Paste Editor (Beta)'!$C$90="Level-up prompt",G780,IF('Paste Editor (Beta)'!$C$90="Item prompt",E780,IF('Paste Editor (Beta)'!$C$90="Modifier prompt","'"&amp;B780,IF('Paste Editor (Beta)'!$C$90="Challenge prompt",E780,IF('Paste Editor (Beta)'!$C$90="Reroll class prompt",S779,IF('Paste Editor (Beta)'!$C$90="Swap hero prompt",S779,IF('Paste Editor (Beta)'!$C$90="Anvil prompt",AD779,"")))))))</f>
        <v>0</v>
      </c>
    </row>
    <row r="780" spans="2:37" ht="17.25">
      <c r="B780" s="284" t="s">
        <v>2969</v>
      </c>
      <c r="C780" s="284" t="s">
        <v>2969</v>
      </c>
      <c r="D780" s="284" t="s">
        <v>2969</v>
      </c>
      <c r="AH780" s="280" t="str">
        <f>IF('Paste Editor (Beta)'!$C$82="Level-up prompt",G781,IF('Paste Editor (Beta)'!$C$82="Item prompt",E781,IF('Paste Editor (Beta)'!$C$82="Modifier prompt","'"&amp;B781,IF('Paste Editor (Beta)'!$C$82="Challenge prompt",L781,IF('Paste Editor (Beta)'!$C$82="Reroll class prompt",S780,IF('Paste Editor (Beta)'!$C$82="Swap hero prompt",S780,IF('Paste Editor (Beta)'!$C$82="Anvil prompt",AD780,"")))))))</f>
        <v/>
      </c>
      <c r="AI780" s="280" t="str">
        <f>IF('Paste Editor (Beta)'!$C$82="Level-up prompt",G781,IF('Paste Editor (Beta)'!$C$82="Item prompt",E781,IF('Paste Editor (Beta)'!$C$82="Modifier prompt","'"&amp;B781,IF('Paste Editor (Beta)'!$C$82="Challenge prompt",E781,IF('Paste Editor (Beta)'!$C$82="Reroll class prompt",S780,IF('Paste Editor (Beta)'!$C$82="Swap hero prompt",S780,IF('Paste Editor (Beta)'!$C$82="Anvil prompt",AD780,"")))))))</f>
        <v/>
      </c>
      <c r="AJ780" s="283">
        <f>IF('Paste Editor (Beta)'!$C$90="Level-up prompt",G781,IF('Paste Editor (Beta)'!$C$90="Item prompt",E781,IF('Paste Editor (Beta)'!$C$90="Modifier prompt","'"&amp;B781,IF('Paste Editor (Beta)'!$C$90="Challenge prompt",L781,IF('Paste Editor (Beta)'!$C$90="Reroll class prompt",S780,IF('Paste Editor (Beta)'!$C$90="Swap hero prompt",S780,IF('Paste Editor (Beta)'!$C$90="Anvil prompt",AD780,"")))))))</f>
        <v>0</v>
      </c>
      <c r="AK780" s="283">
        <f>IF('Paste Editor (Beta)'!$C$90="Level-up prompt",G781,IF('Paste Editor (Beta)'!$C$90="Item prompt",E781,IF('Paste Editor (Beta)'!$C$90="Modifier prompt","'"&amp;B781,IF('Paste Editor (Beta)'!$C$90="Challenge prompt",E781,IF('Paste Editor (Beta)'!$C$90="Reroll class prompt",S780,IF('Paste Editor (Beta)'!$C$90="Swap hero prompt",S780,IF('Paste Editor (Beta)'!$C$90="Anvil prompt",AD780,"")))))))</f>
        <v>0</v>
      </c>
    </row>
    <row r="781" spans="2:37" ht="17.25">
      <c r="B781" s="284" t="s">
        <v>2971</v>
      </c>
      <c r="C781" s="284" t="s">
        <v>2971</v>
      </c>
      <c r="D781" s="284" t="s">
        <v>2971</v>
      </c>
      <c r="AH781" s="280" t="str">
        <f>IF('Paste Editor (Beta)'!$C$82="Level-up prompt",G782,IF('Paste Editor (Beta)'!$C$82="Item prompt",E782,IF('Paste Editor (Beta)'!$C$82="Modifier prompt","'"&amp;B782,IF('Paste Editor (Beta)'!$C$82="Challenge prompt",L782,IF('Paste Editor (Beta)'!$C$82="Reroll class prompt",S781,IF('Paste Editor (Beta)'!$C$82="Swap hero prompt",S781,IF('Paste Editor (Beta)'!$C$82="Anvil prompt",AD781,"")))))))</f>
        <v/>
      </c>
      <c r="AI781" s="280" t="str">
        <f>IF('Paste Editor (Beta)'!$C$82="Level-up prompt",G782,IF('Paste Editor (Beta)'!$C$82="Item prompt",E782,IF('Paste Editor (Beta)'!$C$82="Modifier prompt","'"&amp;B782,IF('Paste Editor (Beta)'!$C$82="Challenge prompt",E782,IF('Paste Editor (Beta)'!$C$82="Reroll class prompt",S781,IF('Paste Editor (Beta)'!$C$82="Swap hero prompt",S781,IF('Paste Editor (Beta)'!$C$82="Anvil prompt",AD781,"")))))))</f>
        <v/>
      </c>
      <c r="AJ781" s="283">
        <f>IF('Paste Editor (Beta)'!$C$90="Level-up prompt",G782,IF('Paste Editor (Beta)'!$C$90="Item prompt",E782,IF('Paste Editor (Beta)'!$C$90="Modifier prompt","'"&amp;B782,IF('Paste Editor (Beta)'!$C$90="Challenge prompt",L782,IF('Paste Editor (Beta)'!$C$90="Reroll class prompt",S781,IF('Paste Editor (Beta)'!$C$90="Swap hero prompt",S781,IF('Paste Editor (Beta)'!$C$90="Anvil prompt",AD781,"")))))))</f>
        <v>0</v>
      </c>
      <c r="AK781" s="283">
        <f>IF('Paste Editor (Beta)'!$C$90="Level-up prompt",G782,IF('Paste Editor (Beta)'!$C$90="Item prompt",E782,IF('Paste Editor (Beta)'!$C$90="Modifier prompt","'"&amp;B782,IF('Paste Editor (Beta)'!$C$90="Challenge prompt",E782,IF('Paste Editor (Beta)'!$C$90="Reroll class prompt",S781,IF('Paste Editor (Beta)'!$C$90="Swap hero prompt",S781,IF('Paste Editor (Beta)'!$C$90="Anvil prompt",AD781,"")))))))</f>
        <v>0</v>
      </c>
    </row>
    <row r="782" spans="2:37" ht="17.25">
      <c r="B782" s="284" t="s">
        <v>2893</v>
      </c>
      <c r="C782" s="284" t="s">
        <v>2893</v>
      </c>
      <c r="D782" s="284" t="s">
        <v>2893</v>
      </c>
      <c r="AH782" s="280" t="str">
        <f>IF('Paste Editor (Beta)'!$C$82="Level-up prompt",G783,IF('Paste Editor (Beta)'!$C$82="Item prompt",E783,IF('Paste Editor (Beta)'!$C$82="Modifier prompt","'"&amp;B783,IF('Paste Editor (Beta)'!$C$82="Challenge prompt",L783,IF('Paste Editor (Beta)'!$C$82="Reroll class prompt",S782,IF('Paste Editor (Beta)'!$C$82="Swap hero prompt",S782,IF('Paste Editor (Beta)'!$C$82="Anvil prompt",AD782,"")))))))</f>
        <v/>
      </c>
      <c r="AI782" s="280" t="str">
        <f>IF('Paste Editor (Beta)'!$C$82="Level-up prompt",G783,IF('Paste Editor (Beta)'!$C$82="Item prompt",E783,IF('Paste Editor (Beta)'!$C$82="Modifier prompt","'"&amp;B783,IF('Paste Editor (Beta)'!$C$82="Challenge prompt",E783,IF('Paste Editor (Beta)'!$C$82="Reroll class prompt",S782,IF('Paste Editor (Beta)'!$C$82="Swap hero prompt",S782,IF('Paste Editor (Beta)'!$C$82="Anvil prompt",AD782,"")))))))</f>
        <v/>
      </c>
      <c r="AJ782" s="283">
        <f>IF('Paste Editor (Beta)'!$C$90="Level-up prompt",G783,IF('Paste Editor (Beta)'!$C$90="Item prompt",E783,IF('Paste Editor (Beta)'!$C$90="Modifier prompt","'"&amp;B783,IF('Paste Editor (Beta)'!$C$90="Challenge prompt",L783,IF('Paste Editor (Beta)'!$C$90="Reroll class prompt",S782,IF('Paste Editor (Beta)'!$C$90="Swap hero prompt",S782,IF('Paste Editor (Beta)'!$C$90="Anvil prompt",AD782,"")))))))</f>
        <v>0</v>
      </c>
      <c r="AK782" s="283">
        <f>IF('Paste Editor (Beta)'!$C$90="Level-up prompt",G783,IF('Paste Editor (Beta)'!$C$90="Item prompt",E783,IF('Paste Editor (Beta)'!$C$90="Modifier prompt","'"&amp;B783,IF('Paste Editor (Beta)'!$C$90="Challenge prompt",E783,IF('Paste Editor (Beta)'!$C$90="Reroll class prompt",S782,IF('Paste Editor (Beta)'!$C$90="Swap hero prompt",S782,IF('Paste Editor (Beta)'!$C$90="Anvil prompt",AD782,"")))))))</f>
        <v>0</v>
      </c>
    </row>
    <row r="783" spans="2:37" ht="17.25">
      <c r="B783" s="284" t="s">
        <v>2933</v>
      </c>
      <c r="C783" s="284" t="s">
        <v>2933</v>
      </c>
      <c r="D783" s="284" t="s">
        <v>2933</v>
      </c>
      <c r="AH783" s="280" t="str">
        <f>IF('Paste Editor (Beta)'!$C$82="Level-up prompt",G784,IF('Paste Editor (Beta)'!$C$82="Item prompt",E784,IF('Paste Editor (Beta)'!$C$82="Modifier prompt","'"&amp;B784,IF('Paste Editor (Beta)'!$C$82="Challenge prompt",L784,IF('Paste Editor (Beta)'!$C$82="Reroll class prompt",S783,IF('Paste Editor (Beta)'!$C$82="Swap hero prompt",S783,IF('Paste Editor (Beta)'!$C$82="Anvil prompt",AD783,"")))))))</f>
        <v/>
      </c>
      <c r="AI783" s="280" t="str">
        <f>IF('Paste Editor (Beta)'!$C$82="Level-up prompt",G784,IF('Paste Editor (Beta)'!$C$82="Item prompt",E784,IF('Paste Editor (Beta)'!$C$82="Modifier prompt","'"&amp;B784,IF('Paste Editor (Beta)'!$C$82="Challenge prompt",E784,IF('Paste Editor (Beta)'!$C$82="Reroll class prompt",S783,IF('Paste Editor (Beta)'!$C$82="Swap hero prompt",S783,IF('Paste Editor (Beta)'!$C$82="Anvil prompt",AD783,"")))))))</f>
        <v/>
      </c>
      <c r="AJ783" s="283">
        <f>IF('Paste Editor (Beta)'!$C$90="Level-up prompt",G784,IF('Paste Editor (Beta)'!$C$90="Item prompt",E784,IF('Paste Editor (Beta)'!$C$90="Modifier prompt","'"&amp;B784,IF('Paste Editor (Beta)'!$C$90="Challenge prompt",L784,IF('Paste Editor (Beta)'!$C$90="Reroll class prompt",S783,IF('Paste Editor (Beta)'!$C$90="Swap hero prompt",S783,IF('Paste Editor (Beta)'!$C$90="Anvil prompt",AD783,"")))))))</f>
        <v>0</v>
      </c>
      <c r="AK783" s="283">
        <f>IF('Paste Editor (Beta)'!$C$90="Level-up prompt",G784,IF('Paste Editor (Beta)'!$C$90="Item prompt",E784,IF('Paste Editor (Beta)'!$C$90="Modifier prompt","'"&amp;B784,IF('Paste Editor (Beta)'!$C$90="Challenge prompt",E784,IF('Paste Editor (Beta)'!$C$90="Reroll class prompt",S783,IF('Paste Editor (Beta)'!$C$90="Swap hero prompt",S783,IF('Paste Editor (Beta)'!$C$90="Anvil prompt",AD783,"")))))))</f>
        <v>0</v>
      </c>
    </row>
    <row r="784" spans="2:37" ht="17.25">
      <c r="B784" s="284" t="s">
        <v>2375</v>
      </c>
      <c r="C784" s="284" t="s">
        <v>2375</v>
      </c>
      <c r="D784" s="284" t="s">
        <v>2375</v>
      </c>
      <c r="AH784" s="280" t="str">
        <f>IF('Paste Editor (Beta)'!$C$82="Level-up prompt",G785,IF('Paste Editor (Beta)'!$C$82="Item prompt",E785,IF('Paste Editor (Beta)'!$C$82="Modifier prompt","'"&amp;B785,IF('Paste Editor (Beta)'!$C$82="Challenge prompt",L785,IF('Paste Editor (Beta)'!$C$82="Reroll class prompt",S784,IF('Paste Editor (Beta)'!$C$82="Swap hero prompt",S784,IF('Paste Editor (Beta)'!$C$82="Anvil prompt",AD784,"")))))))</f>
        <v/>
      </c>
      <c r="AI784" s="280" t="str">
        <f>IF('Paste Editor (Beta)'!$C$82="Level-up prompt",G785,IF('Paste Editor (Beta)'!$C$82="Item prompt",E785,IF('Paste Editor (Beta)'!$C$82="Modifier prompt","'"&amp;B785,IF('Paste Editor (Beta)'!$C$82="Challenge prompt",E785,IF('Paste Editor (Beta)'!$C$82="Reroll class prompt",S784,IF('Paste Editor (Beta)'!$C$82="Swap hero prompt",S784,IF('Paste Editor (Beta)'!$C$82="Anvil prompt",AD784,"")))))))</f>
        <v/>
      </c>
      <c r="AJ784" s="283">
        <f>IF('Paste Editor (Beta)'!$C$90="Level-up prompt",G785,IF('Paste Editor (Beta)'!$C$90="Item prompt",E785,IF('Paste Editor (Beta)'!$C$90="Modifier prompt","'"&amp;B785,IF('Paste Editor (Beta)'!$C$90="Challenge prompt",L785,IF('Paste Editor (Beta)'!$C$90="Reroll class prompt",S784,IF('Paste Editor (Beta)'!$C$90="Swap hero prompt",S784,IF('Paste Editor (Beta)'!$C$90="Anvil prompt",AD784,"")))))))</f>
        <v>0</v>
      </c>
      <c r="AK784" s="283">
        <f>IF('Paste Editor (Beta)'!$C$90="Level-up prompt",G785,IF('Paste Editor (Beta)'!$C$90="Item prompt",E785,IF('Paste Editor (Beta)'!$C$90="Modifier prompt","'"&amp;B785,IF('Paste Editor (Beta)'!$C$90="Challenge prompt",E785,IF('Paste Editor (Beta)'!$C$90="Reroll class prompt",S784,IF('Paste Editor (Beta)'!$C$90="Swap hero prompt",S784,IF('Paste Editor (Beta)'!$C$90="Anvil prompt",AD784,"")))))))</f>
        <v>0</v>
      </c>
    </row>
    <row r="785" spans="2:37" ht="17.25">
      <c r="B785" s="284" t="s">
        <v>2689</v>
      </c>
      <c r="C785" s="284" t="s">
        <v>2689</v>
      </c>
      <c r="D785" s="284" t="s">
        <v>2689</v>
      </c>
      <c r="AH785" s="280" t="str">
        <f>IF('Paste Editor (Beta)'!$C$82="Level-up prompt",G786,IF('Paste Editor (Beta)'!$C$82="Item prompt",E786,IF('Paste Editor (Beta)'!$C$82="Modifier prompt","'"&amp;B786,IF('Paste Editor (Beta)'!$C$82="Challenge prompt",L786,IF('Paste Editor (Beta)'!$C$82="Reroll class prompt",S785,IF('Paste Editor (Beta)'!$C$82="Swap hero prompt",S785,IF('Paste Editor (Beta)'!$C$82="Anvil prompt",AD785,"")))))))</f>
        <v/>
      </c>
      <c r="AI785" s="280" t="str">
        <f>IF('Paste Editor (Beta)'!$C$82="Level-up prompt",G786,IF('Paste Editor (Beta)'!$C$82="Item prompt",E786,IF('Paste Editor (Beta)'!$C$82="Modifier prompt","'"&amp;B786,IF('Paste Editor (Beta)'!$C$82="Challenge prompt",E786,IF('Paste Editor (Beta)'!$C$82="Reroll class prompt",S785,IF('Paste Editor (Beta)'!$C$82="Swap hero prompt",S785,IF('Paste Editor (Beta)'!$C$82="Anvil prompt",AD785,"")))))))</f>
        <v/>
      </c>
      <c r="AJ785" s="283">
        <f>IF('Paste Editor (Beta)'!$C$90="Level-up prompt",G786,IF('Paste Editor (Beta)'!$C$90="Item prompt",E786,IF('Paste Editor (Beta)'!$C$90="Modifier prompt","'"&amp;B786,IF('Paste Editor (Beta)'!$C$90="Challenge prompt",L786,IF('Paste Editor (Beta)'!$C$90="Reroll class prompt",S785,IF('Paste Editor (Beta)'!$C$90="Swap hero prompt",S785,IF('Paste Editor (Beta)'!$C$90="Anvil prompt",AD785,"")))))))</f>
        <v>0</v>
      </c>
      <c r="AK785" s="283">
        <f>IF('Paste Editor (Beta)'!$C$90="Level-up prompt",G786,IF('Paste Editor (Beta)'!$C$90="Item prompt",E786,IF('Paste Editor (Beta)'!$C$90="Modifier prompt","'"&amp;B786,IF('Paste Editor (Beta)'!$C$90="Challenge prompt",E786,IF('Paste Editor (Beta)'!$C$90="Reroll class prompt",S785,IF('Paste Editor (Beta)'!$C$90="Swap hero prompt",S785,IF('Paste Editor (Beta)'!$C$90="Anvil prompt",AD785,"")))))))</f>
        <v>0</v>
      </c>
    </row>
    <row r="786" spans="2:37" ht="17.25">
      <c r="B786" s="284" t="s">
        <v>2975</v>
      </c>
      <c r="C786" s="284" t="s">
        <v>2975</v>
      </c>
      <c r="D786" s="284" t="s">
        <v>2975</v>
      </c>
      <c r="AH786" s="280" t="str">
        <f>IF('Paste Editor (Beta)'!$C$82="Level-up prompt",G787,IF('Paste Editor (Beta)'!$C$82="Item prompt",E787,IF('Paste Editor (Beta)'!$C$82="Modifier prompt","'"&amp;B787,IF('Paste Editor (Beta)'!$C$82="Challenge prompt",L787,IF('Paste Editor (Beta)'!$C$82="Reroll class prompt",S786,IF('Paste Editor (Beta)'!$C$82="Swap hero prompt",S786,IF('Paste Editor (Beta)'!$C$82="Anvil prompt",AD786,"")))))))</f>
        <v/>
      </c>
      <c r="AI786" s="280" t="str">
        <f>IF('Paste Editor (Beta)'!$C$82="Level-up prompt",G787,IF('Paste Editor (Beta)'!$C$82="Item prompt",E787,IF('Paste Editor (Beta)'!$C$82="Modifier prompt","'"&amp;B787,IF('Paste Editor (Beta)'!$C$82="Challenge prompt",E787,IF('Paste Editor (Beta)'!$C$82="Reroll class prompt",S786,IF('Paste Editor (Beta)'!$C$82="Swap hero prompt",S786,IF('Paste Editor (Beta)'!$C$82="Anvil prompt",AD786,"")))))))</f>
        <v/>
      </c>
      <c r="AJ786" s="283">
        <f>IF('Paste Editor (Beta)'!$C$90="Level-up prompt",G787,IF('Paste Editor (Beta)'!$C$90="Item prompt",E787,IF('Paste Editor (Beta)'!$C$90="Modifier prompt","'"&amp;B787,IF('Paste Editor (Beta)'!$C$90="Challenge prompt",L787,IF('Paste Editor (Beta)'!$C$90="Reroll class prompt",S786,IF('Paste Editor (Beta)'!$C$90="Swap hero prompt",S786,IF('Paste Editor (Beta)'!$C$90="Anvil prompt",AD786,"")))))))</f>
        <v>0</v>
      </c>
      <c r="AK786" s="283">
        <f>IF('Paste Editor (Beta)'!$C$90="Level-up prompt",G787,IF('Paste Editor (Beta)'!$C$90="Item prompt",E787,IF('Paste Editor (Beta)'!$C$90="Modifier prompt","'"&amp;B787,IF('Paste Editor (Beta)'!$C$90="Challenge prompt",E787,IF('Paste Editor (Beta)'!$C$90="Reroll class prompt",S786,IF('Paste Editor (Beta)'!$C$90="Swap hero prompt",S786,IF('Paste Editor (Beta)'!$C$90="Anvil prompt",AD786,"")))))))</f>
        <v>0</v>
      </c>
    </row>
    <row r="787" spans="2:37" ht="17.25">
      <c r="B787" s="284" t="s">
        <v>2363</v>
      </c>
      <c r="C787" s="284" t="s">
        <v>2363</v>
      </c>
      <c r="D787" s="284" t="s">
        <v>2363</v>
      </c>
      <c r="AH787" s="280" t="str">
        <f>IF('Paste Editor (Beta)'!$C$82="Level-up prompt",G788,IF('Paste Editor (Beta)'!$C$82="Item prompt",E788,IF('Paste Editor (Beta)'!$C$82="Modifier prompt","'"&amp;B788,IF('Paste Editor (Beta)'!$C$82="Challenge prompt",L788,IF('Paste Editor (Beta)'!$C$82="Reroll class prompt",S787,IF('Paste Editor (Beta)'!$C$82="Swap hero prompt",S787,IF('Paste Editor (Beta)'!$C$82="Anvil prompt",AD787,"")))))))</f>
        <v/>
      </c>
      <c r="AI787" s="280" t="str">
        <f>IF('Paste Editor (Beta)'!$C$82="Level-up prompt",G788,IF('Paste Editor (Beta)'!$C$82="Item prompt",E788,IF('Paste Editor (Beta)'!$C$82="Modifier prompt","'"&amp;B788,IF('Paste Editor (Beta)'!$C$82="Challenge prompt",E788,IF('Paste Editor (Beta)'!$C$82="Reroll class prompt",S787,IF('Paste Editor (Beta)'!$C$82="Swap hero prompt",S787,IF('Paste Editor (Beta)'!$C$82="Anvil prompt",AD787,"")))))))</f>
        <v/>
      </c>
      <c r="AJ787" s="283">
        <f>IF('Paste Editor (Beta)'!$C$90="Level-up prompt",G788,IF('Paste Editor (Beta)'!$C$90="Item prompt",E788,IF('Paste Editor (Beta)'!$C$90="Modifier prompt","'"&amp;B788,IF('Paste Editor (Beta)'!$C$90="Challenge prompt",L788,IF('Paste Editor (Beta)'!$C$90="Reroll class prompt",S787,IF('Paste Editor (Beta)'!$C$90="Swap hero prompt",S787,IF('Paste Editor (Beta)'!$C$90="Anvil prompt",AD787,"")))))))</f>
        <v>0</v>
      </c>
      <c r="AK787" s="283">
        <f>IF('Paste Editor (Beta)'!$C$90="Level-up prompt",G788,IF('Paste Editor (Beta)'!$C$90="Item prompt",E788,IF('Paste Editor (Beta)'!$C$90="Modifier prompt","'"&amp;B788,IF('Paste Editor (Beta)'!$C$90="Challenge prompt",E788,IF('Paste Editor (Beta)'!$C$90="Reroll class prompt",S787,IF('Paste Editor (Beta)'!$C$90="Swap hero prompt",S787,IF('Paste Editor (Beta)'!$C$90="Anvil prompt",AD787,"")))))))</f>
        <v>0</v>
      </c>
    </row>
    <row r="788" spans="2:37" ht="17.25">
      <c r="B788" s="284" t="s">
        <v>3001</v>
      </c>
      <c r="C788" s="284" t="s">
        <v>3001</v>
      </c>
      <c r="D788" s="284" t="s">
        <v>3001</v>
      </c>
      <c r="AH788" s="280" t="str">
        <f>IF('Paste Editor (Beta)'!$C$82="Level-up prompt",G789,IF('Paste Editor (Beta)'!$C$82="Item prompt",E789,IF('Paste Editor (Beta)'!$C$82="Modifier prompt","'"&amp;B789,IF('Paste Editor (Beta)'!$C$82="Challenge prompt",L789,IF('Paste Editor (Beta)'!$C$82="Reroll class prompt",S788,IF('Paste Editor (Beta)'!$C$82="Swap hero prompt",S788,IF('Paste Editor (Beta)'!$C$82="Anvil prompt",AD788,"")))))))</f>
        <v/>
      </c>
      <c r="AI788" s="280" t="str">
        <f>IF('Paste Editor (Beta)'!$C$82="Level-up prompt",G789,IF('Paste Editor (Beta)'!$C$82="Item prompt",E789,IF('Paste Editor (Beta)'!$C$82="Modifier prompt","'"&amp;B789,IF('Paste Editor (Beta)'!$C$82="Challenge prompt",E789,IF('Paste Editor (Beta)'!$C$82="Reroll class prompt",S788,IF('Paste Editor (Beta)'!$C$82="Swap hero prompt",S788,IF('Paste Editor (Beta)'!$C$82="Anvil prompt",AD788,"")))))))</f>
        <v/>
      </c>
      <c r="AJ788" s="283">
        <f>IF('Paste Editor (Beta)'!$C$90="Level-up prompt",G789,IF('Paste Editor (Beta)'!$C$90="Item prompt",E789,IF('Paste Editor (Beta)'!$C$90="Modifier prompt","'"&amp;B789,IF('Paste Editor (Beta)'!$C$90="Challenge prompt",L789,IF('Paste Editor (Beta)'!$C$90="Reroll class prompt",S788,IF('Paste Editor (Beta)'!$C$90="Swap hero prompt",S788,IF('Paste Editor (Beta)'!$C$90="Anvil prompt",AD788,"")))))))</f>
        <v>0</v>
      </c>
      <c r="AK788" s="283">
        <f>IF('Paste Editor (Beta)'!$C$90="Level-up prompt",G789,IF('Paste Editor (Beta)'!$C$90="Item prompt",E789,IF('Paste Editor (Beta)'!$C$90="Modifier prompt","'"&amp;B789,IF('Paste Editor (Beta)'!$C$90="Challenge prompt",E789,IF('Paste Editor (Beta)'!$C$90="Reroll class prompt",S788,IF('Paste Editor (Beta)'!$C$90="Swap hero prompt",S788,IF('Paste Editor (Beta)'!$C$90="Anvil prompt",AD788,"")))))))</f>
        <v>0</v>
      </c>
    </row>
    <row r="789" spans="2:37" ht="17.25">
      <c r="B789" s="284" t="s">
        <v>2031</v>
      </c>
      <c r="C789" s="284" t="s">
        <v>2031</v>
      </c>
      <c r="D789" s="284" t="s">
        <v>2031</v>
      </c>
      <c r="AH789" s="280" t="str">
        <f>IF('Paste Editor (Beta)'!$C$82="Level-up prompt",G790,IF('Paste Editor (Beta)'!$C$82="Item prompt",E790,IF('Paste Editor (Beta)'!$C$82="Modifier prompt","'"&amp;B790,IF('Paste Editor (Beta)'!$C$82="Challenge prompt",L790,IF('Paste Editor (Beta)'!$C$82="Reroll class prompt",S789,IF('Paste Editor (Beta)'!$C$82="Swap hero prompt",S789,IF('Paste Editor (Beta)'!$C$82="Anvil prompt",AD789,"")))))))</f>
        <v/>
      </c>
      <c r="AI789" s="280" t="str">
        <f>IF('Paste Editor (Beta)'!$C$82="Level-up prompt",G790,IF('Paste Editor (Beta)'!$C$82="Item prompt",E790,IF('Paste Editor (Beta)'!$C$82="Modifier prompt","'"&amp;B790,IF('Paste Editor (Beta)'!$C$82="Challenge prompt",E790,IF('Paste Editor (Beta)'!$C$82="Reroll class prompt",S789,IF('Paste Editor (Beta)'!$C$82="Swap hero prompt",S789,IF('Paste Editor (Beta)'!$C$82="Anvil prompt",AD789,"")))))))</f>
        <v/>
      </c>
      <c r="AJ789" s="283">
        <f>IF('Paste Editor (Beta)'!$C$90="Level-up prompt",G790,IF('Paste Editor (Beta)'!$C$90="Item prompt",E790,IF('Paste Editor (Beta)'!$C$90="Modifier prompt","'"&amp;B790,IF('Paste Editor (Beta)'!$C$90="Challenge prompt",L790,IF('Paste Editor (Beta)'!$C$90="Reroll class prompt",S789,IF('Paste Editor (Beta)'!$C$90="Swap hero prompt",S789,IF('Paste Editor (Beta)'!$C$90="Anvil prompt",AD789,"")))))))</f>
        <v>0</v>
      </c>
      <c r="AK789" s="283">
        <f>IF('Paste Editor (Beta)'!$C$90="Level-up prompt",G790,IF('Paste Editor (Beta)'!$C$90="Item prompt",E790,IF('Paste Editor (Beta)'!$C$90="Modifier prompt","'"&amp;B790,IF('Paste Editor (Beta)'!$C$90="Challenge prompt",E790,IF('Paste Editor (Beta)'!$C$90="Reroll class prompt",S789,IF('Paste Editor (Beta)'!$C$90="Swap hero prompt",S789,IF('Paste Editor (Beta)'!$C$90="Anvil prompt",AD789,"")))))))</f>
        <v>0</v>
      </c>
    </row>
    <row r="790" spans="2:37" ht="17.25">
      <c r="B790" s="284" t="s">
        <v>2235</v>
      </c>
      <c r="C790" s="284" t="s">
        <v>2235</v>
      </c>
      <c r="D790" s="284" t="s">
        <v>2235</v>
      </c>
      <c r="AH790" s="280" t="str">
        <f>IF('Paste Editor (Beta)'!$C$82="Level-up prompt",G791,IF('Paste Editor (Beta)'!$C$82="Item prompt",E791,IF('Paste Editor (Beta)'!$C$82="Modifier prompt","'"&amp;B791,IF('Paste Editor (Beta)'!$C$82="Challenge prompt",L791,IF('Paste Editor (Beta)'!$C$82="Reroll class prompt",S790,IF('Paste Editor (Beta)'!$C$82="Swap hero prompt",S790,IF('Paste Editor (Beta)'!$C$82="Anvil prompt",AD790,"")))))))</f>
        <v/>
      </c>
      <c r="AI790" s="280" t="str">
        <f>IF('Paste Editor (Beta)'!$C$82="Level-up prompt",G791,IF('Paste Editor (Beta)'!$C$82="Item prompt",E791,IF('Paste Editor (Beta)'!$C$82="Modifier prompt","'"&amp;B791,IF('Paste Editor (Beta)'!$C$82="Challenge prompt",E791,IF('Paste Editor (Beta)'!$C$82="Reroll class prompt",S790,IF('Paste Editor (Beta)'!$C$82="Swap hero prompt",S790,IF('Paste Editor (Beta)'!$C$82="Anvil prompt",AD790,"")))))))</f>
        <v/>
      </c>
      <c r="AJ790" s="283">
        <f>IF('Paste Editor (Beta)'!$C$90="Level-up prompt",G791,IF('Paste Editor (Beta)'!$C$90="Item prompt",E791,IF('Paste Editor (Beta)'!$C$90="Modifier prompt","'"&amp;B791,IF('Paste Editor (Beta)'!$C$90="Challenge prompt",L791,IF('Paste Editor (Beta)'!$C$90="Reroll class prompt",S790,IF('Paste Editor (Beta)'!$C$90="Swap hero prompt",S790,IF('Paste Editor (Beta)'!$C$90="Anvil prompt",AD790,"")))))))</f>
        <v>0</v>
      </c>
      <c r="AK790" s="283">
        <f>IF('Paste Editor (Beta)'!$C$90="Level-up prompt",G791,IF('Paste Editor (Beta)'!$C$90="Item prompt",E791,IF('Paste Editor (Beta)'!$C$90="Modifier prompt","'"&amp;B791,IF('Paste Editor (Beta)'!$C$90="Challenge prompt",E791,IF('Paste Editor (Beta)'!$C$90="Reroll class prompt",S790,IF('Paste Editor (Beta)'!$C$90="Swap hero prompt",S790,IF('Paste Editor (Beta)'!$C$90="Anvil prompt",AD790,"")))))))</f>
        <v>0</v>
      </c>
    </row>
    <row r="791" spans="2:37" ht="17.25">
      <c r="B791" s="284" t="s">
        <v>2557</v>
      </c>
      <c r="C791" s="284" t="s">
        <v>2557</v>
      </c>
      <c r="D791" s="284" t="s">
        <v>2557</v>
      </c>
      <c r="AH791" s="280" t="str">
        <f>IF('Paste Editor (Beta)'!$C$82="Level-up prompt",G792,IF('Paste Editor (Beta)'!$C$82="Item prompt",E792,IF('Paste Editor (Beta)'!$C$82="Modifier prompt","'"&amp;B792,IF('Paste Editor (Beta)'!$C$82="Challenge prompt",L792,IF('Paste Editor (Beta)'!$C$82="Reroll class prompt",S791,IF('Paste Editor (Beta)'!$C$82="Swap hero prompt",S791,IF('Paste Editor (Beta)'!$C$82="Anvil prompt",AD791,"")))))))</f>
        <v/>
      </c>
      <c r="AI791" s="280" t="str">
        <f>IF('Paste Editor (Beta)'!$C$82="Level-up prompt",G792,IF('Paste Editor (Beta)'!$C$82="Item prompt",E792,IF('Paste Editor (Beta)'!$C$82="Modifier prompt","'"&amp;B792,IF('Paste Editor (Beta)'!$C$82="Challenge prompt",E792,IF('Paste Editor (Beta)'!$C$82="Reroll class prompt",S791,IF('Paste Editor (Beta)'!$C$82="Swap hero prompt",S791,IF('Paste Editor (Beta)'!$C$82="Anvil prompt",AD791,"")))))))</f>
        <v/>
      </c>
      <c r="AJ791" s="283">
        <f>IF('Paste Editor (Beta)'!$C$90="Level-up prompt",G792,IF('Paste Editor (Beta)'!$C$90="Item prompt",E792,IF('Paste Editor (Beta)'!$C$90="Modifier prompt","'"&amp;B792,IF('Paste Editor (Beta)'!$C$90="Challenge prompt",L792,IF('Paste Editor (Beta)'!$C$90="Reroll class prompt",S791,IF('Paste Editor (Beta)'!$C$90="Swap hero prompt",S791,IF('Paste Editor (Beta)'!$C$90="Anvil prompt",AD791,"")))))))</f>
        <v>0</v>
      </c>
      <c r="AK791" s="283">
        <f>IF('Paste Editor (Beta)'!$C$90="Level-up prompt",G792,IF('Paste Editor (Beta)'!$C$90="Item prompt",E792,IF('Paste Editor (Beta)'!$C$90="Modifier prompt","'"&amp;B792,IF('Paste Editor (Beta)'!$C$90="Challenge prompt",E792,IF('Paste Editor (Beta)'!$C$90="Reroll class prompt",S791,IF('Paste Editor (Beta)'!$C$90="Swap hero prompt",S791,IF('Paste Editor (Beta)'!$C$90="Anvil prompt",AD791,"")))))))</f>
        <v>0</v>
      </c>
    </row>
    <row r="792" spans="2:37" ht="17.25">
      <c r="B792" s="284" t="s">
        <v>2047</v>
      </c>
      <c r="C792" s="284" t="s">
        <v>2047</v>
      </c>
      <c r="D792" s="284" t="s">
        <v>2047</v>
      </c>
      <c r="AH792" s="280" t="str">
        <f>IF('Paste Editor (Beta)'!$C$82="Level-up prompt",G793,IF('Paste Editor (Beta)'!$C$82="Item prompt",E793,IF('Paste Editor (Beta)'!$C$82="Modifier prompt","'"&amp;B793,IF('Paste Editor (Beta)'!$C$82="Challenge prompt",L793,IF('Paste Editor (Beta)'!$C$82="Reroll class prompt",S792,IF('Paste Editor (Beta)'!$C$82="Swap hero prompt",S792,IF('Paste Editor (Beta)'!$C$82="Anvil prompt",AD792,"")))))))</f>
        <v/>
      </c>
      <c r="AI792" s="280" t="str">
        <f>IF('Paste Editor (Beta)'!$C$82="Level-up prompt",G793,IF('Paste Editor (Beta)'!$C$82="Item prompt",E793,IF('Paste Editor (Beta)'!$C$82="Modifier prompt","'"&amp;B793,IF('Paste Editor (Beta)'!$C$82="Challenge prompt",E793,IF('Paste Editor (Beta)'!$C$82="Reroll class prompt",S792,IF('Paste Editor (Beta)'!$C$82="Swap hero prompt",S792,IF('Paste Editor (Beta)'!$C$82="Anvil prompt",AD792,"")))))))</f>
        <v/>
      </c>
      <c r="AJ792" s="283">
        <f>IF('Paste Editor (Beta)'!$C$90="Level-up prompt",G793,IF('Paste Editor (Beta)'!$C$90="Item prompt",E793,IF('Paste Editor (Beta)'!$C$90="Modifier prompt","'"&amp;B793,IF('Paste Editor (Beta)'!$C$90="Challenge prompt",L793,IF('Paste Editor (Beta)'!$C$90="Reroll class prompt",S792,IF('Paste Editor (Beta)'!$C$90="Swap hero prompt",S792,IF('Paste Editor (Beta)'!$C$90="Anvil prompt",AD792,"")))))))</f>
        <v>0</v>
      </c>
      <c r="AK792" s="283">
        <f>IF('Paste Editor (Beta)'!$C$90="Level-up prompt",G793,IF('Paste Editor (Beta)'!$C$90="Item prompt",E793,IF('Paste Editor (Beta)'!$C$90="Modifier prompt","'"&amp;B793,IF('Paste Editor (Beta)'!$C$90="Challenge prompt",E793,IF('Paste Editor (Beta)'!$C$90="Reroll class prompt",S792,IF('Paste Editor (Beta)'!$C$90="Swap hero prompt",S792,IF('Paste Editor (Beta)'!$C$90="Anvil prompt",AD792,"")))))))</f>
        <v>0</v>
      </c>
    </row>
    <row r="793" spans="2:37" ht="17.25">
      <c r="B793" s="284" t="s">
        <v>2959</v>
      </c>
      <c r="C793" s="284" t="s">
        <v>2959</v>
      </c>
      <c r="D793" s="284" t="s">
        <v>2959</v>
      </c>
      <c r="AH793" s="280" t="str">
        <f>IF('Paste Editor (Beta)'!$C$82="Level-up prompt",G794,IF('Paste Editor (Beta)'!$C$82="Item prompt",E794,IF('Paste Editor (Beta)'!$C$82="Modifier prompt","'"&amp;B794,IF('Paste Editor (Beta)'!$C$82="Challenge prompt",L794,IF('Paste Editor (Beta)'!$C$82="Reroll class prompt",S793,IF('Paste Editor (Beta)'!$C$82="Swap hero prompt",S793,IF('Paste Editor (Beta)'!$C$82="Anvil prompt",AD793,"")))))))</f>
        <v/>
      </c>
      <c r="AI793" s="280" t="str">
        <f>IF('Paste Editor (Beta)'!$C$82="Level-up prompt",G794,IF('Paste Editor (Beta)'!$C$82="Item prompt",E794,IF('Paste Editor (Beta)'!$C$82="Modifier prompt","'"&amp;B794,IF('Paste Editor (Beta)'!$C$82="Challenge prompt",E794,IF('Paste Editor (Beta)'!$C$82="Reroll class prompt",S793,IF('Paste Editor (Beta)'!$C$82="Swap hero prompt",S793,IF('Paste Editor (Beta)'!$C$82="Anvil prompt",AD793,"")))))))</f>
        <v/>
      </c>
      <c r="AJ793" s="283">
        <f>IF('Paste Editor (Beta)'!$C$90="Level-up prompt",G794,IF('Paste Editor (Beta)'!$C$90="Item prompt",E794,IF('Paste Editor (Beta)'!$C$90="Modifier prompt","'"&amp;B794,IF('Paste Editor (Beta)'!$C$90="Challenge prompt",L794,IF('Paste Editor (Beta)'!$C$90="Reroll class prompt",S793,IF('Paste Editor (Beta)'!$C$90="Swap hero prompt",S793,IF('Paste Editor (Beta)'!$C$90="Anvil prompt",AD793,"")))))))</f>
        <v>0</v>
      </c>
      <c r="AK793" s="283">
        <f>IF('Paste Editor (Beta)'!$C$90="Level-up prompt",G794,IF('Paste Editor (Beta)'!$C$90="Item prompt",E794,IF('Paste Editor (Beta)'!$C$90="Modifier prompt","'"&amp;B794,IF('Paste Editor (Beta)'!$C$90="Challenge prompt",E794,IF('Paste Editor (Beta)'!$C$90="Reroll class prompt",S793,IF('Paste Editor (Beta)'!$C$90="Swap hero prompt",S793,IF('Paste Editor (Beta)'!$C$90="Anvil prompt",AD793,"")))))))</f>
        <v>0</v>
      </c>
    </row>
    <row r="794" spans="2:37" ht="17.25">
      <c r="AH794" s="280" t="str">
        <f>IF('Paste Editor (Beta)'!$C$82="Level-up prompt",G795,IF('Paste Editor (Beta)'!$C$82="Item prompt",E795,IF('Paste Editor (Beta)'!$C$82="Modifier prompt","'"&amp;B795,IF('Paste Editor (Beta)'!$C$82="Challenge prompt",L795,IF('Paste Editor (Beta)'!$C$82="Reroll class prompt",S794,IF('Paste Editor (Beta)'!$C$82="Swap hero prompt",S794,IF('Paste Editor (Beta)'!$C$82="Anvil prompt",AD794,"")))))))</f>
        <v/>
      </c>
      <c r="AI794" s="280" t="str">
        <f>IF('Paste Editor (Beta)'!$C$82="Level-up prompt",G795,IF('Paste Editor (Beta)'!$C$82="Item prompt",E795,IF('Paste Editor (Beta)'!$C$82="Modifier prompt","'"&amp;B795,IF('Paste Editor (Beta)'!$C$82="Challenge prompt",E795,IF('Paste Editor (Beta)'!$C$82="Reroll class prompt",S794,IF('Paste Editor (Beta)'!$C$82="Swap hero prompt",S794,IF('Paste Editor (Beta)'!$C$82="Anvil prompt",AD794,"")))))))</f>
        <v/>
      </c>
      <c r="AJ794" s="283">
        <f>IF('Paste Editor (Beta)'!$C$90="Level-up prompt",G795,IF('Paste Editor (Beta)'!$C$90="Item prompt",E795,IF('Paste Editor (Beta)'!$C$90="Modifier prompt","'"&amp;B795,IF('Paste Editor (Beta)'!$C$90="Challenge prompt",L795,IF('Paste Editor (Beta)'!$C$90="Reroll class prompt",S794,IF('Paste Editor (Beta)'!$C$90="Swap hero prompt",S794,IF('Paste Editor (Beta)'!$C$90="Anvil prompt",AD794,"")))))))</f>
        <v>0</v>
      </c>
      <c r="AK794" s="283">
        <f>IF('Paste Editor (Beta)'!$C$90="Level-up prompt",G795,IF('Paste Editor (Beta)'!$C$90="Item prompt",E795,IF('Paste Editor (Beta)'!$C$90="Modifier prompt","'"&amp;B795,IF('Paste Editor (Beta)'!$C$90="Challenge prompt",E795,IF('Paste Editor (Beta)'!$C$90="Reroll class prompt",S794,IF('Paste Editor (Beta)'!$C$90="Swap hero prompt",S794,IF('Paste Editor (Beta)'!$C$90="Anvil prompt",AD794,"")))))))</f>
        <v>0</v>
      </c>
    </row>
    <row r="795" spans="2:37" ht="17.25">
      <c r="AH795" s="280" t="str">
        <f>IF('Paste Editor (Beta)'!$C$82="Level-up prompt",G796,IF('Paste Editor (Beta)'!$C$82="Item prompt",E796,IF('Paste Editor (Beta)'!$C$82="Modifier prompt","'"&amp;B796,IF('Paste Editor (Beta)'!$C$82="Challenge prompt",L796,IF('Paste Editor (Beta)'!$C$82="Reroll class prompt",S795,IF('Paste Editor (Beta)'!$C$82="Swap hero prompt",S795,IF('Paste Editor (Beta)'!$C$82="Anvil prompt",AD795,"")))))))</f>
        <v/>
      </c>
      <c r="AI795" s="280" t="str">
        <f>IF('Paste Editor (Beta)'!$C$82="Level-up prompt",G796,IF('Paste Editor (Beta)'!$C$82="Item prompt",E796,IF('Paste Editor (Beta)'!$C$82="Modifier prompt","'"&amp;B796,IF('Paste Editor (Beta)'!$C$82="Challenge prompt",E796,IF('Paste Editor (Beta)'!$C$82="Reroll class prompt",S795,IF('Paste Editor (Beta)'!$C$82="Swap hero prompt",S795,IF('Paste Editor (Beta)'!$C$82="Anvil prompt",AD795,"")))))))</f>
        <v/>
      </c>
      <c r="AJ795" s="283">
        <f>IF('Paste Editor (Beta)'!$C$90="Level-up prompt",G796,IF('Paste Editor (Beta)'!$C$90="Item prompt",E796,IF('Paste Editor (Beta)'!$C$90="Modifier prompt","'"&amp;B796,IF('Paste Editor (Beta)'!$C$90="Challenge prompt",L796,IF('Paste Editor (Beta)'!$C$90="Reroll class prompt",S795,IF('Paste Editor (Beta)'!$C$90="Swap hero prompt",S795,IF('Paste Editor (Beta)'!$C$90="Anvil prompt",AD795,"")))))))</f>
        <v>0</v>
      </c>
      <c r="AK795" s="283">
        <f>IF('Paste Editor (Beta)'!$C$90="Level-up prompt",G796,IF('Paste Editor (Beta)'!$C$90="Item prompt",E796,IF('Paste Editor (Beta)'!$C$90="Modifier prompt","'"&amp;B796,IF('Paste Editor (Beta)'!$C$90="Challenge prompt",E796,IF('Paste Editor (Beta)'!$C$90="Reroll class prompt",S795,IF('Paste Editor (Beta)'!$C$90="Swap hero prompt",S795,IF('Paste Editor (Beta)'!$C$90="Anvil prompt",AD795,"")))))))</f>
        <v>0</v>
      </c>
    </row>
    <row r="796" spans="2:37" ht="17.25">
      <c r="AH796" s="280" t="str">
        <f>IF('Paste Editor (Beta)'!$C$82="Level-up prompt",G797,IF('Paste Editor (Beta)'!$C$82="Item prompt",E797,IF('Paste Editor (Beta)'!$C$82="Modifier prompt","'"&amp;B797,IF('Paste Editor (Beta)'!$C$82="Challenge prompt",L797,IF('Paste Editor (Beta)'!$C$82="Reroll class prompt",S796,IF('Paste Editor (Beta)'!$C$82="Swap hero prompt",S796,IF('Paste Editor (Beta)'!$C$82="Anvil prompt",AD796,"")))))))</f>
        <v/>
      </c>
      <c r="AI796" s="280" t="str">
        <f>IF('Paste Editor (Beta)'!$C$82="Level-up prompt",G797,IF('Paste Editor (Beta)'!$C$82="Item prompt",E797,IF('Paste Editor (Beta)'!$C$82="Modifier prompt","'"&amp;B797,IF('Paste Editor (Beta)'!$C$82="Challenge prompt",E797,IF('Paste Editor (Beta)'!$C$82="Reroll class prompt",S796,IF('Paste Editor (Beta)'!$C$82="Swap hero prompt",S796,IF('Paste Editor (Beta)'!$C$82="Anvil prompt",AD796,"")))))))</f>
        <v/>
      </c>
      <c r="AJ796" s="283">
        <f>IF('Paste Editor (Beta)'!$C$90="Level-up prompt",G797,IF('Paste Editor (Beta)'!$C$90="Item prompt",E797,IF('Paste Editor (Beta)'!$C$90="Modifier prompt","'"&amp;B797,IF('Paste Editor (Beta)'!$C$90="Challenge prompt",L797,IF('Paste Editor (Beta)'!$C$90="Reroll class prompt",S796,IF('Paste Editor (Beta)'!$C$90="Swap hero prompt",S796,IF('Paste Editor (Beta)'!$C$90="Anvil prompt",AD796,"")))))))</f>
        <v>0</v>
      </c>
      <c r="AK796" s="283">
        <f>IF('Paste Editor (Beta)'!$C$90="Level-up prompt",G797,IF('Paste Editor (Beta)'!$C$90="Item prompt",E797,IF('Paste Editor (Beta)'!$C$90="Modifier prompt","'"&amp;B797,IF('Paste Editor (Beta)'!$C$90="Challenge prompt",E797,IF('Paste Editor (Beta)'!$C$90="Reroll class prompt",S796,IF('Paste Editor (Beta)'!$C$90="Swap hero prompt",S796,IF('Paste Editor (Beta)'!$C$90="Anvil prompt",AD796,"")))))))</f>
        <v>0</v>
      </c>
    </row>
    <row r="797" spans="2:37" ht="17.25">
      <c r="AH797" s="280" t="str">
        <f>IF('Paste Editor (Beta)'!$C$82="Level-up prompt",G798,IF('Paste Editor (Beta)'!$C$82="Item prompt",E798,IF('Paste Editor (Beta)'!$C$82="Modifier prompt","'"&amp;B798,IF('Paste Editor (Beta)'!$C$82="Challenge prompt",L798,IF('Paste Editor (Beta)'!$C$82="Reroll class prompt",S797,IF('Paste Editor (Beta)'!$C$82="Swap hero prompt",S797,IF('Paste Editor (Beta)'!$C$82="Anvil prompt",AD797,"")))))))</f>
        <v/>
      </c>
      <c r="AI797" s="280" t="str">
        <f>IF('Paste Editor (Beta)'!$C$82="Level-up prompt",G798,IF('Paste Editor (Beta)'!$C$82="Item prompt",E798,IF('Paste Editor (Beta)'!$C$82="Modifier prompt","'"&amp;B798,IF('Paste Editor (Beta)'!$C$82="Challenge prompt",E798,IF('Paste Editor (Beta)'!$C$82="Reroll class prompt",S797,IF('Paste Editor (Beta)'!$C$82="Swap hero prompt",S797,IF('Paste Editor (Beta)'!$C$82="Anvil prompt",AD797,"")))))))</f>
        <v/>
      </c>
      <c r="AJ797" s="283">
        <f>IF('Paste Editor (Beta)'!$C$90="Level-up prompt",G798,IF('Paste Editor (Beta)'!$C$90="Item prompt",E798,IF('Paste Editor (Beta)'!$C$90="Modifier prompt","'"&amp;B798,IF('Paste Editor (Beta)'!$C$90="Challenge prompt",L798,IF('Paste Editor (Beta)'!$C$90="Reroll class prompt",S797,IF('Paste Editor (Beta)'!$C$90="Swap hero prompt",S797,IF('Paste Editor (Beta)'!$C$90="Anvil prompt",AD797,"")))))))</f>
        <v>0</v>
      </c>
      <c r="AK797" s="283">
        <f>IF('Paste Editor (Beta)'!$C$90="Level-up prompt",G798,IF('Paste Editor (Beta)'!$C$90="Item prompt",E798,IF('Paste Editor (Beta)'!$C$90="Modifier prompt","'"&amp;B798,IF('Paste Editor (Beta)'!$C$90="Challenge prompt",E798,IF('Paste Editor (Beta)'!$C$90="Reroll class prompt",S797,IF('Paste Editor (Beta)'!$C$90="Swap hero prompt",S797,IF('Paste Editor (Beta)'!$C$90="Anvil prompt",AD797,"")))))))</f>
        <v>0</v>
      </c>
    </row>
    <row r="798" spans="2:37" ht="17.25">
      <c r="AH798" s="280" t="str">
        <f>IF('Paste Editor (Beta)'!$C$82="Level-up prompt",G799,IF('Paste Editor (Beta)'!$C$82="Item prompt",E799,IF('Paste Editor (Beta)'!$C$82="Modifier prompt","'"&amp;B799,IF('Paste Editor (Beta)'!$C$82="Challenge prompt",L799,IF('Paste Editor (Beta)'!$C$82="Reroll class prompt",S798,IF('Paste Editor (Beta)'!$C$82="Swap hero prompt",S798,IF('Paste Editor (Beta)'!$C$82="Anvil prompt",AD798,"")))))))</f>
        <v/>
      </c>
      <c r="AI798" s="280" t="str">
        <f>IF('Paste Editor (Beta)'!$C$82="Level-up prompt",G799,IF('Paste Editor (Beta)'!$C$82="Item prompt",E799,IF('Paste Editor (Beta)'!$C$82="Modifier prompt","'"&amp;B799,IF('Paste Editor (Beta)'!$C$82="Challenge prompt",E799,IF('Paste Editor (Beta)'!$C$82="Reroll class prompt",S798,IF('Paste Editor (Beta)'!$C$82="Swap hero prompt",S798,IF('Paste Editor (Beta)'!$C$82="Anvil prompt",AD798,"")))))))</f>
        <v/>
      </c>
      <c r="AJ798" s="283">
        <f>IF('Paste Editor (Beta)'!$C$90="Level-up prompt",G799,IF('Paste Editor (Beta)'!$C$90="Item prompt",E799,IF('Paste Editor (Beta)'!$C$90="Modifier prompt","'"&amp;B799,IF('Paste Editor (Beta)'!$C$90="Challenge prompt",L799,IF('Paste Editor (Beta)'!$C$90="Reroll class prompt",S798,IF('Paste Editor (Beta)'!$C$90="Swap hero prompt",S798,IF('Paste Editor (Beta)'!$C$90="Anvil prompt",AD798,"")))))))</f>
        <v>0</v>
      </c>
      <c r="AK798" s="283">
        <f>IF('Paste Editor (Beta)'!$C$90="Level-up prompt",G799,IF('Paste Editor (Beta)'!$C$90="Item prompt",E799,IF('Paste Editor (Beta)'!$C$90="Modifier prompt","'"&amp;B799,IF('Paste Editor (Beta)'!$C$90="Challenge prompt",E799,IF('Paste Editor (Beta)'!$C$90="Reroll class prompt",S798,IF('Paste Editor (Beta)'!$C$90="Swap hero prompt",S798,IF('Paste Editor (Beta)'!$C$90="Anvil prompt",AD798,"")))))))</f>
        <v>0</v>
      </c>
    </row>
    <row r="799" spans="2:37" ht="17.25">
      <c r="AH799" s="280" t="str">
        <f>IF('Paste Editor (Beta)'!$C$82="Level-up prompt",G800,IF('Paste Editor (Beta)'!$C$82="Item prompt",E800,IF('Paste Editor (Beta)'!$C$82="Modifier prompt","'"&amp;B800,IF('Paste Editor (Beta)'!$C$82="Challenge prompt",L800,IF('Paste Editor (Beta)'!$C$82="Reroll class prompt",S799,IF('Paste Editor (Beta)'!$C$82="Swap hero prompt",S799,IF('Paste Editor (Beta)'!$C$82="Anvil prompt",AD799,"")))))))</f>
        <v/>
      </c>
      <c r="AI799" s="280" t="str">
        <f>IF('Paste Editor (Beta)'!$C$82="Level-up prompt",G800,IF('Paste Editor (Beta)'!$C$82="Item prompt",E800,IF('Paste Editor (Beta)'!$C$82="Modifier prompt","'"&amp;B800,IF('Paste Editor (Beta)'!$C$82="Challenge prompt",E800,IF('Paste Editor (Beta)'!$C$82="Reroll class prompt",S799,IF('Paste Editor (Beta)'!$C$82="Swap hero prompt",S799,IF('Paste Editor (Beta)'!$C$82="Anvil prompt",AD799,"")))))))</f>
        <v/>
      </c>
      <c r="AJ799" s="283">
        <f>IF('Paste Editor (Beta)'!$C$90="Level-up prompt",G800,IF('Paste Editor (Beta)'!$C$90="Item prompt",E800,IF('Paste Editor (Beta)'!$C$90="Modifier prompt","'"&amp;B800,IF('Paste Editor (Beta)'!$C$90="Challenge prompt",L800,IF('Paste Editor (Beta)'!$C$90="Reroll class prompt",S799,IF('Paste Editor (Beta)'!$C$90="Swap hero prompt",S799,IF('Paste Editor (Beta)'!$C$90="Anvil prompt",AD799,"")))))))</f>
        <v>0</v>
      </c>
      <c r="AK799" s="283">
        <f>IF('Paste Editor (Beta)'!$C$90="Level-up prompt",G800,IF('Paste Editor (Beta)'!$C$90="Item prompt",E800,IF('Paste Editor (Beta)'!$C$90="Modifier prompt","'"&amp;B800,IF('Paste Editor (Beta)'!$C$90="Challenge prompt",E800,IF('Paste Editor (Beta)'!$C$90="Reroll class prompt",S799,IF('Paste Editor (Beta)'!$C$90="Swap hero prompt",S799,IF('Paste Editor (Beta)'!$C$90="Anvil prompt",AD799,"")))))))</f>
        <v>0</v>
      </c>
    </row>
    <row r="800" spans="2:37" ht="17.25">
      <c r="AH800" s="280" t="str">
        <f>IF('Paste Editor (Beta)'!$C$82="Level-up prompt",G801,IF('Paste Editor (Beta)'!$C$82="Item prompt",E801,IF('Paste Editor (Beta)'!$C$82="Modifier prompt","'"&amp;B801,IF('Paste Editor (Beta)'!$C$82="Challenge prompt",L801,IF('Paste Editor (Beta)'!$C$82="Reroll class prompt",S800,IF('Paste Editor (Beta)'!$C$82="Swap hero prompt",S800,IF('Paste Editor (Beta)'!$C$82="Anvil prompt",AD800,"")))))))</f>
        <v/>
      </c>
      <c r="AI800" s="280" t="str">
        <f>IF('Paste Editor (Beta)'!$C$82="Level-up prompt",G801,IF('Paste Editor (Beta)'!$C$82="Item prompt",E801,IF('Paste Editor (Beta)'!$C$82="Modifier prompt","'"&amp;B801,IF('Paste Editor (Beta)'!$C$82="Challenge prompt",E801,IF('Paste Editor (Beta)'!$C$82="Reroll class prompt",S800,IF('Paste Editor (Beta)'!$C$82="Swap hero prompt",S800,IF('Paste Editor (Beta)'!$C$82="Anvil prompt",AD800,"")))))))</f>
        <v/>
      </c>
      <c r="AJ800" s="283">
        <f>IF('Paste Editor (Beta)'!$C$90="Level-up prompt",G801,IF('Paste Editor (Beta)'!$C$90="Item prompt",E801,IF('Paste Editor (Beta)'!$C$90="Modifier prompt","'"&amp;B801,IF('Paste Editor (Beta)'!$C$90="Challenge prompt",L801,IF('Paste Editor (Beta)'!$C$90="Reroll class prompt",S800,IF('Paste Editor (Beta)'!$C$90="Swap hero prompt",S800,IF('Paste Editor (Beta)'!$C$90="Anvil prompt",AD800,"")))))))</f>
        <v>0</v>
      </c>
      <c r="AK800" s="283">
        <f>IF('Paste Editor (Beta)'!$C$90="Level-up prompt",G801,IF('Paste Editor (Beta)'!$C$90="Item prompt",E801,IF('Paste Editor (Beta)'!$C$90="Modifier prompt","'"&amp;B801,IF('Paste Editor (Beta)'!$C$90="Challenge prompt",E801,IF('Paste Editor (Beta)'!$C$90="Reroll class prompt",S800,IF('Paste Editor (Beta)'!$C$90="Swap hero prompt",S800,IF('Paste Editor (Beta)'!$C$90="Anvil prompt",AD800,"")))))))</f>
        <v>0</v>
      </c>
    </row>
    <row r="801" spans="34:37" ht="17.25">
      <c r="AH801" s="280" t="str">
        <f>IF('Paste Editor (Beta)'!$C$82="Level-up prompt",G802,IF('Paste Editor (Beta)'!$C$82="Item prompt",E802,IF('Paste Editor (Beta)'!$C$82="Modifier prompt","'"&amp;B802,IF('Paste Editor (Beta)'!$C$82="Challenge prompt",L802,IF('Paste Editor (Beta)'!$C$82="Reroll class prompt",S801,IF('Paste Editor (Beta)'!$C$82="Swap hero prompt",S801,IF('Paste Editor (Beta)'!$C$82="Anvil prompt",AD801,"")))))))</f>
        <v/>
      </c>
      <c r="AI801" s="280" t="str">
        <f>IF('Paste Editor (Beta)'!$C$82="Level-up prompt",G802,IF('Paste Editor (Beta)'!$C$82="Item prompt",E802,IF('Paste Editor (Beta)'!$C$82="Modifier prompt","'"&amp;B802,IF('Paste Editor (Beta)'!$C$82="Challenge prompt",E802,IF('Paste Editor (Beta)'!$C$82="Reroll class prompt",S801,IF('Paste Editor (Beta)'!$C$82="Swap hero prompt",S801,IF('Paste Editor (Beta)'!$C$82="Anvil prompt",AD801,"")))))))</f>
        <v/>
      </c>
      <c r="AJ801" s="283">
        <f>IF('Paste Editor (Beta)'!$C$90="Level-up prompt",G802,IF('Paste Editor (Beta)'!$C$90="Item prompt",E802,IF('Paste Editor (Beta)'!$C$90="Modifier prompt","'"&amp;B802,IF('Paste Editor (Beta)'!$C$90="Challenge prompt",L802,IF('Paste Editor (Beta)'!$C$90="Reroll class prompt",S801,IF('Paste Editor (Beta)'!$C$90="Swap hero prompt",S801,IF('Paste Editor (Beta)'!$C$90="Anvil prompt",AD801,"")))))))</f>
        <v>0</v>
      </c>
      <c r="AK801" s="283">
        <f>IF('Paste Editor (Beta)'!$C$90="Level-up prompt",G802,IF('Paste Editor (Beta)'!$C$90="Item prompt",E802,IF('Paste Editor (Beta)'!$C$90="Modifier prompt","'"&amp;B802,IF('Paste Editor (Beta)'!$C$90="Challenge prompt",E802,IF('Paste Editor (Beta)'!$C$90="Reroll class prompt",S801,IF('Paste Editor (Beta)'!$C$90="Swap hero prompt",S801,IF('Paste Editor (Beta)'!$C$90="Anvil prompt",AD801,"")))))))</f>
        <v>0</v>
      </c>
    </row>
    <row r="802" spans="34:37" ht="17.25">
      <c r="AH802" s="280" t="str">
        <f>IF('Paste Editor (Beta)'!$C$82="Level-up prompt",G803,IF('Paste Editor (Beta)'!$C$82="Item prompt",E803,IF('Paste Editor (Beta)'!$C$82="Modifier prompt","'"&amp;B803,IF('Paste Editor (Beta)'!$C$82="Challenge prompt",L803,IF('Paste Editor (Beta)'!$C$82="Reroll class prompt",S802,IF('Paste Editor (Beta)'!$C$82="Swap hero prompt",S802,IF('Paste Editor (Beta)'!$C$82="Anvil prompt",AD802,"")))))))</f>
        <v/>
      </c>
      <c r="AI802" s="280" t="str">
        <f>IF('Paste Editor (Beta)'!$C$82="Level-up prompt",G803,IF('Paste Editor (Beta)'!$C$82="Item prompt",E803,IF('Paste Editor (Beta)'!$C$82="Modifier prompt","'"&amp;B803,IF('Paste Editor (Beta)'!$C$82="Challenge prompt",E803,IF('Paste Editor (Beta)'!$C$82="Reroll class prompt",S802,IF('Paste Editor (Beta)'!$C$82="Swap hero prompt",S802,IF('Paste Editor (Beta)'!$C$82="Anvil prompt",AD802,"")))))))</f>
        <v/>
      </c>
      <c r="AJ802" s="283">
        <f>IF('Paste Editor (Beta)'!$C$90="Level-up prompt",G803,IF('Paste Editor (Beta)'!$C$90="Item prompt",E803,IF('Paste Editor (Beta)'!$C$90="Modifier prompt","'"&amp;B803,IF('Paste Editor (Beta)'!$C$90="Challenge prompt",L803,IF('Paste Editor (Beta)'!$C$90="Reroll class prompt",S802,IF('Paste Editor (Beta)'!$C$90="Swap hero prompt",S802,IF('Paste Editor (Beta)'!$C$90="Anvil prompt",AD802,"")))))))</f>
        <v>0</v>
      </c>
      <c r="AK802" s="283">
        <f>IF('Paste Editor (Beta)'!$C$90="Level-up prompt",G803,IF('Paste Editor (Beta)'!$C$90="Item prompt",E803,IF('Paste Editor (Beta)'!$C$90="Modifier prompt","'"&amp;B803,IF('Paste Editor (Beta)'!$C$90="Challenge prompt",E803,IF('Paste Editor (Beta)'!$C$90="Reroll class prompt",S802,IF('Paste Editor (Beta)'!$C$90="Swap hero prompt",S802,IF('Paste Editor (Beta)'!$C$90="Anvil prompt",AD802,"")))))))</f>
        <v>0</v>
      </c>
    </row>
    <row r="803" spans="34:37" ht="17.25">
      <c r="AH803" s="280" t="str">
        <f>IF('Paste Editor (Beta)'!$C$82="Level-up prompt",G804,IF('Paste Editor (Beta)'!$C$82="Item prompt",E804,IF('Paste Editor (Beta)'!$C$82="Modifier prompt","'"&amp;B804,IF('Paste Editor (Beta)'!$C$82="Challenge prompt",L804,IF('Paste Editor (Beta)'!$C$82="Reroll class prompt",S803,IF('Paste Editor (Beta)'!$C$82="Swap hero prompt",S803,IF('Paste Editor (Beta)'!$C$82="Anvil prompt",AD803,"")))))))</f>
        <v/>
      </c>
      <c r="AI803" s="280" t="str">
        <f>IF('Paste Editor (Beta)'!$C$82="Level-up prompt",G804,IF('Paste Editor (Beta)'!$C$82="Item prompt",E804,IF('Paste Editor (Beta)'!$C$82="Modifier prompt","'"&amp;B804,IF('Paste Editor (Beta)'!$C$82="Challenge prompt",E804,IF('Paste Editor (Beta)'!$C$82="Reroll class prompt",S803,IF('Paste Editor (Beta)'!$C$82="Swap hero prompt",S803,IF('Paste Editor (Beta)'!$C$82="Anvil prompt",AD803,"")))))))</f>
        <v/>
      </c>
      <c r="AJ803" s="283">
        <f>IF('Paste Editor (Beta)'!$C$90="Level-up prompt",G804,IF('Paste Editor (Beta)'!$C$90="Item prompt",E804,IF('Paste Editor (Beta)'!$C$90="Modifier prompt","'"&amp;B804,IF('Paste Editor (Beta)'!$C$90="Challenge prompt",L804,IF('Paste Editor (Beta)'!$C$90="Reroll class prompt",S803,IF('Paste Editor (Beta)'!$C$90="Swap hero prompt",S803,IF('Paste Editor (Beta)'!$C$90="Anvil prompt",AD803,"")))))))</f>
        <v>0</v>
      </c>
      <c r="AK803" s="283">
        <f>IF('Paste Editor (Beta)'!$C$90="Level-up prompt",G804,IF('Paste Editor (Beta)'!$C$90="Item prompt",E804,IF('Paste Editor (Beta)'!$C$90="Modifier prompt","'"&amp;B804,IF('Paste Editor (Beta)'!$C$90="Challenge prompt",E804,IF('Paste Editor (Beta)'!$C$90="Reroll class prompt",S803,IF('Paste Editor (Beta)'!$C$90="Swap hero prompt",S803,IF('Paste Editor (Beta)'!$C$90="Anvil prompt",AD803,"")))))))</f>
        <v>0</v>
      </c>
    </row>
    <row r="804" spans="34:37" ht="17.25">
      <c r="AH804" s="280" t="str">
        <f>IF('Paste Editor (Beta)'!$C$82="Level-up prompt",G805,IF('Paste Editor (Beta)'!$C$82="Item prompt",E805,IF('Paste Editor (Beta)'!$C$82="Modifier prompt","'"&amp;B805,IF('Paste Editor (Beta)'!$C$82="Challenge prompt",L805,IF('Paste Editor (Beta)'!$C$82="Reroll class prompt",S804,IF('Paste Editor (Beta)'!$C$82="Swap hero prompt",S804,IF('Paste Editor (Beta)'!$C$82="Anvil prompt",AD804,"")))))))</f>
        <v/>
      </c>
      <c r="AI804" s="280" t="str">
        <f>IF('Paste Editor (Beta)'!$C$82="Level-up prompt",G805,IF('Paste Editor (Beta)'!$C$82="Item prompt",E805,IF('Paste Editor (Beta)'!$C$82="Modifier prompt","'"&amp;B805,IF('Paste Editor (Beta)'!$C$82="Challenge prompt",E805,IF('Paste Editor (Beta)'!$C$82="Reroll class prompt",S804,IF('Paste Editor (Beta)'!$C$82="Swap hero prompt",S804,IF('Paste Editor (Beta)'!$C$82="Anvil prompt",AD804,"")))))))</f>
        <v/>
      </c>
      <c r="AJ804" s="283">
        <f>IF('Paste Editor (Beta)'!$C$90="Level-up prompt",G805,IF('Paste Editor (Beta)'!$C$90="Item prompt",E805,IF('Paste Editor (Beta)'!$C$90="Modifier prompt","'"&amp;B805,IF('Paste Editor (Beta)'!$C$90="Challenge prompt",L805,IF('Paste Editor (Beta)'!$C$90="Reroll class prompt",S804,IF('Paste Editor (Beta)'!$C$90="Swap hero prompt",S804,IF('Paste Editor (Beta)'!$C$90="Anvil prompt",AD804,"")))))))</f>
        <v>0</v>
      </c>
      <c r="AK804" s="283">
        <f>IF('Paste Editor (Beta)'!$C$90="Level-up prompt",G805,IF('Paste Editor (Beta)'!$C$90="Item prompt",E805,IF('Paste Editor (Beta)'!$C$90="Modifier prompt","'"&amp;B805,IF('Paste Editor (Beta)'!$C$90="Challenge prompt",E805,IF('Paste Editor (Beta)'!$C$90="Reroll class prompt",S804,IF('Paste Editor (Beta)'!$C$90="Swap hero prompt",S804,IF('Paste Editor (Beta)'!$C$90="Anvil prompt",AD804,"")))))))</f>
        <v>0</v>
      </c>
    </row>
    <row r="805" spans="34:37" ht="17.25">
      <c r="AH805" s="280" t="str">
        <f>IF('Paste Editor (Beta)'!$C$82="Level-up prompt",G806,IF('Paste Editor (Beta)'!$C$82="Item prompt",E806,IF('Paste Editor (Beta)'!$C$82="Modifier prompt","'"&amp;B806,IF('Paste Editor (Beta)'!$C$82="Challenge prompt",L806,IF('Paste Editor (Beta)'!$C$82="Reroll class prompt",S805,IF('Paste Editor (Beta)'!$C$82="Swap hero prompt",S805,IF('Paste Editor (Beta)'!$C$82="Anvil prompt",AD805,"")))))))</f>
        <v/>
      </c>
      <c r="AI805" s="280" t="str">
        <f>IF('Paste Editor (Beta)'!$C$82="Level-up prompt",G806,IF('Paste Editor (Beta)'!$C$82="Item prompt",E806,IF('Paste Editor (Beta)'!$C$82="Modifier prompt","'"&amp;B806,IF('Paste Editor (Beta)'!$C$82="Challenge prompt",E806,IF('Paste Editor (Beta)'!$C$82="Reroll class prompt",S805,IF('Paste Editor (Beta)'!$C$82="Swap hero prompt",S805,IF('Paste Editor (Beta)'!$C$82="Anvil prompt",AD805,"")))))))</f>
        <v/>
      </c>
      <c r="AJ805" s="283">
        <f>IF('Paste Editor (Beta)'!$C$90="Level-up prompt",G806,IF('Paste Editor (Beta)'!$C$90="Item prompt",E806,IF('Paste Editor (Beta)'!$C$90="Modifier prompt","'"&amp;B806,IF('Paste Editor (Beta)'!$C$90="Challenge prompt",L806,IF('Paste Editor (Beta)'!$C$90="Reroll class prompt",S805,IF('Paste Editor (Beta)'!$C$90="Swap hero prompt",S805,IF('Paste Editor (Beta)'!$C$90="Anvil prompt",AD805,"")))))))</f>
        <v>0</v>
      </c>
      <c r="AK805" s="283">
        <f>IF('Paste Editor (Beta)'!$C$90="Level-up prompt",G806,IF('Paste Editor (Beta)'!$C$90="Item prompt",E806,IF('Paste Editor (Beta)'!$C$90="Modifier prompt","'"&amp;B806,IF('Paste Editor (Beta)'!$C$90="Challenge prompt",E806,IF('Paste Editor (Beta)'!$C$90="Reroll class prompt",S805,IF('Paste Editor (Beta)'!$C$90="Swap hero prompt",S805,IF('Paste Editor (Beta)'!$C$90="Anvil prompt",AD805,"")))))))</f>
        <v>0</v>
      </c>
    </row>
    <row r="806" spans="34:37" ht="17.25">
      <c r="AH806" s="280" t="str">
        <f>IF('Paste Editor (Beta)'!$C$82="Level-up prompt",G807,IF('Paste Editor (Beta)'!$C$82="Item prompt",E807,IF('Paste Editor (Beta)'!$C$82="Modifier prompt","'"&amp;B807,IF('Paste Editor (Beta)'!$C$82="Challenge prompt",L807,IF('Paste Editor (Beta)'!$C$82="Reroll class prompt",S806,IF('Paste Editor (Beta)'!$C$82="Swap hero prompt",S806,IF('Paste Editor (Beta)'!$C$82="Anvil prompt",AD806,"")))))))</f>
        <v/>
      </c>
      <c r="AI806" s="280" t="str">
        <f>IF('Paste Editor (Beta)'!$C$82="Level-up prompt",G807,IF('Paste Editor (Beta)'!$C$82="Item prompt",E807,IF('Paste Editor (Beta)'!$C$82="Modifier prompt","'"&amp;B807,IF('Paste Editor (Beta)'!$C$82="Challenge prompt",E807,IF('Paste Editor (Beta)'!$C$82="Reroll class prompt",S806,IF('Paste Editor (Beta)'!$C$82="Swap hero prompt",S806,IF('Paste Editor (Beta)'!$C$82="Anvil prompt",AD806,"")))))))</f>
        <v/>
      </c>
      <c r="AJ806" s="283">
        <f>IF('Paste Editor (Beta)'!$C$90="Level-up prompt",G807,IF('Paste Editor (Beta)'!$C$90="Item prompt",E807,IF('Paste Editor (Beta)'!$C$90="Modifier prompt","'"&amp;B807,IF('Paste Editor (Beta)'!$C$90="Challenge prompt",L807,IF('Paste Editor (Beta)'!$C$90="Reroll class prompt",S806,IF('Paste Editor (Beta)'!$C$90="Swap hero prompt",S806,IF('Paste Editor (Beta)'!$C$90="Anvil prompt",AD806,"")))))))</f>
        <v>0</v>
      </c>
      <c r="AK806" s="283">
        <f>IF('Paste Editor (Beta)'!$C$90="Level-up prompt",G807,IF('Paste Editor (Beta)'!$C$90="Item prompt",E807,IF('Paste Editor (Beta)'!$C$90="Modifier prompt","'"&amp;B807,IF('Paste Editor (Beta)'!$C$90="Challenge prompt",E807,IF('Paste Editor (Beta)'!$C$90="Reroll class prompt",S806,IF('Paste Editor (Beta)'!$C$90="Swap hero prompt",S806,IF('Paste Editor (Beta)'!$C$90="Anvil prompt",AD806,"")))))))</f>
        <v>0</v>
      </c>
    </row>
    <row r="807" spans="34:37" ht="17.25">
      <c r="AH807" s="280" t="str">
        <f>IF('Paste Editor (Beta)'!$C$82="Level-up prompt",G808,IF('Paste Editor (Beta)'!$C$82="Item prompt",E808,IF('Paste Editor (Beta)'!$C$82="Modifier prompt","'"&amp;B808,IF('Paste Editor (Beta)'!$C$82="Challenge prompt",L808,IF('Paste Editor (Beta)'!$C$82="Reroll class prompt",S807,IF('Paste Editor (Beta)'!$C$82="Swap hero prompt",S807,IF('Paste Editor (Beta)'!$C$82="Anvil prompt",AD807,"")))))))</f>
        <v/>
      </c>
      <c r="AI807" s="280" t="str">
        <f>IF('Paste Editor (Beta)'!$C$82="Level-up prompt",G808,IF('Paste Editor (Beta)'!$C$82="Item prompt",E808,IF('Paste Editor (Beta)'!$C$82="Modifier prompt","'"&amp;B808,IF('Paste Editor (Beta)'!$C$82="Challenge prompt",E808,IF('Paste Editor (Beta)'!$C$82="Reroll class prompt",S807,IF('Paste Editor (Beta)'!$C$82="Swap hero prompt",S807,IF('Paste Editor (Beta)'!$C$82="Anvil prompt",AD807,"")))))))</f>
        <v/>
      </c>
      <c r="AJ807" s="283">
        <f>IF('Paste Editor (Beta)'!$C$90="Level-up prompt",G808,IF('Paste Editor (Beta)'!$C$90="Item prompt",E808,IF('Paste Editor (Beta)'!$C$90="Modifier prompt","'"&amp;B808,IF('Paste Editor (Beta)'!$C$90="Challenge prompt",L808,IF('Paste Editor (Beta)'!$C$90="Reroll class prompt",S807,IF('Paste Editor (Beta)'!$C$90="Swap hero prompt",S807,IF('Paste Editor (Beta)'!$C$90="Anvil prompt",AD807,"")))))))</f>
        <v>0</v>
      </c>
      <c r="AK807" s="283">
        <f>IF('Paste Editor (Beta)'!$C$90="Level-up prompt",G808,IF('Paste Editor (Beta)'!$C$90="Item prompt",E808,IF('Paste Editor (Beta)'!$C$90="Modifier prompt","'"&amp;B808,IF('Paste Editor (Beta)'!$C$90="Challenge prompt",E808,IF('Paste Editor (Beta)'!$C$90="Reroll class prompt",S807,IF('Paste Editor (Beta)'!$C$90="Swap hero prompt",S807,IF('Paste Editor (Beta)'!$C$90="Anvil prompt",AD807,"")))))))</f>
        <v>0</v>
      </c>
    </row>
    <row r="808" spans="34:37" ht="17.25">
      <c r="AH808" s="280" t="str">
        <f>IF('Paste Editor (Beta)'!$C$82="Level-up prompt",G809,IF('Paste Editor (Beta)'!$C$82="Item prompt",E809,IF('Paste Editor (Beta)'!$C$82="Modifier prompt","'"&amp;B809,IF('Paste Editor (Beta)'!$C$82="Challenge prompt",L809,IF('Paste Editor (Beta)'!$C$82="Reroll class prompt",S808,IF('Paste Editor (Beta)'!$C$82="Swap hero prompt",S808,IF('Paste Editor (Beta)'!$C$82="Anvil prompt",AD808,"")))))))</f>
        <v/>
      </c>
      <c r="AI808" s="280" t="str">
        <f>IF('Paste Editor (Beta)'!$C$82="Level-up prompt",G809,IF('Paste Editor (Beta)'!$C$82="Item prompt",E809,IF('Paste Editor (Beta)'!$C$82="Modifier prompt","'"&amp;B809,IF('Paste Editor (Beta)'!$C$82="Challenge prompt",E809,IF('Paste Editor (Beta)'!$C$82="Reroll class prompt",S808,IF('Paste Editor (Beta)'!$C$82="Swap hero prompt",S808,IF('Paste Editor (Beta)'!$C$82="Anvil prompt",AD808,"")))))))</f>
        <v/>
      </c>
      <c r="AJ808" s="283">
        <f>IF('Paste Editor (Beta)'!$C$90="Level-up prompt",G809,IF('Paste Editor (Beta)'!$C$90="Item prompt",E809,IF('Paste Editor (Beta)'!$C$90="Modifier prompt","'"&amp;B809,IF('Paste Editor (Beta)'!$C$90="Challenge prompt",L809,IF('Paste Editor (Beta)'!$C$90="Reroll class prompt",S808,IF('Paste Editor (Beta)'!$C$90="Swap hero prompt",S808,IF('Paste Editor (Beta)'!$C$90="Anvil prompt",AD808,"")))))))</f>
        <v>0</v>
      </c>
      <c r="AK808" s="283">
        <f>IF('Paste Editor (Beta)'!$C$90="Level-up prompt",G809,IF('Paste Editor (Beta)'!$C$90="Item prompt",E809,IF('Paste Editor (Beta)'!$C$90="Modifier prompt","'"&amp;B809,IF('Paste Editor (Beta)'!$C$90="Challenge prompt",E809,IF('Paste Editor (Beta)'!$C$90="Reroll class prompt",S808,IF('Paste Editor (Beta)'!$C$90="Swap hero prompt",S808,IF('Paste Editor (Beta)'!$C$90="Anvil prompt",AD808,"")))))))</f>
        <v>0</v>
      </c>
    </row>
    <row r="809" spans="34:37" ht="17.25">
      <c r="AH809" s="280" t="str">
        <f>IF('Paste Editor (Beta)'!$C$82="Level-up prompt",G810,IF('Paste Editor (Beta)'!$C$82="Item prompt",E810,IF('Paste Editor (Beta)'!$C$82="Modifier prompt","'"&amp;B810,IF('Paste Editor (Beta)'!$C$82="Challenge prompt",L810,IF('Paste Editor (Beta)'!$C$82="Reroll class prompt",S809,IF('Paste Editor (Beta)'!$C$82="Swap hero prompt",S809,IF('Paste Editor (Beta)'!$C$82="Anvil prompt",AD809,"")))))))</f>
        <v/>
      </c>
      <c r="AI809" s="280" t="str">
        <f>IF('Paste Editor (Beta)'!$C$82="Level-up prompt",G810,IF('Paste Editor (Beta)'!$C$82="Item prompt",E810,IF('Paste Editor (Beta)'!$C$82="Modifier prompt","'"&amp;B810,IF('Paste Editor (Beta)'!$C$82="Challenge prompt",E810,IF('Paste Editor (Beta)'!$C$82="Reroll class prompt",S809,IF('Paste Editor (Beta)'!$C$82="Swap hero prompt",S809,IF('Paste Editor (Beta)'!$C$82="Anvil prompt",AD809,"")))))))</f>
        <v/>
      </c>
      <c r="AJ809" s="283">
        <f>IF('Paste Editor (Beta)'!$C$90="Level-up prompt",G810,IF('Paste Editor (Beta)'!$C$90="Item prompt",E810,IF('Paste Editor (Beta)'!$C$90="Modifier prompt","'"&amp;B810,IF('Paste Editor (Beta)'!$C$90="Challenge prompt",L810,IF('Paste Editor (Beta)'!$C$90="Reroll class prompt",S809,IF('Paste Editor (Beta)'!$C$90="Swap hero prompt",S809,IF('Paste Editor (Beta)'!$C$90="Anvil prompt",AD809,"")))))))</f>
        <v>0</v>
      </c>
      <c r="AK809" s="283">
        <f>IF('Paste Editor (Beta)'!$C$90="Level-up prompt",G810,IF('Paste Editor (Beta)'!$C$90="Item prompt",E810,IF('Paste Editor (Beta)'!$C$90="Modifier prompt","'"&amp;B810,IF('Paste Editor (Beta)'!$C$90="Challenge prompt",E810,IF('Paste Editor (Beta)'!$C$90="Reroll class prompt",S809,IF('Paste Editor (Beta)'!$C$90="Swap hero prompt",S809,IF('Paste Editor (Beta)'!$C$90="Anvil prompt",AD809,"")))))))</f>
        <v>0</v>
      </c>
    </row>
    <row r="810" spans="34:37" ht="17.25">
      <c r="AH810" s="280" t="str">
        <f>IF('Paste Editor (Beta)'!$C$82="Level-up prompt",G811,IF('Paste Editor (Beta)'!$C$82="Item prompt",E811,IF('Paste Editor (Beta)'!$C$82="Modifier prompt","'"&amp;B811,IF('Paste Editor (Beta)'!$C$82="Challenge prompt",L811,IF('Paste Editor (Beta)'!$C$82="Reroll class prompt",S810,IF('Paste Editor (Beta)'!$C$82="Swap hero prompt",S810,IF('Paste Editor (Beta)'!$C$82="Anvil prompt",AD810,"")))))))</f>
        <v/>
      </c>
      <c r="AI810" s="280" t="str">
        <f>IF('Paste Editor (Beta)'!$C$82="Level-up prompt",G811,IF('Paste Editor (Beta)'!$C$82="Item prompt",E811,IF('Paste Editor (Beta)'!$C$82="Modifier prompt","'"&amp;B811,IF('Paste Editor (Beta)'!$C$82="Challenge prompt",E811,IF('Paste Editor (Beta)'!$C$82="Reroll class prompt",S810,IF('Paste Editor (Beta)'!$C$82="Swap hero prompt",S810,IF('Paste Editor (Beta)'!$C$82="Anvil prompt",AD810,"")))))))</f>
        <v/>
      </c>
      <c r="AJ810" s="283">
        <f>IF('Paste Editor (Beta)'!$C$90="Level-up prompt",G811,IF('Paste Editor (Beta)'!$C$90="Item prompt",E811,IF('Paste Editor (Beta)'!$C$90="Modifier prompt","'"&amp;B811,IF('Paste Editor (Beta)'!$C$90="Challenge prompt",L811,IF('Paste Editor (Beta)'!$C$90="Reroll class prompt",S810,IF('Paste Editor (Beta)'!$C$90="Swap hero prompt",S810,IF('Paste Editor (Beta)'!$C$90="Anvil prompt",AD810,"")))))))</f>
        <v>0</v>
      </c>
      <c r="AK810" s="283">
        <f>IF('Paste Editor (Beta)'!$C$90="Level-up prompt",G811,IF('Paste Editor (Beta)'!$C$90="Item prompt",E811,IF('Paste Editor (Beta)'!$C$90="Modifier prompt","'"&amp;B811,IF('Paste Editor (Beta)'!$C$90="Challenge prompt",E811,IF('Paste Editor (Beta)'!$C$90="Reroll class prompt",S810,IF('Paste Editor (Beta)'!$C$90="Swap hero prompt",S810,IF('Paste Editor (Beta)'!$C$90="Anvil prompt",AD810,"")))))))</f>
        <v>0</v>
      </c>
    </row>
    <row r="811" spans="34:37" ht="17.25">
      <c r="AH811" s="280" t="str">
        <f>IF('Paste Editor (Beta)'!$C$82="Level-up prompt",G812,IF('Paste Editor (Beta)'!$C$82="Item prompt",E812,IF('Paste Editor (Beta)'!$C$82="Modifier prompt","'"&amp;B812,IF('Paste Editor (Beta)'!$C$82="Challenge prompt",L812,IF('Paste Editor (Beta)'!$C$82="Reroll class prompt",S811,IF('Paste Editor (Beta)'!$C$82="Swap hero prompt",S811,IF('Paste Editor (Beta)'!$C$82="Anvil prompt",AD811,"")))))))</f>
        <v/>
      </c>
      <c r="AI811" s="280" t="str">
        <f>IF('Paste Editor (Beta)'!$C$82="Level-up prompt",G812,IF('Paste Editor (Beta)'!$C$82="Item prompt",E812,IF('Paste Editor (Beta)'!$C$82="Modifier prompt","'"&amp;B812,IF('Paste Editor (Beta)'!$C$82="Challenge prompt",E812,IF('Paste Editor (Beta)'!$C$82="Reroll class prompt",S811,IF('Paste Editor (Beta)'!$C$82="Swap hero prompt",S811,IF('Paste Editor (Beta)'!$C$82="Anvil prompt",AD811,"")))))))</f>
        <v/>
      </c>
      <c r="AJ811" s="283">
        <f>IF('Paste Editor (Beta)'!$C$90="Level-up prompt",G812,IF('Paste Editor (Beta)'!$C$90="Item prompt",E812,IF('Paste Editor (Beta)'!$C$90="Modifier prompt","'"&amp;B812,IF('Paste Editor (Beta)'!$C$90="Challenge prompt",L812,IF('Paste Editor (Beta)'!$C$90="Reroll class prompt",S811,IF('Paste Editor (Beta)'!$C$90="Swap hero prompt",S811,IF('Paste Editor (Beta)'!$C$90="Anvil prompt",AD811,"")))))))</f>
        <v>0</v>
      </c>
      <c r="AK811" s="283">
        <f>IF('Paste Editor (Beta)'!$C$90="Level-up prompt",G812,IF('Paste Editor (Beta)'!$C$90="Item prompt",E812,IF('Paste Editor (Beta)'!$C$90="Modifier prompt","'"&amp;B812,IF('Paste Editor (Beta)'!$C$90="Challenge prompt",E812,IF('Paste Editor (Beta)'!$C$90="Reroll class prompt",S811,IF('Paste Editor (Beta)'!$C$90="Swap hero prompt",S811,IF('Paste Editor (Beta)'!$C$90="Anvil prompt",AD811,"")))))))</f>
        <v>0</v>
      </c>
    </row>
    <row r="812" spans="34:37" ht="17.25">
      <c r="AH812" s="280" t="str">
        <f>IF('Paste Editor (Beta)'!$C$82="Level-up prompt",G813,IF('Paste Editor (Beta)'!$C$82="Item prompt",E813,IF('Paste Editor (Beta)'!$C$82="Modifier prompt","'"&amp;B813,IF('Paste Editor (Beta)'!$C$82="Challenge prompt",L813,IF('Paste Editor (Beta)'!$C$82="Reroll class prompt",S812,IF('Paste Editor (Beta)'!$C$82="Swap hero prompt",S812,IF('Paste Editor (Beta)'!$C$82="Anvil prompt",AD812,"")))))))</f>
        <v/>
      </c>
      <c r="AI812" s="280" t="str">
        <f>IF('Paste Editor (Beta)'!$C$82="Level-up prompt",G813,IF('Paste Editor (Beta)'!$C$82="Item prompt",E813,IF('Paste Editor (Beta)'!$C$82="Modifier prompt","'"&amp;B813,IF('Paste Editor (Beta)'!$C$82="Challenge prompt",E813,IF('Paste Editor (Beta)'!$C$82="Reroll class prompt",S812,IF('Paste Editor (Beta)'!$C$82="Swap hero prompt",S812,IF('Paste Editor (Beta)'!$C$82="Anvil prompt",AD812,"")))))))</f>
        <v/>
      </c>
      <c r="AJ812" s="283">
        <f>IF('Paste Editor (Beta)'!$C$90="Level-up prompt",G813,IF('Paste Editor (Beta)'!$C$90="Item prompt",E813,IF('Paste Editor (Beta)'!$C$90="Modifier prompt","'"&amp;B813,IF('Paste Editor (Beta)'!$C$90="Challenge prompt",L813,IF('Paste Editor (Beta)'!$C$90="Reroll class prompt",S812,IF('Paste Editor (Beta)'!$C$90="Swap hero prompt",S812,IF('Paste Editor (Beta)'!$C$90="Anvil prompt",AD812,"")))))))</f>
        <v>0</v>
      </c>
      <c r="AK812" s="283">
        <f>IF('Paste Editor (Beta)'!$C$90="Level-up prompt",G813,IF('Paste Editor (Beta)'!$C$90="Item prompt",E813,IF('Paste Editor (Beta)'!$C$90="Modifier prompt","'"&amp;B813,IF('Paste Editor (Beta)'!$C$90="Challenge prompt",E813,IF('Paste Editor (Beta)'!$C$90="Reroll class prompt",S812,IF('Paste Editor (Beta)'!$C$90="Swap hero prompt",S812,IF('Paste Editor (Beta)'!$C$90="Anvil prompt",AD812,"")))))))</f>
        <v>0</v>
      </c>
    </row>
    <row r="813" spans="34:37" ht="17.25">
      <c r="AH813" s="280" t="str">
        <f>IF('Paste Editor (Beta)'!$C$82="Level-up prompt",G814,IF('Paste Editor (Beta)'!$C$82="Item prompt",E814,IF('Paste Editor (Beta)'!$C$82="Modifier prompt","'"&amp;B814,IF('Paste Editor (Beta)'!$C$82="Challenge prompt",L814,IF('Paste Editor (Beta)'!$C$82="Reroll class prompt",S813,IF('Paste Editor (Beta)'!$C$82="Swap hero prompt",S813,IF('Paste Editor (Beta)'!$C$82="Anvil prompt",AD813,"")))))))</f>
        <v/>
      </c>
      <c r="AI813" s="280" t="str">
        <f>IF('Paste Editor (Beta)'!$C$82="Level-up prompt",G814,IF('Paste Editor (Beta)'!$C$82="Item prompt",E814,IF('Paste Editor (Beta)'!$C$82="Modifier prompt","'"&amp;B814,IF('Paste Editor (Beta)'!$C$82="Challenge prompt",E814,IF('Paste Editor (Beta)'!$C$82="Reroll class prompt",S813,IF('Paste Editor (Beta)'!$C$82="Swap hero prompt",S813,IF('Paste Editor (Beta)'!$C$82="Anvil prompt",AD813,"")))))))</f>
        <v/>
      </c>
      <c r="AJ813" s="283">
        <f>IF('Paste Editor (Beta)'!$C$90="Level-up prompt",G814,IF('Paste Editor (Beta)'!$C$90="Item prompt",E814,IF('Paste Editor (Beta)'!$C$90="Modifier prompt","'"&amp;B814,IF('Paste Editor (Beta)'!$C$90="Challenge prompt",L814,IF('Paste Editor (Beta)'!$C$90="Reroll class prompt",S813,IF('Paste Editor (Beta)'!$C$90="Swap hero prompt",S813,IF('Paste Editor (Beta)'!$C$90="Anvil prompt",AD813,"")))))))</f>
        <v>0</v>
      </c>
      <c r="AK813" s="283">
        <f>IF('Paste Editor (Beta)'!$C$90="Level-up prompt",G814,IF('Paste Editor (Beta)'!$C$90="Item prompt",E814,IF('Paste Editor (Beta)'!$C$90="Modifier prompt","'"&amp;B814,IF('Paste Editor (Beta)'!$C$90="Challenge prompt",E814,IF('Paste Editor (Beta)'!$C$90="Reroll class prompt",S813,IF('Paste Editor (Beta)'!$C$90="Swap hero prompt",S813,IF('Paste Editor (Beta)'!$C$90="Anvil prompt",AD813,"")))))))</f>
        <v>0</v>
      </c>
    </row>
    <row r="814" spans="34:37" ht="17.25">
      <c r="AH814" s="280" t="str">
        <f>IF('Paste Editor (Beta)'!$C$82="Level-up prompt",G815,IF('Paste Editor (Beta)'!$C$82="Item prompt",E815,IF('Paste Editor (Beta)'!$C$82="Modifier prompt","'"&amp;B815,IF('Paste Editor (Beta)'!$C$82="Challenge prompt",L815,IF('Paste Editor (Beta)'!$C$82="Reroll class prompt",S814,IF('Paste Editor (Beta)'!$C$82="Swap hero prompt",S814,IF('Paste Editor (Beta)'!$C$82="Anvil prompt",AD814,"")))))))</f>
        <v/>
      </c>
      <c r="AI814" s="280" t="str">
        <f>IF('Paste Editor (Beta)'!$C$82="Level-up prompt",G815,IF('Paste Editor (Beta)'!$C$82="Item prompt",E815,IF('Paste Editor (Beta)'!$C$82="Modifier prompt","'"&amp;B815,IF('Paste Editor (Beta)'!$C$82="Challenge prompt",E815,IF('Paste Editor (Beta)'!$C$82="Reroll class prompt",S814,IF('Paste Editor (Beta)'!$C$82="Swap hero prompt",S814,IF('Paste Editor (Beta)'!$C$82="Anvil prompt",AD814,"")))))))</f>
        <v/>
      </c>
      <c r="AJ814" s="283">
        <f>IF('Paste Editor (Beta)'!$C$90="Level-up prompt",G815,IF('Paste Editor (Beta)'!$C$90="Item prompt",E815,IF('Paste Editor (Beta)'!$C$90="Modifier prompt","'"&amp;B815,IF('Paste Editor (Beta)'!$C$90="Challenge prompt",L815,IF('Paste Editor (Beta)'!$C$90="Reroll class prompt",S814,IF('Paste Editor (Beta)'!$C$90="Swap hero prompt",S814,IF('Paste Editor (Beta)'!$C$90="Anvil prompt",AD814,"")))))))</f>
        <v>0</v>
      </c>
      <c r="AK814" s="283">
        <f>IF('Paste Editor (Beta)'!$C$90="Level-up prompt",G815,IF('Paste Editor (Beta)'!$C$90="Item prompt",E815,IF('Paste Editor (Beta)'!$C$90="Modifier prompt","'"&amp;B815,IF('Paste Editor (Beta)'!$C$90="Challenge prompt",E815,IF('Paste Editor (Beta)'!$C$90="Reroll class prompt",S814,IF('Paste Editor (Beta)'!$C$90="Swap hero prompt",S814,IF('Paste Editor (Beta)'!$C$90="Anvil prompt",AD814,"")))))))</f>
        <v>0</v>
      </c>
    </row>
    <row r="815" spans="34:37" ht="17.25">
      <c r="AH815" s="280" t="str">
        <f>IF('Paste Editor (Beta)'!$C$82="Level-up prompt",G816,IF('Paste Editor (Beta)'!$C$82="Item prompt",E816,IF('Paste Editor (Beta)'!$C$82="Modifier prompt","'"&amp;B816,IF('Paste Editor (Beta)'!$C$82="Challenge prompt",L816,IF('Paste Editor (Beta)'!$C$82="Reroll class prompt",S815,IF('Paste Editor (Beta)'!$C$82="Swap hero prompt",S815,IF('Paste Editor (Beta)'!$C$82="Anvil prompt",AD815,"")))))))</f>
        <v/>
      </c>
      <c r="AI815" s="280" t="str">
        <f>IF('Paste Editor (Beta)'!$C$82="Level-up prompt",G816,IF('Paste Editor (Beta)'!$C$82="Item prompt",E816,IF('Paste Editor (Beta)'!$C$82="Modifier prompt","'"&amp;B816,IF('Paste Editor (Beta)'!$C$82="Challenge prompt",E816,IF('Paste Editor (Beta)'!$C$82="Reroll class prompt",S815,IF('Paste Editor (Beta)'!$C$82="Swap hero prompt",S815,IF('Paste Editor (Beta)'!$C$82="Anvil prompt",AD815,"")))))))</f>
        <v/>
      </c>
      <c r="AJ815" s="283">
        <f>IF('Paste Editor (Beta)'!$C$90="Level-up prompt",G816,IF('Paste Editor (Beta)'!$C$90="Item prompt",E816,IF('Paste Editor (Beta)'!$C$90="Modifier prompt","'"&amp;B816,IF('Paste Editor (Beta)'!$C$90="Challenge prompt",L816,IF('Paste Editor (Beta)'!$C$90="Reroll class prompt",S815,IF('Paste Editor (Beta)'!$C$90="Swap hero prompt",S815,IF('Paste Editor (Beta)'!$C$90="Anvil prompt",AD815,"")))))))</f>
        <v>0</v>
      </c>
      <c r="AK815" s="283">
        <f>IF('Paste Editor (Beta)'!$C$90="Level-up prompt",G816,IF('Paste Editor (Beta)'!$C$90="Item prompt",E816,IF('Paste Editor (Beta)'!$C$90="Modifier prompt","'"&amp;B816,IF('Paste Editor (Beta)'!$C$90="Challenge prompt",E816,IF('Paste Editor (Beta)'!$C$90="Reroll class prompt",S815,IF('Paste Editor (Beta)'!$C$90="Swap hero prompt",S815,IF('Paste Editor (Beta)'!$C$90="Anvil prompt",AD815,"")))))))</f>
        <v>0</v>
      </c>
    </row>
    <row r="816" spans="34:37" ht="17.25">
      <c r="AH816" s="280" t="str">
        <f>IF('Paste Editor (Beta)'!$C$82="Level-up prompt",G817,IF('Paste Editor (Beta)'!$C$82="Item prompt",E817,IF('Paste Editor (Beta)'!$C$82="Modifier prompt","'"&amp;B817,IF('Paste Editor (Beta)'!$C$82="Challenge prompt",L817,IF('Paste Editor (Beta)'!$C$82="Reroll class prompt",S816,IF('Paste Editor (Beta)'!$C$82="Swap hero prompt",S816,IF('Paste Editor (Beta)'!$C$82="Anvil prompt",AD816,"")))))))</f>
        <v/>
      </c>
      <c r="AI816" s="280" t="str">
        <f>IF('Paste Editor (Beta)'!$C$82="Level-up prompt",G817,IF('Paste Editor (Beta)'!$C$82="Item prompt",E817,IF('Paste Editor (Beta)'!$C$82="Modifier prompt","'"&amp;B817,IF('Paste Editor (Beta)'!$C$82="Challenge prompt",E817,IF('Paste Editor (Beta)'!$C$82="Reroll class prompt",S816,IF('Paste Editor (Beta)'!$C$82="Swap hero prompt",S816,IF('Paste Editor (Beta)'!$C$82="Anvil prompt",AD816,"")))))))</f>
        <v/>
      </c>
      <c r="AJ816" s="283">
        <f>IF('Paste Editor (Beta)'!$C$90="Level-up prompt",G817,IF('Paste Editor (Beta)'!$C$90="Item prompt",E817,IF('Paste Editor (Beta)'!$C$90="Modifier prompt","'"&amp;B817,IF('Paste Editor (Beta)'!$C$90="Challenge prompt",L817,IF('Paste Editor (Beta)'!$C$90="Reroll class prompt",S816,IF('Paste Editor (Beta)'!$C$90="Swap hero prompt",S816,IF('Paste Editor (Beta)'!$C$90="Anvil prompt",AD816,"")))))))</f>
        <v>0</v>
      </c>
      <c r="AK816" s="283">
        <f>IF('Paste Editor (Beta)'!$C$90="Level-up prompt",G817,IF('Paste Editor (Beta)'!$C$90="Item prompt",E817,IF('Paste Editor (Beta)'!$C$90="Modifier prompt","'"&amp;B817,IF('Paste Editor (Beta)'!$C$90="Challenge prompt",E817,IF('Paste Editor (Beta)'!$C$90="Reroll class prompt",S816,IF('Paste Editor (Beta)'!$C$90="Swap hero prompt",S816,IF('Paste Editor (Beta)'!$C$90="Anvil prompt",AD816,"")))))))</f>
        <v>0</v>
      </c>
    </row>
    <row r="817" spans="34:37" ht="17.25">
      <c r="AH817" s="280" t="str">
        <f>IF('Paste Editor (Beta)'!$C$82="Level-up prompt",G818,IF('Paste Editor (Beta)'!$C$82="Item prompt",E818,IF('Paste Editor (Beta)'!$C$82="Modifier prompt","'"&amp;B818,IF('Paste Editor (Beta)'!$C$82="Challenge prompt",L818,IF('Paste Editor (Beta)'!$C$82="Reroll class prompt",S817,IF('Paste Editor (Beta)'!$C$82="Swap hero prompt",S817,IF('Paste Editor (Beta)'!$C$82="Anvil prompt",AD817,"")))))))</f>
        <v/>
      </c>
      <c r="AI817" s="280" t="str">
        <f>IF('Paste Editor (Beta)'!$C$82="Level-up prompt",G818,IF('Paste Editor (Beta)'!$C$82="Item prompt",E818,IF('Paste Editor (Beta)'!$C$82="Modifier prompt","'"&amp;B818,IF('Paste Editor (Beta)'!$C$82="Challenge prompt",E818,IF('Paste Editor (Beta)'!$C$82="Reroll class prompt",S817,IF('Paste Editor (Beta)'!$C$82="Swap hero prompt",S817,IF('Paste Editor (Beta)'!$C$82="Anvil prompt",AD817,"")))))))</f>
        <v/>
      </c>
      <c r="AJ817" s="283">
        <f>IF('Paste Editor (Beta)'!$C$90="Level-up prompt",G818,IF('Paste Editor (Beta)'!$C$90="Item prompt",E818,IF('Paste Editor (Beta)'!$C$90="Modifier prompt","'"&amp;B818,IF('Paste Editor (Beta)'!$C$90="Challenge prompt",L818,IF('Paste Editor (Beta)'!$C$90="Reroll class prompt",S817,IF('Paste Editor (Beta)'!$C$90="Swap hero prompt",S817,IF('Paste Editor (Beta)'!$C$90="Anvil prompt",AD817,"")))))))</f>
        <v>0</v>
      </c>
      <c r="AK817" s="283">
        <f>IF('Paste Editor (Beta)'!$C$90="Level-up prompt",G818,IF('Paste Editor (Beta)'!$C$90="Item prompt",E818,IF('Paste Editor (Beta)'!$C$90="Modifier prompt","'"&amp;B818,IF('Paste Editor (Beta)'!$C$90="Challenge prompt",E818,IF('Paste Editor (Beta)'!$C$90="Reroll class prompt",S817,IF('Paste Editor (Beta)'!$C$90="Swap hero prompt",S817,IF('Paste Editor (Beta)'!$C$90="Anvil prompt",AD817,"")))))))</f>
        <v>0</v>
      </c>
    </row>
    <row r="818" spans="34:37" ht="17.25">
      <c r="AH818" s="280" t="str">
        <f>IF('Paste Editor (Beta)'!$C$82="Level-up prompt",G819,IF('Paste Editor (Beta)'!$C$82="Item prompt",E819,IF('Paste Editor (Beta)'!$C$82="Modifier prompt","'"&amp;B819,IF('Paste Editor (Beta)'!$C$82="Challenge prompt",L819,IF('Paste Editor (Beta)'!$C$82="Reroll class prompt",S818,IF('Paste Editor (Beta)'!$C$82="Swap hero prompt",S818,IF('Paste Editor (Beta)'!$C$82="Anvil prompt",AD818,"")))))))</f>
        <v/>
      </c>
      <c r="AI818" s="280" t="str">
        <f>IF('Paste Editor (Beta)'!$C$82="Level-up prompt",G819,IF('Paste Editor (Beta)'!$C$82="Item prompt",E819,IF('Paste Editor (Beta)'!$C$82="Modifier prompt","'"&amp;B819,IF('Paste Editor (Beta)'!$C$82="Challenge prompt",E819,IF('Paste Editor (Beta)'!$C$82="Reroll class prompt",S818,IF('Paste Editor (Beta)'!$C$82="Swap hero prompt",S818,IF('Paste Editor (Beta)'!$C$82="Anvil prompt",AD818,"")))))))</f>
        <v/>
      </c>
      <c r="AJ818" s="283">
        <f>IF('Paste Editor (Beta)'!$C$90="Level-up prompt",G819,IF('Paste Editor (Beta)'!$C$90="Item prompt",E819,IF('Paste Editor (Beta)'!$C$90="Modifier prompt","'"&amp;B819,IF('Paste Editor (Beta)'!$C$90="Challenge prompt",L819,IF('Paste Editor (Beta)'!$C$90="Reroll class prompt",S818,IF('Paste Editor (Beta)'!$C$90="Swap hero prompt",S818,IF('Paste Editor (Beta)'!$C$90="Anvil prompt",AD818,"")))))))</f>
        <v>0</v>
      </c>
      <c r="AK818" s="283">
        <f>IF('Paste Editor (Beta)'!$C$90="Level-up prompt",G819,IF('Paste Editor (Beta)'!$C$90="Item prompt",E819,IF('Paste Editor (Beta)'!$C$90="Modifier prompt","'"&amp;B819,IF('Paste Editor (Beta)'!$C$90="Challenge prompt",E819,IF('Paste Editor (Beta)'!$C$90="Reroll class prompt",S818,IF('Paste Editor (Beta)'!$C$90="Swap hero prompt",S818,IF('Paste Editor (Beta)'!$C$90="Anvil prompt",AD818,"")))))))</f>
        <v>0</v>
      </c>
    </row>
    <row r="819" spans="34:37" ht="17.25">
      <c r="AH819" s="280" t="str">
        <f>IF('Paste Editor (Beta)'!$C$82="Level-up prompt",G820,IF('Paste Editor (Beta)'!$C$82="Item prompt",E820,IF('Paste Editor (Beta)'!$C$82="Modifier prompt","'"&amp;B820,IF('Paste Editor (Beta)'!$C$82="Challenge prompt",L820,IF('Paste Editor (Beta)'!$C$82="Reroll class prompt",S819,IF('Paste Editor (Beta)'!$C$82="Swap hero prompt",S819,IF('Paste Editor (Beta)'!$C$82="Anvil prompt",AD819,"")))))))</f>
        <v/>
      </c>
      <c r="AI819" s="280" t="str">
        <f>IF('Paste Editor (Beta)'!$C$82="Level-up prompt",G820,IF('Paste Editor (Beta)'!$C$82="Item prompt",E820,IF('Paste Editor (Beta)'!$C$82="Modifier prompt","'"&amp;B820,IF('Paste Editor (Beta)'!$C$82="Challenge prompt",E820,IF('Paste Editor (Beta)'!$C$82="Reroll class prompt",S819,IF('Paste Editor (Beta)'!$C$82="Swap hero prompt",S819,IF('Paste Editor (Beta)'!$C$82="Anvil prompt",AD819,"")))))))</f>
        <v/>
      </c>
      <c r="AJ819" s="283">
        <f>IF('Paste Editor (Beta)'!$C$90="Level-up prompt",G820,IF('Paste Editor (Beta)'!$C$90="Item prompt",E820,IF('Paste Editor (Beta)'!$C$90="Modifier prompt","'"&amp;B820,IF('Paste Editor (Beta)'!$C$90="Challenge prompt",L820,IF('Paste Editor (Beta)'!$C$90="Reroll class prompt",S819,IF('Paste Editor (Beta)'!$C$90="Swap hero prompt",S819,IF('Paste Editor (Beta)'!$C$90="Anvil prompt",AD819,"")))))))</f>
        <v>0</v>
      </c>
      <c r="AK819" s="283">
        <f>IF('Paste Editor (Beta)'!$C$90="Level-up prompt",G820,IF('Paste Editor (Beta)'!$C$90="Item prompt",E820,IF('Paste Editor (Beta)'!$C$90="Modifier prompt","'"&amp;B820,IF('Paste Editor (Beta)'!$C$90="Challenge prompt",E820,IF('Paste Editor (Beta)'!$C$90="Reroll class prompt",S819,IF('Paste Editor (Beta)'!$C$90="Swap hero prompt",S819,IF('Paste Editor (Beta)'!$C$90="Anvil prompt",AD819,"")))))))</f>
        <v>0</v>
      </c>
    </row>
    <row r="820" spans="34:37" ht="17.25">
      <c r="AH820" s="280" t="str">
        <f>IF('Paste Editor (Beta)'!$C$82="Level-up prompt",G821,IF('Paste Editor (Beta)'!$C$82="Item prompt",E821,IF('Paste Editor (Beta)'!$C$82="Modifier prompt","'"&amp;B821,IF('Paste Editor (Beta)'!$C$82="Challenge prompt",L821,IF('Paste Editor (Beta)'!$C$82="Reroll class prompt",S820,IF('Paste Editor (Beta)'!$C$82="Swap hero prompt",S820,IF('Paste Editor (Beta)'!$C$82="Anvil prompt",AD820,"")))))))</f>
        <v/>
      </c>
      <c r="AI820" s="280" t="str">
        <f>IF('Paste Editor (Beta)'!$C$82="Level-up prompt",G821,IF('Paste Editor (Beta)'!$C$82="Item prompt",E821,IF('Paste Editor (Beta)'!$C$82="Modifier prompt","'"&amp;B821,IF('Paste Editor (Beta)'!$C$82="Challenge prompt",E821,IF('Paste Editor (Beta)'!$C$82="Reroll class prompt",S820,IF('Paste Editor (Beta)'!$C$82="Swap hero prompt",S820,IF('Paste Editor (Beta)'!$C$82="Anvil prompt",AD820,"")))))))</f>
        <v/>
      </c>
      <c r="AJ820" s="283">
        <f>IF('Paste Editor (Beta)'!$C$90="Level-up prompt",G821,IF('Paste Editor (Beta)'!$C$90="Item prompt",E821,IF('Paste Editor (Beta)'!$C$90="Modifier prompt","'"&amp;B821,IF('Paste Editor (Beta)'!$C$90="Challenge prompt",L821,IF('Paste Editor (Beta)'!$C$90="Reroll class prompt",S820,IF('Paste Editor (Beta)'!$C$90="Swap hero prompt",S820,IF('Paste Editor (Beta)'!$C$90="Anvil prompt",AD820,"")))))))</f>
        <v>0</v>
      </c>
      <c r="AK820" s="283">
        <f>IF('Paste Editor (Beta)'!$C$90="Level-up prompt",G821,IF('Paste Editor (Beta)'!$C$90="Item prompt",E821,IF('Paste Editor (Beta)'!$C$90="Modifier prompt","'"&amp;B821,IF('Paste Editor (Beta)'!$C$90="Challenge prompt",E821,IF('Paste Editor (Beta)'!$C$90="Reroll class prompt",S820,IF('Paste Editor (Beta)'!$C$90="Swap hero prompt",S820,IF('Paste Editor (Beta)'!$C$90="Anvil prompt",AD820,"")))))))</f>
        <v>0</v>
      </c>
    </row>
    <row r="821" spans="34:37" ht="17.25">
      <c r="AH821" s="280" t="str">
        <f>IF('Paste Editor (Beta)'!$C$82="Level-up prompt",G822,IF('Paste Editor (Beta)'!$C$82="Item prompt",E822,IF('Paste Editor (Beta)'!$C$82="Modifier prompt","'"&amp;B822,IF('Paste Editor (Beta)'!$C$82="Challenge prompt",L822,IF('Paste Editor (Beta)'!$C$82="Reroll class prompt",S821,IF('Paste Editor (Beta)'!$C$82="Swap hero prompt",S821,IF('Paste Editor (Beta)'!$C$82="Anvil prompt",AD821,"")))))))</f>
        <v/>
      </c>
      <c r="AI821" s="280" t="str">
        <f>IF('Paste Editor (Beta)'!$C$82="Level-up prompt",G822,IF('Paste Editor (Beta)'!$C$82="Item prompt",E822,IF('Paste Editor (Beta)'!$C$82="Modifier prompt","'"&amp;B822,IF('Paste Editor (Beta)'!$C$82="Challenge prompt",E822,IF('Paste Editor (Beta)'!$C$82="Reroll class prompt",S821,IF('Paste Editor (Beta)'!$C$82="Swap hero prompt",S821,IF('Paste Editor (Beta)'!$C$82="Anvil prompt",AD821,"")))))))</f>
        <v/>
      </c>
      <c r="AJ821" s="283">
        <f>IF('Paste Editor (Beta)'!$C$90="Level-up prompt",G822,IF('Paste Editor (Beta)'!$C$90="Item prompt",E822,IF('Paste Editor (Beta)'!$C$90="Modifier prompt","'"&amp;B822,IF('Paste Editor (Beta)'!$C$90="Challenge prompt",L822,IF('Paste Editor (Beta)'!$C$90="Reroll class prompt",S821,IF('Paste Editor (Beta)'!$C$90="Swap hero prompt",S821,IF('Paste Editor (Beta)'!$C$90="Anvil prompt",AD821,"")))))))</f>
        <v>0</v>
      </c>
      <c r="AK821" s="283">
        <f>IF('Paste Editor (Beta)'!$C$90="Level-up prompt",G822,IF('Paste Editor (Beta)'!$C$90="Item prompt",E822,IF('Paste Editor (Beta)'!$C$90="Modifier prompt","'"&amp;B822,IF('Paste Editor (Beta)'!$C$90="Challenge prompt",E822,IF('Paste Editor (Beta)'!$C$90="Reroll class prompt",S821,IF('Paste Editor (Beta)'!$C$90="Swap hero prompt",S821,IF('Paste Editor (Beta)'!$C$90="Anvil prompt",AD821,"")))))))</f>
        <v>0</v>
      </c>
    </row>
    <row r="822" spans="34:37" ht="17.25">
      <c r="AH822" s="280" t="str">
        <f>IF('Paste Editor (Beta)'!$C$82="Level-up prompt",G823,IF('Paste Editor (Beta)'!$C$82="Item prompt",E823,IF('Paste Editor (Beta)'!$C$82="Modifier prompt","'"&amp;B823,IF('Paste Editor (Beta)'!$C$82="Challenge prompt",L823,IF('Paste Editor (Beta)'!$C$82="Reroll class prompt",S822,IF('Paste Editor (Beta)'!$C$82="Swap hero prompt",S822,IF('Paste Editor (Beta)'!$C$82="Anvil prompt",AD822,"")))))))</f>
        <v/>
      </c>
      <c r="AI822" s="280" t="str">
        <f>IF('Paste Editor (Beta)'!$C$82="Level-up prompt",G823,IF('Paste Editor (Beta)'!$C$82="Item prompt",E823,IF('Paste Editor (Beta)'!$C$82="Modifier prompt","'"&amp;B823,IF('Paste Editor (Beta)'!$C$82="Challenge prompt",E823,IF('Paste Editor (Beta)'!$C$82="Reroll class prompt",S822,IF('Paste Editor (Beta)'!$C$82="Swap hero prompt",S822,IF('Paste Editor (Beta)'!$C$82="Anvil prompt",AD822,"")))))))</f>
        <v/>
      </c>
      <c r="AJ822" s="283">
        <f>IF('Paste Editor (Beta)'!$C$90="Level-up prompt",G823,IF('Paste Editor (Beta)'!$C$90="Item prompt",E823,IF('Paste Editor (Beta)'!$C$90="Modifier prompt","'"&amp;B823,IF('Paste Editor (Beta)'!$C$90="Challenge prompt",L823,IF('Paste Editor (Beta)'!$C$90="Reroll class prompt",S822,IF('Paste Editor (Beta)'!$C$90="Swap hero prompt",S822,IF('Paste Editor (Beta)'!$C$90="Anvil prompt",AD822,"")))))))</f>
        <v>0</v>
      </c>
      <c r="AK822" s="283">
        <f>IF('Paste Editor (Beta)'!$C$90="Level-up prompt",G823,IF('Paste Editor (Beta)'!$C$90="Item prompt",E823,IF('Paste Editor (Beta)'!$C$90="Modifier prompt","'"&amp;B823,IF('Paste Editor (Beta)'!$C$90="Challenge prompt",E823,IF('Paste Editor (Beta)'!$C$90="Reroll class prompt",S822,IF('Paste Editor (Beta)'!$C$90="Swap hero prompt",S822,IF('Paste Editor (Beta)'!$C$90="Anvil prompt",AD822,"")))))))</f>
        <v>0</v>
      </c>
    </row>
    <row r="823" spans="34:37" ht="17.25">
      <c r="AH823" s="280" t="str">
        <f>IF('Paste Editor (Beta)'!$C$82="Level-up prompt",G824,IF('Paste Editor (Beta)'!$C$82="Item prompt",E824,IF('Paste Editor (Beta)'!$C$82="Modifier prompt","'"&amp;B824,IF('Paste Editor (Beta)'!$C$82="Challenge prompt",L824,IF('Paste Editor (Beta)'!$C$82="Reroll class prompt",S823,IF('Paste Editor (Beta)'!$C$82="Swap hero prompt",S823,IF('Paste Editor (Beta)'!$C$82="Anvil prompt",AD823,"")))))))</f>
        <v/>
      </c>
      <c r="AI823" s="280" t="str">
        <f>IF('Paste Editor (Beta)'!$C$82="Level-up prompt",G824,IF('Paste Editor (Beta)'!$C$82="Item prompt",E824,IF('Paste Editor (Beta)'!$C$82="Modifier prompt","'"&amp;B824,IF('Paste Editor (Beta)'!$C$82="Challenge prompt",E824,IF('Paste Editor (Beta)'!$C$82="Reroll class prompt",S823,IF('Paste Editor (Beta)'!$C$82="Swap hero prompt",S823,IF('Paste Editor (Beta)'!$C$82="Anvil prompt",AD823,"")))))))</f>
        <v/>
      </c>
      <c r="AJ823" s="283">
        <f>IF('Paste Editor (Beta)'!$C$90="Level-up prompt",G824,IF('Paste Editor (Beta)'!$C$90="Item prompt",E824,IF('Paste Editor (Beta)'!$C$90="Modifier prompt","'"&amp;B824,IF('Paste Editor (Beta)'!$C$90="Challenge prompt",L824,IF('Paste Editor (Beta)'!$C$90="Reroll class prompt",S823,IF('Paste Editor (Beta)'!$C$90="Swap hero prompt",S823,IF('Paste Editor (Beta)'!$C$90="Anvil prompt",AD823,"")))))))</f>
        <v>0</v>
      </c>
      <c r="AK823" s="283">
        <f>IF('Paste Editor (Beta)'!$C$90="Level-up prompt",G824,IF('Paste Editor (Beta)'!$C$90="Item prompt",E824,IF('Paste Editor (Beta)'!$C$90="Modifier prompt","'"&amp;B824,IF('Paste Editor (Beta)'!$C$90="Challenge prompt",E824,IF('Paste Editor (Beta)'!$C$90="Reroll class prompt",S823,IF('Paste Editor (Beta)'!$C$90="Swap hero prompt",S823,IF('Paste Editor (Beta)'!$C$90="Anvil prompt",AD823,"")))))))</f>
        <v>0</v>
      </c>
    </row>
    <row r="824" spans="34:37" ht="17.25">
      <c r="AH824" s="280" t="str">
        <f>IF('Paste Editor (Beta)'!$C$82="Level-up prompt",G825,IF('Paste Editor (Beta)'!$C$82="Item prompt",E825,IF('Paste Editor (Beta)'!$C$82="Modifier prompt","'"&amp;B825,IF('Paste Editor (Beta)'!$C$82="Challenge prompt",L825,IF('Paste Editor (Beta)'!$C$82="Reroll class prompt",S824,IF('Paste Editor (Beta)'!$C$82="Swap hero prompt",S824,IF('Paste Editor (Beta)'!$C$82="Anvil prompt",AD824,"")))))))</f>
        <v/>
      </c>
      <c r="AI824" s="280" t="str">
        <f>IF('Paste Editor (Beta)'!$C$82="Level-up prompt",G825,IF('Paste Editor (Beta)'!$C$82="Item prompt",E825,IF('Paste Editor (Beta)'!$C$82="Modifier prompt","'"&amp;B825,IF('Paste Editor (Beta)'!$C$82="Challenge prompt",E825,IF('Paste Editor (Beta)'!$C$82="Reroll class prompt",S824,IF('Paste Editor (Beta)'!$C$82="Swap hero prompt",S824,IF('Paste Editor (Beta)'!$C$82="Anvil prompt",AD824,"")))))))</f>
        <v/>
      </c>
      <c r="AJ824" s="283">
        <f>IF('Paste Editor (Beta)'!$C$90="Level-up prompt",G825,IF('Paste Editor (Beta)'!$C$90="Item prompt",E825,IF('Paste Editor (Beta)'!$C$90="Modifier prompt","'"&amp;B825,IF('Paste Editor (Beta)'!$C$90="Challenge prompt",L825,IF('Paste Editor (Beta)'!$C$90="Reroll class prompt",S824,IF('Paste Editor (Beta)'!$C$90="Swap hero prompt",S824,IF('Paste Editor (Beta)'!$C$90="Anvil prompt",AD824,"")))))))</f>
        <v>0</v>
      </c>
      <c r="AK824" s="283">
        <f>IF('Paste Editor (Beta)'!$C$90="Level-up prompt",G825,IF('Paste Editor (Beta)'!$C$90="Item prompt",E825,IF('Paste Editor (Beta)'!$C$90="Modifier prompt","'"&amp;B825,IF('Paste Editor (Beta)'!$C$90="Challenge prompt",E825,IF('Paste Editor (Beta)'!$C$90="Reroll class prompt",S824,IF('Paste Editor (Beta)'!$C$90="Swap hero prompt",S824,IF('Paste Editor (Beta)'!$C$90="Anvil prompt",AD824,"")))))))</f>
        <v>0</v>
      </c>
    </row>
    <row r="825" spans="34:37" ht="17.25">
      <c r="AH825" s="280" t="str">
        <f>IF('Paste Editor (Beta)'!$C$82="Level-up prompt",G826,IF('Paste Editor (Beta)'!$C$82="Item prompt",E826,IF('Paste Editor (Beta)'!$C$82="Modifier prompt","'"&amp;B826,IF('Paste Editor (Beta)'!$C$82="Challenge prompt",L826,IF('Paste Editor (Beta)'!$C$82="Reroll class prompt",S825,IF('Paste Editor (Beta)'!$C$82="Swap hero prompt",S825,IF('Paste Editor (Beta)'!$C$82="Anvil prompt",AD825,"")))))))</f>
        <v/>
      </c>
      <c r="AI825" s="280" t="str">
        <f>IF('Paste Editor (Beta)'!$C$82="Level-up prompt",G826,IF('Paste Editor (Beta)'!$C$82="Item prompt",E826,IF('Paste Editor (Beta)'!$C$82="Modifier prompt","'"&amp;B826,IF('Paste Editor (Beta)'!$C$82="Challenge prompt",E826,IF('Paste Editor (Beta)'!$C$82="Reroll class prompt",S825,IF('Paste Editor (Beta)'!$C$82="Swap hero prompt",S825,IF('Paste Editor (Beta)'!$C$82="Anvil prompt",AD825,"")))))))</f>
        <v/>
      </c>
      <c r="AJ825" s="283">
        <f>IF('Paste Editor (Beta)'!$C$90="Level-up prompt",G826,IF('Paste Editor (Beta)'!$C$90="Item prompt",E826,IF('Paste Editor (Beta)'!$C$90="Modifier prompt","'"&amp;B826,IF('Paste Editor (Beta)'!$C$90="Challenge prompt",L826,IF('Paste Editor (Beta)'!$C$90="Reroll class prompt",S825,IF('Paste Editor (Beta)'!$C$90="Swap hero prompt",S825,IF('Paste Editor (Beta)'!$C$90="Anvil prompt",AD825,"")))))))</f>
        <v>0</v>
      </c>
      <c r="AK825" s="283">
        <f>IF('Paste Editor (Beta)'!$C$90="Level-up prompt",G826,IF('Paste Editor (Beta)'!$C$90="Item prompt",E826,IF('Paste Editor (Beta)'!$C$90="Modifier prompt","'"&amp;B826,IF('Paste Editor (Beta)'!$C$90="Challenge prompt",E826,IF('Paste Editor (Beta)'!$C$90="Reroll class prompt",S825,IF('Paste Editor (Beta)'!$C$90="Swap hero prompt",S825,IF('Paste Editor (Beta)'!$C$90="Anvil prompt",AD825,"")))))))</f>
        <v>0</v>
      </c>
    </row>
    <row r="826" spans="34:37" ht="17.25">
      <c r="AH826" s="280" t="str">
        <f>IF('Paste Editor (Beta)'!$C$82="Level-up prompt",G827,IF('Paste Editor (Beta)'!$C$82="Item prompt",E827,IF('Paste Editor (Beta)'!$C$82="Modifier prompt","'"&amp;B827,IF('Paste Editor (Beta)'!$C$82="Challenge prompt",L827,IF('Paste Editor (Beta)'!$C$82="Reroll class prompt",S826,IF('Paste Editor (Beta)'!$C$82="Swap hero prompt",S826,IF('Paste Editor (Beta)'!$C$82="Anvil prompt",AD826,"")))))))</f>
        <v/>
      </c>
      <c r="AI826" s="280" t="str">
        <f>IF('Paste Editor (Beta)'!$C$82="Level-up prompt",G827,IF('Paste Editor (Beta)'!$C$82="Item prompt",E827,IF('Paste Editor (Beta)'!$C$82="Modifier prompt","'"&amp;B827,IF('Paste Editor (Beta)'!$C$82="Challenge prompt",E827,IF('Paste Editor (Beta)'!$C$82="Reroll class prompt",S826,IF('Paste Editor (Beta)'!$C$82="Swap hero prompt",S826,IF('Paste Editor (Beta)'!$C$82="Anvil prompt",AD826,"")))))))</f>
        <v/>
      </c>
      <c r="AJ826" s="283">
        <f>IF('Paste Editor (Beta)'!$C$90="Level-up prompt",G827,IF('Paste Editor (Beta)'!$C$90="Item prompt",E827,IF('Paste Editor (Beta)'!$C$90="Modifier prompt","'"&amp;B827,IF('Paste Editor (Beta)'!$C$90="Challenge prompt",L827,IF('Paste Editor (Beta)'!$C$90="Reroll class prompt",S826,IF('Paste Editor (Beta)'!$C$90="Swap hero prompt",S826,IF('Paste Editor (Beta)'!$C$90="Anvil prompt",AD826,"")))))))</f>
        <v>0</v>
      </c>
      <c r="AK826" s="283">
        <f>IF('Paste Editor (Beta)'!$C$90="Level-up prompt",G827,IF('Paste Editor (Beta)'!$C$90="Item prompt",E827,IF('Paste Editor (Beta)'!$C$90="Modifier prompt","'"&amp;B827,IF('Paste Editor (Beta)'!$C$90="Challenge prompt",E827,IF('Paste Editor (Beta)'!$C$90="Reroll class prompt",S826,IF('Paste Editor (Beta)'!$C$90="Swap hero prompt",S826,IF('Paste Editor (Beta)'!$C$90="Anvil prompt",AD826,"")))))))</f>
        <v>0</v>
      </c>
    </row>
    <row r="827" spans="34:37" ht="17.25">
      <c r="AH827" s="280" t="str">
        <f>IF('Paste Editor (Beta)'!$C$82="Level-up prompt",G828,IF('Paste Editor (Beta)'!$C$82="Item prompt",E828,IF('Paste Editor (Beta)'!$C$82="Modifier prompt","'"&amp;B828,IF('Paste Editor (Beta)'!$C$82="Challenge prompt",L828,IF('Paste Editor (Beta)'!$C$82="Reroll class prompt",S827,IF('Paste Editor (Beta)'!$C$82="Swap hero prompt",S827,IF('Paste Editor (Beta)'!$C$82="Anvil prompt",AD827,"")))))))</f>
        <v/>
      </c>
      <c r="AI827" s="280" t="str">
        <f>IF('Paste Editor (Beta)'!$C$82="Level-up prompt",G828,IF('Paste Editor (Beta)'!$C$82="Item prompt",E828,IF('Paste Editor (Beta)'!$C$82="Modifier prompt","'"&amp;B828,IF('Paste Editor (Beta)'!$C$82="Challenge prompt",E828,IF('Paste Editor (Beta)'!$C$82="Reroll class prompt",S827,IF('Paste Editor (Beta)'!$C$82="Swap hero prompt",S827,IF('Paste Editor (Beta)'!$C$82="Anvil prompt",AD827,"")))))))</f>
        <v/>
      </c>
      <c r="AJ827" s="283">
        <f>IF('Paste Editor (Beta)'!$C$90="Level-up prompt",G828,IF('Paste Editor (Beta)'!$C$90="Item prompt",E828,IF('Paste Editor (Beta)'!$C$90="Modifier prompt","'"&amp;B828,IF('Paste Editor (Beta)'!$C$90="Challenge prompt",L828,IF('Paste Editor (Beta)'!$C$90="Reroll class prompt",S827,IF('Paste Editor (Beta)'!$C$90="Swap hero prompt",S827,IF('Paste Editor (Beta)'!$C$90="Anvil prompt",AD827,"")))))))</f>
        <v>0</v>
      </c>
      <c r="AK827" s="283">
        <f>IF('Paste Editor (Beta)'!$C$90="Level-up prompt",G828,IF('Paste Editor (Beta)'!$C$90="Item prompt",E828,IF('Paste Editor (Beta)'!$C$90="Modifier prompt","'"&amp;B828,IF('Paste Editor (Beta)'!$C$90="Challenge prompt",E828,IF('Paste Editor (Beta)'!$C$90="Reroll class prompt",S827,IF('Paste Editor (Beta)'!$C$90="Swap hero prompt",S827,IF('Paste Editor (Beta)'!$C$90="Anvil prompt",AD827,"")))))))</f>
        <v>0</v>
      </c>
    </row>
    <row r="828" spans="34:37" ht="17.25">
      <c r="AH828" s="280" t="str">
        <f>IF('Paste Editor (Beta)'!$C$82="Level-up prompt",G829,IF('Paste Editor (Beta)'!$C$82="Item prompt",E829,IF('Paste Editor (Beta)'!$C$82="Modifier prompt","'"&amp;B829,IF('Paste Editor (Beta)'!$C$82="Challenge prompt",L829,IF('Paste Editor (Beta)'!$C$82="Reroll class prompt",S828,IF('Paste Editor (Beta)'!$C$82="Swap hero prompt",S828,IF('Paste Editor (Beta)'!$C$82="Anvil prompt",AD828,"")))))))</f>
        <v/>
      </c>
      <c r="AI828" s="280" t="str">
        <f>IF('Paste Editor (Beta)'!$C$82="Level-up prompt",G829,IF('Paste Editor (Beta)'!$C$82="Item prompt",E829,IF('Paste Editor (Beta)'!$C$82="Modifier prompt","'"&amp;B829,IF('Paste Editor (Beta)'!$C$82="Challenge prompt",E829,IF('Paste Editor (Beta)'!$C$82="Reroll class prompt",S828,IF('Paste Editor (Beta)'!$C$82="Swap hero prompt",S828,IF('Paste Editor (Beta)'!$C$82="Anvil prompt",AD828,"")))))))</f>
        <v/>
      </c>
      <c r="AJ828" s="283">
        <f>IF('Paste Editor (Beta)'!$C$90="Level-up prompt",G829,IF('Paste Editor (Beta)'!$C$90="Item prompt",E829,IF('Paste Editor (Beta)'!$C$90="Modifier prompt","'"&amp;B829,IF('Paste Editor (Beta)'!$C$90="Challenge prompt",L829,IF('Paste Editor (Beta)'!$C$90="Reroll class prompt",S828,IF('Paste Editor (Beta)'!$C$90="Swap hero prompt",S828,IF('Paste Editor (Beta)'!$C$90="Anvil prompt",AD828,"")))))))</f>
        <v>0</v>
      </c>
      <c r="AK828" s="283">
        <f>IF('Paste Editor (Beta)'!$C$90="Level-up prompt",G829,IF('Paste Editor (Beta)'!$C$90="Item prompt",E829,IF('Paste Editor (Beta)'!$C$90="Modifier prompt","'"&amp;B829,IF('Paste Editor (Beta)'!$C$90="Challenge prompt",E829,IF('Paste Editor (Beta)'!$C$90="Reroll class prompt",S828,IF('Paste Editor (Beta)'!$C$90="Swap hero prompt",S828,IF('Paste Editor (Beta)'!$C$90="Anvil prompt",AD828,"")))))))</f>
        <v>0</v>
      </c>
    </row>
    <row r="829" spans="34:37" ht="17.25">
      <c r="AH829" s="280" t="str">
        <f>IF('Paste Editor (Beta)'!$C$82="Level-up prompt",G830,IF('Paste Editor (Beta)'!$C$82="Item prompt",E830,IF('Paste Editor (Beta)'!$C$82="Modifier prompt","'"&amp;B830,IF('Paste Editor (Beta)'!$C$82="Challenge prompt",L830,IF('Paste Editor (Beta)'!$C$82="Reroll class prompt",S829,IF('Paste Editor (Beta)'!$C$82="Swap hero prompt",S829,IF('Paste Editor (Beta)'!$C$82="Anvil prompt",AD829,"")))))))</f>
        <v/>
      </c>
      <c r="AI829" s="280" t="str">
        <f>IF('Paste Editor (Beta)'!$C$82="Level-up prompt",G830,IF('Paste Editor (Beta)'!$C$82="Item prompt",E830,IF('Paste Editor (Beta)'!$C$82="Modifier prompt","'"&amp;B830,IF('Paste Editor (Beta)'!$C$82="Challenge prompt",E830,IF('Paste Editor (Beta)'!$C$82="Reroll class prompt",S829,IF('Paste Editor (Beta)'!$C$82="Swap hero prompt",S829,IF('Paste Editor (Beta)'!$C$82="Anvil prompt",AD829,"")))))))</f>
        <v/>
      </c>
      <c r="AJ829" s="283">
        <f>IF('Paste Editor (Beta)'!$C$90="Level-up prompt",G830,IF('Paste Editor (Beta)'!$C$90="Item prompt",E830,IF('Paste Editor (Beta)'!$C$90="Modifier prompt","'"&amp;B830,IF('Paste Editor (Beta)'!$C$90="Challenge prompt",L830,IF('Paste Editor (Beta)'!$C$90="Reroll class prompt",S829,IF('Paste Editor (Beta)'!$C$90="Swap hero prompt",S829,IF('Paste Editor (Beta)'!$C$90="Anvil prompt",AD829,"")))))))</f>
        <v>0</v>
      </c>
      <c r="AK829" s="283">
        <f>IF('Paste Editor (Beta)'!$C$90="Level-up prompt",G830,IF('Paste Editor (Beta)'!$C$90="Item prompt",E830,IF('Paste Editor (Beta)'!$C$90="Modifier prompt","'"&amp;B830,IF('Paste Editor (Beta)'!$C$90="Challenge prompt",E830,IF('Paste Editor (Beta)'!$C$90="Reroll class prompt",S829,IF('Paste Editor (Beta)'!$C$90="Swap hero prompt",S829,IF('Paste Editor (Beta)'!$C$90="Anvil prompt",AD829,"")))))))</f>
        <v>0</v>
      </c>
    </row>
    <row r="830" spans="34:37" ht="17.25">
      <c r="AH830" s="280" t="str">
        <f>IF('Paste Editor (Beta)'!$C$82="Level-up prompt",G831,IF('Paste Editor (Beta)'!$C$82="Item prompt",E831,IF('Paste Editor (Beta)'!$C$82="Modifier prompt","'"&amp;B831,IF('Paste Editor (Beta)'!$C$82="Challenge prompt",L831,IF('Paste Editor (Beta)'!$C$82="Reroll class prompt",S830,IF('Paste Editor (Beta)'!$C$82="Swap hero prompt",S830,IF('Paste Editor (Beta)'!$C$82="Anvil prompt",AD830,"")))))))</f>
        <v/>
      </c>
      <c r="AI830" s="280" t="str">
        <f>IF('Paste Editor (Beta)'!$C$82="Level-up prompt",G831,IF('Paste Editor (Beta)'!$C$82="Item prompt",E831,IF('Paste Editor (Beta)'!$C$82="Modifier prompt","'"&amp;B831,IF('Paste Editor (Beta)'!$C$82="Challenge prompt",E831,IF('Paste Editor (Beta)'!$C$82="Reroll class prompt",S830,IF('Paste Editor (Beta)'!$C$82="Swap hero prompt",S830,IF('Paste Editor (Beta)'!$C$82="Anvil prompt",AD830,"")))))))</f>
        <v/>
      </c>
      <c r="AJ830" s="283">
        <f>IF('Paste Editor (Beta)'!$C$90="Level-up prompt",G831,IF('Paste Editor (Beta)'!$C$90="Item prompt",E831,IF('Paste Editor (Beta)'!$C$90="Modifier prompt","'"&amp;B831,IF('Paste Editor (Beta)'!$C$90="Challenge prompt",L831,IF('Paste Editor (Beta)'!$C$90="Reroll class prompt",S830,IF('Paste Editor (Beta)'!$C$90="Swap hero prompt",S830,IF('Paste Editor (Beta)'!$C$90="Anvil prompt",AD830,"")))))))</f>
        <v>0</v>
      </c>
      <c r="AK830" s="283">
        <f>IF('Paste Editor (Beta)'!$C$90="Level-up prompt",G831,IF('Paste Editor (Beta)'!$C$90="Item prompt",E831,IF('Paste Editor (Beta)'!$C$90="Modifier prompt","'"&amp;B831,IF('Paste Editor (Beta)'!$C$90="Challenge prompt",E831,IF('Paste Editor (Beta)'!$C$90="Reroll class prompt",S830,IF('Paste Editor (Beta)'!$C$90="Swap hero prompt",S830,IF('Paste Editor (Beta)'!$C$90="Anvil prompt",AD830,"")))))))</f>
        <v>0</v>
      </c>
    </row>
    <row r="831" spans="34:37" ht="17.25">
      <c r="AH831" s="280" t="str">
        <f>IF('Paste Editor (Beta)'!$C$82="Level-up prompt",G832,IF('Paste Editor (Beta)'!$C$82="Item prompt",E832,IF('Paste Editor (Beta)'!$C$82="Modifier prompt","'"&amp;B832,IF('Paste Editor (Beta)'!$C$82="Challenge prompt",L832,IF('Paste Editor (Beta)'!$C$82="Reroll class prompt",S831,IF('Paste Editor (Beta)'!$C$82="Swap hero prompt",S831,IF('Paste Editor (Beta)'!$C$82="Anvil prompt",AD831,"")))))))</f>
        <v/>
      </c>
      <c r="AI831" s="280" t="str">
        <f>IF('Paste Editor (Beta)'!$C$82="Level-up prompt",G832,IF('Paste Editor (Beta)'!$C$82="Item prompt",E832,IF('Paste Editor (Beta)'!$C$82="Modifier prompt","'"&amp;B832,IF('Paste Editor (Beta)'!$C$82="Challenge prompt",E832,IF('Paste Editor (Beta)'!$C$82="Reroll class prompt",S831,IF('Paste Editor (Beta)'!$C$82="Swap hero prompt",S831,IF('Paste Editor (Beta)'!$C$82="Anvil prompt",AD831,"")))))))</f>
        <v/>
      </c>
      <c r="AJ831" s="283">
        <f>IF('Paste Editor (Beta)'!$C$90="Level-up prompt",G832,IF('Paste Editor (Beta)'!$C$90="Item prompt",E832,IF('Paste Editor (Beta)'!$C$90="Modifier prompt","'"&amp;B832,IF('Paste Editor (Beta)'!$C$90="Challenge prompt",L832,IF('Paste Editor (Beta)'!$C$90="Reroll class prompt",S831,IF('Paste Editor (Beta)'!$C$90="Swap hero prompt",S831,IF('Paste Editor (Beta)'!$C$90="Anvil prompt",AD831,"")))))))</f>
        <v>0</v>
      </c>
      <c r="AK831" s="283">
        <f>IF('Paste Editor (Beta)'!$C$90="Level-up prompt",G832,IF('Paste Editor (Beta)'!$C$90="Item prompt",E832,IF('Paste Editor (Beta)'!$C$90="Modifier prompt","'"&amp;B832,IF('Paste Editor (Beta)'!$C$90="Challenge prompt",E832,IF('Paste Editor (Beta)'!$C$90="Reroll class prompt",S831,IF('Paste Editor (Beta)'!$C$90="Swap hero prompt",S831,IF('Paste Editor (Beta)'!$C$90="Anvil prompt",AD831,"")))))))</f>
        <v>0</v>
      </c>
    </row>
    <row r="832" spans="34:37" ht="17.25">
      <c r="AH832" s="280" t="str">
        <f>IF('Paste Editor (Beta)'!$C$82="Level-up prompt",G833,IF('Paste Editor (Beta)'!$C$82="Item prompt",E833,IF('Paste Editor (Beta)'!$C$82="Modifier prompt","'"&amp;B833,IF('Paste Editor (Beta)'!$C$82="Challenge prompt",L833,IF('Paste Editor (Beta)'!$C$82="Reroll class prompt",S832,IF('Paste Editor (Beta)'!$C$82="Swap hero prompt",S832,IF('Paste Editor (Beta)'!$C$82="Anvil prompt",AD832,"")))))))</f>
        <v/>
      </c>
      <c r="AI832" s="280" t="str">
        <f>IF('Paste Editor (Beta)'!$C$82="Level-up prompt",G833,IF('Paste Editor (Beta)'!$C$82="Item prompt",E833,IF('Paste Editor (Beta)'!$C$82="Modifier prompt","'"&amp;B833,IF('Paste Editor (Beta)'!$C$82="Challenge prompt",E833,IF('Paste Editor (Beta)'!$C$82="Reroll class prompt",S832,IF('Paste Editor (Beta)'!$C$82="Swap hero prompt",S832,IF('Paste Editor (Beta)'!$C$82="Anvil prompt",AD832,"")))))))</f>
        <v/>
      </c>
      <c r="AJ832" s="283">
        <f>IF('Paste Editor (Beta)'!$C$90="Level-up prompt",G833,IF('Paste Editor (Beta)'!$C$90="Item prompt",E833,IF('Paste Editor (Beta)'!$C$90="Modifier prompt","'"&amp;B833,IF('Paste Editor (Beta)'!$C$90="Challenge prompt",L833,IF('Paste Editor (Beta)'!$C$90="Reroll class prompt",S832,IF('Paste Editor (Beta)'!$C$90="Swap hero prompt",S832,IF('Paste Editor (Beta)'!$C$90="Anvil prompt",AD832,"")))))))</f>
        <v>0</v>
      </c>
      <c r="AK832" s="283">
        <f>IF('Paste Editor (Beta)'!$C$90="Level-up prompt",G833,IF('Paste Editor (Beta)'!$C$90="Item prompt",E833,IF('Paste Editor (Beta)'!$C$90="Modifier prompt","'"&amp;B833,IF('Paste Editor (Beta)'!$C$90="Challenge prompt",E833,IF('Paste Editor (Beta)'!$C$90="Reroll class prompt",S832,IF('Paste Editor (Beta)'!$C$90="Swap hero prompt",S832,IF('Paste Editor (Beta)'!$C$90="Anvil prompt",AD832,"")))))))</f>
        <v>0</v>
      </c>
    </row>
    <row r="833" spans="34:37" ht="17.25">
      <c r="AH833" s="280" t="str">
        <f>IF('Paste Editor (Beta)'!$C$82="Level-up prompt",G834,IF('Paste Editor (Beta)'!$C$82="Item prompt",E834,IF('Paste Editor (Beta)'!$C$82="Modifier prompt","'"&amp;B834,IF('Paste Editor (Beta)'!$C$82="Challenge prompt",L834,IF('Paste Editor (Beta)'!$C$82="Reroll class prompt",S833,IF('Paste Editor (Beta)'!$C$82="Swap hero prompt",S833,IF('Paste Editor (Beta)'!$C$82="Anvil prompt",AD833,"")))))))</f>
        <v/>
      </c>
      <c r="AI833" s="280" t="str">
        <f>IF('Paste Editor (Beta)'!$C$82="Level-up prompt",G834,IF('Paste Editor (Beta)'!$C$82="Item prompt",E834,IF('Paste Editor (Beta)'!$C$82="Modifier prompt","'"&amp;B834,IF('Paste Editor (Beta)'!$C$82="Challenge prompt",E834,IF('Paste Editor (Beta)'!$C$82="Reroll class prompt",S833,IF('Paste Editor (Beta)'!$C$82="Swap hero prompt",S833,IF('Paste Editor (Beta)'!$C$82="Anvil prompt",AD833,"")))))))</f>
        <v/>
      </c>
      <c r="AJ833" s="283">
        <f>IF('Paste Editor (Beta)'!$C$90="Level-up prompt",G834,IF('Paste Editor (Beta)'!$C$90="Item prompt",E834,IF('Paste Editor (Beta)'!$C$90="Modifier prompt","'"&amp;B834,IF('Paste Editor (Beta)'!$C$90="Challenge prompt",L834,IF('Paste Editor (Beta)'!$C$90="Reroll class prompt",S833,IF('Paste Editor (Beta)'!$C$90="Swap hero prompt",S833,IF('Paste Editor (Beta)'!$C$90="Anvil prompt",AD833,"")))))))</f>
        <v>0</v>
      </c>
      <c r="AK833" s="283">
        <f>IF('Paste Editor (Beta)'!$C$90="Level-up prompt",G834,IF('Paste Editor (Beta)'!$C$90="Item prompt",E834,IF('Paste Editor (Beta)'!$C$90="Modifier prompt","'"&amp;B834,IF('Paste Editor (Beta)'!$C$90="Challenge prompt",E834,IF('Paste Editor (Beta)'!$C$90="Reroll class prompt",S833,IF('Paste Editor (Beta)'!$C$90="Swap hero prompt",S833,IF('Paste Editor (Beta)'!$C$90="Anvil prompt",AD833,"")))))))</f>
        <v>0</v>
      </c>
    </row>
    <row r="834" spans="34:37" ht="17.25">
      <c r="AH834" s="280" t="str">
        <f>IF('Paste Editor (Beta)'!$C$82="Level-up prompt",G835,IF('Paste Editor (Beta)'!$C$82="Item prompt",E835,IF('Paste Editor (Beta)'!$C$82="Modifier prompt","'"&amp;B835,IF('Paste Editor (Beta)'!$C$82="Challenge prompt",L835,IF('Paste Editor (Beta)'!$C$82="Reroll class prompt",S834,IF('Paste Editor (Beta)'!$C$82="Swap hero prompt",S834,IF('Paste Editor (Beta)'!$C$82="Anvil prompt",AD834,"")))))))</f>
        <v/>
      </c>
      <c r="AI834" s="280" t="str">
        <f>IF('Paste Editor (Beta)'!$C$82="Level-up prompt",G835,IF('Paste Editor (Beta)'!$C$82="Item prompt",E835,IF('Paste Editor (Beta)'!$C$82="Modifier prompt","'"&amp;B835,IF('Paste Editor (Beta)'!$C$82="Challenge prompt",E835,IF('Paste Editor (Beta)'!$C$82="Reroll class prompt",S834,IF('Paste Editor (Beta)'!$C$82="Swap hero prompt",S834,IF('Paste Editor (Beta)'!$C$82="Anvil prompt",AD834,"")))))))</f>
        <v/>
      </c>
      <c r="AJ834" s="283">
        <f>IF('Paste Editor (Beta)'!$C$90="Level-up prompt",G835,IF('Paste Editor (Beta)'!$C$90="Item prompt",E835,IF('Paste Editor (Beta)'!$C$90="Modifier prompt","'"&amp;B835,IF('Paste Editor (Beta)'!$C$90="Challenge prompt",L835,IF('Paste Editor (Beta)'!$C$90="Reroll class prompt",S834,IF('Paste Editor (Beta)'!$C$90="Swap hero prompt",S834,IF('Paste Editor (Beta)'!$C$90="Anvil prompt",AD834,"")))))))</f>
        <v>0</v>
      </c>
      <c r="AK834" s="283">
        <f>IF('Paste Editor (Beta)'!$C$90="Level-up prompt",G835,IF('Paste Editor (Beta)'!$C$90="Item prompt",E835,IF('Paste Editor (Beta)'!$C$90="Modifier prompt","'"&amp;B835,IF('Paste Editor (Beta)'!$C$90="Challenge prompt",E835,IF('Paste Editor (Beta)'!$C$90="Reroll class prompt",S834,IF('Paste Editor (Beta)'!$C$90="Swap hero prompt",S834,IF('Paste Editor (Beta)'!$C$90="Anvil prompt",AD834,"")))))))</f>
        <v>0</v>
      </c>
    </row>
    <row r="835" spans="34:37" ht="17.25">
      <c r="AH835" s="280" t="str">
        <f>IF('Paste Editor (Beta)'!$C$82="Level-up prompt",G836,IF('Paste Editor (Beta)'!$C$82="Item prompt",E836,IF('Paste Editor (Beta)'!$C$82="Modifier prompt","'"&amp;B836,IF('Paste Editor (Beta)'!$C$82="Challenge prompt",L836,IF('Paste Editor (Beta)'!$C$82="Reroll class prompt",S835,IF('Paste Editor (Beta)'!$C$82="Swap hero prompt",S835,IF('Paste Editor (Beta)'!$C$82="Anvil prompt",AD835,"")))))))</f>
        <v/>
      </c>
      <c r="AI835" s="280" t="str">
        <f>IF('Paste Editor (Beta)'!$C$82="Level-up prompt",G836,IF('Paste Editor (Beta)'!$C$82="Item prompt",E836,IF('Paste Editor (Beta)'!$C$82="Modifier prompt","'"&amp;B836,IF('Paste Editor (Beta)'!$C$82="Challenge prompt",E836,IF('Paste Editor (Beta)'!$C$82="Reroll class prompt",S835,IF('Paste Editor (Beta)'!$C$82="Swap hero prompt",S835,IF('Paste Editor (Beta)'!$C$82="Anvil prompt",AD835,"")))))))</f>
        <v/>
      </c>
      <c r="AJ835" s="283">
        <f>IF('Paste Editor (Beta)'!$C$90="Level-up prompt",G836,IF('Paste Editor (Beta)'!$C$90="Item prompt",E836,IF('Paste Editor (Beta)'!$C$90="Modifier prompt","'"&amp;B836,IF('Paste Editor (Beta)'!$C$90="Challenge prompt",L836,IF('Paste Editor (Beta)'!$C$90="Reroll class prompt",S835,IF('Paste Editor (Beta)'!$C$90="Swap hero prompt",S835,IF('Paste Editor (Beta)'!$C$90="Anvil prompt",AD835,"")))))))</f>
        <v>0</v>
      </c>
      <c r="AK835" s="283">
        <f>IF('Paste Editor (Beta)'!$C$90="Level-up prompt",G836,IF('Paste Editor (Beta)'!$C$90="Item prompt",E836,IF('Paste Editor (Beta)'!$C$90="Modifier prompt","'"&amp;B836,IF('Paste Editor (Beta)'!$C$90="Challenge prompt",E836,IF('Paste Editor (Beta)'!$C$90="Reroll class prompt",S835,IF('Paste Editor (Beta)'!$C$90="Swap hero prompt",S835,IF('Paste Editor (Beta)'!$C$90="Anvil prompt",AD835,"")))))))</f>
        <v>0</v>
      </c>
    </row>
    <row r="836" spans="34:37" ht="17.25">
      <c r="AH836" s="280" t="str">
        <f>IF('Paste Editor (Beta)'!$C$82="Level-up prompt",G837,IF('Paste Editor (Beta)'!$C$82="Item prompt",E837,IF('Paste Editor (Beta)'!$C$82="Modifier prompt","'"&amp;B837,IF('Paste Editor (Beta)'!$C$82="Challenge prompt",L837,IF('Paste Editor (Beta)'!$C$82="Reroll class prompt",S836,IF('Paste Editor (Beta)'!$C$82="Swap hero prompt",S836,IF('Paste Editor (Beta)'!$C$82="Anvil prompt",AD836,"")))))))</f>
        <v/>
      </c>
      <c r="AI836" s="280" t="str">
        <f>IF('Paste Editor (Beta)'!$C$82="Level-up prompt",G837,IF('Paste Editor (Beta)'!$C$82="Item prompt",E837,IF('Paste Editor (Beta)'!$C$82="Modifier prompt","'"&amp;B837,IF('Paste Editor (Beta)'!$C$82="Challenge prompt",E837,IF('Paste Editor (Beta)'!$C$82="Reroll class prompt",S836,IF('Paste Editor (Beta)'!$C$82="Swap hero prompt",S836,IF('Paste Editor (Beta)'!$C$82="Anvil prompt",AD836,"")))))))</f>
        <v/>
      </c>
      <c r="AJ836" s="283">
        <f>IF('Paste Editor (Beta)'!$C$90="Level-up prompt",G837,IF('Paste Editor (Beta)'!$C$90="Item prompt",E837,IF('Paste Editor (Beta)'!$C$90="Modifier prompt","'"&amp;B837,IF('Paste Editor (Beta)'!$C$90="Challenge prompt",L837,IF('Paste Editor (Beta)'!$C$90="Reroll class prompt",S836,IF('Paste Editor (Beta)'!$C$90="Swap hero prompt",S836,IF('Paste Editor (Beta)'!$C$90="Anvil prompt",AD836,"")))))))</f>
        <v>0</v>
      </c>
      <c r="AK836" s="283">
        <f>IF('Paste Editor (Beta)'!$C$90="Level-up prompt",G837,IF('Paste Editor (Beta)'!$C$90="Item prompt",E837,IF('Paste Editor (Beta)'!$C$90="Modifier prompt","'"&amp;B837,IF('Paste Editor (Beta)'!$C$90="Challenge prompt",E837,IF('Paste Editor (Beta)'!$C$90="Reroll class prompt",S836,IF('Paste Editor (Beta)'!$C$90="Swap hero prompt",S836,IF('Paste Editor (Beta)'!$C$90="Anvil prompt",AD836,"")))))))</f>
        <v>0</v>
      </c>
    </row>
    <row r="837" spans="34:37" ht="17.25">
      <c r="AH837" s="280" t="str">
        <f>IF('Paste Editor (Beta)'!$C$82="Level-up prompt",G838,IF('Paste Editor (Beta)'!$C$82="Item prompt",E838,IF('Paste Editor (Beta)'!$C$82="Modifier prompt","'"&amp;B838,IF('Paste Editor (Beta)'!$C$82="Challenge prompt",L838,IF('Paste Editor (Beta)'!$C$82="Reroll class prompt",S837,IF('Paste Editor (Beta)'!$C$82="Swap hero prompt",S837,IF('Paste Editor (Beta)'!$C$82="Anvil prompt",AD837,"")))))))</f>
        <v/>
      </c>
      <c r="AI837" s="280" t="str">
        <f>IF('Paste Editor (Beta)'!$C$82="Level-up prompt",G838,IF('Paste Editor (Beta)'!$C$82="Item prompt",E838,IF('Paste Editor (Beta)'!$C$82="Modifier prompt","'"&amp;B838,IF('Paste Editor (Beta)'!$C$82="Challenge prompt",E838,IF('Paste Editor (Beta)'!$C$82="Reroll class prompt",S837,IF('Paste Editor (Beta)'!$C$82="Swap hero prompt",S837,IF('Paste Editor (Beta)'!$C$82="Anvil prompt",AD837,"")))))))</f>
        <v/>
      </c>
      <c r="AJ837" s="283">
        <f>IF('Paste Editor (Beta)'!$C$90="Level-up prompt",G838,IF('Paste Editor (Beta)'!$C$90="Item prompt",E838,IF('Paste Editor (Beta)'!$C$90="Modifier prompt","'"&amp;B838,IF('Paste Editor (Beta)'!$C$90="Challenge prompt",L838,IF('Paste Editor (Beta)'!$C$90="Reroll class prompt",S837,IF('Paste Editor (Beta)'!$C$90="Swap hero prompt",S837,IF('Paste Editor (Beta)'!$C$90="Anvil prompt",AD837,"")))))))</f>
        <v>0</v>
      </c>
      <c r="AK837" s="283">
        <f>IF('Paste Editor (Beta)'!$C$90="Level-up prompt",G838,IF('Paste Editor (Beta)'!$C$90="Item prompt",E838,IF('Paste Editor (Beta)'!$C$90="Modifier prompt","'"&amp;B838,IF('Paste Editor (Beta)'!$C$90="Challenge prompt",E838,IF('Paste Editor (Beta)'!$C$90="Reroll class prompt",S837,IF('Paste Editor (Beta)'!$C$90="Swap hero prompt",S837,IF('Paste Editor (Beta)'!$C$90="Anvil prompt",AD837,"")))))))</f>
        <v>0</v>
      </c>
    </row>
    <row r="838" spans="34:37" ht="17.25">
      <c r="AH838" s="280" t="str">
        <f>IF('Paste Editor (Beta)'!$C$82="Level-up prompt",G839,IF('Paste Editor (Beta)'!$C$82="Item prompt",E839,IF('Paste Editor (Beta)'!$C$82="Modifier prompt","'"&amp;B839,IF('Paste Editor (Beta)'!$C$82="Challenge prompt",L839,IF('Paste Editor (Beta)'!$C$82="Reroll class prompt",S838,IF('Paste Editor (Beta)'!$C$82="Swap hero prompt",S838,IF('Paste Editor (Beta)'!$C$82="Anvil prompt",AD838,"")))))))</f>
        <v/>
      </c>
      <c r="AI838" s="280" t="str">
        <f>IF('Paste Editor (Beta)'!$C$82="Level-up prompt",G839,IF('Paste Editor (Beta)'!$C$82="Item prompt",E839,IF('Paste Editor (Beta)'!$C$82="Modifier prompt","'"&amp;B839,IF('Paste Editor (Beta)'!$C$82="Challenge prompt",E839,IF('Paste Editor (Beta)'!$C$82="Reroll class prompt",S838,IF('Paste Editor (Beta)'!$C$82="Swap hero prompt",S838,IF('Paste Editor (Beta)'!$C$82="Anvil prompt",AD838,"")))))))</f>
        <v/>
      </c>
      <c r="AJ838" s="283">
        <f>IF('Paste Editor (Beta)'!$C$90="Level-up prompt",G839,IF('Paste Editor (Beta)'!$C$90="Item prompt",E839,IF('Paste Editor (Beta)'!$C$90="Modifier prompt","'"&amp;B839,IF('Paste Editor (Beta)'!$C$90="Challenge prompt",L839,IF('Paste Editor (Beta)'!$C$90="Reroll class prompt",S838,IF('Paste Editor (Beta)'!$C$90="Swap hero prompt",S838,IF('Paste Editor (Beta)'!$C$90="Anvil prompt",AD838,"")))))))</f>
        <v>0</v>
      </c>
      <c r="AK838" s="283">
        <f>IF('Paste Editor (Beta)'!$C$90="Level-up prompt",G839,IF('Paste Editor (Beta)'!$C$90="Item prompt",E839,IF('Paste Editor (Beta)'!$C$90="Modifier prompt","'"&amp;B839,IF('Paste Editor (Beta)'!$C$90="Challenge prompt",E839,IF('Paste Editor (Beta)'!$C$90="Reroll class prompt",S838,IF('Paste Editor (Beta)'!$C$90="Swap hero prompt",S838,IF('Paste Editor (Beta)'!$C$90="Anvil prompt",AD838,"")))))))</f>
        <v>0</v>
      </c>
    </row>
    <row r="839" spans="34:37" ht="17.25">
      <c r="AH839" s="280" t="str">
        <f>IF('Paste Editor (Beta)'!$C$82="Level-up prompt",G840,IF('Paste Editor (Beta)'!$C$82="Item prompt",E840,IF('Paste Editor (Beta)'!$C$82="Modifier prompt","'"&amp;B840,IF('Paste Editor (Beta)'!$C$82="Challenge prompt",L840,IF('Paste Editor (Beta)'!$C$82="Reroll class prompt",S839,IF('Paste Editor (Beta)'!$C$82="Swap hero prompt",S839,IF('Paste Editor (Beta)'!$C$82="Anvil prompt",AD839,"")))))))</f>
        <v/>
      </c>
      <c r="AI839" s="280" t="str">
        <f>IF('Paste Editor (Beta)'!$C$82="Level-up prompt",G840,IF('Paste Editor (Beta)'!$C$82="Item prompt",E840,IF('Paste Editor (Beta)'!$C$82="Modifier prompt","'"&amp;B840,IF('Paste Editor (Beta)'!$C$82="Challenge prompt",E840,IF('Paste Editor (Beta)'!$C$82="Reroll class prompt",S839,IF('Paste Editor (Beta)'!$C$82="Swap hero prompt",S839,IF('Paste Editor (Beta)'!$C$82="Anvil prompt",AD839,"")))))))</f>
        <v/>
      </c>
      <c r="AJ839" s="283">
        <f>IF('Paste Editor (Beta)'!$C$90="Level-up prompt",G840,IF('Paste Editor (Beta)'!$C$90="Item prompt",E840,IF('Paste Editor (Beta)'!$C$90="Modifier prompt","'"&amp;B840,IF('Paste Editor (Beta)'!$C$90="Challenge prompt",L840,IF('Paste Editor (Beta)'!$C$90="Reroll class prompt",S839,IF('Paste Editor (Beta)'!$C$90="Swap hero prompt",S839,IF('Paste Editor (Beta)'!$C$90="Anvil prompt",AD839,"")))))))</f>
        <v>0</v>
      </c>
      <c r="AK839" s="283">
        <f>IF('Paste Editor (Beta)'!$C$90="Level-up prompt",G840,IF('Paste Editor (Beta)'!$C$90="Item prompt",E840,IF('Paste Editor (Beta)'!$C$90="Modifier prompt","'"&amp;B840,IF('Paste Editor (Beta)'!$C$90="Challenge prompt",E840,IF('Paste Editor (Beta)'!$C$90="Reroll class prompt",S839,IF('Paste Editor (Beta)'!$C$90="Swap hero prompt",S839,IF('Paste Editor (Beta)'!$C$90="Anvil prompt",AD839,"")))))))</f>
        <v>0</v>
      </c>
    </row>
    <row r="840" spans="34:37" ht="17.25">
      <c r="AH840" s="280" t="str">
        <f>IF('Paste Editor (Beta)'!$C$82="Level-up prompt",G841,IF('Paste Editor (Beta)'!$C$82="Item prompt",E841,IF('Paste Editor (Beta)'!$C$82="Modifier prompt","'"&amp;B841,IF('Paste Editor (Beta)'!$C$82="Challenge prompt",L841,IF('Paste Editor (Beta)'!$C$82="Reroll class prompt",S840,IF('Paste Editor (Beta)'!$C$82="Swap hero prompt",S840,IF('Paste Editor (Beta)'!$C$82="Anvil prompt",AD840,"")))))))</f>
        <v/>
      </c>
      <c r="AI840" s="280" t="str">
        <f>IF('Paste Editor (Beta)'!$C$82="Level-up prompt",G841,IF('Paste Editor (Beta)'!$C$82="Item prompt",E841,IF('Paste Editor (Beta)'!$C$82="Modifier prompt","'"&amp;B841,IF('Paste Editor (Beta)'!$C$82="Challenge prompt",E841,IF('Paste Editor (Beta)'!$C$82="Reroll class prompt",S840,IF('Paste Editor (Beta)'!$C$82="Swap hero prompt",S840,IF('Paste Editor (Beta)'!$C$82="Anvil prompt",AD840,"")))))))</f>
        <v/>
      </c>
      <c r="AJ840" s="283">
        <f>IF('Paste Editor (Beta)'!$C$90="Level-up prompt",G841,IF('Paste Editor (Beta)'!$C$90="Item prompt",E841,IF('Paste Editor (Beta)'!$C$90="Modifier prompt","'"&amp;B841,IF('Paste Editor (Beta)'!$C$90="Challenge prompt",L841,IF('Paste Editor (Beta)'!$C$90="Reroll class prompt",S840,IF('Paste Editor (Beta)'!$C$90="Swap hero prompt",S840,IF('Paste Editor (Beta)'!$C$90="Anvil prompt",AD840,"")))))))</f>
        <v>0</v>
      </c>
      <c r="AK840" s="283">
        <f>IF('Paste Editor (Beta)'!$C$90="Level-up prompt",G841,IF('Paste Editor (Beta)'!$C$90="Item prompt",E841,IF('Paste Editor (Beta)'!$C$90="Modifier prompt","'"&amp;B841,IF('Paste Editor (Beta)'!$C$90="Challenge prompt",E841,IF('Paste Editor (Beta)'!$C$90="Reroll class prompt",S840,IF('Paste Editor (Beta)'!$C$90="Swap hero prompt",S840,IF('Paste Editor (Beta)'!$C$90="Anvil prompt",AD840,"")))))))</f>
        <v>0</v>
      </c>
    </row>
    <row r="841" spans="34:37" ht="17.25">
      <c r="AH841" s="280" t="str">
        <f>IF('Paste Editor (Beta)'!$C$82="Level-up prompt",G842,IF('Paste Editor (Beta)'!$C$82="Item prompt",E842,IF('Paste Editor (Beta)'!$C$82="Modifier prompt","'"&amp;B842,IF('Paste Editor (Beta)'!$C$82="Challenge prompt",L842,IF('Paste Editor (Beta)'!$C$82="Reroll class prompt",S841,IF('Paste Editor (Beta)'!$C$82="Swap hero prompt",S841,IF('Paste Editor (Beta)'!$C$82="Anvil prompt",AD841,"")))))))</f>
        <v/>
      </c>
      <c r="AI841" s="280" t="str">
        <f>IF('Paste Editor (Beta)'!$C$82="Level-up prompt",G842,IF('Paste Editor (Beta)'!$C$82="Item prompt",E842,IF('Paste Editor (Beta)'!$C$82="Modifier prompt","'"&amp;B842,IF('Paste Editor (Beta)'!$C$82="Challenge prompt",E842,IF('Paste Editor (Beta)'!$C$82="Reroll class prompt",S841,IF('Paste Editor (Beta)'!$C$82="Swap hero prompt",S841,IF('Paste Editor (Beta)'!$C$82="Anvil prompt",AD841,"")))))))</f>
        <v/>
      </c>
      <c r="AJ841" s="283">
        <f>IF('Paste Editor (Beta)'!$C$90="Level-up prompt",G842,IF('Paste Editor (Beta)'!$C$90="Item prompt",E842,IF('Paste Editor (Beta)'!$C$90="Modifier prompt","'"&amp;B842,IF('Paste Editor (Beta)'!$C$90="Challenge prompt",L842,IF('Paste Editor (Beta)'!$C$90="Reroll class prompt",S841,IF('Paste Editor (Beta)'!$C$90="Swap hero prompt",S841,IF('Paste Editor (Beta)'!$C$90="Anvil prompt",AD841,"")))))))</f>
        <v>0</v>
      </c>
      <c r="AK841" s="283">
        <f>IF('Paste Editor (Beta)'!$C$90="Level-up prompt",G842,IF('Paste Editor (Beta)'!$C$90="Item prompt",E842,IF('Paste Editor (Beta)'!$C$90="Modifier prompt","'"&amp;B842,IF('Paste Editor (Beta)'!$C$90="Challenge prompt",E842,IF('Paste Editor (Beta)'!$C$90="Reroll class prompt",S841,IF('Paste Editor (Beta)'!$C$90="Swap hero prompt",S841,IF('Paste Editor (Beta)'!$C$90="Anvil prompt",AD841,"")))))))</f>
        <v>0</v>
      </c>
    </row>
    <row r="842" spans="34:37" ht="17.25">
      <c r="AH842" s="280" t="str">
        <f>IF('Paste Editor (Beta)'!$C$82="Level-up prompt",G843,IF('Paste Editor (Beta)'!$C$82="Item prompt",E843,IF('Paste Editor (Beta)'!$C$82="Modifier prompt","'"&amp;B843,IF('Paste Editor (Beta)'!$C$82="Challenge prompt",L843,IF('Paste Editor (Beta)'!$C$82="Reroll class prompt",S842,IF('Paste Editor (Beta)'!$C$82="Swap hero prompt",S842,IF('Paste Editor (Beta)'!$C$82="Anvil prompt",AD842,"")))))))</f>
        <v/>
      </c>
      <c r="AI842" s="280" t="str">
        <f>IF('Paste Editor (Beta)'!$C$82="Level-up prompt",G843,IF('Paste Editor (Beta)'!$C$82="Item prompt",E843,IF('Paste Editor (Beta)'!$C$82="Modifier prompt","'"&amp;B843,IF('Paste Editor (Beta)'!$C$82="Challenge prompt",E843,IF('Paste Editor (Beta)'!$C$82="Reroll class prompt",S842,IF('Paste Editor (Beta)'!$C$82="Swap hero prompt",S842,IF('Paste Editor (Beta)'!$C$82="Anvil prompt",AD842,"")))))))</f>
        <v/>
      </c>
      <c r="AJ842" s="283">
        <f>IF('Paste Editor (Beta)'!$C$90="Level-up prompt",G843,IF('Paste Editor (Beta)'!$C$90="Item prompt",E843,IF('Paste Editor (Beta)'!$C$90="Modifier prompt","'"&amp;B843,IF('Paste Editor (Beta)'!$C$90="Challenge prompt",L843,IF('Paste Editor (Beta)'!$C$90="Reroll class prompt",S842,IF('Paste Editor (Beta)'!$C$90="Swap hero prompt",S842,IF('Paste Editor (Beta)'!$C$90="Anvil prompt",AD842,"")))))))</f>
        <v>0</v>
      </c>
      <c r="AK842" s="283">
        <f>IF('Paste Editor (Beta)'!$C$90="Level-up prompt",G843,IF('Paste Editor (Beta)'!$C$90="Item prompt",E843,IF('Paste Editor (Beta)'!$C$90="Modifier prompt","'"&amp;B843,IF('Paste Editor (Beta)'!$C$90="Challenge prompt",E843,IF('Paste Editor (Beta)'!$C$90="Reroll class prompt",S842,IF('Paste Editor (Beta)'!$C$90="Swap hero prompt",S842,IF('Paste Editor (Beta)'!$C$90="Anvil prompt",AD842,"")))))))</f>
        <v>0</v>
      </c>
    </row>
    <row r="843" spans="34:37" ht="17.25">
      <c r="AH843" s="280" t="str">
        <f>IF('Paste Editor (Beta)'!$C$82="Level-up prompt",G844,IF('Paste Editor (Beta)'!$C$82="Item prompt",E844,IF('Paste Editor (Beta)'!$C$82="Modifier prompt","'"&amp;B844,IF('Paste Editor (Beta)'!$C$82="Challenge prompt",L844,IF('Paste Editor (Beta)'!$C$82="Reroll class prompt",S843,IF('Paste Editor (Beta)'!$C$82="Swap hero prompt",S843,IF('Paste Editor (Beta)'!$C$82="Anvil prompt",AD843,"")))))))</f>
        <v/>
      </c>
      <c r="AI843" s="280" t="str">
        <f>IF('Paste Editor (Beta)'!$C$82="Level-up prompt",G844,IF('Paste Editor (Beta)'!$C$82="Item prompt",E844,IF('Paste Editor (Beta)'!$C$82="Modifier prompt","'"&amp;B844,IF('Paste Editor (Beta)'!$C$82="Challenge prompt",E844,IF('Paste Editor (Beta)'!$C$82="Reroll class prompt",S843,IF('Paste Editor (Beta)'!$C$82="Swap hero prompt",S843,IF('Paste Editor (Beta)'!$C$82="Anvil prompt",AD843,"")))))))</f>
        <v/>
      </c>
      <c r="AJ843" s="283">
        <f>IF('Paste Editor (Beta)'!$C$90="Level-up prompt",G844,IF('Paste Editor (Beta)'!$C$90="Item prompt",E844,IF('Paste Editor (Beta)'!$C$90="Modifier prompt","'"&amp;B844,IF('Paste Editor (Beta)'!$C$90="Challenge prompt",L844,IF('Paste Editor (Beta)'!$C$90="Reroll class prompt",S843,IF('Paste Editor (Beta)'!$C$90="Swap hero prompt",S843,IF('Paste Editor (Beta)'!$C$90="Anvil prompt",AD843,"")))))))</f>
        <v>0</v>
      </c>
      <c r="AK843" s="283">
        <f>IF('Paste Editor (Beta)'!$C$90="Level-up prompt",G844,IF('Paste Editor (Beta)'!$C$90="Item prompt",E844,IF('Paste Editor (Beta)'!$C$90="Modifier prompt","'"&amp;B844,IF('Paste Editor (Beta)'!$C$90="Challenge prompt",E844,IF('Paste Editor (Beta)'!$C$90="Reroll class prompt",S843,IF('Paste Editor (Beta)'!$C$90="Swap hero prompt",S843,IF('Paste Editor (Beta)'!$C$90="Anvil prompt",AD843,"")))))))</f>
        <v>0</v>
      </c>
    </row>
    <row r="844" spans="34:37" ht="17.25">
      <c r="AH844" s="280" t="str">
        <f>IF('Paste Editor (Beta)'!$C$82="Level-up prompt",G845,IF('Paste Editor (Beta)'!$C$82="Item prompt",E845,IF('Paste Editor (Beta)'!$C$82="Modifier prompt","'"&amp;B845,IF('Paste Editor (Beta)'!$C$82="Challenge prompt",L845,IF('Paste Editor (Beta)'!$C$82="Reroll class prompt",S844,IF('Paste Editor (Beta)'!$C$82="Swap hero prompt",S844,IF('Paste Editor (Beta)'!$C$82="Anvil prompt",AD844,"")))))))</f>
        <v/>
      </c>
      <c r="AI844" s="280" t="str">
        <f>IF('Paste Editor (Beta)'!$C$82="Level-up prompt",G845,IF('Paste Editor (Beta)'!$C$82="Item prompt",E845,IF('Paste Editor (Beta)'!$C$82="Modifier prompt","'"&amp;B845,IF('Paste Editor (Beta)'!$C$82="Challenge prompt",E845,IF('Paste Editor (Beta)'!$C$82="Reroll class prompt",S844,IF('Paste Editor (Beta)'!$C$82="Swap hero prompt",S844,IF('Paste Editor (Beta)'!$C$82="Anvil prompt",AD844,"")))))))</f>
        <v/>
      </c>
      <c r="AJ844" s="283">
        <f>IF('Paste Editor (Beta)'!$C$90="Level-up prompt",G845,IF('Paste Editor (Beta)'!$C$90="Item prompt",E845,IF('Paste Editor (Beta)'!$C$90="Modifier prompt","'"&amp;B845,IF('Paste Editor (Beta)'!$C$90="Challenge prompt",L845,IF('Paste Editor (Beta)'!$C$90="Reroll class prompt",S844,IF('Paste Editor (Beta)'!$C$90="Swap hero prompt",S844,IF('Paste Editor (Beta)'!$C$90="Anvil prompt",AD844,"")))))))</f>
        <v>0</v>
      </c>
      <c r="AK844" s="283">
        <f>IF('Paste Editor (Beta)'!$C$90="Level-up prompt",G845,IF('Paste Editor (Beta)'!$C$90="Item prompt",E845,IF('Paste Editor (Beta)'!$C$90="Modifier prompt","'"&amp;B845,IF('Paste Editor (Beta)'!$C$90="Challenge prompt",E845,IF('Paste Editor (Beta)'!$C$90="Reroll class prompt",S844,IF('Paste Editor (Beta)'!$C$90="Swap hero prompt",S844,IF('Paste Editor (Beta)'!$C$90="Anvil prompt",AD844,"")))))))</f>
        <v>0</v>
      </c>
    </row>
    <row r="845" spans="34:37" ht="17.25">
      <c r="AH845" s="280" t="str">
        <f>IF('Paste Editor (Beta)'!$C$82="Level-up prompt",G846,IF('Paste Editor (Beta)'!$C$82="Item prompt",E846,IF('Paste Editor (Beta)'!$C$82="Modifier prompt","'"&amp;B846,IF('Paste Editor (Beta)'!$C$82="Challenge prompt",L846,IF('Paste Editor (Beta)'!$C$82="Reroll class prompt",S845,IF('Paste Editor (Beta)'!$C$82="Swap hero prompt",S845,IF('Paste Editor (Beta)'!$C$82="Anvil prompt",AD845,"")))))))</f>
        <v/>
      </c>
      <c r="AI845" s="280" t="str">
        <f>IF('Paste Editor (Beta)'!$C$82="Level-up prompt",G846,IF('Paste Editor (Beta)'!$C$82="Item prompt",E846,IF('Paste Editor (Beta)'!$C$82="Modifier prompt","'"&amp;B846,IF('Paste Editor (Beta)'!$C$82="Challenge prompt",E846,IF('Paste Editor (Beta)'!$C$82="Reroll class prompt",S845,IF('Paste Editor (Beta)'!$C$82="Swap hero prompt",S845,IF('Paste Editor (Beta)'!$C$82="Anvil prompt",AD845,"")))))))</f>
        <v/>
      </c>
      <c r="AJ845" s="283">
        <f>IF('Paste Editor (Beta)'!$C$90="Level-up prompt",G846,IF('Paste Editor (Beta)'!$C$90="Item prompt",E846,IF('Paste Editor (Beta)'!$C$90="Modifier prompt","'"&amp;B846,IF('Paste Editor (Beta)'!$C$90="Challenge prompt",L846,IF('Paste Editor (Beta)'!$C$90="Reroll class prompt",S845,IF('Paste Editor (Beta)'!$C$90="Swap hero prompt",S845,IF('Paste Editor (Beta)'!$C$90="Anvil prompt",AD845,"")))))))</f>
        <v>0</v>
      </c>
      <c r="AK845" s="283">
        <f>IF('Paste Editor (Beta)'!$C$90="Level-up prompt",G846,IF('Paste Editor (Beta)'!$C$90="Item prompt",E846,IF('Paste Editor (Beta)'!$C$90="Modifier prompt","'"&amp;B846,IF('Paste Editor (Beta)'!$C$90="Challenge prompt",E846,IF('Paste Editor (Beta)'!$C$90="Reroll class prompt",S845,IF('Paste Editor (Beta)'!$C$90="Swap hero prompt",S845,IF('Paste Editor (Beta)'!$C$90="Anvil prompt",AD845,"")))))))</f>
        <v>0</v>
      </c>
    </row>
    <row r="846" spans="34:37" ht="17.25">
      <c r="AH846" s="280" t="str">
        <f>IF('Paste Editor (Beta)'!$C$82="Level-up prompt",G847,IF('Paste Editor (Beta)'!$C$82="Item prompt",E847,IF('Paste Editor (Beta)'!$C$82="Modifier prompt","'"&amp;B847,IF('Paste Editor (Beta)'!$C$82="Challenge prompt",L847,IF('Paste Editor (Beta)'!$C$82="Reroll class prompt",S846,IF('Paste Editor (Beta)'!$C$82="Swap hero prompt",S846,IF('Paste Editor (Beta)'!$C$82="Anvil prompt",AD846,"")))))))</f>
        <v/>
      </c>
      <c r="AI846" s="280" t="str">
        <f>IF('Paste Editor (Beta)'!$C$82="Level-up prompt",G847,IF('Paste Editor (Beta)'!$C$82="Item prompt",E847,IF('Paste Editor (Beta)'!$C$82="Modifier prompt","'"&amp;B847,IF('Paste Editor (Beta)'!$C$82="Challenge prompt",E847,IF('Paste Editor (Beta)'!$C$82="Reroll class prompt",S846,IF('Paste Editor (Beta)'!$C$82="Swap hero prompt",S846,IF('Paste Editor (Beta)'!$C$82="Anvil prompt",AD846,"")))))))</f>
        <v/>
      </c>
      <c r="AJ846" s="283">
        <f>IF('Paste Editor (Beta)'!$C$90="Level-up prompt",G847,IF('Paste Editor (Beta)'!$C$90="Item prompt",E847,IF('Paste Editor (Beta)'!$C$90="Modifier prompt","'"&amp;B847,IF('Paste Editor (Beta)'!$C$90="Challenge prompt",L847,IF('Paste Editor (Beta)'!$C$90="Reroll class prompt",S846,IF('Paste Editor (Beta)'!$C$90="Swap hero prompt",S846,IF('Paste Editor (Beta)'!$C$90="Anvil prompt",AD846,"")))))))</f>
        <v>0</v>
      </c>
      <c r="AK846" s="283">
        <f>IF('Paste Editor (Beta)'!$C$90="Level-up prompt",G847,IF('Paste Editor (Beta)'!$C$90="Item prompt",E847,IF('Paste Editor (Beta)'!$C$90="Modifier prompt","'"&amp;B847,IF('Paste Editor (Beta)'!$C$90="Challenge prompt",E847,IF('Paste Editor (Beta)'!$C$90="Reroll class prompt",S846,IF('Paste Editor (Beta)'!$C$90="Swap hero prompt",S846,IF('Paste Editor (Beta)'!$C$90="Anvil prompt",AD846,"")))))))</f>
        <v>0</v>
      </c>
    </row>
    <row r="847" spans="34:37" ht="17.25">
      <c r="AH847" s="280" t="str">
        <f>IF('Paste Editor (Beta)'!$C$82="Level-up prompt",G848,IF('Paste Editor (Beta)'!$C$82="Item prompt",E848,IF('Paste Editor (Beta)'!$C$82="Modifier prompt","'"&amp;B848,IF('Paste Editor (Beta)'!$C$82="Challenge prompt",L848,IF('Paste Editor (Beta)'!$C$82="Reroll class prompt",S847,IF('Paste Editor (Beta)'!$C$82="Swap hero prompt",S847,IF('Paste Editor (Beta)'!$C$82="Anvil prompt",AD847,"")))))))</f>
        <v/>
      </c>
      <c r="AI847" s="280" t="str">
        <f>IF('Paste Editor (Beta)'!$C$82="Level-up prompt",G848,IF('Paste Editor (Beta)'!$C$82="Item prompt",E848,IF('Paste Editor (Beta)'!$C$82="Modifier prompt","'"&amp;B848,IF('Paste Editor (Beta)'!$C$82="Challenge prompt",E848,IF('Paste Editor (Beta)'!$C$82="Reroll class prompt",S847,IF('Paste Editor (Beta)'!$C$82="Swap hero prompt",S847,IF('Paste Editor (Beta)'!$C$82="Anvil prompt",AD847,"")))))))</f>
        <v/>
      </c>
      <c r="AJ847" s="283">
        <f>IF('Paste Editor (Beta)'!$C$90="Level-up prompt",G848,IF('Paste Editor (Beta)'!$C$90="Item prompt",E848,IF('Paste Editor (Beta)'!$C$90="Modifier prompt","'"&amp;B848,IF('Paste Editor (Beta)'!$C$90="Challenge prompt",L848,IF('Paste Editor (Beta)'!$C$90="Reroll class prompt",S847,IF('Paste Editor (Beta)'!$C$90="Swap hero prompt",S847,IF('Paste Editor (Beta)'!$C$90="Anvil prompt",AD847,"")))))))</f>
        <v>0</v>
      </c>
      <c r="AK847" s="283">
        <f>IF('Paste Editor (Beta)'!$C$90="Level-up prompt",G848,IF('Paste Editor (Beta)'!$C$90="Item prompt",E848,IF('Paste Editor (Beta)'!$C$90="Modifier prompt","'"&amp;B848,IF('Paste Editor (Beta)'!$C$90="Challenge prompt",E848,IF('Paste Editor (Beta)'!$C$90="Reroll class prompt",S847,IF('Paste Editor (Beta)'!$C$90="Swap hero prompt",S847,IF('Paste Editor (Beta)'!$C$90="Anvil prompt",AD847,"")))))))</f>
        <v>0</v>
      </c>
    </row>
    <row r="848" spans="34:37" ht="17.25">
      <c r="AH848" s="280" t="str">
        <f>IF('Paste Editor (Beta)'!$C$82="Level-up prompt",G849,IF('Paste Editor (Beta)'!$C$82="Item prompt",E849,IF('Paste Editor (Beta)'!$C$82="Modifier prompt","'"&amp;B849,IF('Paste Editor (Beta)'!$C$82="Challenge prompt",L849,IF('Paste Editor (Beta)'!$C$82="Reroll class prompt",S848,IF('Paste Editor (Beta)'!$C$82="Swap hero prompt",S848,IF('Paste Editor (Beta)'!$C$82="Anvil prompt",AD848,"")))))))</f>
        <v/>
      </c>
      <c r="AI848" s="280" t="str">
        <f>IF('Paste Editor (Beta)'!$C$82="Level-up prompt",G849,IF('Paste Editor (Beta)'!$C$82="Item prompt",E849,IF('Paste Editor (Beta)'!$C$82="Modifier prompt","'"&amp;B849,IF('Paste Editor (Beta)'!$C$82="Challenge prompt",E849,IF('Paste Editor (Beta)'!$C$82="Reroll class prompt",S848,IF('Paste Editor (Beta)'!$C$82="Swap hero prompt",S848,IF('Paste Editor (Beta)'!$C$82="Anvil prompt",AD848,"")))))))</f>
        <v/>
      </c>
      <c r="AJ848" s="283">
        <f>IF('Paste Editor (Beta)'!$C$90="Level-up prompt",G849,IF('Paste Editor (Beta)'!$C$90="Item prompt",E849,IF('Paste Editor (Beta)'!$C$90="Modifier prompt","'"&amp;B849,IF('Paste Editor (Beta)'!$C$90="Challenge prompt",L849,IF('Paste Editor (Beta)'!$C$90="Reroll class prompt",S848,IF('Paste Editor (Beta)'!$C$90="Swap hero prompt",S848,IF('Paste Editor (Beta)'!$C$90="Anvil prompt",AD848,"")))))))</f>
        <v>0</v>
      </c>
      <c r="AK848" s="283">
        <f>IF('Paste Editor (Beta)'!$C$90="Level-up prompt",G849,IF('Paste Editor (Beta)'!$C$90="Item prompt",E849,IF('Paste Editor (Beta)'!$C$90="Modifier prompt","'"&amp;B849,IF('Paste Editor (Beta)'!$C$90="Challenge prompt",E849,IF('Paste Editor (Beta)'!$C$90="Reroll class prompt",S848,IF('Paste Editor (Beta)'!$C$90="Swap hero prompt",S848,IF('Paste Editor (Beta)'!$C$90="Anvil prompt",AD848,"")))))))</f>
        <v>0</v>
      </c>
    </row>
    <row r="849" spans="34:37" ht="17.25">
      <c r="AH849" s="280" t="str">
        <f>IF('Paste Editor (Beta)'!$C$82="Level-up prompt",G850,IF('Paste Editor (Beta)'!$C$82="Item prompt",E850,IF('Paste Editor (Beta)'!$C$82="Modifier prompt","'"&amp;B850,IF('Paste Editor (Beta)'!$C$82="Challenge prompt",L850,IF('Paste Editor (Beta)'!$C$82="Reroll class prompt",S849,IF('Paste Editor (Beta)'!$C$82="Swap hero prompt",S849,IF('Paste Editor (Beta)'!$C$82="Anvil prompt",AD849,"")))))))</f>
        <v/>
      </c>
      <c r="AI849" s="280" t="str">
        <f>IF('Paste Editor (Beta)'!$C$82="Level-up prompt",G850,IF('Paste Editor (Beta)'!$C$82="Item prompt",E850,IF('Paste Editor (Beta)'!$C$82="Modifier prompt","'"&amp;B850,IF('Paste Editor (Beta)'!$C$82="Challenge prompt",E850,IF('Paste Editor (Beta)'!$C$82="Reroll class prompt",S849,IF('Paste Editor (Beta)'!$C$82="Swap hero prompt",S849,IF('Paste Editor (Beta)'!$C$82="Anvil prompt",AD849,"")))))))</f>
        <v/>
      </c>
      <c r="AJ849" s="283">
        <f>IF('Paste Editor (Beta)'!$C$90="Level-up prompt",G850,IF('Paste Editor (Beta)'!$C$90="Item prompt",E850,IF('Paste Editor (Beta)'!$C$90="Modifier prompt","'"&amp;B850,IF('Paste Editor (Beta)'!$C$90="Challenge prompt",L850,IF('Paste Editor (Beta)'!$C$90="Reroll class prompt",S849,IF('Paste Editor (Beta)'!$C$90="Swap hero prompt",S849,IF('Paste Editor (Beta)'!$C$90="Anvil prompt",AD849,"")))))))</f>
        <v>0</v>
      </c>
      <c r="AK849" s="283">
        <f>IF('Paste Editor (Beta)'!$C$90="Level-up prompt",G850,IF('Paste Editor (Beta)'!$C$90="Item prompt",E850,IF('Paste Editor (Beta)'!$C$90="Modifier prompt","'"&amp;B850,IF('Paste Editor (Beta)'!$C$90="Challenge prompt",E850,IF('Paste Editor (Beta)'!$C$90="Reroll class prompt",S849,IF('Paste Editor (Beta)'!$C$90="Swap hero prompt",S849,IF('Paste Editor (Beta)'!$C$90="Anvil prompt",AD849,"")))))))</f>
        <v>0</v>
      </c>
    </row>
    <row r="850" spans="34:37" ht="17.25">
      <c r="AH850" s="280" t="str">
        <f>IF('Paste Editor (Beta)'!$C$82="Level-up prompt",G851,IF('Paste Editor (Beta)'!$C$82="Item prompt",E851,IF('Paste Editor (Beta)'!$C$82="Modifier prompt","'"&amp;B851,IF('Paste Editor (Beta)'!$C$82="Challenge prompt",L851,IF('Paste Editor (Beta)'!$C$82="Reroll class prompt",S850,IF('Paste Editor (Beta)'!$C$82="Swap hero prompt",S850,IF('Paste Editor (Beta)'!$C$82="Anvil prompt",AD850,"")))))))</f>
        <v/>
      </c>
      <c r="AI850" s="280" t="str">
        <f>IF('Paste Editor (Beta)'!$C$82="Level-up prompt",G851,IF('Paste Editor (Beta)'!$C$82="Item prompt",E851,IF('Paste Editor (Beta)'!$C$82="Modifier prompt","'"&amp;B851,IF('Paste Editor (Beta)'!$C$82="Challenge prompt",E851,IF('Paste Editor (Beta)'!$C$82="Reroll class prompt",S850,IF('Paste Editor (Beta)'!$C$82="Swap hero prompt",S850,IF('Paste Editor (Beta)'!$C$82="Anvil prompt",AD850,"")))))))</f>
        <v/>
      </c>
      <c r="AJ850" s="283">
        <f>IF('Paste Editor (Beta)'!$C$90="Level-up prompt",G851,IF('Paste Editor (Beta)'!$C$90="Item prompt",E851,IF('Paste Editor (Beta)'!$C$90="Modifier prompt","'"&amp;B851,IF('Paste Editor (Beta)'!$C$90="Challenge prompt",L851,IF('Paste Editor (Beta)'!$C$90="Reroll class prompt",S850,IF('Paste Editor (Beta)'!$C$90="Swap hero prompt",S850,IF('Paste Editor (Beta)'!$C$90="Anvil prompt",AD850,"")))))))</f>
        <v>0</v>
      </c>
      <c r="AK850" s="283">
        <f>IF('Paste Editor (Beta)'!$C$90="Level-up prompt",G851,IF('Paste Editor (Beta)'!$C$90="Item prompt",E851,IF('Paste Editor (Beta)'!$C$90="Modifier prompt","'"&amp;B851,IF('Paste Editor (Beta)'!$C$90="Challenge prompt",E851,IF('Paste Editor (Beta)'!$C$90="Reroll class prompt",S850,IF('Paste Editor (Beta)'!$C$90="Swap hero prompt",S850,IF('Paste Editor (Beta)'!$C$90="Anvil prompt",AD850,"")))))))</f>
        <v>0</v>
      </c>
    </row>
  </sheetData>
  <mergeCells count="2">
    <mergeCell ref="AH2:AI2"/>
    <mergeCell ref="AJ2:AK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M4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703125" defaultRowHeight="15.75" customHeight="1"/>
  <cols>
    <col min="1" max="39" width="12.42578125" customWidth="1"/>
  </cols>
  <sheetData>
    <row r="1" spans="1:39">
      <c r="A1" s="288"/>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c r="AK1" s="289"/>
      <c r="AL1" s="289"/>
      <c r="AM1" s="289"/>
    </row>
    <row r="2" spans="1:39">
      <c r="A2" s="290" t="s">
        <v>1953</v>
      </c>
      <c r="B2" s="291">
        <f ca="1">IFERROR(__xludf.DUMMYFUNCTION("Transpose( unique(Curses!B3:B43))"),1)</f>
        <v>1</v>
      </c>
      <c r="C2" s="291">
        <f ca="1">IFERROR(__xludf.DUMMYFUNCTION("""COMPUTED_VALUE"""),2)</f>
        <v>2</v>
      </c>
      <c r="D2" s="291">
        <f ca="1">IFERROR(__xludf.DUMMYFUNCTION("""COMPUTED_VALUE"""),3)</f>
        <v>3</v>
      </c>
      <c r="E2" s="291">
        <f ca="1">IFERROR(__xludf.DUMMYFUNCTION("""COMPUTED_VALUE"""),4)</f>
        <v>4</v>
      </c>
      <c r="F2" s="291">
        <f ca="1">IFERROR(__xludf.DUMMYFUNCTION("""COMPUTED_VALUE"""),5)</f>
        <v>5</v>
      </c>
      <c r="G2" s="291">
        <f ca="1">IFERROR(__xludf.DUMMYFUNCTION("""COMPUTED_VALUE"""),6)</f>
        <v>6</v>
      </c>
      <c r="H2" s="291">
        <f ca="1">IFERROR(__xludf.DUMMYFUNCTION("""COMPUTED_VALUE"""),7)</f>
        <v>7</v>
      </c>
      <c r="I2" s="291">
        <f ca="1">IFERROR(__xludf.DUMMYFUNCTION("""COMPUTED_VALUE"""),8)</f>
        <v>8</v>
      </c>
      <c r="J2" s="291">
        <f ca="1">IFERROR(__xludf.DUMMYFUNCTION("""COMPUTED_VALUE"""),9)</f>
        <v>9</v>
      </c>
      <c r="K2" s="291">
        <f ca="1">IFERROR(__xludf.DUMMYFUNCTION("""COMPUTED_VALUE"""),10)</f>
        <v>10</v>
      </c>
      <c r="L2" s="291">
        <f ca="1">IFERROR(__xludf.DUMMYFUNCTION("""COMPUTED_VALUE"""),11)</f>
        <v>11</v>
      </c>
      <c r="M2" s="291">
        <f ca="1">IFERROR(__xludf.DUMMYFUNCTION("""COMPUTED_VALUE"""),12)</f>
        <v>12</v>
      </c>
      <c r="N2" s="291">
        <f ca="1">IFERROR(__xludf.DUMMYFUNCTION("""COMPUTED_VALUE"""),13)</f>
        <v>13</v>
      </c>
      <c r="O2" s="291">
        <f ca="1">IFERROR(__xludf.DUMMYFUNCTION("""COMPUTED_VALUE"""),14)</f>
        <v>14</v>
      </c>
      <c r="P2" s="291">
        <f ca="1">IFERROR(__xludf.DUMMYFUNCTION("""COMPUTED_VALUE"""),15)</f>
        <v>15</v>
      </c>
      <c r="Q2" s="291">
        <f ca="1">IFERROR(__xludf.DUMMYFUNCTION("""COMPUTED_VALUE"""),16)</f>
        <v>16</v>
      </c>
      <c r="R2" s="291">
        <f ca="1">IFERROR(__xludf.DUMMYFUNCTION("""COMPUTED_VALUE"""),17)</f>
        <v>17</v>
      </c>
      <c r="S2" s="291">
        <f ca="1">IFERROR(__xludf.DUMMYFUNCTION("""COMPUTED_VALUE"""),18)</f>
        <v>18</v>
      </c>
      <c r="T2" s="291">
        <f ca="1">IFERROR(__xludf.DUMMYFUNCTION("""COMPUTED_VALUE"""),19)</f>
        <v>19</v>
      </c>
      <c r="U2" s="291">
        <f ca="1">IFERROR(__xludf.DUMMYFUNCTION("""COMPUTED_VALUE"""),20)</f>
        <v>20</v>
      </c>
      <c r="V2" s="291">
        <f ca="1">IFERROR(__xludf.DUMMYFUNCTION("""COMPUTED_VALUE"""),21)</f>
        <v>21</v>
      </c>
      <c r="W2" s="291">
        <f ca="1">IFERROR(__xludf.DUMMYFUNCTION("""COMPUTED_VALUE"""),23)</f>
        <v>23</v>
      </c>
      <c r="X2" s="291">
        <f ca="1">IFERROR(__xludf.DUMMYFUNCTION("""COMPUTED_VALUE"""),24)</f>
        <v>24</v>
      </c>
      <c r="Y2" s="291">
        <f ca="1">IFERROR(__xludf.DUMMYFUNCTION("""COMPUTED_VALUE"""),25)</f>
        <v>25</v>
      </c>
      <c r="Z2" s="291">
        <f ca="1">IFERROR(__xludf.DUMMYFUNCTION("""COMPUTED_VALUE"""),27)</f>
        <v>27</v>
      </c>
      <c r="AA2" s="291">
        <f ca="1">IFERROR(__xludf.DUMMYFUNCTION("""COMPUTED_VALUE"""),30)</f>
        <v>30</v>
      </c>
      <c r="AB2" s="291">
        <f ca="1">IFERROR(__xludf.DUMMYFUNCTION("""COMPUTED_VALUE"""),31)</f>
        <v>31</v>
      </c>
      <c r="AC2" s="291">
        <f ca="1">IFERROR(__xludf.DUMMYFUNCTION("""COMPUTED_VALUE"""),32)</f>
        <v>32</v>
      </c>
      <c r="AD2" s="291">
        <f ca="1">IFERROR(__xludf.DUMMYFUNCTION("""COMPUTED_VALUE"""),33)</f>
        <v>33</v>
      </c>
      <c r="AE2" s="291">
        <f ca="1">IFERROR(__xludf.DUMMYFUNCTION("""COMPUTED_VALUE"""),34)</f>
        <v>34</v>
      </c>
      <c r="AF2" s="291">
        <f ca="1">IFERROR(__xludf.DUMMYFUNCTION("""COMPUTED_VALUE"""),35)</f>
        <v>35</v>
      </c>
      <c r="AG2" s="291">
        <f ca="1">IFERROR(__xludf.DUMMYFUNCTION("""COMPUTED_VALUE"""),38)</f>
        <v>38</v>
      </c>
      <c r="AH2" s="291">
        <f ca="1">IFERROR(__xludf.DUMMYFUNCTION("""COMPUTED_VALUE"""),40)</f>
        <v>40</v>
      </c>
      <c r="AI2" s="291">
        <f ca="1">IFERROR(__xludf.DUMMYFUNCTION("""COMPUTED_VALUE"""),43)</f>
        <v>43</v>
      </c>
      <c r="AJ2" s="291">
        <f ca="1">IFERROR(__xludf.DUMMYFUNCTION("""COMPUTED_VALUE"""),51)</f>
        <v>51</v>
      </c>
      <c r="AK2" s="291">
        <f ca="1">IFERROR(__xludf.DUMMYFUNCTION("""COMPUTED_VALUE"""),56)</f>
        <v>56</v>
      </c>
      <c r="AL2" s="291">
        <f ca="1">IFERROR(__xludf.DUMMYFUNCTION("""COMPUTED_VALUE"""),100)</f>
        <v>100</v>
      </c>
      <c r="AM2" s="291"/>
    </row>
    <row r="3" spans="1:39">
      <c r="A3" s="292" t="str">
        <f ca="1">IFERROR(__xludf.DUMMYFUNCTION("{filter(unique(Curses!G3:G43),unique(Curses!G3:G43)&lt;&gt;"""")}"),"Mortal")</f>
        <v>Mortal</v>
      </c>
      <c r="B3" s="289" t="str">
        <f ca="1">IFERROR(__xludf.DUMMYFUNCTION("IFERROR(JOIN("";""&amp;CHAR(10),FILTER(Curses!$A$3:$A43,Curses!$B$3:$B43=B$2,Curses!$G$3:$G43=$A3)),"""")"),"Mortal")</f>
        <v>Mortal</v>
      </c>
      <c r="C3" s="289" t="str">
        <f ca="1">IFERROR(__xludf.DUMMYFUNCTION("IFERROR(JOIN("";""&amp;CHAR(10),FILTER(Curses!$A$3:$A43,Curses!$B$3:$B43=C$2,Curses!$G$3:$G43=$A3)),"""")"),"Mortal+")</f>
        <v>Mortal+</v>
      </c>
      <c r="D3" s="289" t="str">
        <f ca="1">IFERROR(__xludf.DUMMYFUNCTION("IFERROR(JOIN("";""&amp;CHAR(10),FILTER(Curses!$A$3:$A43,Curses!$B$3:$B43=D$2,Curses!$G$3:$G43=$A3)),"""")"),"Mortal++")</f>
        <v>Mortal++</v>
      </c>
      <c r="E3" s="289" t="str">
        <f ca="1">IFERROR(__xludf.DUMMYFUNCTION("IFERROR(JOIN("";""&amp;CHAR(10),FILTER(Curses!$A$3:$A43,Curses!$B$3:$B43=E$2,Curses!$G$3:$G43=$A3)),"""")"),"Mortal+++")</f>
        <v>Mortal+++</v>
      </c>
      <c r="F3" s="289" t="str">
        <f ca="1">IFERROR(__xludf.DUMMYFUNCTION("IFERROR(JOIN("";""&amp;CHAR(10),FILTER(Curses!$A$3:$A43,Curses!$B$3:$B43=F$2,Curses!$G$3:$G43=$A3)),"""")"),"Mortal++++")</f>
        <v>Mortal++++</v>
      </c>
      <c r="G3" s="289" t="str">
        <f ca="1">IFERROR(__xludf.DUMMYFUNCTION("IFERROR(JOIN("";""&amp;CHAR(10),FILTER(Curses!$A$3:$A43,Curses!$B$3:$B43=G$2,Curses!$G$3:$G43=$A3)),"""")"),"")</f>
        <v/>
      </c>
      <c r="H3" s="289" t="str">
        <f ca="1">IFERROR(__xludf.DUMMYFUNCTION("IFERROR(JOIN("";""&amp;CHAR(10),FILTER(Curses!$A$3:$A43,Curses!$B$3:$B43=H$2,Curses!$G$3:$G43=$A3)),"""")"),"Mortal+++++")</f>
        <v>Mortal+++++</v>
      </c>
      <c r="I3" s="289" t="str">
        <f ca="1">IFERROR(__xludf.DUMMYFUNCTION("IFERROR(JOIN("";""&amp;CHAR(10),FILTER(Curses!$A$3:$A43,Curses!$B$3:$B43=I$2,Curses!$G$3:$G43=$A3)),"""")"),"")</f>
        <v/>
      </c>
      <c r="J3" s="289" t="str">
        <f ca="1">IFERROR(__xludf.DUMMYFUNCTION("IFERROR(JOIN("";""&amp;CHAR(10),FILTER(Curses!$A$3:$A43,Curses!$B$3:$B43=J$2,Curses!$G$3:$G43=$A3)),"""")"),"")</f>
        <v/>
      </c>
      <c r="K3" s="289" t="str">
        <f ca="1">IFERROR(__xludf.DUMMYFUNCTION("IFERROR(JOIN("";""&amp;CHAR(10),FILTER(Curses!$A$3:$A43,Curses!$B$3:$B43=K$2,Curses!$G$3:$G43=$A3)),"""")"),"Mortal++++++")</f>
        <v>Mortal++++++</v>
      </c>
      <c r="L3" s="289" t="str">
        <f ca="1">IFERROR(__xludf.DUMMYFUNCTION("IFERROR(JOIN("";""&amp;CHAR(10),FILTER(Curses!$A$3:$A43,Curses!$B$3:$B43=L$2,Curses!$G$3:$G43=$A3)),"""")"),"")</f>
        <v/>
      </c>
      <c r="M3" s="289" t="str">
        <f ca="1">IFERROR(__xludf.DUMMYFUNCTION("IFERROR(JOIN("";""&amp;CHAR(10),FILTER(Curses!$A$3:$A43,Curses!$B$3:$B43=M$2,Curses!$G$3:$G43=$A3)),"""")"),"")</f>
        <v/>
      </c>
      <c r="N3" s="289" t="str">
        <f ca="1">IFERROR(__xludf.DUMMYFUNCTION("IFERROR(JOIN("";""&amp;CHAR(10),FILTER(Curses!$A$3:$A43,Curses!$B$3:$B43=N$2,Curses!$G$3:$G43=$A3)),"""")"),"")</f>
        <v/>
      </c>
      <c r="O3" s="289" t="str">
        <f ca="1">IFERROR(__xludf.DUMMYFUNCTION("IFERROR(JOIN("";""&amp;CHAR(10),FILTER(Curses!$A$3:$A43,Curses!$B$3:$B43=O$2,Curses!$G$3:$G43=$A3)),"""")"),"")</f>
        <v/>
      </c>
      <c r="P3" s="289" t="str">
        <f ca="1">IFERROR(__xludf.DUMMYFUNCTION("IFERROR(JOIN("";""&amp;CHAR(10),FILTER(Curses!$A$3:$A43,Curses!$B$3:$B43=P$2,Curses!$G$3:$G43=$A3)),"""")"),"Mortal+++++++")</f>
        <v>Mortal+++++++</v>
      </c>
      <c r="Q3" s="289" t="str">
        <f ca="1">IFERROR(__xludf.DUMMYFUNCTION("IFERROR(JOIN("";""&amp;CHAR(10),FILTER(Curses!$A$3:$A43,Curses!$B$3:$B43=Q$2,Curses!$G$3:$G43=$A3)),"""")"),"")</f>
        <v/>
      </c>
      <c r="R3" s="289" t="str">
        <f ca="1">IFERROR(__xludf.DUMMYFUNCTION("IFERROR(JOIN("";""&amp;CHAR(10),FILTER(Curses!$A$3:$A43,Curses!$B$3:$B43=R$2,Curses!$G$3:$G43=$A3)),"""")"),"")</f>
        <v/>
      </c>
      <c r="S3" s="289" t="str">
        <f ca="1">IFERROR(__xludf.DUMMYFUNCTION("IFERROR(JOIN("";""&amp;CHAR(10),FILTER(Curses!$A$3:$A43,Curses!$B$3:$B43=S$2,Curses!$G$3:$G43=$A3)),"""")"),"")</f>
        <v/>
      </c>
      <c r="T3" s="289" t="str">
        <f ca="1">IFERROR(__xludf.DUMMYFUNCTION("IFERROR(JOIN("";""&amp;CHAR(10),FILTER(Curses!$A$3:$A43,Curses!$B$3:$B43=T$2,Curses!$G$3:$G43=$A3)),"""")"),"")</f>
        <v/>
      </c>
      <c r="U3" s="289" t="str">
        <f ca="1">IFERROR(__xludf.DUMMYFUNCTION("IFERROR(JOIN("";""&amp;CHAR(10),FILTER(Curses!$A$3:$A43,Curses!$B$3:$B43=U$2,Curses!$G$3:$G43=$A3)),"""")"),"")</f>
        <v/>
      </c>
      <c r="V3" s="289" t="str">
        <f ca="1">IFERROR(__xludf.DUMMYFUNCTION("IFERROR(JOIN("";""&amp;CHAR(10),FILTER(Curses!$A$3:$A43,Curses!$B$3:$B43=V$2,Curses!$G$3:$G43=$A3)),"""")"),"")</f>
        <v/>
      </c>
      <c r="W3" s="289" t="str">
        <f ca="1">IFERROR(__xludf.DUMMYFUNCTION("IFERROR(JOIN("";""&amp;CHAR(10),FILTER(Curses!$A$3:$A43,Curses!$B$3:$B43=W$2,Curses!$G$3:$G43=$A3)),"""")"),"")</f>
        <v/>
      </c>
      <c r="X3" s="289" t="str">
        <f ca="1">IFERROR(__xludf.DUMMYFUNCTION("IFERROR(JOIN("";""&amp;CHAR(10),FILTER(Curses!$A$3:$A43,Curses!$B$3:$B43=X$2,Curses!$G$3:$G43=$A3)),"""")"),"")</f>
        <v/>
      </c>
      <c r="Y3" s="289" t="str">
        <f ca="1">IFERROR(__xludf.DUMMYFUNCTION("IFERROR(JOIN("";""&amp;CHAR(10),FILTER(Curses!$A$3:$A43,Curses!$B$3:$B43=Y$2,Curses!$G$3:$G43=$A3)),"""")"),"Mortal++++++++")</f>
        <v>Mortal++++++++</v>
      </c>
      <c r="Z3" s="289" t="str">
        <f ca="1">IFERROR(__xludf.DUMMYFUNCTION("IFERROR(JOIN("";""&amp;CHAR(10),FILTER(Curses!$A$3:$A43,Curses!$B$3:$B43=Z$2,Curses!$G$3:$G43=$A3)),"""")"),"")</f>
        <v/>
      </c>
      <c r="AA3" s="289" t="str">
        <f ca="1">IFERROR(__xludf.DUMMYFUNCTION("IFERROR(JOIN("";""&amp;CHAR(10),FILTER(Curses!$A$3:$A43,Curses!$B$3:$B43=AA$2,Curses!$G$3:$G43=$A3)),"""")"),"")</f>
        <v/>
      </c>
      <c r="AB3" s="289" t="str">
        <f ca="1">IFERROR(__xludf.DUMMYFUNCTION("IFERROR(JOIN("";""&amp;CHAR(10),FILTER(Curses!$A$3:$A43,Curses!$B$3:$B43=AB$2,Curses!$G$3:$G43=$A3)),"""")"),"")</f>
        <v/>
      </c>
      <c r="AC3" s="289" t="str">
        <f ca="1">IFERROR(__xludf.DUMMYFUNCTION("IFERROR(JOIN("";""&amp;CHAR(10),FILTER(Curses!$A$3:$A43,Curses!$B$3:$B43=AC$2,Curses!$G$3:$G43=$A3)),"""")"),"")</f>
        <v/>
      </c>
      <c r="AD3" s="289" t="str">
        <f ca="1">IFERROR(__xludf.DUMMYFUNCTION("IFERROR(JOIN("";""&amp;CHAR(10),FILTER(Curses!$A$3:$A43,Curses!$B$3:$B43=AD$2,Curses!$G$3:$G43=$A3)),"""")"),"")</f>
        <v/>
      </c>
      <c r="AE3" s="289" t="str">
        <f ca="1">IFERROR(__xludf.DUMMYFUNCTION("IFERROR(JOIN("";""&amp;CHAR(10),FILTER(Curses!$A$3:$A43,Curses!$B$3:$B43=AE$2,Curses!$G$3:$G43=$A3)),"""")"),"")</f>
        <v/>
      </c>
      <c r="AF3" s="289" t="str">
        <f ca="1">IFERROR(__xludf.DUMMYFUNCTION("IFERROR(JOIN("";""&amp;CHAR(10),FILTER(Curses!$A$3:$A43,Curses!$B$3:$B43=AF$2,Curses!$G$3:$G43=$A3)),"""")"),"")</f>
        <v/>
      </c>
      <c r="AG3" s="289" t="str">
        <f ca="1">IFERROR(__xludf.DUMMYFUNCTION("IFERROR(JOIN("";""&amp;CHAR(10),FILTER(Curses!$A$3:$A43,Curses!$B$3:$B43=AG$2,Curses!$G$3:$G43=$A3)),"""")"),"")</f>
        <v/>
      </c>
      <c r="AH3" s="289" t="str">
        <f ca="1">IFERROR(__xludf.DUMMYFUNCTION("IFERROR(JOIN("";""&amp;CHAR(10),FILTER(Curses!$A$3:$A43,Curses!$B$3:$B43=AH$2,Curses!$G$3:$G43=$A3)),"""")"),"Mortal+++++++++")</f>
        <v>Mortal+++++++++</v>
      </c>
      <c r="AI3" s="289" t="str">
        <f ca="1">IFERROR(__xludf.DUMMYFUNCTION("IFERROR(JOIN("";""&amp;CHAR(10),FILTER(Curses!$A$3:$A43,Curses!$B$3:$B43=AI$2,Curses!$G$3:$G43=$A3)),"""")"),"")</f>
        <v/>
      </c>
      <c r="AJ3" s="289" t="str">
        <f ca="1">IFERROR(__xludf.DUMMYFUNCTION("IFERROR(JOIN("";""&amp;CHAR(10),FILTER(Curses!$A$3:$A43,Curses!$B$3:$B43=AJ$2,Curses!$G$3:$G43=$A3)),"""")"),"")</f>
        <v/>
      </c>
      <c r="AK3" s="289" t="str">
        <f ca="1">IFERROR(__xludf.DUMMYFUNCTION("IFERROR(JOIN("";""&amp;CHAR(10),FILTER(Curses!$A$3:$A43,Curses!$B$3:$B43=AK$2,Curses!$G$3:$G43=$A3)),"""")"),"")</f>
        <v/>
      </c>
      <c r="AL3" s="289" t="str">
        <f ca="1">IFERROR(__xludf.DUMMYFUNCTION("IFERROR(JOIN("";""&amp;CHAR(10),FILTER(Curses!$A$3:$A43,Curses!$B$3:$B43=AL$2,Curses!$G$3:$G43=$A3)),"""")"),"Mortal++++++++++")</f>
        <v>Mortal++++++++++</v>
      </c>
      <c r="AM3" s="289" t="str">
        <f ca="1">IFERROR(__xludf.DUMMYFUNCTION("IFERROR(JOIN("";""&amp;CHAR(10),FILTER(Curses!$A$3:$A43,Curses!$B$3:$B43=AM$2,Curses!$G$3:$G43=$A3)),"""")"),"")</f>
        <v/>
      </c>
    </row>
    <row r="4" spans="1:39">
      <c r="A4" s="292" t="str">
        <f ca="1">IFERROR(__xludf.DUMMYFUNCTION("""COMPUTED_VALUE"""),"Monster HP")</f>
        <v>Monster HP</v>
      </c>
      <c r="B4" s="289" t="str">
        <f ca="1">IFERROR(__xludf.DUMMYFUNCTION("IFERROR(JOIN("";""&amp;CHAR(10),FILTER(Curses!$A$3:$A43,Curses!$B$3:$B43=B$2,Curses!$G$3:$G43=$A4)),"""")"),"Monster HP")</f>
        <v>Monster HP</v>
      </c>
      <c r="C4" s="289" t="str">
        <f ca="1">IFERROR(__xludf.DUMMYFUNCTION("IFERROR(JOIN("";""&amp;CHAR(10),FILTER(Curses!$A$3:$A43,Curses!$B$3:$B43=C$2,Curses!$G$3:$G43=$A4)),"""")"),"Monster HP+")</f>
        <v>Monster HP+</v>
      </c>
      <c r="D4" s="289" t="str">
        <f ca="1">IFERROR(__xludf.DUMMYFUNCTION("IFERROR(JOIN("";""&amp;CHAR(10),FILTER(Curses!$A$3:$A43,Curses!$B$3:$B43=D$2,Curses!$G$3:$G43=$A4)),"""")"),"Monster HP++")</f>
        <v>Monster HP++</v>
      </c>
      <c r="E4" s="289" t="str">
        <f ca="1">IFERROR(__xludf.DUMMYFUNCTION("IFERROR(JOIN("";""&amp;CHAR(10),FILTER(Curses!$A$3:$A43,Curses!$B$3:$B43=E$2,Curses!$G$3:$G43=$A4)),"""")"),"Monster HP+++")</f>
        <v>Monster HP+++</v>
      </c>
      <c r="F4" s="289" t="str">
        <f ca="1">IFERROR(__xludf.DUMMYFUNCTION("IFERROR(JOIN("";""&amp;CHAR(10),FILTER(Curses!$A$3:$A43,Curses!$B$3:$B43=F$2,Curses!$G$3:$G43=$A4)),"""")"),"Monster HP++++")</f>
        <v>Monster HP++++</v>
      </c>
      <c r="G4" s="289" t="str">
        <f ca="1">IFERROR(__xludf.DUMMYFUNCTION("IFERROR(JOIN("";""&amp;CHAR(10),FILTER(Curses!$A$3:$A43,Curses!$B$3:$B43=G$2,Curses!$G$3:$G43=$A4)),"""")"),"Monster HP+++++")</f>
        <v>Monster HP+++++</v>
      </c>
      <c r="H4" s="289" t="str">
        <f ca="1">IFERROR(__xludf.DUMMYFUNCTION("IFERROR(JOIN("";""&amp;CHAR(10),FILTER(Curses!$A$3:$A43,Curses!$B$3:$B43=H$2,Curses!$G$3:$G43=$A4)),"""")"),"Monster HP++++++")</f>
        <v>Monster HP++++++</v>
      </c>
      <c r="I4" s="289" t="str">
        <f ca="1">IFERROR(__xludf.DUMMYFUNCTION("IFERROR(JOIN("";""&amp;CHAR(10),FILTER(Curses!$A$3:$A43,Curses!$B$3:$B43=I$2,Curses!$G$3:$G43=$A4)),"""")"),"Monster HP+++++++")</f>
        <v>Monster HP+++++++</v>
      </c>
      <c r="J4" s="289" t="str">
        <f ca="1">IFERROR(__xludf.DUMMYFUNCTION("IFERROR(JOIN("";""&amp;CHAR(10),FILTER(Curses!$A$3:$A43,Curses!$B$3:$B43=J$2,Curses!$G$3:$G43=$A4)),"""")"),"Monster HP++++++++")</f>
        <v>Monster HP++++++++</v>
      </c>
      <c r="K4" s="289" t="str">
        <f ca="1">IFERROR(__xludf.DUMMYFUNCTION("IFERROR(JOIN("";""&amp;CHAR(10),FILTER(Curses!$A$3:$A43,Curses!$B$3:$B43=K$2,Curses!$G$3:$G43=$A4)),"""")"),"")</f>
        <v/>
      </c>
      <c r="L4" s="289" t="str">
        <f ca="1">IFERROR(__xludf.DUMMYFUNCTION("IFERROR(JOIN("";""&amp;CHAR(10),FILTER(Curses!$A$3:$A43,Curses!$B$3:$B43=L$2,Curses!$G$3:$G43=$A4)),"""")"),"")</f>
        <v/>
      </c>
      <c r="M4" s="289" t="str">
        <f ca="1">IFERROR(__xludf.DUMMYFUNCTION("IFERROR(JOIN("";""&amp;CHAR(10),FILTER(Curses!$A$3:$A43,Curses!$B$3:$B43=M$2,Curses!$G$3:$G43=$A4)),"""")"),"")</f>
        <v/>
      </c>
      <c r="N4" s="289" t="str">
        <f ca="1">IFERROR(__xludf.DUMMYFUNCTION("IFERROR(JOIN("";""&amp;CHAR(10),FILTER(Curses!$A$3:$A43,Curses!$B$3:$B43=N$2,Curses!$G$3:$G43=$A4)),"""")"),"")</f>
        <v/>
      </c>
      <c r="O4" s="289" t="str">
        <f ca="1">IFERROR(__xludf.DUMMYFUNCTION("IFERROR(JOIN("";""&amp;CHAR(10),FILTER(Curses!$A$3:$A43,Curses!$B$3:$B43=O$2,Curses!$G$3:$G43=$A4)),"""")"),"")</f>
        <v/>
      </c>
      <c r="P4" s="289" t="str">
        <f ca="1">IFERROR(__xludf.DUMMYFUNCTION("IFERROR(JOIN("";""&amp;CHAR(10),FILTER(Curses!$A$3:$A43,Curses!$B$3:$B43=P$2,Curses!$G$3:$G43=$A4)),"""")"),"")</f>
        <v/>
      </c>
      <c r="Q4" s="289" t="str">
        <f ca="1">IFERROR(__xludf.DUMMYFUNCTION("IFERROR(JOIN("";""&amp;CHAR(10),FILTER(Curses!$A$3:$A43,Curses!$B$3:$B43=Q$2,Curses!$G$3:$G43=$A4)),"""")"),"")</f>
        <v/>
      </c>
      <c r="R4" s="289" t="str">
        <f ca="1">IFERROR(__xludf.DUMMYFUNCTION("IFERROR(JOIN("";""&amp;CHAR(10),FILTER(Curses!$A$3:$A43,Curses!$B$3:$B43=R$2,Curses!$G$3:$G43=$A4)),"""")"),"")</f>
        <v/>
      </c>
      <c r="S4" s="289" t="str">
        <f ca="1">IFERROR(__xludf.DUMMYFUNCTION("IFERROR(JOIN("";""&amp;CHAR(10),FILTER(Curses!$A$3:$A43,Curses!$B$3:$B43=S$2,Curses!$G$3:$G43=$A4)),"""")"),"")</f>
        <v/>
      </c>
      <c r="T4" s="289" t="str">
        <f ca="1">IFERROR(__xludf.DUMMYFUNCTION("IFERROR(JOIN("";""&amp;CHAR(10),FILTER(Curses!$A$3:$A43,Curses!$B$3:$B43=T$2,Curses!$G$3:$G43=$A4)),"""")"),"")</f>
        <v/>
      </c>
      <c r="U4" s="289" t="str">
        <f ca="1">IFERROR(__xludf.DUMMYFUNCTION("IFERROR(JOIN("";""&amp;CHAR(10),FILTER(Curses!$A$3:$A43,Curses!$B$3:$B43=U$2,Curses!$G$3:$G43=$A4)),"""")"),"Monster HP+++++++++")</f>
        <v>Monster HP+++++++++</v>
      </c>
      <c r="V4" s="289" t="str">
        <f ca="1">IFERROR(__xludf.DUMMYFUNCTION("IFERROR(JOIN("";""&amp;CHAR(10),FILTER(Curses!$A$3:$A43,Curses!$B$3:$B43=V$2,Curses!$G$3:$G43=$A4)),"""")"),"")</f>
        <v/>
      </c>
      <c r="W4" s="289" t="str">
        <f ca="1">IFERROR(__xludf.DUMMYFUNCTION("IFERROR(JOIN("";""&amp;CHAR(10),FILTER(Curses!$A$3:$A43,Curses!$B$3:$B43=W$2,Curses!$G$3:$G43=$A4)),"""")"),"")</f>
        <v/>
      </c>
      <c r="X4" s="289" t="str">
        <f ca="1">IFERROR(__xludf.DUMMYFUNCTION("IFERROR(JOIN("";""&amp;CHAR(10),FILTER(Curses!$A$3:$A43,Curses!$B$3:$B43=X$2,Curses!$G$3:$G43=$A4)),"""")"),"")</f>
        <v/>
      </c>
      <c r="Y4" s="289" t="str">
        <f ca="1">IFERROR(__xludf.DUMMYFUNCTION("IFERROR(JOIN("";""&amp;CHAR(10),FILTER(Curses!$A$3:$A43,Curses!$B$3:$B43=Y$2,Curses!$G$3:$G43=$A4)),"""")"),"")</f>
        <v/>
      </c>
      <c r="Z4" s="289" t="str">
        <f ca="1">IFERROR(__xludf.DUMMYFUNCTION("IFERROR(JOIN("";""&amp;CHAR(10),FILTER(Curses!$A$3:$A43,Curses!$B$3:$B43=Z$2,Curses!$G$3:$G43=$A4)),"""")"),"")</f>
        <v/>
      </c>
      <c r="AA4" s="289" t="str">
        <f ca="1">IFERROR(__xludf.DUMMYFUNCTION("IFERROR(JOIN("";""&amp;CHAR(10),FILTER(Curses!$A$3:$A43,Curses!$B$3:$B43=AA$2,Curses!$G$3:$G43=$A4)),"""")"),"")</f>
        <v/>
      </c>
      <c r="AB4" s="289" t="str">
        <f ca="1">IFERROR(__xludf.DUMMYFUNCTION("IFERROR(JOIN("";""&amp;CHAR(10),FILTER(Curses!$A$3:$A43,Curses!$B$3:$B43=AB$2,Curses!$G$3:$G43=$A4)),"""")"),"")</f>
        <v/>
      </c>
      <c r="AC4" s="289" t="str">
        <f ca="1">IFERROR(__xludf.DUMMYFUNCTION("IFERROR(JOIN("";""&amp;CHAR(10),FILTER(Curses!$A$3:$A43,Curses!$B$3:$B43=AC$2,Curses!$G$3:$G43=$A4)),"""")"),"")</f>
        <v/>
      </c>
      <c r="AD4" s="289" t="str">
        <f ca="1">IFERROR(__xludf.DUMMYFUNCTION("IFERROR(JOIN("";""&amp;CHAR(10),FILTER(Curses!$A$3:$A43,Curses!$B$3:$B43=AD$2,Curses!$G$3:$G43=$A4)),"""")"),"")</f>
        <v/>
      </c>
      <c r="AE4" s="289" t="str">
        <f ca="1">IFERROR(__xludf.DUMMYFUNCTION("IFERROR(JOIN("";""&amp;CHAR(10),FILTER(Curses!$A$3:$A43,Curses!$B$3:$B43=AE$2,Curses!$G$3:$G43=$A4)),"""")"),"")</f>
        <v/>
      </c>
      <c r="AF4" s="289" t="str">
        <f ca="1">IFERROR(__xludf.DUMMYFUNCTION("IFERROR(JOIN("";""&amp;CHAR(10),FILTER(Curses!$A$3:$A43,Curses!$B$3:$B43=AF$2,Curses!$G$3:$G43=$A4)),"""")"),"")</f>
        <v/>
      </c>
      <c r="AG4" s="289" t="str">
        <f ca="1">IFERROR(__xludf.DUMMYFUNCTION("IFERROR(JOIN("";""&amp;CHAR(10),FILTER(Curses!$A$3:$A43,Curses!$B$3:$B43=AG$2,Curses!$G$3:$G43=$A4)),"""")"),"")</f>
        <v/>
      </c>
      <c r="AH4" s="289" t="str">
        <f ca="1">IFERROR(__xludf.DUMMYFUNCTION("IFERROR(JOIN("";""&amp;CHAR(10),FILTER(Curses!$A$3:$A43,Curses!$B$3:$B43=AH$2,Curses!$G$3:$G43=$A4)),"""")"),"")</f>
        <v/>
      </c>
      <c r="AI4" s="289" t="str">
        <f ca="1">IFERROR(__xludf.DUMMYFUNCTION("IFERROR(JOIN("";""&amp;CHAR(10),FILTER(Curses!$A$3:$A43,Curses!$B$3:$B43=AI$2,Curses!$G$3:$G43=$A4)),"""")"),"")</f>
        <v/>
      </c>
      <c r="AJ4" s="289" t="str">
        <f ca="1">IFERROR(__xludf.DUMMYFUNCTION("IFERROR(JOIN("";""&amp;CHAR(10),FILTER(Curses!$A$3:$A43,Curses!$B$3:$B43=AJ$2,Curses!$G$3:$G43=$A4)),"""")"),"")</f>
        <v/>
      </c>
      <c r="AK4" s="289" t="str">
        <f ca="1">IFERROR(__xludf.DUMMYFUNCTION("IFERROR(JOIN("";""&amp;CHAR(10),FILTER(Curses!$A$3:$A43,Curses!$B$3:$B43=AK$2,Curses!$G$3:$G43=$A4)),"""")"),"")</f>
        <v/>
      </c>
      <c r="AL4" s="289" t="str">
        <f ca="1">IFERROR(__xludf.DUMMYFUNCTION("IFERROR(JOIN("";""&amp;CHAR(10),FILTER(Curses!$A$3:$A43,Curses!$B$3:$B43=AL$2,Curses!$G$3:$G43=$A4)),"""")"),"")</f>
        <v/>
      </c>
      <c r="AM4" s="289" t="str">
        <f ca="1">IFERROR(__xludf.DUMMYFUNCTION("IFERROR(JOIN("";""&amp;CHAR(10),FILTER(Curses!$A$3:$A43,Curses!$B$3:$B43=AM$2,Curses!$G$3:$G43=$A4)),"""")"),"")</f>
        <v/>
      </c>
    </row>
    <row r="5" spans="1:39">
      <c r="A5" s="292" t="str">
        <f ca="1">IFERROR(__xludf.DUMMYFUNCTION("""COMPUTED_VALUE"""),"Sandstorm")</f>
        <v>Sandstorm</v>
      </c>
      <c r="B5" s="289" t="str">
        <f ca="1">IFERROR(__xludf.DUMMYFUNCTION("IFERROR(JOIN("";""&amp;CHAR(10),FILTER(Curses!$A$3:$A43,Curses!$B$3:$B43=B$2,Curses!$G$3:$G43=$A5)),"""")"),"Sandstorm")</f>
        <v>Sandstorm</v>
      </c>
      <c r="C5" s="289" t="str">
        <f ca="1">IFERROR(__xludf.DUMMYFUNCTION("IFERROR(JOIN("";""&amp;CHAR(10),FILTER(Curses!$A$3:$A43,Curses!$B$3:$B43=C$2,Curses!$G$3:$G43=$A5)),"""")"),"Sandstorm+")</f>
        <v>Sandstorm+</v>
      </c>
      <c r="D5" s="289" t="str">
        <f ca="1">IFERROR(__xludf.DUMMYFUNCTION("IFERROR(JOIN("";""&amp;CHAR(10),FILTER(Curses!$A$3:$A43,Curses!$B$3:$B43=D$2,Curses!$G$3:$G43=$A5)),"""")"),"Sandstorm++")</f>
        <v>Sandstorm++</v>
      </c>
      <c r="E5" s="289" t="str">
        <f ca="1">IFERROR(__xludf.DUMMYFUNCTION("IFERROR(JOIN("";""&amp;CHAR(10),FILTER(Curses!$A$3:$A43,Curses!$B$3:$B43=E$2,Curses!$G$3:$G43=$A5)),"""")"),"Sandstorm+++")</f>
        <v>Sandstorm+++</v>
      </c>
      <c r="F5" s="289" t="str">
        <f ca="1">IFERROR(__xludf.DUMMYFUNCTION("IFERROR(JOIN("";""&amp;CHAR(10),FILTER(Curses!$A$3:$A43,Curses!$B$3:$B43=F$2,Curses!$G$3:$G43=$A5)),"""")"),"Sandstorm++++")</f>
        <v>Sandstorm++++</v>
      </c>
      <c r="G5" s="289" t="str">
        <f ca="1">IFERROR(__xludf.DUMMYFUNCTION("IFERROR(JOIN("";""&amp;CHAR(10),FILTER(Curses!$A$3:$A43,Curses!$B$3:$B43=G$2,Curses!$G$3:$G43=$A5)),"""")"),"Sandstorm+++++")</f>
        <v>Sandstorm+++++</v>
      </c>
      <c r="H5" s="289" t="str">
        <f ca="1">IFERROR(__xludf.DUMMYFUNCTION("IFERROR(JOIN("";""&amp;CHAR(10),FILTER(Curses!$A$3:$A43,Curses!$B$3:$B43=H$2,Curses!$G$3:$G43=$A5)),"""")"),"Sandstorm++++++")</f>
        <v>Sandstorm++++++</v>
      </c>
      <c r="I5" s="289" t="str">
        <f ca="1">IFERROR(__xludf.DUMMYFUNCTION("IFERROR(JOIN("";""&amp;CHAR(10),FILTER(Curses!$A$3:$A43,Curses!$B$3:$B43=I$2,Curses!$G$3:$G43=$A5)),"""")"),"Sandstorm+++++++")</f>
        <v>Sandstorm+++++++</v>
      </c>
      <c r="J5" s="289" t="str">
        <f ca="1">IFERROR(__xludf.DUMMYFUNCTION("IFERROR(JOIN("";""&amp;CHAR(10),FILTER(Curses!$A$3:$A43,Curses!$B$3:$B43=J$2,Curses!$G$3:$G43=$A5)),"""")"),"Sandstorm++++++++")</f>
        <v>Sandstorm++++++++</v>
      </c>
      <c r="K5" s="289" t="str">
        <f ca="1">IFERROR(__xludf.DUMMYFUNCTION("IFERROR(JOIN("";""&amp;CHAR(10),FILTER(Curses!$A$3:$A43,Curses!$B$3:$B43=K$2,Curses!$G$3:$G43=$A5)),"""")"),"")</f>
        <v/>
      </c>
      <c r="L5" s="289" t="str">
        <f ca="1">IFERROR(__xludf.DUMMYFUNCTION("IFERROR(JOIN("";""&amp;CHAR(10),FILTER(Curses!$A$3:$A43,Curses!$B$3:$B43=L$2,Curses!$G$3:$G43=$A5)),"""")"),"")</f>
        <v/>
      </c>
      <c r="M5" s="289" t="str">
        <f ca="1">IFERROR(__xludf.DUMMYFUNCTION("IFERROR(JOIN("";""&amp;CHAR(10),FILTER(Curses!$A$3:$A43,Curses!$B$3:$B43=M$2,Curses!$G$3:$G43=$A5)),"""")"),"")</f>
        <v/>
      </c>
      <c r="N5" s="289" t="str">
        <f ca="1">IFERROR(__xludf.DUMMYFUNCTION("IFERROR(JOIN("";""&amp;CHAR(10),FILTER(Curses!$A$3:$A43,Curses!$B$3:$B43=N$2,Curses!$G$3:$G43=$A5)),"""")"),"")</f>
        <v/>
      </c>
      <c r="O5" s="289" t="str">
        <f ca="1">IFERROR(__xludf.DUMMYFUNCTION("IFERROR(JOIN("";""&amp;CHAR(10),FILTER(Curses!$A$3:$A43,Curses!$B$3:$B43=O$2,Curses!$G$3:$G43=$A5)),"""")"),"")</f>
        <v/>
      </c>
      <c r="P5" s="289" t="str">
        <f ca="1">IFERROR(__xludf.DUMMYFUNCTION("IFERROR(JOIN("";""&amp;CHAR(10),FILTER(Curses!$A$3:$A43,Curses!$B$3:$B43=P$2,Curses!$G$3:$G43=$A5)),"""")"),"")</f>
        <v/>
      </c>
      <c r="Q5" s="289" t="str">
        <f ca="1">IFERROR(__xludf.DUMMYFUNCTION("IFERROR(JOIN("";""&amp;CHAR(10),FILTER(Curses!$A$3:$A43,Curses!$B$3:$B43=Q$2,Curses!$G$3:$G43=$A5)),"""")"),"")</f>
        <v/>
      </c>
      <c r="R5" s="289" t="str">
        <f ca="1">IFERROR(__xludf.DUMMYFUNCTION("IFERROR(JOIN("";""&amp;CHAR(10),FILTER(Curses!$A$3:$A43,Curses!$B$3:$B43=R$2,Curses!$G$3:$G43=$A5)),"""")"),"")</f>
        <v/>
      </c>
      <c r="S5" s="289" t="str">
        <f ca="1">IFERROR(__xludf.DUMMYFUNCTION("IFERROR(JOIN("";""&amp;CHAR(10),FILTER(Curses!$A$3:$A43,Curses!$B$3:$B43=S$2,Curses!$G$3:$G43=$A5)),"""")"),"")</f>
        <v/>
      </c>
      <c r="T5" s="289" t="str">
        <f ca="1">IFERROR(__xludf.DUMMYFUNCTION("IFERROR(JOIN("";""&amp;CHAR(10),FILTER(Curses!$A$3:$A43,Curses!$B$3:$B43=T$2,Curses!$G$3:$G43=$A5)),"""")"),"")</f>
        <v/>
      </c>
      <c r="U5" s="289" t="str">
        <f ca="1">IFERROR(__xludf.DUMMYFUNCTION("IFERROR(JOIN("";""&amp;CHAR(10),FILTER(Curses!$A$3:$A43,Curses!$B$3:$B43=U$2,Curses!$G$3:$G43=$A5)),"""")"),"")</f>
        <v/>
      </c>
      <c r="V5" s="289" t="str">
        <f ca="1">IFERROR(__xludf.DUMMYFUNCTION("IFERROR(JOIN("";""&amp;CHAR(10),FILTER(Curses!$A$3:$A43,Curses!$B$3:$B43=V$2,Curses!$G$3:$G43=$A5)),"""")"),"")</f>
        <v/>
      </c>
      <c r="W5" s="289" t="str">
        <f ca="1">IFERROR(__xludf.DUMMYFUNCTION("IFERROR(JOIN("";""&amp;CHAR(10),FILTER(Curses!$A$3:$A43,Curses!$B$3:$B43=W$2,Curses!$G$3:$G43=$A5)),"""")"),"")</f>
        <v/>
      </c>
      <c r="X5" s="289" t="str">
        <f ca="1">IFERROR(__xludf.DUMMYFUNCTION("IFERROR(JOIN("";""&amp;CHAR(10),FILTER(Curses!$A$3:$A43,Curses!$B$3:$B43=X$2,Curses!$G$3:$G43=$A5)),"""")"),"")</f>
        <v/>
      </c>
      <c r="Y5" s="289" t="str">
        <f ca="1">IFERROR(__xludf.DUMMYFUNCTION("IFERROR(JOIN("";""&amp;CHAR(10),FILTER(Curses!$A$3:$A43,Curses!$B$3:$B43=Y$2,Curses!$G$3:$G43=$A5)),"""")"),"")</f>
        <v/>
      </c>
      <c r="Z5" s="289" t="str">
        <f ca="1">IFERROR(__xludf.DUMMYFUNCTION("IFERROR(JOIN("";""&amp;CHAR(10),FILTER(Curses!$A$3:$A43,Curses!$B$3:$B43=Z$2,Curses!$G$3:$G43=$A5)),"""")"),"")</f>
        <v/>
      </c>
      <c r="AA5" s="289" t="str">
        <f ca="1">IFERROR(__xludf.DUMMYFUNCTION("IFERROR(JOIN("";""&amp;CHAR(10),FILTER(Curses!$A$3:$A43,Curses!$B$3:$B43=AA$2,Curses!$G$3:$G43=$A5)),"""")"),"")</f>
        <v/>
      </c>
      <c r="AB5" s="289" t="str">
        <f ca="1">IFERROR(__xludf.DUMMYFUNCTION("IFERROR(JOIN("";""&amp;CHAR(10),FILTER(Curses!$A$3:$A43,Curses!$B$3:$B43=AB$2,Curses!$G$3:$G43=$A5)),"""")"),"")</f>
        <v/>
      </c>
      <c r="AC5" s="289" t="str">
        <f ca="1">IFERROR(__xludf.DUMMYFUNCTION("IFERROR(JOIN("";""&amp;CHAR(10),FILTER(Curses!$A$3:$A43,Curses!$B$3:$B43=AC$2,Curses!$G$3:$G43=$A5)),"""")"),"")</f>
        <v/>
      </c>
      <c r="AD5" s="289" t="str">
        <f ca="1">IFERROR(__xludf.DUMMYFUNCTION("IFERROR(JOIN("";""&amp;CHAR(10),FILTER(Curses!$A$3:$A43,Curses!$B$3:$B43=AD$2,Curses!$G$3:$G43=$A5)),"""")"),"")</f>
        <v/>
      </c>
      <c r="AE5" s="289" t="str">
        <f ca="1">IFERROR(__xludf.DUMMYFUNCTION("IFERROR(JOIN("";""&amp;CHAR(10),FILTER(Curses!$A$3:$A43,Curses!$B$3:$B43=AE$2,Curses!$G$3:$G43=$A5)),"""")"),"")</f>
        <v/>
      </c>
      <c r="AF5" s="289" t="str">
        <f ca="1">IFERROR(__xludf.DUMMYFUNCTION("IFERROR(JOIN("";""&amp;CHAR(10),FILTER(Curses!$A$3:$A43,Curses!$B$3:$B43=AF$2,Curses!$G$3:$G43=$A5)),"""")"),"")</f>
        <v/>
      </c>
      <c r="AG5" s="289" t="str">
        <f ca="1">IFERROR(__xludf.DUMMYFUNCTION("IFERROR(JOIN("";""&amp;CHAR(10),FILTER(Curses!$A$3:$A43,Curses!$B$3:$B43=AG$2,Curses!$G$3:$G43=$A5)),"""")"),"")</f>
        <v/>
      </c>
      <c r="AH5" s="289" t="str">
        <f ca="1">IFERROR(__xludf.DUMMYFUNCTION("IFERROR(JOIN("";""&amp;CHAR(10),FILTER(Curses!$A$3:$A43,Curses!$B$3:$B43=AH$2,Curses!$G$3:$G43=$A5)),"""")"),"")</f>
        <v/>
      </c>
      <c r="AI5" s="289" t="str">
        <f ca="1">IFERROR(__xludf.DUMMYFUNCTION("IFERROR(JOIN("";""&amp;CHAR(10),FILTER(Curses!$A$3:$A43,Curses!$B$3:$B43=AI$2,Curses!$G$3:$G43=$A5)),"""")"),"")</f>
        <v/>
      </c>
      <c r="AJ5" s="289" t="str">
        <f ca="1">IFERROR(__xludf.DUMMYFUNCTION("IFERROR(JOIN("";""&amp;CHAR(10),FILTER(Curses!$A$3:$A43,Curses!$B$3:$B43=AJ$2,Curses!$G$3:$G43=$A5)),"""")"),"")</f>
        <v/>
      </c>
      <c r="AK5" s="289" t="str">
        <f ca="1">IFERROR(__xludf.DUMMYFUNCTION("IFERROR(JOIN("";""&amp;CHAR(10),FILTER(Curses!$A$3:$A43,Curses!$B$3:$B43=AK$2,Curses!$G$3:$G43=$A5)),"""")"),"")</f>
        <v/>
      </c>
      <c r="AL5" s="289" t="str">
        <f ca="1">IFERROR(__xludf.DUMMYFUNCTION("IFERROR(JOIN("";""&amp;CHAR(10),FILTER(Curses!$A$3:$A43,Curses!$B$3:$B43=AL$2,Curses!$G$3:$G43=$A5)),"""")"),"")</f>
        <v/>
      </c>
      <c r="AM5" s="289" t="str">
        <f ca="1">IFERROR(__xludf.DUMMYFUNCTION("IFERROR(JOIN("";""&amp;CHAR(10),FILTER(Curses!$A$3:$A43,Curses!$B$3:$B43=AM$2,Curses!$G$3:$G43=$A5)),"""")"),"")</f>
        <v/>
      </c>
    </row>
    <row r="6" spans="1:39">
      <c r="A6" s="292" t="str">
        <f ca="1">IFERROR(__xludf.DUMMYFUNCTION("""COMPUTED_VALUE"""),"Limited Dice")</f>
        <v>Limited Dice</v>
      </c>
      <c r="B6" s="289" t="str">
        <f ca="1">IFERROR(__xludf.DUMMYFUNCTION("IFERROR(JOIN("";""&amp;CHAR(10),FILTER(Curses!$A$3:$A43,Curses!$B$3:$B43=B$2,Curses!$G$3:$G43=$A6)),"""")"),"Heavy Dice")</f>
        <v>Heavy Dice</v>
      </c>
      <c r="C6" s="289" t="str">
        <f ca="1">IFERROR(__xludf.DUMMYFUNCTION("IFERROR(JOIN("";""&amp;CHAR(10),FILTER(Curses!$A$3:$A43,Curses!$B$3:$B43=C$2,Curses!$G$3:$G43=$A6)),"""")"),"Slippery Dice")</f>
        <v>Slippery Dice</v>
      </c>
      <c r="D6" s="289" t="str">
        <f ca="1">IFERROR(__xludf.DUMMYFUNCTION("IFERROR(JOIN("";""&amp;CHAR(10),FILTER(Curses!$A$3:$A43,Curses!$B$3:$B43=D$2,Curses!$G$3:$G43=$A6)),"""")"),"Heavy Dice+")</f>
        <v>Heavy Dice+</v>
      </c>
      <c r="E6" s="289" t="str">
        <f ca="1">IFERROR(__xludf.DUMMYFUNCTION("IFERROR(JOIN("";""&amp;CHAR(10),FILTER(Curses!$A$3:$A43,Curses!$B$3:$B43=E$2,Curses!$G$3:$G43=$A6)),"""")"),"Slippery Dice+")</f>
        <v>Slippery Dice+</v>
      </c>
      <c r="F6" s="289" t="str">
        <f ca="1">IFERROR(__xludf.DUMMYFUNCTION("IFERROR(JOIN("";""&amp;CHAR(10),FILTER(Curses!$A$3:$A43,Curses!$B$3:$B43=F$2,Curses!$G$3:$G43=$A6)),"""")"),"Heavy Dice++")</f>
        <v>Heavy Dice++</v>
      </c>
      <c r="G6" s="289" t="str">
        <f ca="1">IFERROR(__xludf.DUMMYFUNCTION("IFERROR(JOIN("";""&amp;CHAR(10),FILTER(Curses!$A$3:$A43,Curses!$B$3:$B43=G$2,Curses!$G$3:$G43=$A6)),"""")"),"Slippery Dice++")</f>
        <v>Slippery Dice++</v>
      </c>
      <c r="H6" s="289" t="str">
        <f ca="1">IFERROR(__xludf.DUMMYFUNCTION("IFERROR(JOIN("";""&amp;CHAR(10),FILTER(Curses!$A$3:$A43,Curses!$B$3:$B43=H$2,Curses!$G$3:$G43=$A6)),"""")"),"")</f>
        <v/>
      </c>
      <c r="I6" s="289" t="str">
        <f ca="1">IFERROR(__xludf.DUMMYFUNCTION("IFERROR(JOIN("";""&amp;CHAR(10),FILTER(Curses!$A$3:$A43,Curses!$B$3:$B43=I$2,Curses!$G$3:$G43=$A6)),"""")"),"")</f>
        <v/>
      </c>
      <c r="J6" s="289" t="str">
        <f ca="1">IFERROR(__xludf.DUMMYFUNCTION("IFERROR(JOIN("";""&amp;CHAR(10),FILTER(Curses!$A$3:$A43,Curses!$B$3:$B43=J$2,Curses!$G$3:$G43=$A6)),"""")"),"")</f>
        <v/>
      </c>
      <c r="K6" s="289" t="str">
        <f ca="1">IFERROR(__xludf.DUMMYFUNCTION("IFERROR(JOIN("";""&amp;CHAR(10),FILTER(Curses!$A$3:$A43,Curses!$B$3:$B43=K$2,Curses!$G$3:$G43=$A6)),"""")"),"")</f>
        <v/>
      </c>
      <c r="L6" s="289" t="str">
        <f ca="1">IFERROR(__xludf.DUMMYFUNCTION("IFERROR(JOIN("";""&amp;CHAR(10),FILTER(Curses!$A$3:$A43,Curses!$B$3:$B43=L$2,Curses!$G$3:$G43=$A6)),"""")"),"")</f>
        <v/>
      </c>
      <c r="M6" s="289" t="str">
        <f ca="1">IFERROR(__xludf.DUMMYFUNCTION("IFERROR(JOIN("";""&amp;CHAR(10),FILTER(Curses!$A$3:$A43,Curses!$B$3:$B43=M$2,Curses!$G$3:$G43=$A6)),"""")"),"")</f>
        <v/>
      </c>
      <c r="N6" s="289" t="str">
        <f ca="1">IFERROR(__xludf.DUMMYFUNCTION("IFERROR(JOIN("";""&amp;CHAR(10),FILTER(Curses!$A$3:$A43,Curses!$B$3:$B43=N$2,Curses!$G$3:$G43=$A6)),"""")"),"")</f>
        <v/>
      </c>
      <c r="O6" s="289" t="str">
        <f ca="1">IFERROR(__xludf.DUMMYFUNCTION("IFERROR(JOIN("";""&amp;CHAR(10),FILTER(Curses!$A$3:$A43,Curses!$B$3:$B43=O$2,Curses!$G$3:$G43=$A6)),"""")"),"")</f>
        <v/>
      </c>
      <c r="P6" s="289" t="str">
        <f ca="1">IFERROR(__xludf.DUMMYFUNCTION("IFERROR(JOIN("";""&amp;CHAR(10),FILTER(Curses!$A$3:$A43,Curses!$B$3:$B43=P$2,Curses!$G$3:$G43=$A6)),"""")"),"")</f>
        <v/>
      </c>
      <c r="Q6" s="289" t="str">
        <f ca="1">IFERROR(__xludf.DUMMYFUNCTION("IFERROR(JOIN("";""&amp;CHAR(10),FILTER(Curses!$A$3:$A43,Curses!$B$3:$B43=Q$2,Curses!$G$3:$G43=$A6)),"""")"),"")</f>
        <v/>
      </c>
      <c r="R6" s="289" t="str">
        <f ca="1">IFERROR(__xludf.DUMMYFUNCTION("IFERROR(JOIN("";""&amp;CHAR(10),FILTER(Curses!$A$3:$A43,Curses!$B$3:$B43=R$2,Curses!$G$3:$G43=$A6)),"""")"),"")</f>
        <v/>
      </c>
      <c r="S6" s="289" t="str">
        <f ca="1">IFERROR(__xludf.DUMMYFUNCTION("IFERROR(JOIN("";""&amp;CHAR(10),FILTER(Curses!$A$3:$A43,Curses!$B$3:$B43=S$2,Curses!$G$3:$G43=$A6)),"""")"),"")</f>
        <v/>
      </c>
      <c r="T6" s="289" t="str">
        <f ca="1">IFERROR(__xludf.DUMMYFUNCTION("IFERROR(JOIN("";""&amp;CHAR(10),FILTER(Curses!$A$3:$A43,Curses!$B$3:$B43=T$2,Curses!$G$3:$G43=$A6)),"""")"),"")</f>
        <v/>
      </c>
      <c r="U6" s="289" t="str">
        <f ca="1">IFERROR(__xludf.DUMMYFUNCTION("IFERROR(JOIN("";""&amp;CHAR(10),FILTER(Curses!$A$3:$A43,Curses!$B$3:$B43=U$2,Curses!$G$3:$G43=$A6)),"""")"),"")</f>
        <v/>
      </c>
      <c r="V6" s="289" t="str">
        <f ca="1">IFERROR(__xludf.DUMMYFUNCTION("IFERROR(JOIN("";""&amp;CHAR(10),FILTER(Curses!$A$3:$A43,Curses!$B$3:$B43=V$2,Curses!$G$3:$G43=$A6)),"""")"),"")</f>
        <v/>
      </c>
      <c r="W6" s="289" t="str">
        <f ca="1">IFERROR(__xludf.DUMMYFUNCTION("IFERROR(JOIN("";""&amp;CHAR(10),FILTER(Curses!$A$3:$A43,Curses!$B$3:$B43=W$2,Curses!$G$3:$G43=$A6)),"""")"),"")</f>
        <v/>
      </c>
      <c r="X6" s="289" t="str">
        <f ca="1">IFERROR(__xludf.DUMMYFUNCTION("IFERROR(JOIN("";""&amp;CHAR(10),FILTER(Curses!$A$3:$A43,Curses!$B$3:$B43=X$2,Curses!$G$3:$G43=$A6)),"""")"),"")</f>
        <v/>
      </c>
      <c r="Y6" s="289" t="str">
        <f ca="1">IFERROR(__xludf.DUMMYFUNCTION("IFERROR(JOIN("";""&amp;CHAR(10),FILTER(Curses!$A$3:$A43,Curses!$B$3:$B43=Y$2,Curses!$G$3:$G43=$A6)),"""")"),"")</f>
        <v/>
      </c>
      <c r="Z6" s="289" t="str">
        <f ca="1">IFERROR(__xludf.DUMMYFUNCTION("IFERROR(JOIN("";""&amp;CHAR(10),FILTER(Curses!$A$3:$A43,Curses!$B$3:$B43=Z$2,Curses!$G$3:$G43=$A6)),"""")"),"")</f>
        <v/>
      </c>
      <c r="AA6" s="289" t="str">
        <f ca="1">IFERROR(__xludf.DUMMYFUNCTION("IFERROR(JOIN("";""&amp;CHAR(10),FILTER(Curses!$A$3:$A43,Curses!$B$3:$B43=AA$2,Curses!$G$3:$G43=$A6)),"""")"),"")</f>
        <v/>
      </c>
      <c r="AB6" s="289" t="str">
        <f ca="1">IFERROR(__xludf.DUMMYFUNCTION("IFERROR(JOIN("";""&amp;CHAR(10),FILTER(Curses!$A$3:$A43,Curses!$B$3:$B43=AB$2,Curses!$G$3:$G43=$A6)),"""")"),"")</f>
        <v/>
      </c>
      <c r="AC6" s="289" t="str">
        <f ca="1">IFERROR(__xludf.DUMMYFUNCTION("IFERROR(JOIN("";""&amp;CHAR(10),FILTER(Curses!$A$3:$A43,Curses!$B$3:$B43=AC$2,Curses!$G$3:$G43=$A6)),"""")"),"")</f>
        <v/>
      </c>
      <c r="AD6" s="289" t="str">
        <f ca="1">IFERROR(__xludf.DUMMYFUNCTION("IFERROR(JOIN("";""&amp;CHAR(10),FILTER(Curses!$A$3:$A43,Curses!$B$3:$B43=AD$2,Curses!$G$3:$G43=$A6)),"""")"),"")</f>
        <v/>
      </c>
      <c r="AE6" s="289" t="str">
        <f ca="1">IFERROR(__xludf.DUMMYFUNCTION("IFERROR(JOIN("";""&amp;CHAR(10),FILTER(Curses!$A$3:$A43,Curses!$B$3:$B43=AE$2,Curses!$G$3:$G43=$A6)),"""")"),"")</f>
        <v/>
      </c>
      <c r="AF6" s="289" t="str">
        <f ca="1">IFERROR(__xludf.DUMMYFUNCTION("IFERROR(JOIN("";""&amp;CHAR(10),FILTER(Curses!$A$3:$A43,Curses!$B$3:$B43=AF$2,Curses!$G$3:$G43=$A6)),"""")"),"")</f>
        <v/>
      </c>
      <c r="AG6" s="289" t="str">
        <f ca="1">IFERROR(__xludf.DUMMYFUNCTION("IFERROR(JOIN("";""&amp;CHAR(10),FILTER(Curses!$A$3:$A43,Curses!$B$3:$B43=AG$2,Curses!$G$3:$G43=$A6)),"""")"),"")</f>
        <v/>
      </c>
      <c r="AH6" s="289" t="str">
        <f ca="1">IFERROR(__xludf.DUMMYFUNCTION("IFERROR(JOIN("";""&amp;CHAR(10),FILTER(Curses!$A$3:$A43,Curses!$B$3:$B43=AH$2,Curses!$G$3:$G43=$A6)),"""")"),"")</f>
        <v/>
      </c>
      <c r="AI6" s="289" t="str">
        <f ca="1">IFERROR(__xludf.DUMMYFUNCTION("IFERROR(JOIN("";""&amp;CHAR(10),FILTER(Curses!$A$3:$A43,Curses!$B$3:$B43=AI$2,Curses!$G$3:$G43=$A6)),"""")"),"")</f>
        <v/>
      </c>
      <c r="AJ6" s="289" t="str">
        <f ca="1">IFERROR(__xludf.DUMMYFUNCTION("IFERROR(JOIN("";""&amp;CHAR(10),FILTER(Curses!$A$3:$A43,Curses!$B$3:$B43=AJ$2,Curses!$G$3:$G43=$A6)),"""")"),"")</f>
        <v/>
      </c>
      <c r="AK6" s="289" t="str">
        <f ca="1">IFERROR(__xludf.DUMMYFUNCTION("IFERROR(JOIN("";""&amp;CHAR(10),FILTER(Curses!$A$3:$A43,Curses!$B$3:$B43=AK$2,Curses!$G$3:$G43=$A6)),"""")"),"")</f>
        <v/>
      </c>
      <c r="AL6" s="289" t="str">
        <f ca="1">IFERROR(__xludf.DUMMYFUNCTION("IFERROR(JOIN("";""&amp;CHAR(10),FILTER(Curses!$A$3:$A43,Curses!$B$3:$B43=AL$2,Curses!$G$3:$G43=$A6)),"""")"),"")</f>
        <v/>
      </c>
      <c r="AM6" s="289" t="str">
        <f ca="1">IFERROR(__xludf.DUMMYFUNCTION("IFERROR(JOIN("";""&amp;CHAR(10),FILTER(Curses!$A$3:$A43,Curses!$B$3:$B43=AM$2,Curses!$G$3:$G43=$A6)),"""")"),"")</f>
        <v/>
      </c>
    </row>
    <row r="7" spans="1:39">
      <c r="A7" s="292" t="str">
        <f ca="1">IFERROR(__xludf.DUMMYFUNCTION("""COMPUTED_VALUE"""),"Armour")</f>
        <v>Armour</v>
      </c>
      <c r="B7" s="289" t="str">
        <f ca="1">IFERROR(__xludf.DUMMYFUNCTION("IFERROR(JOIN("";""&amp;CHAR(10),FILTER(Curses!$A$3:$A43,Curses!$B$3:$B43=B$2,Curses!$G$3:$G43=$A7)),"""")"),"Armour")</f>
        <v>Armour</v>
      </c>
      <c r="C7" s="289" t="str">
        <f ca="1">IFERROR(__xludf.DUMMYFUNCTION("IFERROR(JOIN("";""&amp;CHAR(10),FILTER(Curses!$A$3:$A43,Curses!$B$3:$B43=C$2,Curses!$G$3:$G43=$A7)),"""")"),"Armour+")</f>
        <v>Armour+</v>
      </c>
      <c r="D7" s="289" t="str">
        <f ca="1">IFERROR(__xludf.DUMMYFUNCTION("IFERROR(JOIN("";""&amp;CHAR(10),FILTER(Curses!$A$3:$A43,Curses!$B$3:$B43=D$2,Curses!$G$3:$G43=$A7)),"""")"),"Armour++")</f>
        <v>Armour++</v>
      </c>
      <c r="E7" s="289" t="str">
        <f ca="1">IFERROR(__xludf.DUMMYFUNCTION("IFERROR(JOIN("";""&amp;CHAR(10),FILTER(Curses!$A$3:$A43,Curses!$B$3:$B43=E$2,Curses!$G$3:$G43=$A7)),"""")"),"Armour+++")</f>
        <v>Armour+++</v>
      </c>
      <c r="F7" s="289" t="str">
        <f ca="1">IFERROR(__xludf.DUMMYFUNCTION("IFERROR(JOIN("";""&amp;CHAR(10),FILTER(Curses!$A$3:$A43,Curses!$B$3:$B43=F$2,Curses!$G$3:$G43=$A7)),"""")"),"Armour++++")</f>
        <v>Armour++++</v>
      </c>
      <c r="G7" s="289" t="str">
        <f ca="1">IFERROR(__xludf.DUMMYFUNCTION("IFERROR(JOIN("";""&amp;CHAR(10),FILTER(Curses!$A$3:$A43,Curses!$B$3:$B43=G$2,Curses!$G$3:$G43=$A7)),"""")"),"")</f>
        <v/>
      </c>
      <c r="H7" s="289" t="str">
        <f ca="1">IFERROR(__xludf.DUMMYFUNCTION("IFERROR(JOIN("";""&amp;CHAR(10),FILTER(Curses!$A$3:$A43,Curses!$B$3:$B43=H$2,Curses!$G$3:$G43=$A7)),"""")"),"")</f>
        <v/>
      </c>
      <c r="I7" s="289" t="str">
        <f ca="1">IFERROR(__xludf.DUMMYFUNCTION("IFERROR(JOIN("";""&amp;CHAR(10),FILTER(Curses!$A$3:$A43,Curses!$B$3:$B43=I$2,Curses!$G$3:$G43=$A7)),"""")"),"")</f>
        <v/>
      </c>
      <c r="J7" s="289" t="str">
        <f ca="1">IFERROR(__xludf.DUMMYFUNCTION("IFERROR(JOIN("";""&amp;CHAR(10),FILTER(Curses!$A$3:$A43,Curses!$B$3:$B43=J$2,Curses!$G$3:$G43=$A7)),"""")"),"")</f>
        <v/>
      </c>
      <c r="K7" s="289" t="str">
        <f ca="1">IFERROR(__xludf.DUMMYFUNCTION("IFERROR(JOIN("";""&amp;CHAR(10),FILTER(Curses!$A$3:$A43,Curses!$B$3:$B43=K$2,Curses!$G$3:$G43=$A7)),"""")"),"")</f>
        <v/>
      </c>
      <c r="L7" s="289" t="str">
        <f ca="1">IFERROR(__xludf.DUMMYFUNCTION("IFERROR(JOIN("";""&amp;CHAR(10),FILTER(Curses!$A$3:$A43,Curses!$B$3:$B43=L$2,Curses!$G$3:$G43=$A7)),"""")"),"")</f>
        <v/>
      </c>
      <c r="M7" s="289" t="str">
        <f ca="1">IFERROR(__xludf.DUMMYFUNCTION("IFERROR(JOIN("";""&amp;CHAR(10),FILTER(Curses!$A$3:$A43,Curses!$B$3:$B43=M$2,Curses!$G$3:$G43=$A7)),"""")"),"")</f>
        <v/>
      </c>
      <c r="N7" s="289" t="str">
        <f ca="1">IFERROR(__xludf.DUMMYFUNCTION("IFERROR(JOIN("";""&amp;CHAR(10),FILTER(Curses!$A$3:$A43,Curses!$B$3:$B43=N$2,Curses!$G$3:$G43=$A7)),"""")"),"")</f>
        <v/>
      </c>
      <c r="O7" s="289" t="str">
        <f ca="1">IFERROR(__xludf.DUMMYFUNCTION("IFERROR(JOIN("";""&amp;CHAR(10),FILTER(Curses!$A$3:$A43,Curses!$B$3:$B43=O$2,Curses!$G$3:$G43=$A7)),"""")"),"")</f>
        <v/>
      </c>
      <c r="P7" s="289" t="str">
        <f ca="1">IFERROR(__xludf.DUMMYFUNCTION("IFERROR(JOIN("";""&amp;CHAR(10),FILTER(Curses!$A$3:$A43,Curses!$B$3:$B43=P$2,Curses!$G$3:$G43=$A7)),"""")"),"")</f>
        <v/>
      </c>
      <c r="Q7" s="289" t="str">
        <f ca="1">IFERROR(__xludf.DUMMYFUNCTION("IFERROR(JOIN("";""&amp;CHAR(10),FILTER(Curses!$A$3:$A43,Curses!$B$3:$B43=Q$2,Curses!$G$3:$G43=$A7)),"""")"),"")</f>
        <v/>
      </c>
      <c r="R7" s="289" t="str">
        <f ca="1">IFERROR(__xludf.DUMMYFUNCTION("IFERROR(JOIN("";""&amp;CHAR(10),FILTER(Curses!$A$3:$A43,Curses!$B$3:$B43=R$2,Curses!$G$3:$G43=$A7)),"""")"),"")</f>
        <v/>
      </c>
      <c r="S7" s="289" t="str">
        <f ca="1">IFERROR(__xludf.DUMMYFUNCTION("IFERROR(JOIN("";""&amp;CHAR(10),FILTER(Curses!$A$3:$A43,Curses!$B$3:$B43=S$2,Curses!$G$3:$G43=$A7)),"""")"),"")</f>
        <v/>
      </c>
      <c r="T7" s="289" t="str">
        <f ca="1">IFERROR(__xludf.DUMMYFUNCTION("IFERROR(JOIN("";""&amp;CHAR(10),FILTER(Curses!$A$3:$A43,Curses!$B$3:$B43=T$2,Curses!$G$3:$G43=$A7)),"""")"),"")</f>
        <v/>
      </c>
      <c r="U7" s="289" t="str">
        <f ca="1">IFERROR(__xludf.DUMMYFUNCTION("IFERROR(JOIN("";""&amp;CHAR(10),FILTER(Curses!$A$3:$A43,Curses!$B$3:$B43=U$2,Curses!$G$3:$G43=$A7)),"""")"),"")</f>
        <v/>
      </c>
      <c r="V7" s="289" t="str">
        <f ca="1">IFERROR(__xludf.DUMMYFUNCTION("IFERROR(JOIN("";""&amp;CHAR(10),FILTER(Curses!$A$3:$A43,Curses!$B$3:$B43=V$2,Curses!$G$3:$G43=$A7)),"""")"),"")</f>
        <v/>
      </c>
      <c r="W7" s="289" t="str">
        <f ca="1">IFERROR(__xludf.DUMMYFUNCTION("IFERROR(JOIN("";""&amp;CHAR(10),FILTER(Curses!$A$3:$A43,Curses!$B$3:$B43=W$2,Curses!$G$3:$G43=$A7)),"""")"),"")</f>
        <v/>
      </c>
      <c r="X7" s="289" t="str">
        <f ca="1">IFERROR(__xludf.DUMMYFUNCTION("IFERROR(JOIN("";""&amp;CHAR(10),FILTER(Curses!$A$3:$A43,Curses!$B$3:$B43=X$2,Curses!$G$3:$G43=$A7)),"""")"),"")</f>
        <v/>
      </c>
      <c r="Y7" s="289" t="str">
        <f ca="1">IFERROR(__xludf.DUMMYFUNCTION("IFERROR(JOIN("";""&amp;CHAR(10),FILTER(Curses!$A$3:$A43,Curses!$B$3:$B43=Y$2,Curses!$G$3:$G43=$A7)),"""")"),"")</f>
        <v/>
      </c>
      <c r="Z7" s="289" t="str">
        <f ca="1">IFERROR(__xludf.DUMMYFUNCTION("IFERROR(JOIN("";""&amp;CHAR(10),FILTER(Curses!$A$3:$A43,Curses!$B$3:$B43=Z$2,Curses!$G$3:$G43=$A7)),"""")"),"")</f>
        <v/>
      </c>
      <c r="AA7" s="289" t="str">
        <f ca="1">IFERROR(__xludf.DUMMYFUNCTION("IFERROR(JOIN("";""&amp;CHAR(10),FILTER(Curses!$A$3:$A43,Curses!$B$3:$B43=AA$2,Curses!$G$3:$G43=$A7)),"""")"),"")</f>
        <v/>
      </c>
      <c r="AB7" s="289" t="str">
        <f ca="1">IFERROR(__xludf.DUMMYFUNCTION("IFERROR(JOIN("";""&amp;CHAR(10),FILTER(Curses!$A$3:$A43,Curses!$B$3:$B43=AB$2,Curses!$G$3:$G43=$A7)),"""")"),"")</f>
        <v/>
      </c>
      <c r="AC7" s="289" t="str">
        <f ca="1">IFERROR(__xludf.DUMMYFUNCTION("IFERROR(JOIN("";""&amp;CHAR(10),FILTER(Curses!$A$3:$A43,Curses!$B$3:$B43=AC$2,Curses!$G$3:$G43=$A7)),"""")"),"")</f>
        <v/>
      </c>
      <c r="AD7" s="289" t="str">
        <f ca="1">IFERROR(__xludf.DUMMYFUNCTION("IFERROR(JOIN("";""&amp;CHAR(10),FILTER(Curses!$A$3:$A43,Curses!$B$3:$B43=AD$2,Curses!$G$3:$G43=$A7)),"""")"),"")</f>
        <v/>
      </c>
      <c r="AE7" s="289" t="str">
        <f ca="1">IFERROR(__xludf.DUMMYFUNCTION("IFERROR(JOIN("";""&amp;CHAR(10),FILTER(Curses!$A$3:$A43,Curses!$B$3:$B43=AE$2,Curses!$G$3:$G43=$A7)),"""")"),"")</f>
        <v/>
      </c>
      <c r="AF7" s="289" t="str">
        <f ca="1">IFERROR(__xludf.DUMMYFUNCTION("IFERROR(JOIN("";""&amp;CHAR(10),FILTER(Curses!$A$3:$A43,Curses!$B$3:$B43=AF$2,Curses!$G$3:$G43=$A7)),"""")"),"")</f>
        <v/>
      </c>
      <c r="AG7" s="289" t="str">
        <f ca="1">IFERROR(__xludf.DUMMYFUNCTION("IFERROR(JOIN("";""&amp;CHAR(10),FILTER(Curses!$A$3:$A43,Curses!$B$3:$B43=AG$2,Curses!$G$3:$G43=$A7)),"""")"),"")</f>
        <v/>
      </c>
      <c r="AH7" s="289" t="str">
        <f ca="1">IFERROR(__xludf.DUMMYFUNCTION("IFERROR(JOIN("";""&amp;CHAR(10),FILTER(Curses!$A$3:$A43,Curses!$B$3:$B43=AH$2,Curses!$G$3:$G43=$A7)),"""")"),"")</f>
        <v/>
      </c>
      <c r="AI7" s="289" t="str">
        <f ca="1">IFERROR(__xludf.DUMMYFUNCTION("IFERROR(JOIN("";""&amp;CHAR(10),FILTER(Curses!$A$3:$A43,Curses!$B$3:$B43=AI$2,Curses!$G$3:$G43=$A7)),"""")"),"")</f>
        <v/>
      </c>
      <c r="AJ7" s="289" t="str">
        <f ca="1">IFERROR(__xludf.DUMMYFUNCTION("IFERROR(JOIN("";""&amp;CHAR(10),FILTER(Curses!$A$3:$A43,Curses!$B$3:$B43=AJ$2,Curses!$G$3:$G43=$A7)),"""")"),"")</f>
        <v/>
      </c>
      <c r="AK7" s="289" t="str">
        <f ca="1">IFERROR(__xludf.DUMMYFUNCTION("IFERROR(JOIN("";""&amp;CHAR(10),FILTER(Curses!$A$3:$A43,Curses!$B$3:$B43=AK$2,Curses!$G$3:$G43=$A7)),"""")"),"")</f>
        <v/>
      </c>
      <c r="AL7" s="289" t="str">
        <f ca="1">IFERROR(__xludf.DUMMYFUNCTION("IFERROR(JOIN("";""&amp;CHAR(10),FILTER(Curses!$A$3:$A43,Curses!$B$3:$B43=AL$2,Curses!$G$3:$G43=$A7)),"""")"),"")</f>
        <v/>
      </c>
      <c r="AM7" s="289" t="str">
        <f ca="1">IFERROR(__xludf.DUMMYFUNCTION("IFERROR(JOIN("";""&amp;CHAR(10),FILTER(Curses!$A$3:$A43,Curses!$B$3:$B43=AM$2,Curses!$G$3:$G43=$A7)),"""")"),"")</f>
        <v/>
      </c>
    </row>
    <row r="8" spans="1:39">
      <c r="A8" s="292" t="str">
        <f ca="1">IFERROR(__xludf.DUMMYFUNCTION("""COMPUTED_VALUE"""),"Start Damaged")</f>
        <v>Start Damaged</v>
      </c>
      <c r="B8" s="289" t="str">
        <f ca="1">IFERROR(__xludf.DUMMYFUNCTION("IFERROR(JOIN("";""&amp;CHAR(10),FILTER(Curses!$A$3:$A43,Curses!$B$3:$B43=B$2,Curses!$G$3:$G43=$A8)),"""")"),"Start damaged")</f>
        <v>Start damaged</v>
      </c>
      <c r="C8" s="289" t="str">
        <f ca="1">IFERROR(__xludf.DUMMYFUNCTION("IFERROR(JOIN("";""&amp;CHAR(10),FILTER(Curses!$A$3:$A43,Curses!$B$3:$B43=C$2,Curses!$G$3:$G43=$A8)),"""")"),"Start damaged+")</f>
        <v>Start damaged+</v>
      </c>
      <c r="D8" s="289" t="str">
        <f ca="1">IFERROR(__xludf.DUMMYFUNCTION("IFERROR(JOIN("";""&amp;CHAR(10),FILTER(Curses!$A$3:$A43,Curses!$B$3:$B43=D$2,Curses!$G$3:$G43=$A8)),"""")"),"Start damaged++")</f>
        <v>Start damaged++</v>
      </c>
      <c r="E8" s="289" t="str">
        <f ca="1">IFERROR(__xludf.DUMMYFUNCTION("IFERROR(JOIN("";""&amp;CHAR(10),FILTER(Curses!$A$3:$A43,Curses!$B$3:$B43=E$2,Curses!$G$3:$G43=$A8)),"""")"),"Start damaged+++")</f>
        <v>Start damaged+++</v>
      </c>
      <c r="F8" s="289" t="str">
        <f ca="1">IFERROR(__xludf.DUMMYFUNCTION("IFERROR(JOIN("";""&amp;CHAR(10),FILTER(Curses!$A$3:$A43,Curses!$B$3:$B43=F$2,Curses!$G$3:$G43=$A8)),"""")"),"Start damaged++++")</f>
        <v>Start damaged++++</v>
      </c>
      <c r="G8" s="289" t="str">
        <f ca="1">IFERROR(__xludf.DUMMYFUNCTION("IFERROR(JOIN("";""&amp;CHAR(10),FILTER(Curses!$A$3:$A43,Curses!$B$3:$B43=G$2,Curses!$G$3:$G43=$A8)),"""")"),"")</f>
        <v/>
      </c>
      <c r="H8" s="289" t="str">
        <f ca="1">IFERROR(__xludf.DUMMYFUNCTION("IFERROR(JOIN("";""&amp;CHAR(10),FILTER(Curses!$A$3:$A43,Curses!$B$3:$B43=H$2,Curses!$G$3:$G43=$A8)),"""")"),"")</f>
        <v/>
      </c>
      <c r="I8" s="289" t="str">
        <f ca="1">IFERROR(__xludf.DUMMYFUNCTION("IFERROR(JOIN("";""&amp;CHAR(10),FILTER(Curses!$A$3:$A43,Curses!$B$3:$B43=I$2,Curses!$G$3:$G43=$A8)),"""")"),"")</f>
        <v/>
      </c>
      <c r="J8" s="289" t="str">
        <f ca="1">IFERROR(__xludf.DUMMYFUNCTION("IFERROR(JOIN("";""&amp;CHAR(10),FILTER(Curses!$A$3:$A43,Curses!$B$3:$B43=J$2,Curses!$G$3:$G43=$A8)),"""")"),"")</f>
        <v/>
      </c>
      <c r="K8" s="289" t="str">
        <f ca="1">IFERROR(__xludf.DUMMYFUNCTION("IFERROR(JOIN("";""&amp;CHAR(10),FILTER(Curses!$A$3:$A43,Curses!$B$3:$B43=K$2,Curses!$G$3:$G43=$A8)),"""")"),"")</f>
        <v/>
      </c>
      <c r="L8" s="289" t="str">
        <f ca="1">IFERROR(__xludf.DUMMYFUNCTION("IFERROR(JOIN("";""&amp;CHAR(10),FILTER(Curses!$A$3:$A43,Curses!$B$3:$B43=L$2,Curses!$G$3:$G43=$A8)),"""")"),"")</f>
        <v/>
      </c>
      <c r="M8" s="289" t="str">
        <f ca="1">IFERROR(__xludf.DUMMYFUNCTION("IFERROR(JOIN("";""&amp;CHAR(10),FILTER(Curses!$A$3:$A43,Curses!$B$3:$B43=M$2,Curses!$G$3:$G43=$A8)),"""")"),"")</f>
        <v/>
      </c>
      <c r="N8" s="289" t="str">
        <f ca="1">IFERROR(__xludf.DUMMYFUNCTION("IFERROR(JOIN("";""&amp;CHAR(10),FILTER(Curses!$A$3:$A43,Curses!$B$3:$B43=N$2,Curses!$G$3:$G43=$A8)),"""")"),"")</f>
        <v/>
      </c>
      <c r="O8" s="289" t="str">
        <f ca="1">IFERROR(__xludf.DUMMYFUNCTION("IFERROR(JOIN("";""&amp;CHAR(10),FILTER(Curses!$A$3:$A43,Curses!$B$3:$B43=O$2,Curses!$G$3:$G43=$A8)),"""")"),"")</f>
        <v/>
      </c>
      <c r="P8" s="289" t="str">
        <f ca="1">IFERROR(__xludf.DUMMYFUNCTION("IFERROR(JOIN("";""&amp;CHAR(10),FILTER(Curses!$A$3:$A43,Curses!$B$3:$B43=P$2,Curses!$G$3:$G43=$A8)),"""")"),"")</f>
        <v/>
      </c>
      <c r="Q8" s="289" t="str">
        <f ca="1">IFERROR(__xludf.DUMMYFUNCTION("IFERROR(JOIN("";""&amp;CHAR(10),FILTER(Curses!$A$3:$A43,Curses!$B$3:$B43=Q$2,Curses!$G$3:$G43=$A8)),"""")"),"")</f>
        <v/>
      </c>
      <c r="R8" s="289" t="str">
        <f ca="1">IFERROR(__xludf.DUMMYFUNCTION("IFERROR(JOIN("";""&amp;CHAR(10),FILTER(Curses!$A$3:$A43,Curses!$B$3:$B43=R$2,Curses!$G$3:$G43=$A8)),"""")"),"")</f>
        <v/>
      </c>
      <c r="S8" s="289" t="str">
        <f ca="1">IFERROR(__xludf.DUMMYFUNCTION("IFERROR(JOIN("";""&amp;CHAR(10),FILTER(Curses!$A$3:$A43,Curses!$B$3:$B43=S$2,Curses!$G$3:$G43=$A8)),"""")"),"")</f>
        <v/>
      </c>
      <c r="T8" s="289" t="str">
        <f ca="1">IFERROR(__xludf.DUMMYFUNCTION("IFERROR(JOIN("";""&amp;CHAR(10),FILTER(Curses!$A$3:$A43,Curses!$B$3:$B43=T$2,Curses!$G$3:$G43=$A8)),"""")"),"")</f>
        <v/>
      </c>
      <c r="U8" s="289" t="str">
        <f ca="1">IFERROR(__xludf.DUMMYFUNCTION("IFERROR(JOIN("";""&amp;CHAR(10),FILTER(Curses!$A$3:$A43,Curses!$B$3:$B43=U$2,Curses!$G$3:$G43=$A8)),"""")"),"")</f>
        <v/>
      </c>
      <c r="V8" s="289" t="str">
        <f ca="1">IFERROR(__xludf.DUMMYFUNCTION("IFERROR(JOIN("";""&amp;CHAR(10),FILTER(Curses!$A$3:$A43,Curses!$B$3:$B43=V$2,Curses!$G$3:$G43=$A8)),"""")"),"")</f>
        <v/>
      </c>
      <c r="W8" s="289" t="str">
        <f ca="1">IFERROR(__xludf.DUMMYFUNCTION("IFERROR(JOIN("";""&amp;CHAR(10),FILTER(Curses!$A$3:$A43,Curses!$B$3:$B43=W$2,Curses!$G$3:$G43=$A8)),"""")"),"")</f>
        <v/>
      </c>
      <c r="X8" s="289" t="str">
        <f ca="1">IFERROR(__xludf.DUMMYFUNCTION("IFERROR(JOIN("";""&amp;CHAR(10),FILTER(Curses!$A$3:$A43,Curses!$B$3:$B43=X$2,Curses!$G$3:$G43=$A8)),"""")"),"")</f>
        <v/>
      </c>
      <c r="Y8" s="289" t="str">
        <f ca="1">IFERROR(__xludf.DUMMYFUNCTION("IFERROR(JOIN("";""&amp;CHAR(10),FILTER(Curses!$A$3:$A43,Curses!$B$3:$B43=Y$2,Curses!$G$3:$G43=$A8)),"""")"),"")</f>
        <v/>
      </c>
      <c r="Z8" s="289" t="str">
        <f ca="1">IFERROR(__xludf.DUMMYFUNCTION("IFERROR(JOIN("";""&amp;CHAR(10),FILTER(Curses!$A$3:$A43,Curses!$B$3:$B43=Z$2,Curses!$G$3:$G43=$A8)),"""")"),"")</f>
        <v/>
      </c>
      <c r="AA8" s="289" t="str">
        <f ca="1">IFERROR(__xludf.DUMMYFUNCTION("IFERROR(JOIN("";""&amp;CHAR(10),FILTER(Curses!$A$3:$A43,Curses!$B$3:$B43=AA$2,Curses!$G$3:$G43=$A8)),"""")"),"")</f>
        <v/>
      </c>
      <c r="AB8" s="289" t="str">
        <f ca="1">IFERROR(__xludf.DUMMYFUNCTION("IFERROR(JOIN("";""&amp;CHAR(10),FILTER(Curses!$A$3:$A43,Curses!$B$3:$B43=AB$2,Curses!$G$3:$G43=$A8)),"""")"),"")</f>
        <v/>
      </c>
      <c r="AC8" s="289" t="str">
        <f ca="1">IFERROR(__xludf.DUMMYFUNCTION("IFERROR(JOIN("";""&amp;CHAR(10),FILTER(Curses!$A$3:$A43,Curses!$B$3:$B43=AC$2,Curses!$G$3:$G43=$A8)),"""")"),"")</f>
        <v/>
      </c>
      <c r="AD8" s="289" t="str">
        <f ca="1">IFERROR(__xludf.DUMMYFUNCTION("IFERROR(JOIN("";""&amp;CHAR(10),FILTER(Curses!$A$3:$A43,Curses!$B$3:$B43=AD$2,Curses!$G$3:$G43=$A8)),"""")"),"")</f>
        <v/>
      </c>
      <c r="AE8" s="289" t="str">
        <f ca="1">IFERROR(__xludf.DUMMYFUNCTION("IFERROR(JOIN("";""&amp;CHAR(10),FILTER(Curses!$A$3:$A43,Curses!$B$3:$B43=AE$2,Curses!$G$3:$G43=$A8)),"""")"),"")</f>
        <v/>
      </c>
      <c r="AF8" s="289" t="str">
        <f ca="1">IFERROR(__xludf.DUMMYFUNCTION("IFERROR(JOIN("";""&amp;CHAR(10),FILTER(Curses!$A$3:$A43,Curses!$B$3:$B43=AF$2,Curses!$G$3:$G43=$A8)),"""")"),"")</f>
        <v/>
      </c>
      <c r="AG8" s="289" t="str">
        <f ca="1">IFERROR(__xludf.DUMMYFUNCTION("IFERROR(JOIN("";""&amp;CHAR(10),FILTER(Curses!$A$3:$A43,Curses!$B$3:$B43=AG$2,Curses!$G$3:$G43=$A8)),"""")"),"")</f>
        <v/>
      </c>
      <c r="AH8" s="289" t="str">
        <f ca="1">IFERROR(__xludf.DUMMYFUNCTION("IFERROR(JOIN("";""&amp;CHAR(10),FILTER(Curses!$A$3:$A43,Curses!$B$3:$B43=AH$2,Curses!$G$3:$G43=$A8)),"""")"),"")</f>
        <v/>
      </c>
      <c r="AI8" s="289" t="str">
        <f ca="1">IFERROR(__xludf.DUMMYFUNCTION("IFERROR(JOIN("";""&amp;CHAR(10),FILTER(Curses!$A$3:$A43,Curses!$B$3:$B43=AI$2,Curses!$G$3:$G43=$A8)),"""")"),"")</f>
        <v/>
      </c>
      <c r="AJ8" s="289" t="str">
        <f ca="1">IFERROR(__xludf.DUMMYFUNCTION("IFERROR(JOIN("";""&amp;CHAR(10),FILTER(Curses!$A$3:$A43,Curses!$B$3:$B43=AJ$2,Curses!$G$3:$G43=$A8)),"""")"),"")</f>
        <v/>
      </c>
      <c r="AK8" s="289" t="str">
        <f ca="1">IFERROR(__xludf.DUMMYFUNCTION("IFERROR(JOIN("";""&amp;CHAR(10),FILTER(Curses!$A$3:$A43,Curses!$B$3:$B43=AK$2,Curses!$G$3:$G43=$A8)),"""")"),"")</f>
        <v/>
      </c>
      <c r="AL8" s="289" t="str">
        <f ca="1">IFERROR(__xludf.DUMMYFUNCTION("IFERROR(JOIN("";""&amp;CHAR(10),FILTER(Curses!$A$3:$A43,Curses!$B$3:$B43=AL$2,Curses!$G$3:$G43=$A8)),"""")"),"")</f>
        <v/>
      </c>
      <c r="AM8" s="289" t="str">
        <f ca="1">IFERROR(__xludf.DUMMYFUNCTION("IFERROR(JOIN("";""&amp;CHAR(10),FILTER(Curses!$A$3:$A43,Curses!$B$3:$B43=AM$2,Curses!$G$3:$G43=$A8)),"""")"),"")</f>
        <v/>
      </c>
    </row>
    <row r="9" spans="1:39">
      <c r="A9" s="292" t="str">
        <f ca="1">IFERROR(__xludf.DUMMYFUNCTION("""COMPUTED_VALUE"""),"Small Bonus")</f>
        <v>Small Bonus</v>
      </c>
      <c r="B9" s="289" t="str">
        <f ca="1">IFERROR(__xludf.DUMMYFUNCTION("IFERROR(JOIN("";""&amp;CHAR(10),FILTER(Curses!$A$3:$A43,Curses!$B$3:$B43=B$2,Curses!$G$3:$G43=$A9)),"""")"),"Small Bonus")</f>
        <v>Small Bonus</v>
      </c>
      <c r="C9" s="289" t="str">
        <f ca="1">IFERROR(__xludf.DUMMYFUNCTION("IFERROR(JOIN("";""&amp;CHAR(10),FILTER(Curses!$A$3:$A43,Curses!$B$3:$B43=C$2,Curses!$G$3:$G43=$A9)),"""")"),"Small Bonus+")</f>
        <v>Small Bonus+</v>
      </c>
      <c r="D9" s="289" t="str">
        <f ca="1">IFERROR(__xludf.DUMMYFUNCTION("IFERROR(JOIN("";""&amp;CHAR(10),FILTER(Curses!$A$3:$A43,Curses!$B$3:$B43=D$2,Curses!$G$3:$G43=$A9)),"""")"),"Small Bonus++")</f>
        <v>Small Bonus++</v>
      </c>
      <c r="E9" s="289" t="str">
        <f ca="1">IFERROR(__xludf.DUMMYFUNCTION("IFERROR(JOIN("";""&amp;CHAR(10),FILTER(Curses!$A$3:$A43,Curses!$B$3:$B43=E$2,Curses!$G$3:$G43=$A9)),"""")"),"Small Bonus+++")</f>
        <v>Small Bonus+++</v>
      </c>
      <c r="F9" s="289" t="str">
        <f ca="1">IFERROR(__xludf.DUMMYFUNCTION("IFERROR(JOIN("";""&amp;CHAR(10),FILTER(Curses!$A$3:$A43,Curses!$B$3:$B43=F$2,Curses!$G$3:$G43=$A9)),"""")"),"Small Bonus++++")</f>
        <v>Small Bonus++++</v>
      </c>
      <c r="G9" s="289" t="str">
        <f ca="1">IFERROR(__xludf.DUMMYFUNCTION("IFERROR(JOIN("";""&amp;CHAR(10),FILTER(Curses!$A$3:$A43,Curses!$B$3:$B43=G$2,Curses!$G$3:$G43=$A9)),"""")"),"")</f>
        <v/>
      </c>
      <c r="H9" s="289" t="str">
        <f ca="1">IFERROR(__xludf.DUMMYFUNCTION("IFERROR(JOIN("";""&amp;CHAR(10),FILTER(Curses!$A$3:$A43,Curses!$B$3:$B43=H$2,Curses!$G$3:$G43=$A9)),"""")"),"")</f>
        <v/>
      </c>
      <c r="I9" s="289" t="str">
        <f ca="1">IFERROR(__xludf.DUMMYFUNCTION("IFERROR(JOIN("";""&amp;CHAR(10),FILTER(Curses!$A$3:$A43,Curses!$B$3:$B43=I$2,Curses!$G$3:$G43=$A9)),"""")"),"")</f>
        <v/>
      </c>
      <c r="J9" s="289" t="str">
        <f ca="1">IFERROR(__xludf.DUMMYFUNCTION("IFERROR(JOIN("";""&amp;CHAR(10),FILTER(Curses!$A$3:$A43,Curses!$B$3:$B43=J$2,Curses!$G$3:$G43=$A9)),"""")"),"")</f>
        <v/>
      </c>
      <c r="K9" s="289" t="str">
        <f ca="1">IFERROR(__xludf.DUMMYFUNCTION("IFERROR(JOIN("";""&amp;CHAR(10),FILTER(Curses!$A$3:$A43,Curses!$B$3:$B43=K$2,Curses!$G$3:$G43=$A9)),"""")"),"")</f>
        <v/>
      </c>
      <c r="L9" s="289" t="str">
        <f ca="1">IFERROR(__xludf.DUMMYFUNCTION("IFERROR(JOIN("";""&amp;CHAR(10),FILTER(Curses!$A$3:$A43,Curses!$B$3:$B43=L$2,Curses!$G$3:$G43=$A9)),"""")"),"")</f>
        <v/>
      </c>
      <c r="M9" s="289" t="str">
        <f ca="1">IFERROR(__xludf.DUMMYFUNCTION("IFERROR(JOIN("";""&amp;CHAR(10),FILTER(Curses!$A$3:$A43,Curses!$B$3:$B43=M$2,Curses!$G$3:$G43=$A9)),"""")"),"")</f>
        <v/>
      </c>
      <c r="N9" s="289" t="str">
        <f ca="1">IFERROR(__xludf.DUMMYFUNCTION("IFERROR(JOIN("";""&amp;CHAR(10),FILTER(Curses!$A$3:$A43,Curses!$B$3:$B43=N$2,Curses!$G$3:$G43=$A9)),"""")"),"")</f>
        <v/>
      </c>
      <c r="O9" s="289" t="str">
        <f ca="1">IFERROR(__xludf.DUMMYFUNCTION("IFERROR(JOIN("";""&amp;CHAR(10),FILTER(Curses!$A$3:$A43,Curses!$B$3:$B43=O$2,Curses!$G$3:$G43=$A9)),"""")"),"")</f>
        <v/>
      </c>
      <c r="P9" s="289" t="str">
        <f ca="1">IFERROR(__xludf.DUMMYFUNCTION("IFERROR(JOIN("";""&amp;CHAR(10),FILTER(Curses!$A$3:$A43,Curses!$B$3:$B43=P$2,Curses!$G$3:$G43=$A9)),"""")"),"")</f>
        <v/>
      </c>
      <c r="Q9" s="289" t="str">
        <f ca="1">IFERROR(__xludf.DUMMYFUNCTION("IFERROR(JOIN("";""&amp;CHAR(10),FILTER(Curses!$A$3:$A43,Curses!$B$3:$B43=Q$2,Curses!$G$3:$G43=$A9)),"""")"),"")</f>
        <v/>
      </c>
      <c r="R9" s="289" t="str">
        <f ca="1">IFERROR(__xludf.DUMMYFUNCTION("IFERROR(JOIN("";""&amp;CHAR(10),FILTER(Curses!$A$3:$A43,Curses!$B$3:$B43=R$2,Curses!$G$3:$G43=$A9)),"""")"),"")</f>
        <v/>
      </c>
      <c r="S9" s="289" t="str">
        <f ca="1">IFERROR(__xludf.DUMMYFUNCTION("IFERROR(JOIN("";""&amp;CHAR(10),FILTER(Curses!$A$3:$A43,Curses!$B$3:$B43=S$2,Curses!$G$3:$G43=$A9)),"""")"),"")</f>
        <v/>
      </c>
      <c r="T9" s="289" t="str">
        <f ca="1">IFERROR(__xludf.DUMMYFUNCTION("IFERROR(JOIN("";""&amp;CHAR(10),FILTER(Curses!$A$3:$A43,Curses!$B$3:$B43=T$2,Curses!$G$3:$G43=$A9)),"""")"),"")</f>
        <v/>
      </c>
      <c r="U9" s="289" t="str">
        <f ca="1">IFERROR(__xludf.DUMMYFUNCTION("IFERROR(JOIN("";""&amp;CHAR(10),FILTER(Curses!$A$3:$A43,Curses!$B$3:$B43=U$2,Curses!$G$3:$G43=$A9)),"""")"),"")</f>
        <v/>
      </c>
      <c r="V9" s="289" t="str">
        <f ca="1">IFERROR(__xludf.DUMMYFUNCTION("IFERROR(JOIN("";""&amp;CHAR(10),FILTER(Curses!$A$3:$A43,Curses!$B$3:$B43=V$2,Curses!$G$3:$G43=$A9)),"""")"),"")</f>
        <v/>
      </c>
      <c r="W9" s="289" t="str">
        <f ca="1">IFERROR(__xludf.DUMMYFUNCTION("IFERROR(JOIN("";""&amp;CHAR(10),FILTER(Curses!$A$3:$A43,Curses!$B$3:$B43=W$2,Curses!$G$3:$G43=$A9)),"""")"),"")</f>
        <v/>
      </c>
      <c r="X9" s="289" t="str">
        <f ca="1">IFERROR(__xludf.DUMMYFUNCTION("IFERROR(JOIN("";""&amp;CHAR(10),FILTER(Curses!$A$3:$A43,Curses!$B$3:$B43=X$2,Curses!$G$3:$G43=$A9)),"""")"),"")</f>
        <v/>
      </c>
      <c r="Y9" s="289" t="str">
        <f ca="1">IFERROR(__xludf.DUMMYFUNCTION("IFERROR(JOIN("";""&amp;CHAR(10),FILTER(Curses!$A$3:$A43,Curses!$B$3:$B43=Y$2,Curses!$G$3:$G43=$A9)),"""")"),"")</f>
        <v/>
      </c>
      <c r="Z9" s="289" t="str">
        <f ca="1">IFERROR(__xludf.DUMMYFUNCTION("IFERROR(JOIN("";""&amp;CHAR(10),FILTER(Curses!$A$3:$A43,Curses!$B$3:$B43=Z$2,Curses!$G$3:$G43=$A9)),"""")"),"")</f>
        <v/>
      </c>
      <c r="AA9" s="289" t="str">
        <f ca="1">IFERROR(__xludf.DUMMYFUNCTION("IFERROR(JOIN("";""&amp;CHAR(10),FILTER(Curses!$A$3:$A43,Curses!$B$3:$B43=AA$2,Curses!$G$3:$G43=$A9)),"""")"),"")</f>
        <v/>
      </c>
      <c r="AB9" s="289" t="str">
        <f ca="1">IFERROR(__xludf.DUMMYFUNCTION("IFERROR(JOIN("";""&amp;CHAR(10),FILTER(Curses!$A$3:$A43,Curses!$B$3:$B43=AB$2,Curses!$G$3:$G43=$A9)),"""")"),"")</f>
        <v/>
      </c>
      <c r="AC9" s="289" t="str">
        <f ca="1">IFERROR(__xludf.DUMMYFUNCTION("IFERROR(JOIN("";""&amp;CHAR(10),FILTER(Curses!$A$3:$A43,Curses!$B$3:$B43=AC$2,Curses!$G$3:$G43=$A9)),"""")"),"")</f>
        <v/>
      </c>
      <c r="AD9" s="289" t="str">
        <f ca="1">IFERROR(__xludf.DUMMYFUNCTION("IFERROR(JOIN("";""&amp;CHAR(10),FILTER(Curses!$A$3:$A43,Curses!$B$3:$B43=AD$2,Curses!$G$3:$G43=$A9)),"""")"),"")</f>
        <v/>
      </c>
      <c r="AE9" s="289" t="str">
        <f ca="1">IFERROR(__xludf.DUMMYFUNCTION("IFERROR(JOIN("";""&amp;CHAR(10),FILTER(Curses!$A$3:$A43,Curses!$B$3:$B43=AE$2,Curses!$G$3:$G43=$A9)),"""")"),"")</f>
        <v/>
      </c>
      <c r="AF9" s="289" t="str">
        <f ca="1">IFERROR(__xludf.DUMMYFUNCTION("IFERROR(JOIN("";""&amp;CHAR(10),FILTER(Curses!$A$3:$A43,Curses!$B$3:$B43=AF$2,Curses!$G$3:$G43=$A9)),"""")"),"")</f>
        <v/>
      </c>
      <c r="AG9" s="289" t="str">
        <f ca="1">IFERROR(__xludf.DUMMYFUNCTION("IFERROR(JOIN("";""&amp;CHAR(10),FILTER(Curses!$A$3:$A43,Curses!$B$3:$B43=AG$2,Curses!$G$3:$G43=$A9)),"""")"),"")</f>
        <v/>
      </c>
      <c r="AH9" s="289" t="str">
        <f ca="1">IFERROR(__xludf.DUMMYFUNCTION("IFERROR(JOIN("";""&amp;CHAR(10),FILTER(Curses!$A$3:$A43,Curses!$B$3:$B43=AH$2,Curses!$G$3:$G43=$A9)),"""")"),"")</f>
        <v/>
      </c>
      <c r="AI9" s="289" t="str">
        <f ca="1">IFERROR(__xludf.DUMMYFUNCTION("IFERROR(JOIN("";""&amp;CHAR(10),FILTER(Curses!$A$3:$A43,Curses!$B$3:$B43=AI$2,Curses!$G$3:$G43=$A9)),"""")"),"")</f>
        <v/>
      </c>
      <c r="AJ9" s="289" t="str">
        <f ca="1">IFERROR(__xludf.DUMMYFUNCTION("IFERROR(JOIN("";""&amp;CHAR(10),FILTER(Curses!$A$3:$A43,Curses!$B$3:$B43=AJ$2,Curses!$G$3:$G43=$A9)),"""")"),"")</f>
        <v/>
      </c>
      <c r="AK9" s="289" t="str">
        <f ca="1">IFERROR(__xludf.DUMMYFUNCTION("IFERROR(JOIN("";""&amp;CHAR(10),FILTER(Curses!$A$3:$A43,Curses!$B$3:$B43=AK$2,Curses!$G$3:$G43=$A9)),"""")"),"")</f>
        <v/>
      </c>
      <c r="AL9" s="289" t="str">
        <f ca="1">IFERROR(__xludf.DUMMYFUNCTION("IFERROR(JOIN("";""&amp;CHAR(10),FILTER(Curses!$A$3:$A43,Curses!$B$3:$B43=AL$2,Curses!$G$3:$G43=$A9)),"""")"),"")</f>
        <v/>
      </c>
      <c r="AM9" s="289" t="str">
        <f ca="1">IFERROR(__xludf.DUMMYFUNCTION("IFERROR(JOIN("";""&amp;CHAR(10),FILTER(Curses!$A$3:$A43,Curses!$B$3:$B43=AM$2,Curses!$G$3:$G43=$A9)),"""")"),"")</f>
        <v/>
      </c>
    </row>
    <row r="10" spans="1:39">
      <c r="A10" s="292" t="str">
        <f ca="1">IFERROR(__xludf.DUMMYFUNCTION("""COMPUTED_VALUE"""),"Tower")</f>
        <v>Tower</v>
      </c>
      <c r="B10" s="289" t="str">
        <f ca="1">IFERROR(__xludf.DUMMYFUNCTION("IFERROR(JOIN("";""&amp;CHAR(10),FILTER(Curses!$A$3:$A43,Curses!$B$3:$B43=B$2,Curses!$G$3:$G43=$A10)),"""")"),"Tower")</f>
        <v>Tower</v>
      </c>
      <c r="C10" s="289" t="str">
        <f ca="1">IFERROR(__xludf.DUMMYFUNCTION("IFERROR(JOIN("";""&amp;CHAR(10),FILTER(Curses!$A$3:$A43,Curses!$B$3:$B43=C$2,Curses!$G$3:$G43=$A10)),"""")"),"Tower+")</f>
        <v>Tower+</v>
      </c>
      <c r="D10" s="289" t="str">
        <f ca="1">IFERROR(__xludf.DUMMYFUNCTION("IFERROR(JOIN("";""&amp;CHAR(10),FILTER(Curses!$A$3:$A43,Curses!$B$3:$B43=D$2,Curses!$G$3:$G43=$A10)),"""")"),"Tower++")</f>
        <v>Tower++</v>
      </c>
      <c r="E10" s="289" t="str">
        <f ca="1">IFERROR(__xludf.DUMMYFUNCTION("IFERROR(JOIN("";""&amp;CHAR(10),FILTER(Curses!$A$3:$A43,Curses!$B$3:$B43=E$2,Curses!$G$3:$G43=$A10)),"""")"),"Tower+++")</f>
        <v>Tower+++</v>
      </c>
      <c r="F10" s="289" t="str">
        <f ca="1">IFERROR(__xludf.DUMMYFUNCTION("IFERROR(JOIN("";""&amp;CHAR(10),FILTER(Curses!$A$3:$A43,Curses!$B$3:$B43=F$2,Curses!$G$3:$G43=$A10)),"""")"),"")</f>
        <v/>
      </c>
      <c r="G10" s="289" t="str">
        <f ca="1">IFERROR(__xludf.DUMMYFUNCTION("IFERROR(JOIN("";""&amp;CHAR(10),FILTER(Curses!$A$3:$A43,Curses!$B$3:$B43=G$2,Curses!$G$3:$G43=$A10)),"""")"),"")</f>
        <v/>
      </c>
      <c r="H10" s="289" t="str">
        <f ca="1">IFERROR(__xludf.DUMMYFUNCTION("IFERROR(JOIN("";""&amp;CHAR(10),FILTER(Curses!$A$3:$A43,Curses!$B$3:$B43=H$2,Curses!$G$3:$G43=$A10)),"""")"),"")</f>
        <v/>
      </c>
      <c r="I10" s="289" t="str">
        <f ca="1">IFERROR(__xludf.DUMMYFUNCTION("IFERROR(JOIN("";""&amp;CHAR(10),FILTER(Curses!$A$3:$A43,Curses!$B$3:$B43=I$2,Curses!$G$3:$G43=$A10)),"""")"),"")</f>
        <v/>
      </c>
      <c r="J10" s="289" t="str">
        <f ca="1">IFERROR(__xludf.DUMMYFUNCTION("IFERROR(JOIN("";""&amp;CHAR(10),FILTER(Curses!$A$3:$A43,Curses!$B$3:$B43=J$2,Curses!$G$3:$G43=$A10)),"""")"),"")</f>
        <v/>
      </c>
      <c r="K10" s="289" t="str">
        <f ca="1">IFERROR(__xludf.DUMMYFUNCTION("IFERROR(JOIN("";""&amp;CHAR(10),FILTER(Curses!$A$3:$A43,Curses!$B$3:$B43=K$2,Curses!$G$3:$G43=$A10)),"""")"),"")</f>
        <v/>
      </c>
      <c r="L10" s="289" t="str">
        <f ca="1">IFERROR(__xludf.DUMMYFUNCTION("IFERROR(JOIN("";""&amp;CHAR(10),FILTER(Curses!$A$3:$A43,Curses!$B$3:$B43=L$2,Curses!$G$3:$G43=$A10)),"""")"),"")</f>
        <v/>
      </c>
      <c r="M10" s="289" t="str">
        <f ca="1">IFERROR(__xludf.DUMMYFUNCTION("IFERROR(JOIN("";""&amp;CHAR(10),FILTER(Curses!$A$3:$A43,Curses!$B$3:$B43=M$2,Curses!$G$3:$G43=$A10)),"""")"),"")</f>
        <v/>
      </c>
      <c r="N10" s="289" t="str">
        <f ca="1">IFERROR(__xludf.DUMMYFUNCTION("IFERROR(JOIN("";""&amp;CHAR(10),FILTER(Curses!$A$3:$A43,Curses!$B$3:$B43=N$2,Curses!$G$3:$G43=$A10)),"""")"),"")</f>
        <v/>
      </c>
      <c r="O10" s="289" t="str">
        <f ca="1">IFERROR(__xludf.DUMMYFUNCTION("IFERROR(JOIN("";""&amp;CHAR(10),FILTER(Curses!$A$3:$A43,Curses!$B$3:$B43=O$2,Curses!$G$3:$G43=$A10)),"""")"),"")</f>
        <v/>
      </c>
      <c r="P10" s="289" t="str">
        <f ca="1">IFERROR(__xludf.DUMMYFUNCTION("IFERROR(JOIN("";""&amp;CHAR(10),FILTER(Curses!$A$3:$A43,Curses!$B$3:$B43=P$2,Curses!$G$3:$G43=$A10)),"""")"),"")</f>
        <v/>
      </c>
      <c r="Q10" s="289" t="str">
        <f ca="1">IFERROR(__xludf.DUMMYFUNCTION("IFERROR(JOIN("";""&amp;CHAR(10),FILTER(Curses!$A$3:$A43,Curses!$B$3:$B43=Q$2,Curses!$G$3:$G43=$A10)),"""")"),"")</f>
        <v/>
      </c>
      <c r="R10" s="289" t="str">
        <f ca="1">IFERROR(__xludf.DUMMYFUNCTION("IFERROR(JOIN("";""&amp;CHAR(10),FILTER(Curses!$A$3:$A43,Curses!$B$3:$B43=R$2,Curses!$G$3:$G43=$A10)),"""")"),"")</f>
        <v/>
      </c>
      <c r="S10" s="289" t="str">
        <f ca="1">IFERROR(__xludf.DUMMYFUNCTION("IFERROR(JOIN("";""&amp;CHAR(10),FILTER(Curses!$A$3:$A43,Curses!$B$3:$B43=S$2,Curses!$G$3:$G43=$A10)),"""")"),"")</f>
        <v/>
      </c>
      <c r="T10" s="289" t="str">
        <f ca="1">IFERROR(__xludf.DUMMYFUNCTION("IFERROR(JOIN("";""&amp;CHAR(10),FILTER(Curses!$A$3:$A43,Curses!$B$3:$B43=T$2,Curses!$G$3:$G43=$A10)),"""")"),"")</f>
        <v/>
      </c>
      <c r="U10" s="289" t="str">
        <f ca="1">IFERROR(__xludf.DUMMYFUNCTION("IFERROR(JOIN("";""&amp;CHAR(10),FILTER(Curses!$A$3:$A43,Curses!$B$3:$B43=U$2,Curses!$G$3:$G43=$A10)),"""")"),"")</f>
        <v/>
      </c>
      <c r="V10" s="289" t="str">
        <f ca="1">IFERROR(__xludf.DUMMYFUNCTION("IFERROR(JOIN("";""&amp;CHAR(10),FILTER(Curses!$A$3:$A43,Curses!$B$3:$B43=V$2,Curses!$G$3:$G43=$A10)),"""")"),"")</f>
        <v/>
      </c>
      <c r="W10" s="289" t="str">
        <f ca="1">IFERROR(__xludf.DUMMYFUNCTION("IFERROR(JOIN("";""&amp;CHAR(10),FILTER(Curses!$A$3:$A43,Curses!$B$3:$B43=W$2,Curses!$G$3:$G43=$A10)),"""")"),"")</f>
        <v/>
      </c>
      <c r="X10" s="289" t="str">
        <f ca="1">IFERROR(__xludf.DUMMYFUNCTION("IFERROR(JOIN("";""&amp;CHAR(10),FILTER(Curses!$A$3:$A43,Curses!$B$3:$B43=X$2,Curses!$G$3:$G43=$A10)),"""")"),"")</f>
        <v/>
      </c>
      <c r="Y10" s="289" t="str">
        <f ca="1">IFERROR(__xludf.DUMMYFUNCTION("IFERROR(JOIN("";""&amp;CHAR(10),FILTER(Curses!$A$3:$A43,Curses!$B$3:$B43=Y$2,Curses!$G$3:$G43=$A10)),"""")"),"")</f>
        <v/>
      </c>
      <c r="Z10" s="289" t="str">
        <f ca="1">IFERROR(__xludf.DUMMYFUNCTION("IFERROR(JOIN("";""&amp;CHAR(10),FILTER(Curses!$A$3:$A43,Curses!$B$3:$B43=Z$2,Curses!$G$3:$G43=$A10)),"""")"),"")</f>
        <v/>
      </c>
      <c r="AA10" s="289" t="str">
        <f ca="1">IFERROR(__xludf.DUMMYFUNCTION("IFERROR(JOIN("";""&amp;CHAR(10),FILTER(Curses!$A$3:$A43,Curses!$B$3:$B43=AA$2,Curses!$G$3:$G43=$A10)),"""")"),"")</f>
        <v/>
      </c>
      <c r="AB10" s="289" t="str">
        <f ca="1">IFERROR(__xludf.DUMMYFUNCTION("IFERROR(JOIN("";""&amp;CHAR(10),FILTER(Curses!$A$3:$A43,Curses!$B$3:$B43=AB$2,Curses!$G$3:$G43=$A10)),"""")"),"")</f>
        <v/>
      </c>
      <c r="AC10" s="289" t="str">
        <f ca="1">IFERROR(__xludf.DUMMYFUNCTION("IFERROR(JOIN("";""&amp;CHAR(10),FILTER(Curses!$A$3:$A43,Curses!$B$3:$B43=AC$2,Curses!$G$3:$G43=$A10)),"""")"),"")</f>
        <v/>
      </c>
      <c r="AD10" s="289" t="str">
        <f ca="1">IFERROR(__xludf.DUMMYFUNCTION("IFERROR(JOIN("";""&amp;CHAR(10),FILTER(Curses!$A$3:$A43,Curses!$B$3:$B43=AD$2,Curses!$G$3:$G43=$A10)),"""")"),"")</f>
        <v/>
      </c>
      <c r="AE10" s="289" t="str">
        <f ca="1">IFERROR(__xludf.DUMMYFUNCTION("IFERROR(JOIN("";""&amp;CHAR(10),FILTER(Curses!$A$3:$A43,Curses!$B$3:$B43=AE$2,Curses!$G$3:$G43=$A10)),"""")"),"")</f>
        <v/>
      </c>
      <c r="AF10" s="289" t="str">
        <f ca="1">IFERROR(__xludf.DUMMYFUNCTION("IFERROR(JOIN("";""&amp;CHAR(10),FILTER(Curses!$A$3:$A43,Curses!$B$3:$B43=AF$2,Curses!$G$3:$G43=$A10)),"""")"),"")</f>
        <v/>
      </c>
      <c r="AG10" s="289" t="str">
        <f ca="1">IFERROR(__xludf.DUMMYFUNCTION("IFERROR(JOIN("";""&amp;CHAR(10),FILTER(Curses!$A$3:$A43,Curses!$B$3:$B43=AG$2,Curses!$G$3:$G43=$A10)),"""")"),"")</f>
        <v/>
      </c>
      <c r="AH10" s="289" t="str">
        <f ca="1">IFERROR(__xludf.DUMMYFUNCTION("IFERROR(JOIN("";""&amp;CHAR(10),FILTER(Curses!$A$3:$A43,Curses!$B$3:$B43=AH$2,Curses!$G$3:$G43=$A10)),"""")"),"")</f>
        <v/>
      </c>
      <c r="AI10" s="289" t="str">
        <f ca="1">IFERROR(__xludf.DUMMYFUNCTION("IFERROR(JOIN("";""&amp;CHAR(10),FILTER(Curses!$A$3:$A43,Curses!$B$3:$B43=AI$2,Curses!$G$3:$G43=$A10)),"""")"),"")</f>
        <v/>
      </c>
      <c r="AJ10" s="289" t="str">
        <f ca="1">IFERROR(__xludf.DUMMYFUNCTION("IFERROR(JOIN("";""&amp;CHAR(10),FILTER(Curses!$A$3:$A43,Curses!$B$3:$B43=AJ$2,Curses!$G$3:$G43=$A10)),"""")"),"")</f>
        <v/>
      </c>
      <c r="AK10" s="289" t="str">
        <f ca="1">IFERROR(__xludf.DUMMYFUNCTION("IFERROR(JOIN("";""&amp;CHAR(10),FILTER(Curses!$A$3:$A43,Curses!$B$3:$B43=AK$2,Curses!$G$3:$G43=$A10)),"""")"),"")</f>
        <v/>
      </c>
      <c r="AL10" s="289" t="str">
        <f ca="1">IFERROR(__xludf.DUMMYFUNCTION("IFERROR(JOIN("";""&amp;CHAR(10),FILTER(Curses!$A$3:$A43,Curses!$B$3:$B43=AL$2,Curses!$G$3:$G43=$A10)),"""")"),"")</f>
        <v/>
      </c>
      <c r="AM10" s="289" t="str">
        <f ca="1">IFERROR(__xludf.DUMMYFUNCTION("IFERROR(JOIN("";""&amp;CHAR(10),FILTER(Curses!$A$3:$A43,Curses!$B$3:$B43=AM$2,Curses!$G$3:$G43=$A10)),"""")"),"")</f>
        <v/>
      </c>
    </row>
    <row r="11" spans="1:39">
      <c r="A11" s="292" t="str">
        <f ca="1">IFERROR(__xludf.DUMMYFUNCTION("""COMPUTED_VALUE"""),"Fear")</f>
        <v>Fear</v>
      </c>
      <c r="B11" s="289" t="str">
        <f ca="1">IFERROR(__xludf.DUMMYFUNCTION("IFERROR(JOIN("";""&amp;CHAR(10),FILTER(Curses!$A$3:$A43,Curses!$B$3:$B43=B$2,Curses!$G$3:$G43=$A11)),"""")"),"Fear")</f>
        <v>Fear</v>
      </c>
      <c r="C11" s="289" t="str">
        <f ca="1">IFERROR(__xludf.DUMMYFUNCTION("IFERROR(JOIN("";""&amp;CHAR(10),FILTER(Curses!$A$3:$A43,Curses!$B$3:$B43=C$2,Curses!$G$3:$G43=$A11)),"""")"),"Fear+")</f>
        <v>Fear+</v>
      </c>
      <c r="D11" s="289" t="str">
        <f ca="1">IFERROR(__xludf.DUMMYFUNCTION("IFERROR(JOIN("";""&amp;CHAR(10),FILTER(Curses!$A$3:$A43,Curses!$B$3:$B43=D$2,Curses!$G$3:$G43=$A11)),"""")"),"Fear++")</f>
        <v>Fear++</v>
      </c>
      <c r="E11" s="289" t="str">
        <f ca="1">IFERROR(__xludf.DUMMYFUNCTION("IFERROR(JOIN("";""&amp;CHAR(10),FILTER(Curses!$A$3:$A43,Curses!$B$3:$B43=E$2,Curses!$G$3:$G43=$A11)),"""")"),"Fear+++")</f>
        <v>Fear+++</v>
      </c>
      <c r="F11" s="289" t="str">
        <f ca="1">IFERROR(__xludf.DUMMYFUNCTION("IFERROR(JOIN("";""&amp;CHAR(10),FILTER(Curses!$A$3:$A43,Curses!$B$3:$B43=F$2,Curses!$G$3:$G43=$A11)),"""")"),"")</f>
        <v/>
      </c>
      <c r="G11" s="289" t="str">
        <f ca="1">IFERROR(__xludf.DUMMYFUNCTION("IFERROR(JOIN("";""&amp;CHAR(10),FILTER(Curses!$A$3:$A43,Curses!$B$3:$B43=G$2,Curses!$G$3:$G43=$A11)),"""")"),"")</f>
        <v/>
      </c>
      <c r="H11" s="289" t="str">
        <f ca="1">IFERROR(__xludf.DUMMYFUNCTION("IFERROR(JOIN("";""&amp;CHAR(10),FILTER(Curses!$A$3:$A43,Curses!$B$3:$B43=H$2,Curses!$G$3:$G43=$A11)),"""")"),"")</f>
        <v/>
      </c>
      <c r="I11" s="289" t="str">
        <f ca="1">IFERROR(__xludf.DUMMYFUNCTION("IFERROR(JOIN("";""&amp;CHAR(10),FILTER(Curses!$A$3:$A43,Curses!$B$3:$B43=I$2,Curses!$G$3:$G43=$A11)),"""")"),"")</f>
        <v/>
      </c>
      <c r="J11" s="289" t="str">
        <f ca="1">IFERROR(__xludf.DUMMYFUNCTION("IFERROR(JOIN("";""&amp;CHAR(10),FILTER(Curses!$A$3:$A43,Curses!$B$3:$B43=J$2,Curses!$G$3:$G43=$A11)),"""")"),"")</f>
        <v/>
      </c>
      <c r="K11" s="289" t="str">
        <f ca="1">IFERROR(__xludf.DUMMYFUNCTION("IFERROR(JOIN("";""&amp;CHAR(10),FILTER(Curses!$A$3:$A43,Curses!$B$3:$B43=K$2,Curses!$G$3:$G43=$A11)),"""")"),"")</f>
        <v/>
      </c>
      <c r="L11" s="289" t="str">
        <f ca="1">IFERROR(__xludf.DUMMYFUNCTION("IFERROR(JOIN("";""&amp;CHAR(10),FILTER(Curses!$A$3:$A43,Curses!$B$3:$B43=L$2,Curses!$G$3:$G43=$A11)),"""")"),"")</f>
        <v/>
      </c>
      <c r="M11" s="289" t="str">
        <f ca="1">IFERROR(__xludf.DUMMYFUNCTION("IFERROR(JOIN("";""&amp;CHAR(10),FILTER(Curses!$A$3:$A43,Curses!$B$3:$B43=M$2,Curses!$G$3:$G43=$A11)),"""")"),"")</f>
        <v/>
      </c>
      <c r="N11" s="289" t="str">
        <f ca="1">IFERROR(__xludf.DUMMYFUNCTION("IFERROR(JOIN("";""&amp;CHAR(10),FILTER(Curses!$A$3:$A43,Curses!$B$3:$B43=N$2,Curses!$G$3:$G43=$A11)),"""")"),"")</f>
        <v/>
      </c>
      <c r="O11" s="289" t="str">
        <f ca="1">IFERROR(__xludf.DUMMYFUNCTION("IFERROR(JOIN("";""&amp;CHAR(10),FILTER(Curses!$A$3:$A43,Curses!$B$3:$B43=O$2,Curses!$G$3:$G43=$A11)),"""")"),"")</f>
        <v/>
      </c>
      <c r="P11" s="289" t="str">
        <f ca="1">IFERROR(__xludf.DUMMYFUNCTION("IFERROR(JOIN("";""&amp;CHAR(10),FILTER(Curses!$A$3:$A43,Curses!$B$3:$B43=P$2,Curses!$G$3:$G43=$A11)),"""")"),"")</f>
        <v/>
      </c>
      <c r="Q11" s="289" t="str">
        <f ca="1">IFERROR(__xludf.DUMMYFUNCTION("IFERROR(JOIN("";""&amp;CHAR(10),FILTER(Curses!$A$3:$A43,Curses!$B$3:$B43=Q$2,Curses!$G$3:$G43=$A11)),"""")"),"")</f>
        <v/>
      </c>
      <c r="R11" s="289" t="str">
        <f ca="1">IFERROR(__xludf.DUMMYFUNCTION("IFERROR(JOIN("";""&amp;CHAR(10),FILTER(Curses!$A$3:$A43,Curses!$B$3:$B43=R$2,Curses!$G$3:$G43=$A11)),"""")"),"")</f>
        <v/>
      </c>
      <c r="S11" s="289" t="str">
        <f ca="1">IFERROR(__xludf.DUMMYFUNCTION("IFERROR(JOIN("";""&amp;CHAR(10),FILTER(Curses!$A$3:$A43,Curses!$B$3:$B43=S$2,Curses!$G$3:$G43=$A11)),"""")"),"")</f>
        <v/>
      </c>
      <c r="T11" s="289" t="str">
        <f ca="1">IFERROR(__xludf.DUMMYFUNCTION("IFERROR(JOIN("";""&amp;CHAR(10),FILTER(Curses!$A$3:$A43,Curses!$B$3:$B43=T$2,Curses!$G$3:$G43=$A11)),"""")"),"")</f>
        <v/>
      </c>
      <c r="U11" s="289" t="str">
        <f ca="1">IFERROR(__xludf.DUMMYFUNCTION("IFERROR(JOIN("";""&amp;CHAR(10),FILTER(Curses!$A$3:$A43,Curses!$B$3:$B43=U$2,Curses!$G$3:$G43=$A11)),"""")"),"")</f>
        <v/>
      </c>
      <c r="V11" s="289" t="str">
        <f ca="1">IFERROR(__xludf.DUMMYFUNCTION("IFERROR(JOIN("";""&amp;CHAR(10),FILTER(Curses!$A$3:$A43,Curses!$B$3:$B43=V$2,Curses!$G$3:$G43=$A11)),"""")"),"")</f>
        <v/>
      </c>
      <c r="W11" s="289" t="str">
        <f ca="1">IFERROR(__xludf.DUMMYFUNCTION("IFERROR(JOIN("";""&amp;CHAR(10),FILTER(Curses!$A$3:$A43,Curses!$B$3:$B43=W$2,Curses!$G$3:$G43=$A11)),"""")"),"")</f>
        <v/>
      </c>
      <c r="X11" s="289" t="str">
        <f ca="1">IFERROR(__xludf.DUMMYFUNCTION("IFERROR(JOIN("";""&amp;CHAR(10),FILTER(Curses!$A$3:$A43,Curses!$B$3:$B43=X$2,Curses!$G$3:$G43=$A11)),"""")"),"")</f>
        <v/>
      </c>
      <c r="Y11" s="289" t="str">
        <f ca="1">IFERROR(__xludf.DUMMYFUNCTION("IFERROR(JOIN("";""&amp;CHAR(10),FILTER(Curses!$A$3:$A43,Curses!$B$3:$B43=Y$2,Curses!$G$3:$G43=$A11)),"""")"),"")</f>
        <v/>
      </c>
      <c r="Z11" s="289" t="str">
        <f ca="1">IFERROR(__xludf.DUMMYFUNCTION("IFERROR(JOIN("";""&amp;CHAR(10),FILTER(Curses!$A$3:$A43,Curses!$B$3:$B43=Z$2,Curses!$G$3:$G43=$A11)),"""")"),"")</f>
        <v/>
      </c>
      <c r="AA11" s="289" t="str">
        <f ca="1">IFERROR(__xludf.DUMMYFUNCTION("IFERROR(JOIN("";""&amp;CHAR(10),FILTER(Curses!$A$3:$A43,Curses!$B$3:$B43=AA$2,Curses!$G$3:$G43=$A11)),"""")"),"")</f>
        <v/>
      </c>
      <c r="AB11" s="289" t="str">
        <f ca="1">IFERROR(__xludf.DUMMYFUNCTION("IFERROR(JOIN("";""&amp;CHAR(10),FILTER(Curses!$A$3:$A43,Curses!$B$3:$B43=AB$2,Curses!$G$3:$G43=$A11)),"""")"),"")</f>
        <v/>
      </c>
      <c r="AC11" s="289" t="str">
        <f ca="1">IFERROR(__xludf.DUMMYFUNCTION("IFERROR(JOIN("";""&amp;CHAR(10),FILTER(Curses!$A$3:$A43,Curses!$B$3:$B43=AC$2,Curses!$G$3:$G43=$A11)),"""")"),"")</f>
        <v/>
      </c>
      <c r="AD11" s="289" t="str">
        <f ca="1">IFERROR(__xludf.DUMMYFUNCTION("IFERROR(JOIN("";""&amp;CHAR(10),FILTER(Curses!$A$3:$A43,Curses!$B$3:$B43=AD$2,Curses!$G$3:$G43=$A11)),"""")"),"")</f>
        <v/>
      </c>
      <c r="AE11" s="289" t="str">
        <f ca="1">IFERROR(__xludf.DUMMYFUNCTION("IFERROR(JOIN("";""&amp;CHAR(10),FILTER(Curses!$A$3:$A43,Curses!$B$3:$B43=AE$2,Curses!$G$3:$G43=$A11)),"""")"),"")</f>
        <v/>
      </c>
      <c r="AF11" s="289" t="str">
        <f ca="1">IFERROR(__xludf.DUMMYFUNCTION("IFERROR(JOIN("";""&amp;CHAR(10),FILTER(Curses!$A$3:$A43,Curses!$B$3:$B43=AF$2,Curses!$G$3:$G43=$A11)),"""")"),"")</f>
        <v/>
      </c>
      <c r="AG11" s="289" t="str">
        <f ca="1">IFERROR(__xludf.DUMMYFUNCTION("IFERROR(JOIN("";""&amp;CHAR(10),FILTER(Curses!$A$3:$A43,Curses!$B$3:$B43=AG$2,Curses!$G$3:$G43=$A11)),"""")"),"")</f>
        <v/>
      </c>
      <c r="AH11" s="289" t="str">
        <f ca="1">IFERROR(__xludf.DUMMYFUNCTION("IFERROR(JOIN("";""&amp;CHAR(10),FILTER(Curses!$A$3:$A43,Curses!$B$3:$B43=AH$2,Curses!$G$3:$G43=$A11)),"""")"),"")</f>
        <v/>
      </c>
      <c r="AI11" s="289" t="str">
        <f ca="1">IFERROR(__xludf.DUMMYFUNCTION("IFERROR(JOIN("";""&amp;CHAR(10),FILTER(Curses!$A$3:$A43,Curses!$B$3:$B43=AI$2,Curses!$G$3:$G43=$A11)),"""")"),"")</f>
        <v/>
      </c>
      <c r="AJ11" s="289" t="str">
        <f ca="1">IFERROR(__xludf.DUMMYFUNCTION("IFERROR(JOIN("";""&amp;CHAR(10),FILTER(Curses!$A$3:$A43,Curses!$B$3:$B43=AJ$2,Curses!$G$3:$G43=$A11)),"""")"),"")</f>
        <v/>
      </c>
      <c r="AK11" s="289" t="str">
        <f ca="1">IFERROR(__xludf.DUMMYFUNCTION("IFERROR(JOIN("";""&amp;CHAR(10),FILTER(Curses!$A$3:$A43,Curses!$B$3:$B43=AK$2,Curses!$G$3:$G43=$A11)),"""")"),"")</f>
        <v/>
      </c>
      <c r="AL11" s="289" t="str">
        <f ca="1">IFERROR(__xludf.DUMMYFUNCTION("IFERROR(JOIN("";""&amp;CHAR(10),FILTER(Curses!$A$3:$A43,Curses!$B$3:$B43=AL$2,Curses!$G$3:$G43=$A11)),"""")"),"")</f>
        <v/>
      </c>
      <c r="AM11" s="289" t="str">
        <f ca="1">IFERROR(__xludf.DUMMYFUNCTION("IFERROR(JOIN("";""&amp;CHAR(10),FILTER(Curses!$A$3:$A43,Curses!$B$3:$B43=AM$2,Curses!$G$3:$G43=$A11)),"""")"),"")</f>
        <v/>
      </c>
    </row>
    <row r="12" spans="1:39">
      <c r="A12" s="292" t="str">
        <f ca="1">IFERROR(__xludf.DUMMYFUNCTION("""COMPUTED_VALUE"""),"Swarm")</f>
        <v>Swarm</v>
      </c>
      <c r="B12" s="289" t="str">
        <f ca="1">IFERROR(__xludf.DUMMYFUNCTION("IFERROR(JOIN("";""&amp;CHAR(10),FILTER(Curses!$A$3:$A43,Curses!$B$3:$B43=B$2,Curses!$G$3:$G43=$A12)),"""")"),"Swarm")</f>
        <v>Swarm</v>
      </c>
      <c r="C12" s="289" t="str">
        <f ca="1">IFERROR(__xludf.DUMMYFUNCTION("IFERROR(JOIN("";""&amp;CHAR(10),FILTER(Curses!$A$3:$A43,Curses!$B$3:$B43=C$2,Curses!$G$3:$G43=$A12)),"""")"),"Swarm+")</f>
        <v>Swarm+</v>
      </c>
      <c r="D12" s="289" t="str">
        <f ca="1">IFERROR(__xludf.DUMMYFUNCTION("IFERROR(JOIN("";""&amp;CHAR(10),FILTER(Curses!$A$3:$A43,Curses!$B$3:$B43=D$2,Curses!$G$3:$G43=$A12)),"""")"),"Swarm++")</f>
        <v>Swarm++</v>
      </c>
      <c r="E12" s="289" t="str">
        <f ca="1">IFERROR(__xludf.DUMMYFUNCTION("IFERROR(JOIN("";""&amp;CHAR(10),FILTER(Curses!$A$3:$A43,Curses!$B$3:$B43=E$2,Curses!$G$3:$G43=$A12)),"""")"),"Swarm+++")</f>
        <v>Swarm+++</v>
      </c>
      <c r="F12" s="289" t="str">
        <f ca="1">IFERROR(__xludf.DUMMYFUNCTION("IFERROR(JOIN("";""&amp;CHAR(10),FILTER(Curses!$A$3:$A43,Curses!$B$3:$B43=F$2,Curses!$G$3:$G43=$A12)),"""")"),"")</f>
        <v/>
      </c>
      <c r="G12" s="289" t="str">
        <f ca="1">IFERROR(__xludf.DUMMYFUNCTION("IFERROR(JOIN("";""&amp;CHAR(10),FILTER(Curses!$A$3:$A43,Curses!$B$3:$B43=G$2,Curses!$G$3:$G43=$A12)),"""")"),"")</f>
        <v/>
      </c>
      <c r="H12" s="289" t="str">
        <f ca="1">IFERROR(__xludf.DUMMYFUNCTION("IFERROR(JOIN("";""&amp;CHAR(10),FILTER(Curses!$A$3:$A43,Curses!$B$3:$B43=H$2,Curses!$G$3:$G43=$A12)),"""")"),"")</f>
        <v/>
      </c>
      <c r="I12" s="289" t="str">
        <f ca="1">IFERROR(__xludf.DUMMYFUNCTION("IFERROR(JOIN("";""&amp;CHAR(10),FILTER(Curses!$A$3:$A43,Curses!$B$3:$B43=I$2,Curses!$G$3:$G43=$A12)),"""")"),"")</f>
        <v/>
      </c>
      <c r="J12" s="289" t="str">
        <f ca="1">IFERROR(__xludf.DUMMYFUNCTION("IFERROR(JOIN("";""&amp;CHAR(10),FILTER(Curses!$A$3:$A43,Curses!$B$3:$B43=J$2,Curses!$G$3:$G43=$A12)),"""")"),"")</f>
        <v/>
      </c>
      <c r="K12" s="289" t="str">
        <f ca="1">IFERROR(__xludf.DUMMYFUNCTION("IFERROR(JOIN("";""&amp;CHAR(10),FILTER(Curses!$A$3:$A43,Curses!$B$3:$B43=K$2,Curses!$G$3:$G43=$A12)),"""")"),"")</f>
        <v/>
      </c>
      <c r="L12" s="289" t="str">
        <f ca="1">IFERROR(__xludf.DUMMYFUNCTION("IFERROR(JOIN("";""&amp;CHAR(10),FILTER(Curses!$A$3:$A43,Curses!$B$3:$B43=L$2,Curses!$G$3:$G43=$A12)),"""")"),"")</f>
        <v/>
      </c>
      <c r="M12" s="289" t="str">
        <f ca="1">IFERROR(__xludf.DUMMYFUNCTION("IFERROR(JOIN("";""&amp;CHAR(10),FILTER(Curses!$A$3:$A43,Curses!$B$3:$B43=M$2,Curses!$G$3:$G43=$A12)),"""")"),"")</f>
        <v/>
      </c>
      <c r="N12" s="289" t="str">
        <f ca="1">IFERROR(__xludf.DUMMYFUNCTION("IFERROR(JOIN("";""&amp;CHAR(10),FILTER(Curses!$A$3:$A43,Curses!$B$3:$B43=N$2,Curses!$G$3:$G43=$A12)),"""")"),"")</f>
        <v/>
      </c>
      <c r="O12" s="289" t="str">
        <f ca="1">IFERROR(__xludf.DUMMYFUNCTION("IFERROR(JOIN("";""&amp;CHAR(10),FILTER(Curses!$A$3:$A43,Curses!$B$3:$B43=O$2,Curses!$G$3:$G43=$A12)),"""")"),"")</f>
        <v/>
      </c>
      <c r="P12" s="289" t="str">
        <f ca="1">IFERROR(__xludf.DUMMYFUNCTION("IFERROR(JOIN("";""&amp;CHAR(10),FILTER(Curses!$A$3:$A43,Curses!$B$3:$B43=P$2,Curses!$G$3:$G43=$A12)),"""")"),"")</f>
        <v/>
      </c>
      <c r="Q12" s="289" t="str">
        <f ca="1">IFERROR(__xludf.DUMMYFUNCTION("IFERROR(JOIN("";""&amp;CHAR(10),FILTER(Curses!$A$3:$A43,Curses!$B$3:$B43=Q$2,Curses!$G$3:$G43=$A12)),"""")"),"")</f>
        <v/>
      </c>
      <c r="R12" s="289" t="str">
        <f ca="1">IFERROR(__xludf.DUMMYFUNCTION("IFERROR(JOIN("";""&amp;CHAR(10),FILTER(Curses!$A$3:$A43,Curses!$B$3:$B43=R$2,Curses!$G$3:$G43=$A12)),"""")"),"")</f>
        <v/>
      </c>
      <c r="S12" s="289" t="str">
        <f ca="1">IFERROR(__xludf.DUMMYFUNCTION("IFERROR(JOIN("";""&amp;CHAR(10),FILTER(Curses!$A$3:$A43,Curses!$B$3:$B43=S$2,Curses!$G$3:$G43=$A12)),"""")"),"")</f>
        <v/>
      </c>
      <c r="T12" s="289" t="str">
        <f ca="1">IFERROR(__xludf.DUMMYFUNCTION("IFERROR(JOIN("";""&amp;CHAR(10),FILTER(Curses!$A$3:$A43,Curses!$B$3:$B43=T$2,Curses!$G$3:$G43=$A12)),"""")"),"")</f>
        <v/>
      </c>
      <c r="U12" s="289" t="str">
        <f ca="1">IFERROR(__xludf.DUMMYFUNCTION("IFERROR(JOIN("";""&amp;CHAR(10),FILTER(Curses!$A$3:$A43,Curses!$B$3:$B43=U$2,Curses!$G$3:$G43=$A12)),"""")"),"")</f>
        <v/>
      </c>
      <c r="V12" s="289" t="str">
        <f ca="1">IFERROR(__xludf.DUMMYFUNCTION("IFERROR(JOIN("";""&amp;CHAR(10),FILTER(Curses!$A$3:$A43,Curses!$B$3:$B43=V$2,Curses!$G$3:$G43=$A12)),"""")"),"")</f>
        <v/>
      </c>
      <c r="W12" s="289" t="str">
        <f ca="1">IFERROR(__xludf.DUMMYFUNCTION("IFERROR(JOIN("";""&amp;CHAR(10),FILTER(Curses!$A$3:$A43,Curses!$B$3:$B43=W$2,Curses!$G$3:$G43=$A12)),"""")"),"")</f>
        <v/>
      </c>
      <c r="X12" s="289" t="str">
        <f ca="1">IFERROR(__xludf.DUMMYFUNCTION("IFERROR(JOIN("";""&amp;CHAR(10),FILTER(Curses!$A$3:$A43,Curses!$B$3:$B43=X$2,Curses!$G$3:$G43=$A12)),"""")"),"")</f>
        <v/>
      </c>
      <c r="Y12" s="289" t="str">
        <f ca="1">IFERROR(__xludf.DUMMYFUNCTION("IFERROR(JOIN("";""&amp;CHAR(10),FILTER(Curses!$A$3:$A43,Curses!$B$3:$B43=Y$2,Curses!$G$3:$G43=$A12)),"""")"),"")</f>
        <v/>
      </c>
      <c r="Z12" s="289" t="str">
        <f ca="1">IFERROR(__xludf.DUMMYFUNCTION("IFERROR(JOIN("";""&amp;CHAR(10),FILTER(Curses!$A$3:$A43,Curses!$B$3:$B43=Z$2,Curses!$G$3:$G43=$A12)),"""")"),"")</f>
        <v/>
      </c>
      <c r="AA12" s="289" t="str">
        <f ca="1">IFERROR(__xludf.DUMMYFUNCTION("IFERROR(JOIN("";""&amp;CHAR(10),FILTER(Curses!$A$3:$A43,Curses!$B$3:$B43=AA$2,Curses!$G$3:$G43=$A12)),"""")"),"")</f>
        <v/>
      </c>
      <c r="AB12" s="289" t="str">
        <f ca="1">IFERROR(__xludf.DUMMYFUNCTION("IFERROR(JOIN("";""&amp;CHAR(10),FILTER(Curses!$A$3:$A43,Curses!$B$3:$B43=AB$2,Curses!$G$3:$G43=$A12)),"""")"),"")</f>
        <v/>
      </c>
      <c r="AC12" s="289" t="str">
        <f ca="1">IFERROR(__xludf.DUMMYFUNCTION("IFERROR(JOIN("";""&amp;CHAR(10),FILTER(Curses!$A$3:$A43,Curses!$B$3:$B43=AC$2,Curses!$G$3:$G43=$A12)),"""")"),"")</f>
        <v/>
      </c>
      <c r="AD12" s="289" t="str">
        <f ca="1">IFERROR(__xludf.DUMMYFUNCTION("IFERROR(JOIN("";""&amp;CHAR(10),FILTER(Curses!$A$3:$A43,Curses!$B$3:$B43=AD$2,Curses!$G$3:$G43=$A12)),"""")"),"")</f>
        <v/>
      </c>
      <c r="AE12" s="289" t="str">
        <f ca="1">IFERROR(__xludf.DUMMYFUNCTION("IFERROR(JOIN("";""&amp;CHAR(10),FILTER(Curses!$A$3:$A43,Curses!$B$3:$B43=AE$2,Curses!$G$3:$G43=$A12)),"""")"),"")</f>
        <v/>
      </c>
      <c r="AF12" s="289" t="str">
        <f ca="1">IFERROR(__xludf.DUMMYFUNCTION("IFERROR(JOIN("";""&amp;CHAR(10),FILTER(Curses!$A$3:$A43,Curses!$B$3:$B43=AF$2,Curses!$G$3:$G43=$A12)),"""")"),"")</f>
        <v/>
      </c>
      <c r="AG12" s="289" t="str">
        <f ca="1">IFERROR(__xludf.DUMMYFUNCTION("IFERROR(JOIN("";""&amp;CHAR(10),FILTER(Curses!$A$3:$A43,Curses!$B$3:$B43=AG$2,Curses!$G$3:$G43=$A12)),"""")"),"")</f>
        <v/>
      </c>
      <c r="AH12" s="289" t="str">
        <f ca="1">IFERROR(__xludf.DUMMYFUNCTION("IFERROR(JOIN("";""&amp;CHAR(10),FILTER(Curses!$A$3:$A43,Curses!$B$3:$B43=AH$2,Curses!$G$3:$G43=$A12)),"""")"),"")</f>
        <v/>
      </c>
      <c r="AI12" s="289" t="str">
        <f ca="1">IFERROR(__xludf.DUMMYFUNCTION("IFERROR(JOIN("";""&amp;CHAR(10),FILTER(Curses!$A$3:$A43,Curses!$B$3:$B43=AI$2,Curses!$G$3:$G43=$A12)),"""")"),"")</f>
        <v/>
      </c>
      <c r="AJ12" s="289" t="str">
        <f ca="1">IFERROR(__xludf.DUMMYFUNCTION("IFERROR(JOIN("";""&amp;CHAR(10),FILTER(Curses!$A$3:$A43,Curses!$B$3:$B43=AJ$2,Curses!$G$3:$G43=$A12)),"""")"),"")</f>
        <v/>
      </c>
      <c r="AK12" s="289" t="str">
        <f ca="1">IFERROR(__xludf.DUMMYFUNCTION("IFERROR(JOIN("";""&amp;CHAR(10),FILTER(Curses!$A$3:$A43,Curses!$B$3:$B43=AK$2,Curses!$G$3:$G43=$A12)),"""")"),"")</f>
        <v/>
      </c>
      <c r="AL12" s="289" t="str">
        <f ca="1">IFERROR(__xludf.DUMMYFUNCTION("IFERROR(JOIN("";""&amp;CHAR(10),FILTER(Curses!$A$3:$A43,Curses!$B$3:$B43=AL$2,Curses!$G$3:$G43=$A12)),"""")"),"")</f>
        <v/>
      </c>
      <c r="AM12" s="289" t="str">
        <f ca="1">IFERROR(__xludf.DUMMYFUNCTION("IFERROR(JOIN("";""&amp;CHAR(10),FILTER(Curses!$A$3:$A43,Curses!$B$3:$B43=AM$2,Curses!$G$3:$G43=$A12)),"""")"),"")</f>
        <v/>
      </c>
    </row>
    <row r="13" spans="1:39">
      <c r="A13" s="292" t="str">
        <f ca="1">IFERROR(__xludf.DUMMYFUNCTION("""COMPUTED_VALUE"""),"Mana Debt")</f>
        <v>Mana Debt</v>
      </c>
      <c r="B13" s="289" t="str">
        <f ca="1">IFERROR(__xludf.DUMMYFUNCTION("IFERROR(JOIN("";""&amp;CHAR(10),FILTER(Curses!$A$3:$A43,Curses!$B$3:$B43=B$2,Curses!$G$3:$G43=$A13)),"""")"),"Mana Debt")</f>
        <v>Mana Debt</v>
      </c>
      <c r="C13" s="289" t="str">
        <f ca="1">IFERROR(__xludf.DUMMYFUNCTION("IFERROR(JOIN("";""&amp;CHAR(10),FILTER(Curses!$A$3:$A43,Curses!$B$3:$B43=C$2,Curses!$G$3:$G43=$A13)),"""")"),"Mana Debt+")</f>
        <v>Mana Debt+</v>
      </c>
      <c r="D13" s="289" t="str">
        <f ca="1">IFERROR(__xludf.DUMMYFUNCTION("IFERROR(JOIN("";""&amp;CHAR(10),FILTER(Curses!$A$3:$A43,Curses!$B$3:$B43=D$2,Curses!$G$3:$G43=$A13)),"""")"),"Mana Debt++")</f>
        <v>Mana Debt++</v>
      </c>
      <c r="E13" s="289" t="str">
        <f ca="1">IFERROR(__xludf.DUMMYFUNCTION("IFERROR(JOIN("";""&amp;CHAR(10),FILTER(Curses!$A$3:$A43,Curses!$B$3:$B43=E$2,Curses!$G$3:$G43=$A13)),"""")"),"Mana Debt+++")</f>
        <v>Mana Debt+++</v>
      </c>
      <c r="F13" s="289" t="str">
        <f ca="1">IFERROR(__xludf.DUMMYFUNCTION("IFERROR(JOIN("";""&amp;CHAR(10),FILTER(Curses!$A$3:$A43,Curses!$B$3:$B43=F$2,Curses!$G$3:$G43=$A13)),"""")"),"")</f>
        <v/>
      </c>
      <c r="G13" s="289" t="str">
        <f ca="1">IFERROR(__xludf.DUMMYFUNCTION("IFERROR(JOIN("";""&amp;CHAR(10),FILTER(Curses!$A$3:$A43,Curses!$B$3:$B43=G$2,Curses!$G$3:$G43=$A13)),"""")"),"")</f>
        <v/>
      </c>
      <c r="H13" s="289" t="str">
        <f ca="1">IFERROR(__xludf.DUMMYFUNCTION("IFERROR(JOIN("";""&amp;CHAR(10),FILTER(Curses!$A$3:$A43,Curses!$B$3:$B43=H$2,Curses!$G$3:$G43=$A13)),"""")"),"")</f>
        <v/>
      </c>
      <c r="I13" s="289" t="str">
        <f ca="1">IFERROR(__xludf.DUMMYFUNCTION("IFERROR(JOIN("";""&amp;CHAR(10),FILTER(Curses!$A$3:$A43,Curses!$B$3:$B43=I$2,Curses!$G$3:$G43=$A13)),"""")"),"")</f>
        <v/>
      </c>
      <c r="J13" s="289" t="str">
        <f ca="1">IFERROR(__xludf.DUMMYFUNCTION("IFERROR(JOIN("";""&amp;CHAR(10),FILTER(Curses!$A$3:$A43,Curses!$B$3:$B43=J$2,Curses!$G$3:$G43=$A13)),"""")"),"")</f>
        <v/>
      </c>
      <c r="K13" s="289" t="str">
        <f ca="1">IFERROR(__xludf.DUMMYFUNCTION("IFERROR(JOIN("";""&amp;CHAR(10),FILTER(Curses!$A$3:$A43,Curses!$B$3:$B43=K$2,Curses!$G$3:$G43=$A13)),"""")"),"")</f>
        <v/>
      </c>
      <c r="L13" s="289" t="str">
        <f ca="1">IFERROR(__xludf.DUMMYFUNCTION("IFERROR(JOIN("";""&amp;CHAR(10),FILTER(Curses!$A$3:$A43,Curses!$B$3:$B43=L$2,Curses!$G$3:$G43=$A13)),"""")"),"")</f>
        <v/>
      </c>
      <c r="M13" s="289" t="str">
        <f ca="1">IFERROR(__xludf.DUMMYFUNCTION("IFERROR(JOIN("";""&amp;CHAR(10),FILTER(Curses!$A$3:$A43,Curses!$B$3:$B43=M$2,Curses!$G$3:$G43=$A13)),"""")"),"")</f>
        <v/>
      </c>
      <c r="N13" s="289" t="str">
        <f ca="1">IFERROR(__xludf.DUMMYFUNCTION("IFERROR(JOIN("";""&amp;CHAR(10),FILTER(Curses!$A$3:$A43,Curses!$B$3:$B43=N$2,Curses!$G$3:$G43=$A13)),"""")"),"")</f>
        <v/>
      </c>
      <c r="O13" s="289" t="str">
        <f ca="1">IFERROR(__xludf.DUMMYFUNCTION("IFERROR(JOIN("";""&amp;CHAR(10),FILTER(Curses!$A$3:$A43,Curses!$B$3:$B43=O$2,Curses!$G$3:$G43=$A13)),"""")"),"")</f>
        <v/>
      </c>
      <c r="P13" s="289" t="str">
        <f ca="1">IFERROR(__xludf.DUMMYFUNCTION("IFERROR(JOIN("";""&amp;CHAR(10),FILTER(Curses!$A$3:$A43,Curses!$B$3:$B43=P$2,Curses!$G$3:$G43=$A13)),"""")"),"")</f>
        <v/>
      </c>
      <c r="Q13" s="289" t="str">
        <f ca="1">IFERROR(__xludf.DUMMYFUNCTION("IFERROR(JOIN("";""&amp;CHAR(10),FILTER(Curses!$A$3:$A43,Curses!$B$3:$B43=Q$2,Curses!$G$3:$G43=$A13)),"""")"),"")</f>
        <v/>
      </c>
      <c r="R13" s="289" t="str">
        <f ca="1">IFERROR(__xludf.DUMMYFUNCTION("IFERROR(JOIN("";""&amp;CHAR(10),FILTER(Curses!$A$3:$A43,Curses!$B$3:$B43=R$2,Curses!$G$3:$G43=$A13)),"""")"),"")</f>
        <v/>
      </c>
      <c r="S13" s="289" t="str">
        <f ca="1">IFERROR(__xludf.DUMMYFUNCTION("IFERROR(JOIN("";""&amp;CHAR(10),FILTER(Curses!$A$3:$A43,Curses!$B$3:$B43=S$2,Curses!$G$3:$G43=$A13)),"""")"),"")</f>
        <v/>
      </c>
      <c r="T13" s="289" t="str">
        <f ca="1">IFERROR(__xludf.DUMMYFUNCTION("IFERROR(JOIN("";""&amp;CHAR(10),FILTER(Curses!$A$3:$A43,Curses!$B$3:$B43=T$2,Curses!$G$3:$G43=$A13)),"""")"),"")</f>
        <v/>
      </c>
      <c r="U13" s="289" t="str">
        <f ca="1">IFERROR(__xludf.DUMMYFUNCTION("IFERROR(JOIN("";""&amp;CHAR(10),FILTER(Curses!$A$3:$A43,Curses!$B$3:$B43=U$2,Curses!$G$3:$G43=$A13)),"""")"),"")</f>
        <v/>
      </c>
      <c r="V13" s="289" t="str">
        <f ca="1">IFERROR(__xludf.DUMMYFUNCTION("IFERROR(JOIN("";""&amp;CHAR(10),FILTER(Curses!$A$3:$A43,Curses!$B$3:$B43=V$2,Curses!$G$3:$G43=$A13)),"""")"),"")</f>
        <v/>
      </c>
      <c r="W13" s="289" t="str">
        <f ca="1">IFERROR(__xludf.DUMMYFUNCTION("IFERROR(JOIN("";""&amp;CHAR(10),FILTER(Curses!$A$3:$A43,Curses!$B$3:$B43=W$2,Curses!$G$3:$G43=$A13)),"""")"),"")</f>
        <v/>
      </c>
      <c r="X13" s="289" t="str">
        <f ca="1">IFERROR(__xludf.DUMMYFUNCTION("IFERROR(JOIN("";""&amp;CHAR(10),FILTER(Curses!$A$3:$A43,Curses!$B$3:$B43=X$2,Curses!$G$3:$G43=$A13)),"""")"),"")</f>
        <v/>
      </c>
      <c r="Y13" s="289" t="str">
        <f ca="1">IFERROR(__xludf.DUMMYFUNCTION("IFERROR(JOIN("";""&amp;CHAR(10),FILTER(Curses!$A$3:$A43,Curses!$B$3:$B43=Y$2,Curses!$G$3:$G43=$A13)),"""")"),"")</f>
        <v/>
      </c>
      <c r="Z13" s="289" t="str">
        <f ca="1">IFERROR(__xludf.DUMMYFUNCTION("IFERROR(JOIN("";""&amp;CHAR(10),FILTER(Curses!$A$3:$A43,Curses!$B$3:$B43=Z$2,Curses!$G$3:$G43=$A13)),"""")"),"")</f>
        <v/>
      </c>
      <c r="AA13" s="289" t="str">
        <f ca="1">IFERROR(__xludf.DUMMYFUNCTION("IFERROR(JOIN("";""&amp;CHAR(10),FILTER(Curses!$A$3:$A43,Curses!$B$3:$B43=AA$2,Curses!$G$3:$G43=$A13)),"""")"),"")</f>
        <v/>
      </c>
      <c r="AB13" s="289" t="str">
        <f ca="1">IFERROR(__xludf.DUMMYFUNCTION("IFERROR(JOIN("";""&amp;CHAR(10),FILTER(Curses!$A$3:$A43,Curses!$B$3:$B43=AB$2,Curses!$G$3:$G43=$A13)),"""")"),"")</f>
        <v/>
      </c>
      <c r="AC13" s="289" t="str">
        <f ca="1">IFERROR(__xludf.DUMMYFUNCTION("IFERROR(JOIN("";""&amp;CHAR(10),FILTER(Curses!$A$3:$A43,Curses!$B$3:$B43=AC$2,Curses!$G$3:$G43=$A13)),"""")"),"")</f>
        <v/>
      </c>
      <c r="AD13" s="289" t="str">
        <f ca="1">IFERROR(__xludf.DUMMYFUNCTION("IFERROR(JOIN("";""&amp;CHAR(10),FILTER(Curses!$A$3:$A43,Curses!$B$3:$B43=AD$2,Curses!$G$3:$G43=$A13)),"""")"),"")</f>
        <v/>
      </c>
      <c r="AE13" s="289" t="str">
        <f ca="1">IFERROR(__xludf.DUMMYFUNCTION("IFERROR(JOIN("";""&amp;CHAR(10),FILTER(Curses!$A$3:$A43,Curses!$B$3:$B43=AE$2,Curses!$G$3:$G43=$A13)),"""")"),"")</f>
        <v/>
      </c>
      <c r="AF13" s="289" t="str">
        <f ca="1">IFERROR(__xludf.DUMMYFUNCTION("IFERROR(JOIN("";""&amp;CHAR(10),FILTER(Curses!$A$3:$A43,Curses!$B$3:$B43=AF$2,Curses!$G$3:$G43=$A13)),"""")"),"")</f>
        <v/>
      </c>
      <c r="AG13" s="289" t="str">
        <f ca="1">IFERROR(__xludf.DUMMYFUNCTION("IFERROR(JOIN("";""&amp;CHAR(10),FILTER(Curses!$A$3:$A43,Curses!$B$3:$B43=AG$2,Curses!$G$3:$G43=$A13)),"""")"),"")</f>
        <v/>
      </c>
      <c r="AH13" s="289" t="str">
        <f ca="1">IFERROR(__xludf.DUMMYFUNCTION("IFERROR(JOIN("";""&amp;CHAR(10),FILTER(Curses!$A$3:$A43,Curses!$B$3:$B43=AH$2,Curses!$G$3:$G43=$A13)),"""")"),"")</f>
        <v/>
      </c>
      <c r="AI13" s="289" t="str">
        <f ca="1">IFERROR(__xludf.DUMMYFUNCTION("IFERROR(JOIN("";""&amp;CHAR(10),FILTER(Curses!$A$3:$A43,Curses!$B$3:$B43=AI$2,Curses!$G$3:$G43=$A13)),"""")"),"")</f>
        <v/>
      </c>
      <c r="AJ13" s="289" t="str">
        <f ca="1">IFERROR(__xludf.DUMMYFUNCTION("IFERROR(JOIN("";""&amp;CHAR(10),FILTER(Curses!$A$3:$A43,Curses!$B$3:$B43=AJ$2,Curses!$G$3:$G43=$A13)),"""")"),"")</f>
        <v/>
      </c>
      <c r="AK13" s="289" t="str">
        <f ca="1">IFERROR(__xludf.DUMMYFUNCTION("IFERROR(JOIN("";""&amp;CHAR(10),FILTER(Curses!$A$3:$A43,Curses!$B$3:$B43=AK$2,Curses!$G$3:$G43=$A13)),"""")"),"")</f>
        <v/>
      </c>
      <c r="AL13" s="289" t="str">
        <f ca="1">IFERROR(__xludf.DUMMYFUNCTION("IFERROR(JOIN("";""&amp;CHAR(10),FILTER(Curses!$A$3:$A43,Curses!$B$3:$B43=AL$2,Curses!$G$3:$G43=$A13)),"""")"),"")</f>
        <v/>
      </c>
      <c r="AM13" s="289" t="str">
        <f ca="1">IFERROR(__xludf.DUMMYFUNCTION("IFERROR(JOIN("";""&amp;CHAR(10),FILTER(Curses!$A$3:$A43,Curses!$B$3:$B43=AM$2,Curses!$G$3:$G43=$A13)),"""")"),"")</f>
        <v/>
      </c>
    </row>
    <row r="14" spans="1:39">
      <c r="A14" s="292" t="str">
        <f ca="1">IFERROR(__xludf.DUMMYFUNCTION("""COMPUTED_VALUE"""),"Revive Penalty")</f>
        <v>Revive Penalty</v>
      </c>
      <c r="B14" s="289" t="str">
        <f ca="1">IFERROR(__xludf.DUMMYFUNCTION("IFERROR(JOIN("";""&amp;CHAR(10),FILTER(Curses!$A$3:$A43,Curses!$B$3:$B43=B$2,Curses!$G$3:$G43=$A14)),"""")"),"Revive 3 hp")</f>
        <v>Revive 3 hp</v>
      </c>
      <c r="C14" s="289" t="str">
        <f ca="1">IFERROR(__xludf.DUMMYFUNCTION("IFERROR(JOIN("";""&amp;CHAR(10),FILTER(Curses!$A$3:$A43,Curses!$B$3:$B43=C$2,Curses!$G$3:$G43=$A14)),"""")"),"Revive 2 hp")</f>
        <v>Revive 2 hp</v>
      </c>
      <c r="D14" s="289" t="str">
        <f ca="1">IFERROR(__xludf.DUMMYFUNCTION("IFERROR(JOIN("";""&amp;CHAR(10),FILTER(Curses!$A$3:$A43,Curses!$B$3:$B43=D$2,Curses!$G$3:$G43=$A14)),"""")"),"Revive 1 hp")</f>
        <v>Revive 1 hp</v>
      </c>
      <c r="E14" s="289" t="str">
        <f ca="1">IFERROR(__xludf.DUMMYFUNCTION("IFERROR(JOIN("";""&amp;CHAR(10),FILTER(Curses!$A$3:$A43,Curses!$B$3:$B43=E$2,Curses!$G$3:$G43=$A14)),"""")"),"Permadeath")</f>
        <v>Permadeath</v>
      </c>
      <c r="F14" s="289" t="str">
        <f ca="1">IFERROR(__xludf.DUMMYFUNCTION("IFERROR(JOIN("";""&amp;CHAR(10),FILTER(Curses!$A$3:$A43,Curses!$B$3:$B43=F$2,Curses!$G$3:$G43=$A14)),"""")"),"")</f>
        <v/>
      </c>
      <c r="G14" s="289" t="str">
        <f ca="1">IFERROR(__xludf.DUMMYFUNCTION("IFERROR(JOIN("";""&amp;CHAR(10),FILTER(Curses!$A$3:$A43,Curses!$B$3:$B43=G$2,Curses!$G$3:$G43=$A14)),"""")"),"")</f>
        <v/>
      </c>
      <c r="H14" s="289" t="str">
        <f ca="1">IFERROR(__xludf.DUMMYFUNCTION("IFERROR(JOIN("";""&amp;CHAR(10),FILTER(Curses!$A$3:$A43,Curses!$B$3:$B43=H$2,Curses!$G$3:$G43=$A14)),"""")"),"")</f>
        <v/>
      </c>
      <c r="I14" s="289" t="str">
        <f ca="1">IFERROR(__xludf.DUMMYFUNCTION("IFERROR(JOIN("";""&amp;CHAR(10),FILTER(Curses!$A$3:$A43,Curses!$B$3:$B43=I$2,Curses!$G$3:$G43=$A14)),"""")"),"")</f>
        <v/>
      </c>
      <c r="J14" s="289" t="str">
        <f ca="1">IFERROR(__xludf.DUMMYFUNCTION("IFERROR(JOIN("";""&amp;CHAR(10),FILTER(Curses!$A$3:$A43,Curses!$B$3:$B43=J$2,Curses!$G$3:$G43=$A14)),"""")"),"")</f>
        <v/>
      </c>
      <c r="K14" s="289" t="str">
        <f ca="1">IFERROR(__xludf.DUMMYFUNCTION("IFERROR(JOIN("";""&amp;CHAR(10),FILTER(Curses!$A$3:$A43,Curses!$B$3:$B43=K$2,Curses!$G$3:$G43=$A14)),"""")"),"")</f>
        <v/>
      </c>
      <c r="L14" s="289" t="str">
        <f ca="1">IFERROR(__xludf.DUMMYFUNCTION("IFERROR(JOIN("";""&amp;CHAR(10),FILTER(Curses!$A$3:$A43,Curses!$B$3:$B43=L$2,Curses!$G$3:$G43=$A14)),"""")"),"")</f>
        <v/>
      </c>
      <c r="M14" s="289" t="str">
        <f ca="1">IFERROR(__xludf.DUMMYFUNCTION("IFERROR(JOIN("";""&amp;CHAR(10),FILTER(Curses!$A$3:$A43,Curses!$B$3:$B43=M$2,Curses!$G$3:$G43=$A14)),"""")"),"")</f>
        <v/>
      </c>
      <c r="N14" s="289" t="str">
        <f ca="1">IFERROR(__xludf.DUMMYFUNCTION("IFERROR(JOIN("";""&amp;CHAR(10),FILTER(Curses!$A$3:$A43,Curses!$B$3:$B43=N$2,Curses!$G$3:$G43=$A14)),"""")"),"")</f>
        <v/>
      </c>
      <c r="O14" s="289" t="str">
        <f ca="1">IFERROR(__xludf.DUMMYFUNCTION("IFERROR(JOIN("";""&amp;CHAR(10),FILTER(Curses!$A$3:$A43,Curses!$B$3:$B43=O$2,Curses!$G$3:$G43=$A14)),"""")"),"")</f>
        <v/>
      </c>
      <c r="P14" s="289" t="str">
        <f ca="1">IFERROR(__xludf.DUMMYFUNCTION("IFERROR(JOIN("";""&amp;CHAR(10),FILTER(Curses!$A$3:$A43,Curses!$B$3:$B43=P$2,Curses!$G$3:$G43=$A14)),"""")"),"")</f>
        <v/>
      </c>
      <c r="Q14" s="289" t="str">
        <f ca="1">IFERROR(__xludf.DUMMYFUNCTION("IFERROR(JOIN("";""&amp;CHAR(10),FILTER(Curses!$A$3:$A43,Curses!$B$3:$B43=Q$2,Curses!$G$3:$G43=$A14)),"""")"),"")</f>
        <v/>
      </c>
      <c r="R14" s="289" t="str">
        <f ca="1">IFERROR(__xludf.DUMMYFUNCTION("IFERROR(JOIN("";""&amp;CHAR(10),FILTER(Curses!$A$3:$A43,Curses!$B$3:$B43=R$2,Curses!$G$3:$G43=$A14)),"""")"),"")</f>
        <v/>
      </c>
      <c r="S14" s="289" t="str">
        <f ca="1">IFERROR(__xludf.DUMMYFUNCTION("IFERROR(JOIN("";""&amp;CHAR(10),FILTER(Curses!$A$3:$A43,Curses!$B$3:$B43=S$2,Curses!$G$3:$G43=$A14)),"""")"),"")</f>
        <v/>
      </c>
      <c r="T14" s="289" t="str">
        <f ca="1">IFERROR(__xludf.DUMMYFUNCTION("IFERROR(JOIN("";""&amp;CHAR(10),FILTER(Curses!$A$3:$A43,Curses!$B$3:$B43=T$2,Curses!$G$3:$G43=$A14)),"""")"),"")</f>
        <v/>
      </c>
      <c r="U14" s="289" t="str">
        <f ca="1">IFERROR(__xludf.DUMMYFUNCTION("IFERROR(JOIN("";""&amp;CHAR(10),FILTER(Curses!$A$3:$A43,Curses!$B$3:$B43=U$2,Curses!$G$3:$G43=$A14)),"""")"),"")</f>
        <v/>
      </c>
      <c r="V14" s="289" t="str">
        <f ca="1">IFERROR(__xludf.DUMMYFUNCTION("IFERROR(JOIN("";""&amp;CHAR(10),FILTER(Curses!$A$3:$A43,Curses!$B$3:$B43=V$2,Curses!$G$3:$G43=$A14)),"""")"),"")</f>
        <v/>
      </c>
      <c r="W14" s="289" t="str">
        <f ca="1">IFERROR(__xludf.DUMMYFUNCTION("IFERROR(JOIN("";""&amp;CHAR(10),FILTER(Curses!$A$3:$A43,Curses!$B$3:$B43=W$2,Curses!$G$3:$G43=$A14)),"""")"),"")</f>
        <v/>
      </c>
      <c r="X14" s="289" t="str">
        <f ca="1">IFERROR(__xludf.DUMMYFUNCTION("IFERROR(JOIN("";""&amp;CHAR(10),FILTER(Curses!$A$3:$A43,Curses!$B$3:$B43=X$2,Curses!$G$3:$G43=$A14)),"""")"),"")</f>
        <v/>
      </c>
      <c r="Y14" s="289" t="str">
        <f ca="1">IFERROR(__xludf.DUMMYFUNCTION("IFERROR(JOIN("";""&amp;CHAR(10),FILTER(Curses!$A$3:$A43,Curses!$B$3:$B43=Y$2,Curses!$G$3:$G43=$A14)),"""")"),"")</f>
        <v/>
      </c>
      <c r="Z14" s="289" t="str">
        <f ca="1">IFERROR(__xludf.DUMMYFUNCTION("IFERROR(JOIN("";""&amp;CHAR(10),FILTER(Curses!$A$3:$A43,Curses!$B$3:$B43=Z$2,Curses!$G$3:$G43=$A14)),"""")"),"")</f>
        <v/>
      </c>
      <c r="AA14" s="289" t="str">
        <f ca="1">IFERROR(__xludf.DUMMYFUNCTION("IFERROR(JOIN("";""&amp;CHAR(10),FILTER(Curses!$A$3:$A43,Curses!$B$3:$B43=AA$2,Curses!$G$3:$G43=$A14)),"""")"),"")</f>
        <v/>
      </c>
      <c r="AB14" s="289" t="str">
        <f ca="1">IFERROR(__xludf.DUMMYFUNCTION("IFERROR(JOIN("";""&amp;CHAR(10),FILTER(Curses!$A$3:$A43,Curses!$B$3:$B43=AB$2,Curses!$G$3:$G43=$A14)),"""")"),"")</f>
        <v/>
      </c>
      <c r="AC14" s="289" t="str">
        <f ca="1">IFERROR(__xludf.DUMMYFUNCTION("IFERROR(JOIN("";""&amp;CHAR(10),FILTER(Curses!$A$3:$A43,Curses!$B$3:$B43=AC$2,Curses!$G$3:$G43=$A14)),"""")"),"")</f>
        <v/>
      </c>
      <c r="AD14" s="289" t="str">
        <f ca="1">IFERROR(__xludf.DUMMYFUNCTION("IFERROR(JOIN("";""&amp;CHAR(10),FILTER(Curses!$A$3:$A43,Curses!$B$3:$B43=AD$2,Curses!$G$3:$G43=$A14)),"""")"),"")</f>
        <v/>
      </c>
      <c r="AE14" s="289" t="str">
        <f ca="1">IFERROR(__xludf.DUMMYFUNCTION("IFERROR(JOIN("";""&amp;CHAR(10),FILTER(Curses!$A$3:$A43,Curses!$B$3:$B43=AE$2,Curses!$G$3:$G43=$A14)),"""")"),"")</f>
        <v/>
      </c>
      <c r="AF14" s="289" t="str">
        <f ca="1">IFERROR(__xludf.DUMMYFUNCTION("IFERROR(JOIN("";""&amp;CHAR(10),FILTER(Curses!$A$3:$A43,Curses!$B$3:$B43=AF$2,Curses!$G$3:$G43=$A14)),"""")"),"")</f>
        <v/>
      </c>
      <c r="AG14" s="289" t="str">
        <f ca="1">IFERROR(__xludf.DUMMYFUNCTION("IFERROR(JOIN("";""&amp;CHAR(10),FILTER(Curses!$A$3:$A43,Curses!$B$3:$B43=AG$2,Curses!$G$3:$G43=$A14)),"""")"),"")</f>
        <v/>
      </c>
      <c r="AH14" s="289" t="str">
        <f ca="1">IFERROR(__xludf.DUMMYFUNCTION("IFERROR(JOIN("";""&amp;CHAR(10),FILTER(Curses!$A$3:$A43,Curses!$B$3:$B43=AH$2,Curses!$G$3:$G43=$A14)),"""")"),"")</f>
        <v/>
      </c>
      <c r="AI14" s="289" t="str">
        <f ca="1">IFERROR(__xludf.DUMMYFUNCTION("IFERROR(JOIN("";""&amp;CHAR(10),FILTER(Curses!$A$3:$A43,Curses!$B$3:$B43=AI$2,Curses!$G$3:$G43=$A14)),"""")"),"")</f>
        <v/>
      </c>
      <c r="AJ14" s="289" t="str">
        <f ca="1">IFERROR(__xludf.DUMMYFUNCTION("IFERROR(JOIN("";""&amp;CHAR(10),FILTER(Curses!$A$3:$A43,Curses!$B$3:$B43=AJ$2,Curses!$G$3:$G43=$A14)),"""")"),"")</f>
        <v/>
      </c>
      <c r="AK14" s="289" t="str">
        <f ca="1">IFERROR(__xludf.DUMMYFUNCTION("IFERROR(JOIN("";""&amp;CHAR(10),FILTER(Curses!$A$3:$A43,Curses!$B$3:$B43=AK$2,Curses!$G$3:$G43=$A14)),"""")"),"")</f>
        <v/>
      </c>
      <c r="AL14" s="289" t="str">
        <f ca="1">IFERROR(__xludf.DUMMYFUNCTION("IFERROR(JOIN("";""&amp;CHAR(10),FILTER(Curses!$A$3:$A43,Curses!$B$3:$B43=AL$2,Curses!$G$3:$G43=$A14)),"""")"),"")</f>
        <v/>
      </c>
      <c r="AM14" s="289" t="str">
        <f ca="1">IFERROR(__xludf.DUMMYFUNCTION("IFERROR(JOIN("";""&amp;CHAR(10),FILTER(Curses!$A$3:$A43,Curses!$B$3:$B43=AM$2,Curses!$G$3:$G43=$A14)),"""")"),"")</f>
        <v/>
      </c>
    </row>
    <row r="15" spans="1:39">
      <c r="A15" s="292" t="str">
        <f ca="1">IFERROR(__xludf.DUMMYFUNCTION("""COMPUTED_VALUE"""),"Slow Spells")</f>
        <v>Slow Spells</v>
      </c>
      <c r="B15" s="289" t="str">
        <f ca="1">IFERROR(__xludf.DUMMYFUNCTION("IFERROR(JOIN("";""&amp;CHAR(10),FILTER(Curses!$A$3:$A43,Curses!$B$3:$B43=B$2,Curses!$G$3:$G43=$A15)),"""")"),"Slow spells")</f>
        <v>Slow spells</v>
      </c>
      <c r="C15" s="289" t="str">
        <f ca="1">IFERROR(__xludf.DUMMYFUNCTION("IFERROR(JOIN("";""&amp;CHAR(10),FILTER(Curses!$A$3:$A43,Curses!$B$3:$B43=C$2,Curses!$G$3:$G43=$A15)),"""")"),"Slow spells+")</f>
        <v>Slow spells+</v>
      </c>
      <c r="D15" s="289" t="str">
        <f ca="1">IFERROR(__xludf.DUMMYFUNCTION("IFERROR(JOIN("";""&amp;CHAR(10),FILTER(Curses!$A$3:$A43,Curses!$B$3:$B43=D$2,Curses!$G$3:$G43=$A15)),"""")"),"Slow spells++")</f>
        <v>Slow spells++</v>
      </c>
      <c r="E15" s="289" t="str">
        <f ca="1">IFERROR(__xludf.DUMMYFUNCTION("IFERROR(JOIN("";""&amp;CHAR(10),FILTER(Curses!$A$3:$A43,Curses!$B$3:$B43=E$2,Curses!$G$3:$G43=$A15)),"""")"),"Slow spells+++")</f>
        <v>Slow spells+++</v>
      </c>
      <c r="F15" s="289" t="str">
        <f ca="1">IFERROR(__xludf.DUMMYFUNCTION("IFERROR(JOIN("";""&amp;CHAR(10),FILTER(Curses!$A$3:$A43,Curses!$B$3:$B43=F$2,Curses!$G$3:$G43=$A15)),"""")"),"")</f>
        <v/>
      </c>
      <c r="G15" s="289" t="str">
        <f ca="1">IFERROR(__xludf.DUMMYFUNCTION("IFERROR(JOIN("";""&amp;CHAR(10),FILTER(Curses!$A$3:$A43,Curses!$B$3:$B43=G$2,Curses!$G$3:$G43=$A15)),"""")"),"")</f>
        <v/>
      </c>
      <c r="H15" s="289" t="str">
        <f ca="1">IFERROR(__xludf.DUMMYFUNCTION("IFERROR(JOIN("";""&amp;CHAR(10),FILTER(Curses!$A$3:$A43,Curses!$B$3:$B43=H$2,Curses!$G$3:$G43=$A15)),"""")"),"")</f>
        <v/>
      </c>
      <c r="I15" s="289" t="str">
        <f ca="1">IFERROR(__xludf.DUMMYFUNCTION("IFERROR(JOIN("";""&amp;CHAR(10),FILTER(Curses!$A$3:$A43,Curses!$B$3:$B43=I$2,Curses!$G$3:$G43=$A15)),"""")"),"")</f>
        <v/>
      </c>
      <c r="J15" s="289" t="str">
        <f ca="1">IFERROR(__xludf.DUMMYFUNCTION("IFERROR(JOIN("";""&amp;CHAR(10),FILTER(Curses!$A$3:$A43,Curses!$B$3:$B43=J$2,Curses!$G$3:$G43=$A15)),"""")"),"")</f>
        <v/>
      </c>
      <c r="K15" s="289" t="str">
        <f ca="1">IFERROR(__xludf.DUMMYFUNCTION("IFERROR(JOIN("";""&amp;CHAR(10),FILTER(Curses!$A$3:$A43,Curses!$B$3:$B43=K$2,Curses!$G$3:$G43=$A15)),"""")"),"")</f>
        <v/>
      </c>
      <c r="L15" s="289" t="str">
        <f ca="1">IFERROR(__xludf.DUMMYFUNCTION("IFERROR(JOIN("";""&amp;CHAR(10),FILTER(Curses!$A$3:$A43,Curses!$B$3:$B43=L$2,Curses!$G$3:$G43=$A15)),"""")"),"")</f>
        <v/>
      </c>
      <c r="M15" s="289" t="str">
        <f ca="1">IFERROR(__xludf.DUMMYFUNCTION("IFERROR(JOIN("";""&amp;CHAR(10),FILTER(Curses!$A$3:$A43,Curses!$B$3:$B43=M$2,Curses!$G$3:$G43=$A15)),"""")"),"")</f>
        <v/>
      </c>
      <c r="N15" s="289" t="str">
        <f ca="1">IFERROR(__xludf.DUMMYFUNCTION("IFERROR(JOIN("";""&amp;CHAR(10),FILTER(Curses!$A$3:$A43,Curses!$B$3:$B43=N$2,Curses!$G$3:$G43=$A15)),"""")"),"")</f>
        <v/>
      </c>
      <c r="O15" s="289" t="str">
        <f ca="1">IFERROR(__xludf.DUMMYFUNCTION("IFERROR(JOIN("";""&amp;CHAR(10),FILTER(Curses!$A$3:$A43,Curses!$B$3:$B43=O$2,Curses!$G$3:$G43=$A15)),"""")"),"")</f>
        <v/>
      </c>
      <c r="P15" s="289" t="str">
        <f ca="1">IFERROR(__xludf.DUMMYFUNCTION("IFERROR(JOIN("";""&amp;CHAR(10),FILTER(Curses!$A$3:$A43,Curses!$B$3:$B43=P$2,Curses!$G$3:$G43=$A15)),"""")"),"")</f>
        <v/>
      </c>
      <c r="Q15" s="289" t="str">
        <f ca="1">IFERROR(__xludf.DUMMYFUNCTION("IFERROR(JOIN("";""&amp;CHAR(10),FILTER(Curses!$A$3:$A43,Curses!$B$3:$B43=Q$2,Curses!$G$3:$G43=$A15)),"""")"),"")</f>
        <v/>
      </c>
      <c r="R15" s="289" t="str">
        <f ca="1">IFERROR(__xludf.DUMMYFUNCTION("IFERROR(JOIN("";""&amp;CHAR(10),FILTER(Curses!$A$3:$A43,Curses!$B$3:$B43=R$2,Curses!$G$3:$G43=$A15)),"""")"),"")</f>
        <v/>
      </c>
      <c r="S15" s="289" t="str">
        <f ca="1">IFERROR(__xludf.DUMMYFUNCTION("IFERROR(JOIN("";""&amp;CHAR(10),FILTER(Curses!$A$3:$A43,Curses!$B$3:$B43=S$2,Curses!$G$3:$G43=$A15)),"""")"),"")</f>
        <v/>
      </c>
      <c r="T15" s="289" t="str">
        <f ca="1">IFERROR(__xludf.DUMMYFUNCTION("IFERROR(JOIN("";""&amp;CHAR(10),FILTER(Curses!$A$3:$A43,Curses!$B$3:$B43=T$2,Curses!$G$3:$G43=$A15)),"""")"),"")</f>
        <v/>
      </c>
      <c r="U15" s="289" t="str">
        <f ca="1">IFERROR(__xludf.DUMMYFUNCTION("IFERROR(JOIN("";""&amp;CHAR(10),FILTER(Curses!$A$3:$A43,Curses!$B$3:$B43=U$2,Curses!$G$3:$G43=$A15)),"""")"),"")</f>
        <v/>
      </c>
      <c r="V15" s="289" t="str">
        <f ca="1">IFERROR(__xludf.DUMMYFUNCTION("IFERROR(JOIN("";""&amp;CHAR(10),FILTER(Curses!$A$3:$A43,Curses!$B$3:$B43=V$2,Curses!$G$3:$G43=$A15)),"""")"),"")</f>
        <v/>
      </c>
      <c r="W15" s="289" t="str">
        <f ca="1">IFERROR(__xludf.DUMMYFUNCTION("IFERROR(JOIN("";""&amp;CHAR(10),FILTER(Curses!$A$3:$A43,Curses!$B$3:$B43=W$2,Curses!$G$3:$G43=$A15)),"""")"),"")</f>
        <v/>
      </c>
      <c r="X15" s="289" t="str">
        <f ca="1">IFERROR(__xludf.DUMMYFUNCTION("IFERROR(JOIN("";""&amp;CHAR(10),FILTER(Curses!$A$3:$A43,Curses!$B$3:$B43=X$2,Curses!$G$3:$G43=$A15)),"""")"),"")</f>
        <v/>
      </c>
      <c r="Y15" s="289" t="str">
        <f ca="1">IFERROR(__xludf.DUMMYFUNCTION("IFERROR(JOIN("";""&amp;CHAR(10),FILTER(Curses!$A$3:$A43,Curses!$B$3:$B43=Y$2,Curses!$G$3:$G43=$A15)),"""")"),"")</f>
        <v/>
      </c>
      <c r="Z15" s="289" t="str">
        <f ca="1">IFERROR(__xludf.DUMMYFUNCTION("IFERROR(JOIN("";""&amp;CHAR(10),FILTER(Curses!$A$3:$A43,Curses!$B$3:$B43=Z$2,Curses!$G$3:$G43=$A15)),"""")"),"")</f>
        <v/>
      </c>
      <c r="AA15" s="289" t="str">
        <f ca="1">IFERROR(__xludf.DUMMYFUNCTION("IFERROR(JOIN("";""&amp;CHAR(10),FILTER(Curses!$A$3:$A43,Curses!$B$3:$B43=AA$2,Curses!$G$3:$G43=$A15)),"""")"),"")</f>
        <v/>
      </c>
      <c r="AB15" s="289" t="str">
        <f ca="1">IFERROR(__xludf.DUMMYFUNCTION("IFERROR(JOIN("";""&amp;CHAR(10),FILTER(Curses!$A$3:$A43,Curses!$B$3:$B43=AB$2,Curses!$G$3:$G43=$A15)),"""")"),"")</f>
        <v/>
      </c>
      <c r="AC15" s="289" t="str">
        <f ca="1">IFERROR(__xludf.DUMMYFUNCTION("IFERROR(JOIN("";""&amp;CHAR(10),FILTER(Curses!$A$3:$A43,Curses!$B$3:$B43=AC$2,Curses!$G$3:$G43=$A15)),"""")"),"")</f>
        <v/>
      </c>
      <c r="AD15" s="289" t="str">
        <f ca="1">IFERROR(__xludf.DUMMYFUNCTION("IFERROR(JOIN("";""&amp;CHAR(10),FILTER(Curses!$A$3:$A43,Curses!$B$3:$B43=AD$2,Curses!$G$3:$G43=$A15)),"""")"),"")</f>
        <v/>
      </c>
      <c r="AE15" s="289" t="str">
        <f ca="1">IFERROR(__xludf.DUMMYFUNCTION("IFERROR(JOIN("";""&amp;CHAR(10),FILTER(Curses!$A$3:$A43,Curses!$B$3:$B43=AE$2,Curses!$G$3:$G43=$A15)),"""")"),"")</f>
        <v/>
      </c>
      <c r="AF15" s="289" t="str">
        <f ca="1">IFERROR(__xludf.DUMMYFUNCTION("IFERROR(JOIN("";""&amp;CHAR(10),FILTER(Curses!$A$3:$A43,Curses!$B$3:$B43=AF$2,Curses!$G$3:$G43=$A15)),"""")"),"")</f>
        <v/>
      </c>
      <c r="AG15" s="289" t="str">
        <f ca="1">IFERROR(__xludf.DUMMYFUNCTION("IFERROR(JOIN("";""&amp;CHAR(10),FILTER(Curses!$A$3:$A43,Curses!$B$3:$B43=AG$2,Curses!$G$3:$G43=$A15)),"""")"),"")</f>
        <v/>
      </c>
      <c r="AH15" s="289" t="str">
        <f ca="1">IFERROR(__xludf.DUMMYFUNCTION("IFERROR(JOIN("";""&amp;CHAR(10),FILTER(Curses!$A$3:$A43,Curses!$B$3:$B43=AH$2,Curses!$G$3:$G43=$A15)),"""")"),"")</f>
        <v/>
      </c>
      <c r="AI15" s="289" t="str">
        <f ca="1">IFERROR(__xludf.DUMMYFUNCTION("IFERROR(JOIN("";""&amp;CHAR(10),FILTER(Curses!$A$3:$A43,Curses!$B$3:$B43=AI$2,Curses!$G$3:$G43=$A15)),"""")"),"")</f>
        <v/>
      </c>
      <c r="AJ15" s="289" t="str">
        <f ca="1">IFERROR(__xludf.DUMMYFUNCTION("IFERROR(JOIN("";""&amp;CHAR(10),FILTER(Curses!$A$3:$A43,Curses!$B$3:$B43=AJ$2,Curses!$G$3:$G43=$A15)),"""")"),"")</f>
        <v/>
      </c>
      <c r="AK15" s="289" t="str">
        <f ca="1">IFERROR(__xludf.DUMMYFUNCTION("IFERROR(JOIN("";""&amp;CHAR(10),FILTER(Curses!$A$3:$A43,Curses!$B$3:$B43=AK$2,Curses!$G$3:$G43=$A15)),"""")"),"")</f>
        <v/>
      </c>
      <c r="AL15" s="289" t="str">
        <f ca="1">IFERROR(__xludf.DUMMYFUNCTION("IFERROR(JOIN("";""&amp;CHAR(10),FILTER(Curses!$A$3:$A43,Curses!$B$3:$B43=AL$2,Curses!$G$3:$G43=$A15)),"""")"),"")</f>
        <v/>
      </c>
      <c r="AM15" s="289" t="str">
        <f ca="1">IFERROR(__xludf.DUMMYFUNCTION("IFERROR(JOIN("";""&amp;CHAR(10),FILTER(Curses!$A$3:$A43,Curses!$B$3:$B43=AM$2,Curses!$G$3:$G43=$A15)),"""")"),"")</f>
        <v/>
      </c>
    </row>
    <row r="16" spans="1:39">
      <c r="A16" s="292" t="str">
        <f ca="1">IFERROR(__xludf.DUMMYFUNCTION("""COMPUTED_VALUE"""),"Bottom Poison")</f>
        <v>Bottom Poison</v>
      </c>
      <c r="B16" s="289" t="str">
        <f ca="1">IFERROR(__xludf.DUMMYFUNCTION("IFERROR(JOIN("";""&amp;CHAR(10),FILTER(Curses!$A$3:$A43,Curses!$B$3:$B43=B$2,Curses!$G$3:$G43=$A16)),"""")"),"Bottom poison")</f>
        <v>Bottom poison</v>
      </c>
      <c r="C16" s="289" t="str">
        <f ca="1">IFERROR(__xludf.DUMMYFUNCTION("IFERROR(JOIN("";""&amp;CHAR(10),FILTER(Curses!$A$3:$A43,Curses!$B$3:$B43=C$2,Curses!$G$3:$G43=$A16)),"""")"),"Bottom poison+")</f>
        <v>Bottom poison+</v>
      </c>
      <c r="D16" s="289" t="str">
        <f ca="1">IFERROR(__xludf.DUMMYFUNCTION("IFERROR(JOIN("";""&amp;CHAR(10),FILTER(Curses!$A$3:$A43,Curses!$B$3:$B43=D$2,Curses!$G$3:$G43=$A16)),"""")"),"Bottom poison++")</f>
        <v>Bottom poison++</v>
      </c>
      <c r="E16" s="289" t="str">
        <f ca="1">IFERROR(__xludf.DUMMYFUNCTION("IFERROR(JOIN("";""&amp;CHAR(10),FILTER(Curses!$A$3:$A43,Curses!$B$3:$B43=E$2,Curses!$G$3:$G43=$A16)),"""")"),"")</f>
        <v/>
      </c>
      <c r="F16" s="289" t="str">
        <f ca="1">IFERROR(__xludf.DUMMYFUNCTION("IFERROR(JOIN("";""&amp;CHAR(10),FILTER(Curses!$A$3:$A43,Curses!$B$3:$B43=F$2,Curses!$G$3:$G43=$A16)),"""")"),"")</f>
        <v/>
      </c>
      <c r="G16" s="289" t="str">
        <f ca="1">IFERROR(__xludf.DUMMYFUNCTION("IFERROR(JOIN("";""&amp;CHAR(10),FILTER(Curses!$A$3:$A43,Curses!$B$3:$B43=G$2,Curses!$G$3:$G43=$A16)),"""")"),"")</f>
        <v/>
      </c>
      <c r="H16" s="289" t="str">
        <f ca="1">IFERROR(__xludf.DUMMYFUNCTION("IFERROR(JOIN("";""&amp;CHAR(10),FILTER(Curses!$A$3:$A43,Curses!$B$3:$B43=H$2,Curses!$G$3:$G43=$A16)),"""")"),"")</f>
        <v/>
      </c>
      <c r="I16" s="289" t="str">
        <f ca="1">IFERROR(__xludf.DUMMYFUNCTION("IFERROR(JOIN("";""&amp;CHAR(10),FILTER(Curses!$A$3:$A43,Curses!$B$3:$B43=I$2,Curses!$G$3:$G43=$A16)),"""")"),"")</f>
        <v/>
      </c>
      <c r="J16" s="289" t="str">
        <f ca="1">IFERROR(__xludf.DUMMYFUNCTION("IFERROR(JOIN("";""&amp;CHAR(10),FILTER(Curses!$A$3:$A43,Curses!$B$3:$B43=J$2,Curses!$G$3:$G43=$A16)),"""")"),"")</f>
        <v/>
      </c>
      <c r="K16" s="289" t="str">
        <f ca="1">IFERROR(__xludf.DUMMYFUNCTION("IFERROR(JOIN("";""&amp;CHAR(10),FILTER(Curses!$A$3:$A43,Curses!$B$3:$B43=K$2,Curses!$G$3:$G43=$A16)),"""")"),"")</f>
        <v/>
      </c>
      <c r="L16" s="289" t="str">
        <f ca="1">IFERROR(__xludf.DUMMYFUNCTION("IFERROR(JOIN("";""&amp;CHAR(10),FILTER(Curses!$A$3:$A43,Curses!$B$3:$B43=L$2,Curses!$G$3:$G43=$A16)),"""")"),"")</f>
        <v/>
      </c>
      <c r="M16" s="289" t="str">
        <f ca="1">IFERROR(__xludf.DUMMYFUNCTION("IFERROR(JOIN("";""&amp;CHAR(10),FILTER(Curses!$A$3:$A43,Curses!$B$3:$B43=M$2,Curses!$G$3:$G43=$A16)),"""")"),"")</f>
        <v/>
      </c>
      <c r="N16" s="289" t="str">
        <f ca="1">IFERROR(__xludf.DUMMYFUNCTION("IFERROR(JOIN("";""&amp;CHAR(10),FILTER(Curses!$A$3:$A43,Curses!$B$3:$B43=N$2,Curses!$G$3:$G43=$A16)),"""")"),"")</f>
        <v/>
      </c>
      <c r="O16" s="289" t="str">
        <f ca="1">IFERROR(__xludf.DUMMYFUNCTION("IFERROR(JOIN("";""&amp;CHAR(10),FILTER(Curses!$A$3:$A43,Curses!$B$3:$B43=O$2,Curses!$G$3:$G43=$A16)),"""")"),"")</f>
        <v/>
      </c>
      <c r="P16" s="289" t="str">
        <f ca="1">IFERROR(__xludf.DUMMYFUNCTION("IFERROR(JOIN("";""&amp;CHAR(10),FILTER(Curses!$A$3:$A43,Curses!$B$3:$B43=P$2,Curses!$G$3:$G43=$A16)),"""")"),"")</f>
        <v/>
      </c>
      <c r="Q16" s="289" t="str">
        <f ca="1">IFERROR(__xludf.DUMMYFUNCTION("IFERROR(JOIN("";""&amp;CHAR(10),FILTER(Curses!$A$3:$A43,Curses!$B$3:$B43=Q$2,Curses!$G$3:$G43=$A16)),"""")"),"")</f>
        <v/>
      </c>
      <c r="R16" s="289" t="str">
        <f ca="1">IFERROR(__xludf.DUMMYFUNCTION("IFERROR(JOIN("";""&amp;CHAR(10),FILTER(Curses!$A$3:$A43,Curses!$B$3:$B43=R$2,Curses!$G$3:$G43=$A16)),"""")"),"")</f>
        <v/>
      </c>
      <c r="S16" s="289" t="str">
        <f ca="1">IFERROR(__xludf.DUMMYFUNCTION("IFERROR(JOIN("";""&amp;CHAR(10),FILTER(Curses!$A$3:$A43,Curses!$B$3:$B43=S$2,Curses!$G$3:$G43=$A16)),"""")"),"")</f>
        <v/>
      </c>
      <c r="T16" s="289" t="str">
        <f ca="1">IFERROR(__xludf.DUMMYFUNCTION("IFERROR(JOIN("";""&amp;CHAR(10),FILTER(Curses!$A$3:$A43,Curses!$B$3:$B43=T$2,Curses!$G$3:$G43=$A16)),"""")"),"")</f>
        <v/>
      </c>
      <c r="U16" s="289" t="str">
        <f ca="1">IFERROR(__xludf.DUMMYFUNCTION("IFERROR(JOIN("";""&amp;CHAR(10),FILTER(Curses!$A$3:$A43,Curses!$B$3:$B43=U$2,Curses!$G$3:$G43=$A16)),"""")"),"")</f>
        <v/>
      </c>
      <c r="V16" s="289" t="str">
        <f ca="1">IFERROR(__xludf.DUMMYFUNCTION("IFERROR(JOIN("";""&amp;CHAR(10),FILTER(Curses!$A$3:$A43,Curses!$B$3:$B43=V$2,Curses!$G$3:$G43=$A16)),"""")"),"")</f>
        <v/>
      </c>
      <c r="W16" s="289" t="str">
        <f ca="1">IFERROR(__xludf.DUMMYFUNCTION("IFERROR(JOIN("";""&amp;CHAR(10),FILTER(Curses!$A$3:$A43,Curses!$B$3:$B43=W$2,Curses!$G$3:$G43=$A16)),"""")"),"")</f>
        <v/>
      </c>
      <c r="X16" s="289" t="str">
        <f ca="1">IFERROR(__xludf.DUMMYFUNCTION("IFERROR(JOIN("";""&amp;CHAR(10),FILTER(Curses!$A$3:$A43,Curses!$B$3:$B43=X$2,Curses!$G$3:$G43=$A16)),"""")"),"")</f>
        <v/>
      </c>
      <c r="Y16" s="289" t="str">
        <f ca="1">IFERROR(__xludf.DUMMYFUNCTION("IFERROR(JOIN("";""&amp;CHAR(10),FILTER(Curses!$A$3:$A43,Curses!$B$3:$B43=Y$2,Curses!$G$3:$G43=$A16)),"""")"),"")</f>
        <v/>
      </c>
      <c r="Z16" s="289" t="str">
        <f ca="1">IFERROR(__xludf.DUMMYFUNCTION("IFERROR(JOIN("";""&amp;CHAR(10),FILTER(Curses!$A$3:$A43,Curses!$B$3:$B43=Z$2,Curses!$G$3:$G43=$A16)),"""")"),"")</f>
        <v/>
      </c>
      <c r="AA16" s="289" t="str">
        <f ca="1">IFERROR(__xludf.DUMMYFUNCTION("IFERROR(JOIN("";""&amp;CHAR(10),FILTER(Curses!$A$3:$A43,Curses!$B$3:$B43=AA$2,Curses!$G$3:$G43=$A16)),"""")"),"")</f>
        <v/>
      </c>
      <c r="AB16" s="289" t="str">
        <f ca="1">IFERROR(__xludf.DUMMYFUNCTION("IFERROR(JOIN("";""&amp;CHAR(10),FILTER(Curses!$A$3:$A43,Curses!$B$3:$B43=AB$2,Curses!$G$3:$G43=$A16)),"""")"),"")</f>
        <v/>
      </c>
      <c r="AC16" s="289" t="str">
        <f ca="1">IFERROR(__xludf.DUMMYFUNCTION("IFERROR(JOIN("";""&amp;CHAR(10),FILTER(Curses!$A$3:$A43,Curses!$B$3:$B43=AC$2,Curses!$G$3:$G43=$A16)),"""")"),"")</f>
        <v/>
      </c>
      <c r="AD16" s="289" t="str">
        <f ca="1">IFERROR(__xludf.DUMMYFUNCTION("IFERROR(JOIN("";""&amp;CHAR(10),FILTER(Curses!$A$3:$A43,Curses!$B$3:$B43=AD$2,Curses!$G$3:$G43=$A16)),"""")"),"")</f>
        <v/>
      </c>
      <c r="AE16" s="289" t="str">
        <f ca="1">IFERROR(__xludf.DUMMYFUNCTION("IFERROR(JOIN("";""&amp;CHAR(10),FILTER(Curses!$A$3:$A43,Curses!$B$3:$B43=AE$2,Curses!$G$3:$G43=$A16)),"""")"),"")</f>
        <v/>
      </c>
      <c r="AF16" s="289" t="str">
        <f ca="1">IFERROR(__xludf.DUMMYFUNCTION("IFERROR(JOIN("";""&amp;CHAR(10),FILTER(Curses!$A$3:$A43,Curses!$B$3:$B43=AF$2,Curses!$G$3:$G43=$A16)),"""")"),"")</f>
        <v/>
      </c>
      <c r="AG16" s="289" t="str">
        <f ca="1">IFERROR(__xludf.DUMMYFUNCTION("IFERROR(JOIN("";""&amp;CHAR(10),FILTER(Curses!$A$3:$A43,Curses!$B$3:$B43=AG$2,Curses!$G$3:$G43=$A16)),"""")"),"")</f>
        <v/>
      </c>
      <c r="AH16" s="289" t="str">
        <f ca="1">IFERROR(__xludf.DUMMYFUNCTION("IFERROR(JOIN("";""&amp;CHAR(10),FILTER(Curses!$A$3:$A43,Curses!$B$3:$B43=AH$2,Curses!$G$3:$G43=$A16)),"""")"),"")</f>
        <v/>
      </c>
      <c r="AI16" s="289" t="str">
        <f ca="1">IFERROR(__xludf.DUMMYFUNCTION("IFERROR(JOIN("";""&amp;CHAR(10),FILTER(Curses!$A$3:$A43,Curses!$B$3:$B43=AI$2,Curses!$G$3:$G43=$A16)),"""")"),"")</f>
        <v/>
      </c>
      <c r="AJ16" s="289" t="str">
        <f ca="1">IFERROR(__xludf.DUMMYFUNCTION("IFERROR(JOIN("";""&amp;CHAR(10),FILTER(Curses!$A$3:$A43,Curses!$B$3:$B43=AJ$2,Curses!$G$3:$G43=$A16)),"""")"),"")</f>
        <v/>
      </c>
      <c r="AK16" s="289" t="str">
        <f ca="1">IFERROR(__xludf.DUMMYFUNCTION("IFERROR(JOIN("";""&amp;CHAR(10),FILTER(Curses!$A$3:$A43,Curses!$B$3:$B43=AK$2,Curses!$G$3:$G43=$A16)),"""")"),"")</f>
        <v/>
      </c>
      <c r="AL16" s="289" t="str">
        <f ca="1">IFERROR(__xludf.DUMMYFUNCTION("IFERROR(JOIN("";""&amp;CHAR(10),FILTER(Curses!$A$3:$A43,Curses!$B$3:$B43=AL$2,Curses!$G$3:$G43=$A16)),"""")"),"")</f>
        <v/>
      </c>
      <c r="AM16" s="289" t="str">
        <f ca="1">IFERROR(__xludf.DUMMYFUNCTION("IFERROR(JOIN("";""&amp;CHAR(10),FILTER(Curses!$A$3:$A43,Curses!$B$3:$B43=AM$2,Curses!$G$3:$G43=$A16)),"""")"),"")</f>
        <v/>
      </c>
    </row>
    <row r="17" spans="1:39">
      <c r="A17" s="292" t="str">
        <f ca="1">IFERROR(__xludf.DUMMYFUNCTION("""COMPUTED_VALUE"""),"Vowels")</f>
        <v>Vowels</v>
      </c>
      <c r="B17" s="289" t="str">
        <f ca="1">IFERROR(__xludf.DUMMYFUNCTION("IFERROR(JOIN("";""&amp;CHAR(10),FILTER(Curses!$A$3:$A43,Curses!$B$3:$B43=B$2,Curses!$G$3:$G43=$A17)),"""")"),"A")</f>
        <v>A</v>
      </c>
      <c r="C17" s="289" t="str">
        <f ca="1">IFERROR(__xludf.DUMMYFUNCTION("IFERROR(JOIN("";""&amp;CHAR(10),FILTER(Curses!$A$3:$A43,Curses!$B$3:$B43=C$2,Curses!$G$3:$G43=$A17)),"""")"),"AE")</f>
        <v>AE</v>
      </c>
      <c r="D17" s="289" t="str">
        <f ca="1">IFERROR(__xludf.DUMMYFUNCTION("IFERROR(JOIN("";""&amp;CHAR(10),FILTER(Curses!$A$3:$A43,Curses!$B$3:$B43=D$2,Curses!$G$3:$G43=$A17)),"""")"),"Curse of vowels")</f>
        <v>Curse of vowels</v>
      </c>
      <c r="E17" s="289" t="str">
        <f ca="1">IFERROR(__xludf.DUMMYFUNCTION("IFERROR(JOIN("";""&amp;CHAR(10),FILTER(Curses!$A$3:$A43,Curses!$B$3:$B43=E$2,Curses!$G$3:$G43=$A17)),"""")"),"")</f>
        <v/>
      </c>
      <c r="F17" s="289" t="str">
        <f ca="1">IFERROR(__xludf.DUMMYFUNCTION("IFERROR(JOIN("";""&amp;CHAR(10),FILTER(Curses!$A$3:$A43,Curses!$B$3:$B43=F$2,Curses!$G$3:$G43=$A17)),"""")"),"")</f>
        <v/>
      </c>
      <c r="G17" s="289" t="str">
        <f ca="1">IFERROR(__xludf.DUMMYFUNCTION("IFERROR(JOIN("";""&amp;CHAR(10),FILTER(Curses!$A$3:$A43,Curses!$B$3:$B43=G$2,Curses!$G$3:$G43=$A17)),"""")"),"")</f>
        <v/>
      </c>
      <c r="H17" s="289" t="str">
        <f ca="1">IFERROR(__xludf.DUMMYFUNCTION("IFERROR(JOIN("";""&amp;CHAR(10),FILTER(Curses!$A$3:$A43,Curses!$B$3:$B43=H$2,Curses!$G$3:$G43=$A17)),"""")"),"")</f>
        <v/>
      </c>
      <c r="I17" s="289" t="str">
        <f ca="1">IFERROR(__xludf.DUMMYFUNCTION("IFERROR(JOIN("";""&amp;CHAR(10),FILTER(Curses!$A$3:$A43,Curses!$B$3:$B43=I$2,Curses!$G$3:$G43=$A17)),"""")"),"")</f>
        <v/>
      </c>
      <c r="J17" s="289" t="str">
        <f ca="1">IFERROR(__xludf.DUMMYFUNCTION("IFERROR(JOIN("";""&amp;CHAR(10),FILTER(Curses!$A$3:$A43,Curses!$B$3:$B43=J$2,Curses!$G$3:$G43=$A17)),"""")"),"")</f>
        <v/>
      </c>
      <c r="K17" s="289" t="str">
        <f ca="1">IFERROR(__xludf.DUMMYFUNCTION("IFERROR(JOIN("";""&amp;CHAR(10),FILTER(Curses!$A$3:$A43,Curses!$B$3:$B43=K$2,Curses!$G$3:$G43=$A17)),"""")"),"")</f>
        <v/>
      </c>
      <c r="L17" s="289" t="str">
        <f ca="1">IFERROR(__xludf.DUMMYFUNCTION("IFERROR(JOIN("";""&amp;CHAR(10),FILTER(Curses!$A$3:$A43,Curses!$B$3:$B43=L$2,Curses!$G$3:$G43=$A17)),"""")"),"")</f>
        <v/>
      </c>
      <c r="M17" s="289" t="str">
        <f ca="1">IFERROR(__xludf.DUMMYFUNCTION("IFERROR(JOIN("";""&amp;CHAR(10),FILTER(Curses!$A$3:$A43,Curses!$B$3:$B43=M$2,Curses!$G$3:$G43=$A17)),"""")"),"")</f>
        <v/>
      </c>
      <c r="N17" s="289" t="str">
        <f ca="1">IFERROR(__xludf.DUMMYFUNCTION("IFERROR(JOIN("";""&amp;CHAR(10),FILTER(Curses!$A$3:$A43,Curses!$B$3:$B43=N$2,Curses!$G$3:$G43=$A17)),"""")"),"")</f>
        <v/>
      </c>
      <c r="O17" s="289" t="str">
        <f ca="1">IFERROR(__xludf.DUMMYFUNCTION("IFERROR(JOIN("";""&amp;CHAR(10),FILTER(Curses!$A$3:$A43,Curses!$B$3:$B43=O$2,Curses!$G$3:$G43=$A17)),"""")"),"")</f>
        <v/>
      </c>
      <c r="P17" s="289" t="str">
        <f ca="1">IFERROR(__xludf.DUMMYFUNCTION("IFERROR(JOIN("";""&amp;CHAR(10),FILTER(Curses!$A$3:$A43,Curses!$B$3:$B43=P$2,Curses!$G$3:$G43=$A17)),"""")"),"")</f>
        <v/>
      </c>
      <c r="Q17" s="289" t="str">
        <f ca="1">IFERROR(__xludf.DUMMYFUNCTION("IFERROR(JOIN("";""&amp;CHAR(10),FILTER(Curses!$A$3:$A43,Curses!$B$3:$B43=Q$2,Curses!$G$3:$G43=$A17)),"""")"),"")</f>
        <v/>
      </c>
      <c r="R17" s="289" t="str">
        <f ca="1">IFERROR(__xludf.DUMMYFUNCTION("IFERROR(JOIN("";""&amp;CHAR(10),FILTER(Curses!$A$3:$A43,Curses!$B$3:$B43=R$2,Curses!$G$3:$G43=$A17)),"""")"),"")</f>
        <v/>
      </c>
      <c r="S17" s="289" t="str">
        <f ca="1">IFERROR(__xludf.DUMMYFUNCTION("IFERROR(JOIN("";""&amp;CHAR(10),FILTER(Curses!$A$3:$A43,Curses!$B$3:$B43=S$2,Curses!$G$3:$G43=$A17)),"""")"),"")</f>
        <v/>
      </c>
      <c r="T17" s="289" t="str">
        <f ca="1">IFERROR(__xludf.DUMMYFUNCTION("IFERROR(JOIN("";""&amp;CHAR(10),FILTER(Curses!$A$3:$A43,Curses!$B$3:$B43=T$2,Curses!$G$3:$G43=$A17)),"""")"),"")</f>
        <v/>
      </c>
      <c r="U17" s="289" t="str">
        <f ca="1">IFERROR(__xludf.DUMMYFUNCTION("IFERROR(JOIN("";""&amp;CHAR(10),FILTER(Curses!$A$3:$A43,Curses!$B$3:$B43=U$2,Curses!$G$3:$G43=$A17)),"""")"),"")</f>
        <v/>
      </c>
      <c r="V17" s="289" t="str">
        <f ca="1">IFERROR(__xludf.DUMMYFUNCTION("IFERROR(JOIN("";""&amp;CHAR(10),FILTER(Curses!$A$3:$A43,Curses!$B$3:$B43=V$2,Curses!$G$3:$G43=$A17)),"""")"),"")</f>
        <v/>
      </c>
      <c r="W17" s="289" t="str">
        <f ca="1">IFERROR(__xludf.DUMMYFUNCTION("IFERROR(JOIN("";""&amp;CHAR(10),FILTER(Curses!$A$3:$A43,Curses!$B$3:$B43=W$2,Curses!$G$3:$G43=$A17)),"""")"),"")</f>
        <v/>
      </c>
      <c r="X17" s="289" t="str">
        <f ca="1">IFERROR(__xludf.DUMMYFUNCTION("IFERROR(JOIN("";""&amp;CHAR(10),FILTER(Curses!$A$3:$A43,Curses!$B$3:$B43=X$2,Curses!$G$3:$G43=$A17)),"""")"),"")</f>
        <v/>
      </c>
      <c r="Y17" s="289" t="str">
        <f ca="1">IFERROR(__xludf.DUMMYFUNCTION("IFERROR(JOIN("";""&amp;CHAR(10),FILTER(Curses!$A$3:$A43,Curses!$B$3:$B43=Y$2,Curses!$G$3:$G43=$A17)),"""")"),"")</f>
        <v/>
      </c>
      <c r="Z17" s="289" t="str">
        <f ca="1">IFERROR(__xludf.DUMMYFUNCTION("IFERROR(JOIN("";""&amp;CHAR(10),FILTER(Curses!$A$3:$A43,Curses!$B$3:$B43=Z$2,Curses!$G$3:$G43=$A17)),"""")"),"")</f>
        <v/>
      </c>
      <c r="AA17" s="289" t="str">
        <f ca="1">IFERROR(__xludf.DUMMYFUNCTION("IFERROR(JOIN("";""&amp;CHAR(10),FILTER(Curses!$A$3:$A43,Curses!$B$3:$B43=AA$2,Curses!$G$3:$G43=$A17)),"""")"),"")</f>
        <v/>
      </c>
      <c r="AB17" s="289" t="str">
        <f ca="1">IFERROR(__xludf.DUMMYFUNCTION("IFERROR(JOIN("";""&amp;CHAR(10),FILTER(Curses!$A$3:$A43,Curses!$B$3:$B43=AB$2,Curses!$G$3:$G43=$A17)),"""")"),"")</f>
        <v/>
      </c>
      <c r="AC17" s="289" t="str">
        <f ca="1">IFERROR(__xludf.DUMMYFUNCTION("IFERROR(JOIN("";""&amp;CHAR(10),FILTER(Curses!$A$3:$A43,Curses!$B$3:$B43=AC$2,Curses!$G$3:$G43=$A17)),"""")"),"")</f>
        <v/>
      </c>
      <c r="AD17" s="289" t="str">
        <f ca="1">IFERROR(__xludf.DUMMYFUNCTION("IFERROR(JOIN("";""&amp;CHAR(10),FILTER(Curses!$A$3:$A43,Curses!$B$3:$B43=AD$2,Curses!$G$3:$G43=$A17)),"""")"),"")</f>
        <v/>
      </c>
      <c r="AE17" s="289" t="str">
        <f ca="1">IFERROR(__xludf.DUMMYFUNCTION("IFERROR(JOIN("";""&amp;CHAR(10),FILTER(Curses!$A$3:$A43,Curses!$B$3:$B43=AE$2,Curses!$G$3:$G43=$A17)),"""")"),"")</f>
        <v/>
      </c>
      <c r="AF17" s="289" t="str">
        <f ca="1">IFERROR(__xludf.DUMMYFUNCTION("IFERROR(JOIN("";""&amp;CHAR(10),FILTER(Curses!$A$3:$A43,Curses!$B$3:$B43=AF$2,Curses!$G$3:$G43=$A17)),"""")"),"")</f>
        <v/>
      </c>
      <c r="AG17" s="289" t="str">
        <f ca="1">IFERROR(__xludf.DUMMYFUNCTION("IFERROR(JOIN("";""&amp;CHAR(10),FILTER(Curses!$A$3:$A43,Curses!$B$3:$B43=AG$2,Curses!$G$3:$G43=$A17)),"""")"),"")</f>
        <v/>
      </c>
      <c r="AH17" s="289" t="str">
        <f ca="1">IFERROR(__xludf.DUMMYFUNCTION("IFERROR(JOIN("";""&amp;CHAR(10),FILTER(Curses!$A$3:$A43,Curses!$B$3:$B43=AH$2,Curses!$G$3:$G43=$A17)),"""")"),"")</f>
        <v/>
      </c>
      <c r="AI17" s="289" t="str">
        <f ca="1">IFERROR(__xludf.DUMMYFUNCTION("IFERROR(JOIN("";""&amp;CHAR(10),FILTER(Curses!$A$3:$A43,Curses!$B$3:$B43=AI$2,Curses!$G$3:$G43=$A17)),"""")"),"")</f>
        <v/>
      </c>
      <c r="AJ17" s="289" t="str">
        <f ca="1">IFERROR(__xludf.DUMMYFUNCTION("IFERROR(JOIN("";""&amp;CHAR(10),FILTER(Curses!$A$3:$A43,Curses!$B$3:$B43=AJ$2,Curses!$G$3:$G43=$A17)),"""")"),"")</f>
        <v/>
      </c>
      <c r="AK17" s="289" t="str">
        <f ca="1">IFERROR(__xludf.DUMMYFUNCTION("IFERROR(JOIN("";""&amp;CHAR(10),FILTER(Curses!$A$3:$A43,Curses!$B$3:$B43=AK$2,Curses!$G$3:$G43=$A17)),"""")"),"")</f>
        <v/>
      </c>
      <c r="AL17" s="289" t="str">
        <f ca="1">IFERROR(__xludf.DUMMYFUNCTION("IFERROR(JOIN("";""&amp;CHAR(10),FILTER(Curses!$A$3:$A43,Curses!$B$3:$B43=AL$2,Curses!$G$3:$G43=$A17)),"""")"),"")</f>
        <v/>
      </c>
      <c r="AM17" s="289" t="str">
        <f ca="1">IFERROR(__xludf.DUMMYFUNCTION("IFERROR(JOIN("";""&amp;CHAR(10),FILTER(Curses!$A$3:$A43,Curses!$B$3:$B43=AM$2,Curses!$G$3:$G43=$A17)),"""")"),"")</f>
        <v/>
      </c>
    </row>
    <row r="18" spans="1:39">
      <c r="A18" s="292" t="str">
        <f ca="1">IFERROR(__xludf.DUMMYFUNCTION("""COMPUTED_VALUE"""),"Bones")</f>
        <v>Bones</v>
      </c>
      <c r="B18" s="289" t="str">
        <f ca="1">IFERROR(__xludf.DUMMYFUNCTION("IFERROR(JOIN("";""&amp;CHAR(10),FILTER(Curses!$A$3:$A43,Curses!$B$3:$B43=B$2,Curses!$G$3:$G43=$A18)),"""")"),"Boss Bones")</f>
        <v>Boss Bones</v>
      </c>
      <c r="C18" s="289" t="str">
        <f ca="1">IFERROR(__xludf.DUMMYFUNCTION("IFERROR(JOIN("";""&amp;CHAR(10),FILTER(Curses!$A$3:$A43,Curses!$B$3:$B43=C$2,Curses!$G$3:$G43=$A18)),"""")"),"Non-Boss Bones")</f>
        <v>Non-Boss Bones</v>
      </c>
      <c r="D18" s="289" t="str">
        <f ca="1">IFERROR(__xludf.DUMMYFUNCTION("IFERROR(JOIN("";""&amp;CHAR(10),FILTER(Curses!$A$3:$A43,Curses!$B$3:$B43=D$2,Curses!$G$3:$G43=$A18)),"""")"),"Add Bones")</f>
        <v>Add Bones</v>
      </c>
      <c r="E18" s="289" t="str">
        <f ca="1">IFERROR(__xludf.DUMMYFUNCTION("IFERROR(JOIN("";""&amp;CHAR(10),FILTER(Curses!$A$3:$A43,Curses!$B$3:$B43=E$2,Curses!$G$3:$G43=$A18)),"""")"),"")</f>
        <v/>
      </c>
      <c r="F18" s="289" t="str">
        <f ca="1">IFERROR(__xludf.DUMMYFUNCTION("IFERROR(JOIN("";""&amp;CHAR(10),FILTER(Curses!$A$3:$A43,Curses!$B$3:$B43=F$2,Curses!$G$3:$G43=$A18)),"""")"),"")</f>
        <v/>
      </c>
      <c r="G18" s="289" t="str">
        <f ca="1">IFERROR(__xludf.DUMMYFUNCTION("IFERROR(JOIN("";""&amp;CHAR(10),FILTER(Curses!$A$3:$A43,Curses!$B$3:$B43=G$2,Curses!$G$3:$G43=$A18)),"""")"),"")</f>
        <v/>
      </c>
      <c r="H18" s="289" t="str">
        <f ca="1">IFERROR(__xludf.DUMMYFUNCTION("IFERROR(JOIN("";""&amp;CHAR(10),FILTER(Curses!$A$3:$A43,Curses!$B$3:$B43=H$2,Curses!$G$3:$G43=$A18)),"""")"),"")</f>
        <v/>
      </c>
      <c r="I18" s="289" t="str">
        <f ca="1">IFERROR(__xludf.DUMMYFUNCTION("IFERROR(JOIN("";""&amp;CHAR(10),FILTER(Curses!$A$3:$A43,Curses!$B$3:$B43=I$2,Curses!$G$3:$G43=$A18)),"""")"),"")</f>
        <v/>
      </c>
      <c r="J18" s="289" t="str">
        <f ca="1">IFERROR(__xludf.DUMMYFUNCTION("IFERROR(JOIN("";""&amp;CHAR(10),FILTER(Curses!$A$3:$A43,Curses!$B$3:$B43=J$2,Curses!$G$3:$G43=$A18)),"""")"),"")</f>
        <v/>
      </c>
      <c r="K18" s="289" t="str">
        <f ca="1">IFERROR(__xludf.DUMMYFUNCTION("IFERROR(JOIN("";""&amp;CHAR(10),FILTER(Curses!$A$3:$A43,Curses!$B$3:$B43=K$2,Curses!$G$3:$G43=$A18)),"""")"),"")</f>
        <v/>
      </c>
      <c r="L18" s="289" t="str">
        <f ca="1">IFERROR(__xludf.DUMMYFUNCTION("IFERROR(JOIN("";""&amp;CHAR(10),FILTER(Curses!$A$3:$A43,Curses!$B$3:$B43=L$2,Curses!$G$3:$G43=$A18)),"""")"),"")</f>
        <v/>
      </c>
      <c r="M18" s="289" t="str">
        <f ca="1">IFERROR(__xludf.DUMMYFUNCTION("IFERROR(JOIN("";""&amp;CHAR(10),FILTER(Curses!$A$3:$A43,Curses!$B$3:$B43=M$2,Curses!$G$3:$G43=$A18)),"""")"),"")</f>
        <v/>
      </c>
      <c r="N18" s="289" t="str">
        <f ca="1">IFERROR(__xludf.DUMMYFUNCTION("IFERROR(JOIN("";""&amp;CHAR(10),FILTER(Curses!$A$3:$A43,Curses!$B$3:$B43=N$2,Curses!$G$3:$G43=$A18)),"""")"),"")</f>
        <v/>
      </c>
      <c r="O18" s="289" t="str">
        <f ca="1">IFERROR(__xludf.DUMMYFUNCTION("IFERROR(JOIN("";""&amp;CHAR(10),FILTER(Curses!$A$3:$A43,Curses!$B$3:$B43=O$2,Curses!$G$3:$G43=$A18)),"""")"),"")</f>
        <v/>
      </c>
      <c r="P18" s="289" t="str">
        <f ca="1">IFERROR(__xludf.DUMMYFUNCTION("IFERROR(JOIN("";""&amp;CHAR(10),FILTER(Curses!$A$3:$A43,Curses!$B$3:$B43=P$2,Curses!$G$3:$G43=$A18)),"""")"),"")</f>
        <v/>
      </c>
      <c r="Q18" s="289" t="str">
        <f ca="1">IFERROR(__xludf.DUMMYFUNCTION("IFERROR(JOIN("";""&amp;CHAR(10),FILTER(Curses!$A$3:$A43,Curses!$B$3:$B43=Q$2,Curses!$G$3:$G43=$A18)),"""")"),"")</f>
        <v/>
      </c>
      <c r="R18" s="289" t="str">
        <f ca="1">IFERROR(__xludf.DUMMYFUNCTION("IFERROR(JOIN("";""&amp;CHAR(10),FILTER(Curses!$A$3:$A43,Curses!$B$3:$B43=R$2,Curses!$G$3:$G43=$A18)),"""")"),"")</f>
        <v/>
      </c>
      <c r="S18" s="289" t="str">
        <f ca="1">IFERROR(__xludf.DUMMYFUNCTION("IFERROR(JOIN("";""&amp;CHAR(10),FILTER(Curses!$A$3:$A43,Curses!$B$3:$B43=S$2,Curses!$G$3:$G43=$A18)),"""")"),"")</f>
        <v/>
      </c>
      <c r="T18" s="289" t="str">
        <f ca="1">IFERROR(__xludf.DUMMYFUNCTION("IFERROR(JOIN("";""&amp;CHAR(10),FILTER(Curses!$A$3:$A43,Curses!$B$3:$B43=T$2,Curses!$G$3:$G43=$A18)),"""")"),"")</f>
        <v/>
      </c>
      <c r="U18" s="289" t="str">
        <f ca="1">IFERROR(__xludf.DUMMYFUNCTION("IFERROR(JOIN("";""&amp;CHAR(10),FILTER(Curses!$A$3:$A43,Curses!$B$3:$B43=U$2,Curses!$G$3:$G43=$A18)),"""")"),"")</f>
        <v/>
      </c>
      <c r="V18" s="289" t="str">
        <f ca="1">IFERROR(__xludf.DUMMYFUNCTION("IFERROR(JOIN("";""&amp;CHAR(10),FILTER(Curses!$A$3:$A43,Curses!$B$3:$B43=V$2,Curses!$G$3:$G43=$A18)),"""")"),"")</f>
        <v/>
      </c>
      <c r="W18" s="289" t="str">
        <f ca="1">IFERROR(__xludf.DUMMYFUNCTION("IFERROR(JOIN("";""&amp;CHAR(10),FILTER(Curses!$A$3:$A43,Curses!$B$3:$B43=W$2,Curses!$G$3:$G43=$A18)),"""")"),"")</f>
        <v/>
      </c>
      <c r="X18" s="289" t="str">
        <f ca="1">IFERROR(__xludf.DUMMYFUNCTION("IFERROR(JOIN("";""&amp;CHAR(10),FILTER(Curses!$A$3:$A43,Curses!$B$3:$B43=X$2,Curses!$G$3:$G43=$A18)),"""")"),"")</f>
        <v/>
      </c>
      <c r="Y18" s="289" t="str">
        <f ca="1">IFERROR(__xludf.DUMMYFUNCTION("IFERROR(JOIN("";""&amp;CHAR(10),FILTER(Curses!$A$3:$A43,Curses!$B$3:$B43=Y$2,Curses!$G$3:$G43=$A18)),"""")"),"")</f>
        <v/>
      </c>
      <c r="Z18" s="289" t="str">
        <f ca="1">IFERROR(__xludf.DUMMYFUNCTION("IFERROR(JOIN("";""&amp;CHAR(10),FILTER(Curses!$A$3:$A43,Curses!$B$3:$B43=Z$2,Curses!$G$3:$G43=$A18)),"""")"),"")</f>
        <v/>
      </c>
      <c r="AA18" s="289" t="str">
        <f ca="1">IFERROR(__xludf.DUMMYFUNCTION("IFERROR(JOIN("";""&amp;CHAR(10),FILTER(Curses!$A$3:$A43,Curses!$B$3:$B43=AA$2,Curses!$G$3:$G43=$A18)),"""")"),"")</f>
        <v/>
      </c>
      <c r="AB18" s="289" t="str">
        <f ca="1">IFERROR(__xludf.DUMMYFUNCTION("IFERROR(JOIN("";""&amp;CHAR(10),FILTER(Curses!$A$3:$A43,Curses!$B$3:$B43=AB$2,Curses!$G$3:$G43=$A18)),"""")"),"")</f>
        <v/>
      </c>
      <c r="AC18" s="289" t="str">
        <f ca="1">IFERROR(__xludf.DUMMYFUNCTION("IFERROR(JOIN("";""&amp;CHAR(10),FILTER(Curses!$A$3:$A43,Curses!$B$3:$B43=AC$2,Curses!$G$3:$G43=$A18)),"""")"),"")</f>
        <v/>
      </c>
      <c r="AD18" s="289" t="str">
        <f ca="1">IFERROR(__xludf.DUMMYFUNCTION("IFERROR(JOIN("";""&amp;CHAR(10),FILTER(Curses!$A$3:$A43,Curses!$B$3:$B43=AD$2,Curses!$G$3:$G43=$A18)),"""")"),"")</f>
        <v/>
      </c>
      <c r="AE18" s="289" t="str">
        <f ca="1">IFERROR(__xludf.DUMMYFUNCTION("IFERROR(JOIN("";""&amp;CHAR(10),FILTER(Curses!$A$3:$A43,Curses!$B$3:$B43=AE$2,Curses!$G$3:$G43=$A18)),"""")"),"")</f>
        <v/>
      </c>
      <c r="AF18" s="289" t="str">
        <f ca="1">IFERROR(__xludf.DUMMYFUNCTION("IFERROR(JOIN("";""&amp;CHAR(10),FILTER(Curses!$A$3:$A43,Curses!$B$3:$B43=AF$2,Curses!$G$3:$G43=$A18)),"""")"),"")</f>
        <v/>
      </c>
      <c r="AG18" s="289" t="str">
        <f ca="1">IFERROR(__xludf.DUMMYFUNCTION("IFERROR(JOIN("";""&amp;CHAR(10),FILTER(Curses!$A$3:$A43,Curses!$B$3:$B43=AG$2,Curses!$G$3:$G43=$A18)),"""")"),"")</f>
        <v/>
      </c>
      <c r="AH18" s="289" t="str">
        <f ca="1">IFERROR(__xludf.DUMMYFUNCTION("IFERROR(JOIN("";""&amp;CHAR(10),FILTER(Curses!$A$3:$A43,Curses!$B$3:$B43=AH$2,Curses!$G$3:$G43=$A18)),"""")"),"")</f>
        <v/>
      </c>
      <c r="AI18" s="289" t="str">
        <f ca="1">IFERROR(__xludf.DUMMYFUNCTION("IFERROR(JOIN("";""&amp;CHAR(10),FILTER(Curses!$A$3:$A43,Curses!$B$3:$B43=AI$2,Curses!$G$3:$G43=$A18)),"""")"),"")</f>
        <v/>
      </c>
      <c r="AJ18" s="289" t="str">
        <f ca="1">IFERROR(__xludf.DUMMYFUNCTION("IFERROR(JOIN("";""&amp;CHAR(10),FILTER(Curses!$A$3:$A43,Curses!$B$3:$B43=AJ$2,Curses!$G$3:$G43=$A18)),"""")"),"")</f>
        <v/>
      </c>
      <c r="AK18" s="289" t="str">
        <f ca="1">IFERROR(__xludf.DUMMYFUNCTION("IFERROR(JOIN("";""&amp;CHAR(10),FILTER(Curses!$A$3:$A43,Curses!$B$3:$B43=AK$2,Curses!$G$3:$G43=$A18)),"""")"),"")</f>
        <v/>
      </c>
      <c r="AL18" s="289" t="str">
        <f ca="1">IFERROR(__xludf.DUMMYFUNCTION("IFERROR(JOIN("";""&amp;CHAR(10),FILTER(Curses!$A$3:$A43,Curses!$B$3:$B43=AL$2,Curses!$G$3:$G43=$A18)),"""")"),"")</f>
        <v/>
      </c>
      <c r="AM18" s="289" t="str">
        <f ca="1">IFERROR(__xludf.DUMMYFUNCTION("IFERROR(JOIN("";""&amp;CHAR(10),FILTER(Curses!$A$3:$A43,Curses!$B$3:$B43=AM$2,Curses!$G$3:$G43=$A18)),"""")"),"")</f>
        <v/>
      </c>
    </row>
    <row r="19" spans="1:39">
      <c r="A19" s="292" t="str">
        <f ca="1">IFERROR(__xludf.DUMMYFUNCTION("""COMPUTED_VALUE"""),"Limited Burst")</f>
        <v>Limited Burst</v>
      </c>
      <c r="B19" s="289" t="str">
        <f ca="1">IFERROR(__xludf.DUMMYFUNCTION("IFERROR(JOIN("";""&amp;CHAR(10),FILTER(Curses!$A$3:$A43,Curses!$B$3:$B43=B$2,Curses!$G$3:$G43=$A19)),"""")"),"Cooldown Burst")</f>
        <v>Cooldown Burst</v>
      </c>
      <c r="C19" s="289" t="str">
        <f ca="1">IFERROR(__xludf.DUMMYFUNCTION("IFERROR(JOIN("";""&amp;CHAR(10),FILTER(Curses!$A$3:$A43,Curses!$B$3:$B43=C$2,Curses!$G$3:$G43=$A19)),"""")"),"Single Burst")</f>
        <v>Single Burst</v>
      </c>
      <c r="D19" s="289" t="str">
        <f ca="1">IFERROR(__xludf.DUMMYFUNCTION("IFERROR(JOIN("";""&amp;CHAR(10),FILTER(Curses!$A$3:$A43,Curses!$B$3:$B43=D$2,Curses!$G$3:$G43=$A19)),"""")"),"No Burst")</f>
        <v>No Burst</v>
      </c>
      <c r="E19" s="289" t="str">
        <f ca="1">IFERROR(__xludf.DUMMYFUNCTION("IFERROR(JOIN("";""&amp;CHAR(10),FILTER(Curses!$A$3:$A43,Curses!$B$3:$B43=E$2,Curses!$G$3:$G43=$A19)),"""")"),"")</f>
        <v/>
      </c>
      <c r="F19" s="289" t="str">
        <f ca="1">IFERROR(__xludf.DUMMYFUNCTION("IFERROR(JOIN("";""&amp;CHAR(10),FILTER(Curses!$A$3:$A43,Curses!$B$3:$B43=F$2,Curses!$G$3:$G43=$A19)),"""")"),"")</f>
        <v/>
      </c>
      <c r="G19" s="289" t="str">
        <f ca="1">IFERROR(__xludf.DUMMYFUNCTION("IFERROR(JOIN("";""&amp;CHAR(10),FILTER(Curses!$A$3:$A43,Curses!$B$3:$B43=G$2,Curses!$G$3:$G43=$A19)),"""")"),"")</f>
        <v/>
      </c>
      <c r="H19" s="289" t="str">
        <f ca="1">IFERROR(__xludf.DUMMYFUNCTION("IFERROR(JOIN("";""&amp;CHAR(10),FILTER(Curses!$A$3:$A43,Curses!$B$3:$B43=H$2,Curses!$G$3:$G43=$A19)),"""")"),"")</f>
        <v/>
      </c>
      <c r="I19" s="289" t="str">
        <f ca="1">IFERROR(__xludf.DUMMYFUNCTION("IFERROR(JOIN("";""&amp;CHAR(10),FILTER(Curses!$A$3:$A43,Curses!$B$3:$B43=I$2,Curses!$G$3:$G43=$A19)),"""")"),"")</f>
        <v/>
      </c>
      <c r="J19" s="289" t="str">
        <f ca="1">IFERROR(__xludf.DUMMYFUNCTION("IFERROR(JOIN("";""&amp;CHAR(10),FILTER(Curses!$A$3:$A43,Curses!$B$3:$B43=J$2,Curses!$G$3:$G43=$A19)),"""")"),"")</f>
        <v/>
      </c>
      <c r="K19" s="289" t="str">
        <f ca="1">IFERROR(__xludf.DUMMYFUNCTION("IFERROR(JOIN("";""&amp;CHAR(10),FILTER(Curses!$A$3:$A43,Curses!$B$3:$B43=K$2,Curses!$G$3:$G43=$A19)),"""")"),"")</f>
        <v/>
      </c>
      <c r="L19" s="289" t="str">
        <f ca="1">IFERROR(__xludf.DUMMYFUNCTION("IFERROR(JOIN("";""&amp;CHAR(10),FILTER(Curses!$A$3:$A43,Curses!$B$3:$B43=L$2,Curses!$G$3:$G43=$A19)),"""")"),"")</f>
        <v/>
      </c>
      <c r="M19" s="289" t="str">
        <f ca="1">IFERROR(__xludf.DUMMYFUNCTION("IFERROR(JOIN("";""&amp;CHAR(10),FILTER(Curses!$A$3:$A43,Curses!$B$3:$B43=M$2,Curses!$G$3:$G43=$A19)),"""")"),"")</f>
        <v/>
      </c>
      <c r="N19" s="289" t="str">
        <f ca="1">IFERROR(__xludf.DUMMYFUNCTION("IFERROR(JOIN("";""&amp;CHAR(10),FILTER(Curses!$A$3:$A43,Curses!$B$3:$B43=N$2,Curses!$G$3:$G43=$A19)),"""")"),"")</f>
        <v/>
      </c>
      <c r="O19" s="289" t="str">
        <f ca="1">IFERROR(__xludf.DUMMYFUNCTION("IFERROR(JOIN("";""&amp;CHAR(10),FILTER(Curses!$A$3:$A43,Curses!$B$3:$B43=O$2,Curses!$G$3:$G43=$A19)),"""")"),"")</f>
        <v/>
      </c>
      <c r="P19" s="289" t="str">
        <f ca="1">IFERROR(__xludf.DUMMYFUNCTION("IFERROR(JOIN("";""&amp;CHAR(10),FILTER(Curses!$A$3:$A43,Curses!$B$3:$B43=P$2,Curses!$G$3:$G43=$A19)),"""")"),"")</f>
        <v/>
      </c>
      <c r="Q19" s="289" t="str">
        <f ca="1">IFERROR(__xludf.DUMMYFUNCTION("IFERROR(JOIN("";""&amp;CHAR(10),FILTER(Curses!$A$3:$A43,Curses!$B$3:$B43=Q$2,Curses!$G$3:$G43=$A19)),"""")"),"")</f>
        <v/>
      </c>
      <c r="R19" s="289" t="str">
        <f ca="1">IFERROR(__xludf.DUMMYFUNCTION("IFERROR(JOIN("";""&amp;CHAR(10),FILTER(Curses!$A$3:$A43,Curses!$B$3:$B43=R$2,Curses!$G$3:$G43=$A19)),"""")"),"")</f>
        <v/>
      </c>
      <c r="S19" s="289" t="str">
        <f ca="1">IFERROR(__xludf.DUMMYFUNCTION("IFERROR(JOIN("";""&amp;CHAR(10),FILTER(Curses!$A$3:$A43,Curses!$B$3:$B43=S$2,Curses!$G$3:$G43=$A19)),"""")"),"")</f>
        <v/>
      </c>
      <c r="T19" s="289" t="str">
        <f ca="1">IFERROR(__xludf.DUMMYFUNCTION("IFERROR(JOIN("";""&amp;CHAR(10),FILTER(Curses!$A$3:$A43,Curses!$B$3:$B43=T$2,Curses!$G$3:$G43=$A19)),"""")"),"")</f>
        <v/>
      </c>
      <c r="U19" s="289" t="str">
        <f ca="1">IFERROR(__xludf.DUMMYFUNCTION("IFERROR(JOIN("";""&amp;CHAR(10),FILTER(Curses!$A$3:$A43,Curses!$B$3:$B43=U$2,Curses!$G$3:$G43=$A19)),"""")"),"")</f>
        <v/>
      </c>
      <c r="V19" s="289" t="str">
        <f ca="1">IFERROR(__xludf.DUMMYFUNCTION("IFERROR(JOIN("";""&amp;CHAR(10),FILTER(Curses!$A$3:$A43,Curses!$B$3:$B43=V$2,Curses!$G$3:$G43=$A19)),"""")"),"")</f>
        <v/>
      </c>
      <c r="W19" s="289" t="str">
        <f ca="1">IFERROR(__xludf.DUMMYFUNCTION("IFERROR(JOIN("";""&amp;CHAR(10),FILTER(Curses!$A$3:$A43,Curses!$B$3:$B43=W$2,Curses!$G$3:$G43=$A19)),"""")"),"")</f>
        <v/>
      </c>
      <c r="X19" s="289" t="str">
        <f ca="1">IFERROR(__xludf.DUMMYFUNCTION("IFERROR(JOIN("";""&amp;CHAR(10),FILTER(Curses!$A$3:$A43,Curses!$B$3:$B43=X$2,Curses!$G$3:$G43=$A19)),"""")"),"")</f>
        <v/>
      </c>
      <c r="Y19" s="289" t="str">
        <f ca="1">IFERROR(__xludf.DUMMYFUNCTION("IFERROR(JOIN("";""&amp;CHAR(10),FILTER(Curses!$A$3:$A43,Curses!$B$3:$B43=Y$2,Curses!$G$3:$G43=$A19)),"""")"),"")</f>
        <v/>
      </c>
      <c r="Z19" s="289" t="str">
        <f ca="1">IFERROR(__xludf.DUMMYFUNCTION("IFERROR(JOIN("";""&amp;CHAR(10),FILTER(Curses!$A$3:$A43,Curses!$B$3:$B43=Z$2,Curses!$G$3:$G43=$A19)),"""")"),"")</f>
        <v/>
      </c>
      <c r="AA19" s="289" t="str">
        <f ca="1">IFERROR(__xludf.DUMMYFUNCTION("IFERROR(JOIN("";""&amp;CHAR(10),FILTER(Curses!$A$3:$A43,Curses!$B$3:$B43=AA$2,Curses!$G$3:$G43=$A19)),"""")"),"")</f>
        <v/>
      </c>
      <c r="AB19" s="289" t="str">
        <f ca="1">IFERROR(__xludf.DUMMYFUNCTION("IFERROR(JOIN("";""&amp;CHAR(10),FILTER(Curses!$A$3:$A43,Curses!$B$3:$B43=AB$2,Curses!$G$3:$G43=$A19)),"""")"),"")</f>
        <v/>
      </c>
      <c r="AC19" s="289" t="str">
        <f ca="1">IFERROR(__xludf.DUMMYFUNCTION("IFERROR(JOIN("";""&amp;CHAR(10),FILTER(Curses!$A$3:$A43,Curses!$B$3:$B43=AC$2,Curses!$G$3:$G43=$A19)),"""")"),"")</f>
        <v/>
      </c>
      <c r="AD19" s="289" t="str">
        <f ca="1">IFERROR(__xludf.DUMMYFUNCTION("IFERROR(JOIN("";""&amp;CHAR(10),FILTER(Curses!$A$3:$A43,Curses!$B$3:$B43=AD$2,Curses!$G$3:$G43=$A19)),"""")"),"")</f>
        <v/>
      </c>
      <c r="AE19" s="289" t="str">
        <f ca="1">IFERROR(__xludf.DUMMYFUNCTION("IFERROR(JOIN("";""&amp;CHAR(10),FILTER(Curses!$A$3:$A43,Curses!$B$3:$B43=AE$2,Curses!$G$3:$G43=$A19)),"""")"),"")</f>
        <v/>
      </c>
      <c r="AF19" s="289" t="str">
        <f ca="1">IFERROR(__xludf.DUMMYFUNCTION("IFERROR(JOIN("";""&amp;CHAR(10),FILTER(Curses!$A$3:$A43,Curses!$B$3:$B43=AF$2,Curses!$G$3:$G43=$A19)),"""")"),"")</f>
        <v/>
      </c>
      <c r="AG19" s="289" t="str">
        <f ca="1">IFERROR(__xludf.DUMMYFUNCTION("IFERROR(JOIN("";""&amp;CHAR(10),FILTER(Curses!$A$3:$A43,Curses!$B$3:$B43=AG$2,Curses!$G$3:$G43=$A19)),"""")"),"")</f>
        <v/>
      </c>
      <c r="AH19" s="289" t="str">
        <f ca="1">IFERROR(__xludf.DUMMYFUNCTION("IFERROR(JOIN("";""&amp;CHAR(10),FILTER(Curses!$A$3:$A43,Curses!$B$3:$B43=AH$2,Curses!$G$3:$G43=$A19)),"""")"),"")</f>
        <v/>
      </c>
      <c r="AI19" s="289" t="str">
        <f ca="1">IFERROR(__xludf.DUMMYFUNCTION("IFERROR(JOIN("";""&amp;CHAR(10),FILTER(Curses!$A$3:$A43,Curses!$B$3:$B43=AI$2,Curses!$G$3:$G43=$A19)),"""")"),"")</f>
        <v/>
      </c>
      <c r="AJ19" s="289" t="str">
        <f ca="1">IFERROR(__xludf.DUMMYFUNCTION("IFERROR(JOIN("";""&amp;CHAR(10),FILTER(Curses!$A$3:$A43,Curses!$B$3:$B43=AJ$2,Curses!$G$3:$G43=$A19)),"""")"),"")</f>
        <v/>
      </c>
      <c r="AK19" s="289" t="str">
        <f ca="1">IFERROR(__xludf.DUMMYFUNCTION("IFERROR(JOIN("";""&amp;CHAR(10),FILTER(Curses!$A$3:$A43,Curses!$B$3:$B43=AK$2,Curses!$G$3:$G43=$A19)),"""")"),"")</f>
        <v/>
      </c>
      <c r="AL19" s="289" t="str">
        <f ca="1">IFERROR(__xludf.DUMMYFUNCTION("IFERROR(JOIN("";""&amp;CHAR(10),FILTER(Curses!$A$3:$A43,Curses!$B$3:$B43=AL$2,Curses!$G$3:$G43=$A19)),"""")"),"")</f>
        <v/>
      </c>
      <c r="AM19" s="289" t="str">
        <f ca="1">IFERROR(__xludf.DUMMYFUNCTION("IFERROR(JOIN("";""&amp;CHAR(10),FILTER(Curses!$A$3:$A43,Curses!$B$3:$B43=AM$2,Curses!$G$3:$G43=$A19)),"""")"),"")</f>
        <v/>
      </c>
    </row>
    <row r="20" spans="1:39">
      <c r="A20" s="292" t="str">
        <f ca="1">IFERROR(__xludf.DUMMYFUNCTION("""COMPUTED_VALUE"""),"Skulk")</f>
        <v>Skulk</v>
      </c>
      <c r="B20" s="289" t="str">
        <f ca="1">IFERROR(__xludf.DUMMYFUNCTION("IFERROR(JOIN("";""&amp;CHAR(10),FILTER(Curses!$A$3:$A43,Curses!$B$3:$B43=B$2,Curses!$G$3:$G43=$A20)),"""")"),"Skulk")</f>
        <v>Skulk</v>
      </c>
      <c r="C20" s="289" t="str">
        <f ca="1">IFERROR(__xludf.DUMMYFUNCTION("IFERROR(JOIN("";""&amp;CHAR(10),FILTER(Curses!$A$3:$A43,Curses!$B$3:$B43=C$2,Curses!$G$3:$G43=$A20)),"""")"),"Skulk+")</f>
        <v>Skulk+</v>
      </c>
      <c r="D20" s="289" t="str">
        <f ca="1">IFERROR(__xludf.DUMMYFUNCTION("IFERROR(JOIN("";""&amp;CHAR(10),FILTER(Curses!$A$3:$A43,Curses!$B$3:$B43=D$2,Curses!$G$3:$G43=$A20)),"""")"),"Skulk++")</f>
        <v>Skulk++</v>
      </c>
      <c r="E20" s="289" t="str">
        <f ca="1">IFERROR(__xludf.DUMMYFUNCTION("IFERROR(JOIN("";""&amp;CHAR(10),FILTER(Curses!$A$3:$A43,Curses!$B$3:$B43=E$2,Curses!$G$3:$G43=$A20)),"""")"),"")</f>
        <v/>
      </c>
      <c r="F20" s="289" t="str">
        <f ca="1">IFERROR(__xludf.DUMMYFUNCTION("IFERROR(JOIN("";""&amp;CHAR(10),FILTER(Curses!$A$3:$A43,Curses!$B$3:$B43=F$2,Curses!$G$3:$G43=$A20)),"""")"),"")</f>
        <v/>
      </c>
      <c r="G20" s="289" t="str">
        <f ca="1">IFERROR(__xludf.DUMMYFUNCTION("IFERROR(JOIN("";""&amp;CHAR(10),FILTER(Curses!$A$3:$A43,Curses!$B$3:$B43=G$2,Curses!$G$3:$G43=$A20)),"""")"),"")</f>
        <v/>
      </c>
      <c r="H20" s="289" t="str">
        <f ca="1">IFERROR(__xludf.DUMMYFUNCTION("IFERROR(JOIN("";""&amp;CHAR(10),FILTER(Curses!$A$3:$A43,Curses!$B$3:$B43=H$2,Curses!$G$3:$G43=$A20)),"""")"),"")</f>
        <v/>
      </c>
      <c r="I20" s="289" t="str">
        <f ca="1">IFERROR(__xludf.DUMMYFUNCTION("IFERROR(JOIN("";""&amp;CHAR(10),FILTER(Curses!$A$3:$A43,Curses!$B$3:$B43=I$2,Curses!$G$3:$G43=$A20)),"""")"),"")</f>
        <v/>
      </c>
      <c r="J20" s="289" t="str">
        <f ca="1">IFERROR(__xludf.DUMMYFUNCTION("IFERROR(JOIN("";""&amp;CHAR(10),FILTER(Curses!$A$3:$A43,Curses!$B$3:$B43=J$2,Curses!$G$3:$G43=$A20)),"""")"),"")</f>
        <v/>
      </c>
      <c r="K20" s="289" t="str">
        <f ca="1">IFERROR(__xludf.DUMMYFUNCTION("IFERROR(JOIN("";""&amp;CHAR(10),FILTER(Curses!$A$3:$A43,Curses!$B$3:$B43=K$2,Curses!$G$3:$G43=$A20)),"""")"),"")</f>
        <v/>
      </c>
      <c r="L20" s="289" t="str">
        <f ca="1">IFERROR(__xludf.DUMMYFUNCTION("IFERROR(JOIN("";""&amp;CHAR(10),FILTER(Curses!$A$3:$A43,Curses!$B$3:$B43=L$2,Curses!$G$3:$G43=$A20)),"""")"),"")</f>
        <v/>
      </c>
      <c r="M20" s="289" t="str">
        <f ca="1">IFERROR(__xludf.DUMMYFUNCTION("IFERROR(JOIN("";""&amp;CHAR(10),FILTER(Curses!$A$3:$A43,Curses!$B$3:$B43=M$2,Curses!$G$3:$G43=$A20)),"""")"),"")</f>
        <v/>
      </c>
      <c r="N20" s="289" t="str">
        <f ca="1">IFERROR(__xludf.DUMMYFUNCTION("IFERROR(JOIN("";""&amp;CHAR(10),FILTER(Curses!$A$3:$A43,Curses!$B$3:$B43=N$2,Curses!$G$3:$G43=$A20)),"""")"),"")</f>
        <v/>
      </c>
      <c r="O20" s="289" t="str">
        <f ca="1">IFERROR(__xludf.DUMMYFUNCTION("IFERROR(JOIN("";""&amp;CHAR(10),FILTER(Curses!$A$3:$A43,Curses!$B$3:$B43=O$2,Curses!$G$3:$G43=$A20)),"""")"),"")</f>
        <v/>
      </c>
      <c r="P20" s="289" t="str">
        <f ca="1">IFERROR(__xludf.DUMMYFUNCTION("IFERROR(JOIN("";""&amp;CHAR(10),FILTER(Curses!$A$3:$A43,Curses!$B$3:$B43=P$2,Curses!$G$3:$G43=$A20)),"""")"),"")</f>
        <v/>
      </c>
      <c r="Q20" s="289" t="str">
        <f ca="1">IFERROR(__xludf.DUMMYFUNCTION("IFERROR(JOIN("";""&amp;CHAR(10),FILTER(Curses!$A$3:$A43,Curses!$B$3:$B43=Q$2,Curses!$G$3:$G43=$A20)),"""")"),"")</f>
        <v/>
      </c>
      <c r="R20" s="289" t="str">
        <f ca="1">IFERROR(__xludf.DUMMYFUNCTION("IFERROR(JOIN("";""&amp;CHAR(10),FILTER(Curses!$A$3:$A43,Curses!$B$3:$B43=R$2,Curses!$G$3:$G43=$A20)),"""")"),"")</f>
        <v/>
      </c>
      <c r="S20" s="289" t="str">
        <f ca="1">IFERROR(__xludf.DUMMYFUNCTION("IFERROR(JOIN("";""&amp;CHAR(10),FILTER(Curses!$A$3:$A43,Curses!$B$3:$B43=S$2,Curses!$G$3:$G43=$A20)),"""")"),"")</f>
        <v/>
      </c>
      <c r="T20" s="289" t="str">
        <f ca="1">IFERROR(__xludf.DUMMYFUNCTION("IFERROR(JOIN("";""&amp;CHAR(10),FILTER(Curses!$A$3:$A43,Curses!$B$3:$B43=T$2,Curses!$G$3:$G43=$A20)),"""")"),"")</f>
        <v/>
      </c>
      <c r="U20" s="289" t="str">
        <f ca="1">IFERROR(__xludf.DUMMYFUNCTION("IFERROR(JOIN("";""&amp;CHAR(10),FILTER(Curses!$A$3:$A43,Curses!$B$3:$B43=U$2,Curses!$G$3:$G43=$A20)),"""")"),"")</f>
        <v/>
      </c>
      <c r="V20" s="289" t="str">
        <f ca="1">IFERROR(__xludf.DUMMYFUNCTION("IFERROR(JOIN("";""&amp;CHAR(10),FILTER(Curses!$A$3:$A43,Curses!$B$3:$B43=V$2,Curses!$G$3:$G43=$A20)),"""")"),"")</f>
        <v/>
      </c>
      <c r="W20" s="289" t="str">
        <f ca="1">IFERROR(__xludf.DUMMYFUNCTION("IFERROR(JOIN("";""&amp;CHAR(10),FILTER(Curses!$A$3:$A43,Curses!$B$3:$B43=W$2,Curses!$G$3:$G43=$A20)),"""")"),"")</f>
        <v/>
      </c>
      <c r="X20" s="289" t="str">
        <f ca="1">IFERROR(__xludf.DUMMYFUNCTION("IFERROR(JOIN("";""&amp;CHAR(10),FILTER(Curses!$A$3:$A43,Curses!$B$3:$B43=X$2,Curses!$G$3:$G43=$A20)),"""")"),"")</f>
        <v/>
      </c>
      <c r="Y20" s="289" t="str">
        <f ca="1">IFERROR(__xludf.DUMMYFUNCTION("IFERROR(JOIN("";""&amp;CHAR(10),FILTER(Curses!$A$3:$A43,Curses!$B$3:$B43=Y$2,Curses!$G$3:$G43=$A20)),"""")"),"")</f>
        <v/>
      </c>
      <c r="Z20" s="289" t="str">
        <f ca="1">IFERROR(__xludf.DUMMYFUNCTION("IFERROR(JOIN("";""&amp;CHAR(10),FILTER(Curses!$A$3:$A43,Curses!$B$3:$B43=Z$2,Curses!$G$3:$G43=$A20)),"""")"),"")</f>
        <v/>
      </c>
      <c r="AA20" s="289" t="str">
        <f ca="1">IFERROR(__xludf.DUMMYFUNCTION("IFERROR(JOIN("";""&amp;CHAR(10),FILTER(Curses!$A$3:$A43,Curses!$B$3:$B43=AA$2,Curses!$G$3:$G43=$A20)),"""")"),"")</f>
        <v/>
      </c>
      <c r="AB20" s="289" t="str">
        <f ca="1">IFERROR(__xludf.DUMMYFUNCTION("IFERROR(JOIN("";""&amp;CHAR(10),FILTER(Curses!$A$3:$A43,Curses!$B$3:$B43=AB$2,Curses!$G$3:$G43=$A20)),"""")"),"")</f>
        <v/>
      </c>
      <c r="AC20" s="289" t="str">
        <f ca="1">IFERROR(__xludf.DUMMYFUNCTION("IFERROR(JOIN("";""&amp;CHAR(10),FILTER(Curses!$A$3:$A43,Curses!$B$3:$B43=AC$2,Curses!$G$3:$G43=$A20)),"""")"),"")</f>
        <v/>
      </c>
      <c r="AD20" s="289" t="str">
        <f ca="1">IFERROR(__xludf.DUMMYFUNCTION("IFERROR(JOIN("";""&amp;CHAR(10),FILTER(Curses!$A$3:$A43,Curses!$B$3:$B43=AD$2,Curses!$G$3:$G43=$A20)),"""")"),"")</f>
        <v/>
      </c>
      <c r="AE20" s="289" t="str">
        <f ca="1">IFERROR(__xludf.DUMMYFUNCTION("IFERROR(JOIN("";""&amp;CHAR(10),FILTER(Curses!$A$3:$A43,Curses!$B$3:$B43=AE$2,Curses!$G$3:$G43=$A20)),"""")"),"")</f>
        <v/>
      </c>
      <c r="AF20" s="289" t="str">
        <f ca="1">IFERROR(__xludf.DUMMYFUNCTION("IFERROR(JOIN("";""&amp;CHAR(10),FILTER(Curses!$A$3:$A43,Curses!$B$3:$B43=AF$2,Curses!$G$3:$G43=$A20)),"""")"),"")</f>
        <v/>
      </c>
      <c r="AG20" s="289" t="str">
        <f ca="1">IFERROR(__xludf.DUMMYFUNCTION("IFERROR(JOIN("";""&amp;CHAR(10),FILTER(Curses!$A$3:$A43,Curses!$B$3:$B43=AG$2,Curses!$G$3:$G43=$A20)),"""")"),"")</f>
        <v/>
      </c>
      <c r="AH20" s="289" t="str">
        <f ca="1">IFERROR(__xludf.DUMMYFUNCTION("IFERROR(JOIN("";""&amp;CHAR(10),FILTER(Curses!$A$3:$A43,Curses!$B$3:$B43=AH$2,Curses!$G$3:$G43=$A20)),"""")"),"")</f>
        <v/>
      </c>
      <c r="AI20" s="289" t="str">
        <f ca="1">IFERROR(__xludf.DUMMYFUNCTION("IFERROR(JOIN("";""&amp;CHAR(10),FILTER(Curses!$A$3:$A43,Curses!$B$3:$B43=AI$2,Curses!$G$3:$G43=$A20)),"""")"),"")</f>
        <v/>
      </c>
      <c r="AJ20" s="289" t="str">
        <f ca="1">IFERROR(__xludf.DUMMYFUNCTION("IFERROR(JOIN("";""&amp;CHAR(10),FILTER(Curses!$A$3:$A43,Curses!$B$3:$B43=AJ$2,Curses!$G$3:$G43=$A20)),"""")"),"")</f>
        <v/>
      </c>
      <c r="AK20" s="289" t="str">
        <f ca="1">IFERROR(__xludf.DUMMYFUNCTION("IFERROR(JOIN("";""&amp;CHAR(10),FILTER(Curses!$A$3:$A43,Curses!$B$3:$B43=AK$2,Curses!$G$3:$G43=$A20)),"""")"),"")</f>
        <v/>
      </c>
      <c r="AL20" s="289" t="str">
        <f ca="1">IFERROR(__xludf.DUMMYFUNCTION("IFERROR(JOIN("";""&amp;CHAR(10),FILTER(Curses!$A$3:$A43,Curses!$B$3:$B43=AL$2,Curses!$G$3:$G43=$A20)),"""")"),"")</f>
        <v/>
      </c>
      <c r="AM20" s="289" t="str">
        <f ca="1">IFERROR(__xludf.DUMMYFUNCTION("IFERROR(JOIN("";""&amp;CHAR(10),FILTER(Curses!$A$3:$A43,Curses!$B$3:$B43=AM$2,Curses!$G$3:$G43=$A20)),"""")"),"")</f>
        <v/>
      </c>
    </row>
    <row r="21" spans="1:39">
      <c r="A21" s="292" t="str">
        <f ca="1">IFERROR(__xludf.DUMMYFUNCTION("""COMPUTED_VALUE"""),"Old Age")</f>
        <v>Old Age</v>
      </c>
      <c r="B21" s="289" t="str">
        <f ca="1">IFERROR(__xludf.DUMMYFUNCTION("IFERROR(JOIN("";""&amp;CHAR(10),FILTER(Curses!$A$3:$A43,Curses!$B$3:$B43=B$2,Curses!$G$3:$G43=$A21)),"""")"),"Arthritis")</f>
        <v>Arthritis</v>
      </c>
      <c r="C21" s="289" t="str">
        <f ca="1">IFERROR(__xludf.DUMMYFUNCTION("IFERROR(JOIN("";""&amp;CHAR(10),FILTER(Curses!$A$3:$A43,Curses!$B$3:$B43=C$2,Curses!$G$3:$G43=$A21)),"""")"),"Osteoporosis ")</f>
        <v xml:space="preserve">Osteoporosis </v>
      </c>
      <c r="D21" s="289" t="str">
        <f ca="1">IFERROR(__xludf.DUMMYFUNCTION("IFERROR(JOIN("";""&amp;CHAR(10),FILTER(Curses!$A$3:$A43,Curses!$B$3:$B43=D$2,Curses!$G$3:$G43=$A21)),"""")"),"")</f>
        <v/>
      </c>
      <c r="E21" s="289" t="str">
        <f ca="1">IFERROR(__xludf.DUMMYFUNCTION("IFERROR(JOIN("";""&amp;CHAR(10),FILTER(Curses!$A$3:$A43,Curses!$B$3:$B43=E$2,Curses!$G$3:$G43=$A21)),"""")"),"")</f>
        <v/>
      </c>
      <c r="F21" s="289" t="str">
        <f ca="1">IFERROR(__xludf.DUMMYFUNCTION("IFERROR(JOIN("";""&amp;CHAR(10),FILTER(Curses!$A$3:$A43,Curses!$B$3:$B43=F$2,Curses!$G$3:$G43=$A21)),"""")"),"")</f>
        <v/>
      </c>
      <c r="G21" s="289" t="str">
        <f ca="1">IFERROR(__xludf.DUMMYFUNCTION("IFERROR(JOIN("";""&amp;CHAR(10),FILTER(Curses!$A$3:$A43,Curses!$B$3:$B43=G$2,Curses!$G$3:$G43=$A21)),"""")"),"")</f>
        <v/>
      </c>
      <c r="H21" s="289" t="str">
        <f ca="1">IFERROR(__xludf.DUMMYFUNCTION("IFERROR(JOIN("";""&amp;CHAR(10),FILTER(Curses!$A$3:$A43,Curses!$B$3:$B43=H$2,Curses!$G$3:$G43=$A21)),"""")"),"")</f>
        <v/>
      </c>
      <c r="I21" s="289" t="str">
        <f ca="1">IFERROR(__xludf.DUMMYFUNCTION("IFERROR(JOIN("";""&amp;CHAR(10),FILTER(Curses!$A$3:$A43,Curses!$B$3:$B43=I$2,Curses!$G$3:$G43=$A21)),"""")"),"")</f>
        <v/>
      </c>
      <c r="J21" s="289" t="str">
        <f ca="1">IFERROR(__xludf.DUMMYFUNCTION("IFERROR(JOIN("";""&amp;CHAR(10),FILTER(Curses!$A$3:$A43,Curses!$B$3:$B43=J$2,Curses!$G$3:$G43=$A21)),"""")"),"")</f>
        <v/>
      </c>
      <c r="K21" s="289" t="str">
        <f ca="1">IFERROR(__xludf.DUMMYFUNCTION("IFERROR(JOIN("";""&amp;CHAR(10),FILTER(Curses!$A$3:$A43,Curses!$B$3:$B43=K$2,Curses!$G$3:$G43=$A21)),"""")"),"")</f>
        <v/>
      </c>
      <c r="L21" s="289" t="str">
        <f ca="1">IFERROR(__xludf.DUMMYFUNCTION("IFERROR(JOIN("";""&amp;CHAR(10),FILTER(Curses!$A$3:$A43,Curses!$B$3:$B43=L$2,Curses!$G$3:$G43=$A21)),"""")"),"")</f>
        <v/>
      </c>
      <c r="M21" s="289" t="str">
        <f ca="1">IFERROR(__xludf.DUMMYFUNCTION("IFERROR(JOIN("";""&amp;CHAR(10),FILTER(Curses!$A$3:$A43,Curses!$B$3:$B43=M$2,Curses!$G$3:$G43=$A21)),"""")"),"")</f>
        <v/>
      </c>
      <c r="N21" s="289" t="str">
        <f ca="1">IFERROR(__xludf.DUMMYFUNCTION("IFERROR(JOIN("";""&amp;CHAR(10),FILTER(Curses!$A$3:$A43,Curses!$B$3:$B43=N$2,Curses!$G$3:$G43=$A21)),"""")"),"")</f>
        <v/>
      </c>
      <c r="O21" s="289" t="str">
        <f ca="1">IFERROR(__xludf.DUMMYFUNCTION("IFERROR(JOIN("";""&amp;CHAR(10),FILTER(Curses!$A$3:$A43,Curses!$B$3:$B43=O$2,Curses!$G$3:$G43=$A21)),"""")"),"")</f>
        <v/>
      </c>
      <c r="P21" s="289" t="str">
        <f ca="1">IFERROR(__xludf.DUMMYFUNCTION("IFERROR(JOIN("";""&amp;CHAR(10),FILTER(Curses!$A$3:$A43,Curses!$B$3:$B43=P$2,Curses!$G$3:$G43=$A21)),"""")"),"")</f>
        <v/>
      </c>
      <c r="Q21" s="289" t="str">
        <f ca="1">IFERROR(__xludf.DUMMYFUNCTION("IFERROR(JOIN("";""&amp;CHAR(10),FILTER(Curses!$A$3:$A43,Curses!$B$3:$B43=Q$2,Curses!$G$3:$G43=$A21)),"""")"),"")</f>
        <v/>
      </c>
      <c r="R21" s="289" t="str">
        <f ca="1">IFERROR(__xludf.DUMMYFUNCTION("IFERROR(JOIN("";""&amp;CHAR(10),FILTER(Curses!$A$3:$A43,Curses!$B$3:$B43=R$2,Curses!$G$3:$G43=$A21)),"""")"),"")</f>
        <v/>
      </c>
      <c r="S21" s="289" t="str">
        <f ca="1">IFERROR(__xludf.DUMMYFUNCTION("IFERROR(JOIN("";""&amp;CHAR(10),FILTER(Curses!$A$3:$A43,Curses!$B$3:$B43=S$2,Curses!$G$3:$G43=$A21)),"""")"),"")</f>
        <v/>
      </c>
      <c r="T21" s="289" t="str">
        <f ca="1">IFERROR(__xludf.DUMMYFUNCTION("IFERROR(JOIN("";""&amp;CHAR(10),FILTER(Curses!$A$3:$A43,Curses!$B$3:$B43=T$2,Curses!$G$3:$G43=$A21)),"""")"),"")</f>
        <v/>
      </c>
      <c r="U21" s="289" t="str">
        <f ca="1">IFERROR(__xludf.DUMMYFUNCTION("IFERROR(JOIN("";""&amp;CHAR(10),FILTER(Curses!$A$3:$A43,Curses!$B$3:$B43=U$2,Curses!$G$3:$G43=$A21)),"""")"),"")</f>
        <v/>
      </c>
      <c r="V21" s="289" t="str">
        <f ca="1">IFERROR(__xludf.DUMMYFUNCTION("IFERROR(JOIN("";""&amp;CHAR(10),FILTER(Curses!$A$3:$A43,Curses!$B$3:$B43=V$2,Curses!$G$3:$G43=$A21)),"""")"),"")</f>
        <v/>
      </c>
      <c r="W21" s="289" t="str">
        <f ca="1">IFERROR(__xludf.DUMMYFUNCTION("IFERROR(JOIN("";""&amp;CHAR(10),FILTER(Curses!$A$3:$A43,Curses!$B$3:$B43=W$2,Curses!$G$3:$G43=$A21)),"""")"),"")</f>
        <v/>
      </c>
      <c r="X21" s="289" t="str">
        <f ca="1">IFERROR(__xludf.DUMMYFUNCTION("IFERROR(JOIN("";""&amp;CHAR(10),FILTER(Curses!$A$3:$A43,Curses!$B$3:$B43=X$2,Curses!$G$3:$G43=$A21)),"""")"),"")</f>
        <v/>
      </c>
      <c r="Y21" s="289" t="str">
        <f ca="1">IFERROR(__xludf.DUMMYFUNCTION("IFERROR(JOIN("";""&amp;CHAR(10),FILTER(Curses!$A$3:$A43,Curses!$B$3:$B43=Y$2,Curses!$G$3:$G43=$A21)),"""")"),"")</f>
        <v/>
      </c>
      <c r="Z21" s="289" t="str">
        <f ca="1">IFERROR(__xludf.DUMMYFUNCTION("IFERROR(JOIN("";""&amp;CHAR(10),FILTER(Curses!$A$3:$A43,Curses!$B$3:$B43=Z$2,Curses!$G$3:$G43=$A21)),"""")"),"")</f>
        <v/>
      </c>
      <c r="AA21" s="289" t="str">
        <f ca="1">IFERROR(__xludf.DUMMYFUNCTION("IFERROR(JOIN("";""&amp;CHAR(10),FILTER(Curses!$A$3:$A43,Curses!$B$3:$B43=AA$2,Curses!$G$3:$G43=$A21)),"""")"),"")</f>
        <v/>
      </c>
      <c r="AB21" s="289" t="str">
        <f ca="1">IFERROR(__xludf.DUMMYFUNCTION("IFERROR(JOIN("";""&amp;CHAR(10),FILTER(Curses!$A$3:$A43,Curses!$B$3:$B43=AB$2,Curses!$G$3:$G43=$A21)),"""")"),"")</f>
        <v/>
      </c>
      <c r="AC21" s="289" t="str">
        <f ca="1">IFERROR(__xludf.DUMMYFUNCTION("IFERROR(JOIN("";""&amp;CHAR(10),FILTER(Curses!$A$3:$A43,Curses!$B$3:$B43=AC$2,Curses!$G$3:$G43=$A21)),"""")"),"")</f>
        <v/>
      </c>
      <c r="AD21" s="289" t="str">
        <f ca="1">IFERROR(__xludf.DUMMYFUNCTION("IFERROR(JOIN("";""&amp;CHAR(10),FILTER(Curses!$A$3:$A43,Curses!$B$3:$B43=AD$2,Curses!$G$3:$G43=$A21)),"""")"),"")</f>
        <v/>
      </c>
      <c r="AE21" s="289" t="str">
        <f ca="1">IFERROR(__xludf.DUMMYFUNCTION("IFERROR(JOIN("";""&amp;CHAR(10),FILTER(Curses!$A$3:$A43,Curses!$B$3:$B43=AE$2,Curses!$G$3:$G43=$A21)),"""")"),"")</f>
        <v/>
      </c>
      <c r="AF21" s="289" t="str">
        <f ca="1">IFERROR(__xludf.DUMMYFUNCTION("IFERROR(JOIN("";""&amp;CHAR(10),FILTER(Curses!$A$3:$A43,Curses!$B$3:$B43=AF$2,Curses!$G$3:$G43=$A21)),"""")"),"")</f>
        <v/>
      </c>
      <c r="AG21" s="289" t="str">
        <f ca="1">IFERROR(__xludf.DUMMYFUNCTION("IFERROR(JOIN("";""&amp;CHAR(10),FILTER(Curses!$A$3:$A43,Curses!$B$3:$B43=AG$2,Curses!$G$3:$G43=$A21)),"""")"),"")</f>
        <v/>
      </c>
      <c r="AH21" s="289" t="str">
        <f ca="1">IFERROR(__xludf.DUMMYFUNCTION("IFERROR(JOIN("";""&amp;CHAR(10),FILTER(Curses!$A$3:$A43,Curses!$B$3:$B43=AH$2,Curses!$G$3:$G43=$A21)),"""")"),"")</f>
        <v/>
      </c>
      <c r="AI21" s="289" t="str">
        <f ca="1">IFERROR(__xludf.DUMMYFUNCTION("IFERROR(JOIN("";""&amp;CHAR(10),FILTER(Curses!$A$3:$A43,Curses!$B$3:$B43=AI$2,Curses!$G$3:$G43=$A21)),"""")"),"")</f>
        <v/>
      </c>
      <c r="AJ21" s="289" t="str">
        <f ca="1">IFERROR(__xludf.DUMMYFUNCTION("IFERROR(JOIN("";""&amp;CHAR(10),FILTER(Curses!$A$3:$A43,Curses!$B$3:$B43=AJ$2,Curses!$G$3:$G43=$A21)),"""")"),"")</f>
        <v/>
      </c>
      <c r="AK21" s="289" t="str">
        <f ca="1">IFERROR(__xludf.DUMMYFUNCTION("IFERROR(JOIN("";""&amp;CHAR(10),FILTER(Curses!$A$3:$A43,Curses!$B$3:$B43=AK$2,Curses!$G$3:$G43=$A21)),"""")"),"")</f>
        <v/>
      </c>
      <c r="AL21" s="289" t="str">
        <f ca="1">IFERROR(__xludf.DUMMYFUNCTION("IFERROR(JOIN("";""&amp;CHAR(10),FILTER(Curses!$A$3:$A43,Curses!$B$3:$B43=AL$2,Curses!$G$3:$G43=$A21)),"""")"),"")</f>
        <v/>
      </c>
      <c r="AM21" s="289" t="str">
        <f ca="1">IFERROR(__xludf.DUMMYFUNCTION("IFERROR(JOIN("";""&amp;CHAR(10),FILTER(Curses!$A$3:$A43,Curses!$B$3:$B43=AM$2,Curses!$G$3:$G43=$A21)),"""")"),"")</f>
        <v/>
      </c>
    </row>
    <row r="22" spans="1:39">
      <c r="A22" s="292" t="str">
        <f ca="1">IFERROR(__xludf.DUMMYFUNCTION("""COMPUTED_VALUE"""),"Mana Retention")</f>
        <v>Mana Retention</v>
      </c>
      <c r="B22" s="289" t="str">
        <f ca="1">IFERROR(__xludf.DUMMYFUNCTION("IFERROR(JOIN("";""&amp;CHAR(10),FILTER(Curses!$A$3:$A43,Curses!$B$3:$B43=B$2,Curses!$G$3:$G43=$A22)),"""")"),"-2 Max Mana")</f>
        <v>-2 Max Mana</v>
      </c>
      <c r="C22" s="289" t="str">
        <f ca="1">IFERROR(__xludf.DUMMYFUNCTION("IFERROR(JOIN("";""&amp;CHAR(10),FILTER(Curses!$A$3:$A43,Curses!$B$3:$B43=C$2,Curses!$G$3:$G43=$A22)),"""")"),"-3 Max Mana")</f>
        <v>-3 Max Mana</v>
      </c>
      <c r="D22" s="289" t="str">
        <f ca="1">IFERROR(__xludf.DUMMYFUNCTION("IFERROR(JOIN("";""&amp;CHAR(10),FILTER(Curses!$A$3:$A43,Curses!$B$3:$B43=D$2,Curses!$G$3:$G43=$A22)),"""")"),"")</f>
        <v/>
      </c>
      <c r="E22" s="289" t="str">
        <f ca="1">IFERROR(__xludf.DUMMYFUNCTION("IFERROR(JOIN("";""&amp;CHAR(10),FILTER(Curses!$A$3:$A43,Curses!$B$3:$B43=E$2,Curses!$G$3:$G43=$A22)),"""")"),"")</f>
        <v/>
      </c>
      <c r="F22" s="289" t="str">
        <f ca="1">IFERROR(__xludf.DUMMYFUNCTION("IFERROR(JOIN("";""&amp;CHAR(10),FILTER(Curses!$A$3:$A43,Curses!$B$3:$B43=F$2,Curses!$G$3:$G43=$A22)),"""")"),"")</f>
        <v/>
      </c>
      <c r="G22" s="289" t="str">
        <f ca="1">IFERROR(__xludf.DUMMYFUNCTION("IFERROR(JOIN("";""&amp;CHAR(10),FILTER(Curses!$A$3:$A43,Curses!$B$3:$B43=G$2,Curses!$G$3:$G43=$A22)),"""")"),"")</f>
        <v/>
      </c>
      <c r="H22" s="289" t="str">
        <f ca="1">IFERROR(__xludf.DUMMYFUNCTION("IFERROR(JOIN("";""&amp;CHAR(10),FILTER(Curses!$A$3:$A43,Curses!$B$3:$B43=H$2,Curses!$G$3:$G43=$A22)),"""")"),"")</f>
        <v/>
      </c>
      <c r="I22" s="289" t="str">
        <f ca="1">IFERROR(__xludf.DUMMYFUNCTION("IFERROR(JOIN("";""&amp;CHAR(10),FILTER(Curses!$A$3:$A43,Curses!$B$3:$B43=I$2,Curses!$G$3:$G43=$A22)),"""")"),"")</f>
        <v/>
      </c>
      <c r="J22" s="289" t="str">
        <f ca="1">IFERROR(__xludf.DUMMYFUNCTION("IFERROR(JOIN("";""&amp;CHAR(10),FILTER(Curses!$A$3:$A43,Curses!$B$3:$B43=J$2,Curses!$G$3:$G43=$A22)),"""")"),"")</f>
        <v/>
      </c>
      <c r="K22" s="289" t="str">
        <f ca="1">IFERROR(__xludf.DUMMYFUNCTION("IFERROR(JOIN("";""&amp;CHAR(10),FILTER(Curses!$A$3:$A43,Curses!$B$3:$B43=K$2,Curses!$G$3:$G43=$A22)),"""")"),"")</f>
        <v/>
      </c>
      <c r="L22" s="289" t="str">
        <f ca="1">IFERROR(__xludf.DUMMYFUNCTION("IFERROR(JOIN("";""&amp;CHAR(10),FILTER(Curses!$A$3:$A43,Curses!$B$3:$B43=L$2,Curses!$G$3:$G43=$A22)),"""")"),"")</f>
        <v/>
      </c>
      <c r="M22" s="289" t="str">
        <f ca="1">IFERROR(__xludf.DUMMYFUNCTION("IFERROR(JOIN("";""&amp;CHAR(10),FILTER(Curses!$A$3:$A43,Curses!$B$3:$B43=M$2,Curses!$G$3:$G43=$A22)),"""")"),"")</f>
        <v/>
      </c>
      <c r="N22" s="289" t="str">
        <f ca="1">IFERROR(__xludf.DUMMYFUNCTION("IFERROR(JOIN("";""&amp;CHAR(10),FILTER(Curses!$A$3:$A43,Curses!$B$3:$B43=N$2,Curses!$G$3:$G43=$A22)),"""")"),"")</f>
        <v/>
      </c>
      <c r="O22" s="289" t="str">
        <f ca="1">IFERROR(__xludf.DUMMYFUNCTION("IFERROR(JOIN("";""&amp;CHAR(10),FILTER(Curses!$A$3:$A43,Curses!$B$3:$B43=O$2,Curses!$G$3:$G43=$A22)),"""")"),"")</f>
        <v/>
      </c>
      <c r="P22" s="289" t="str">
        <f ca="1">IFERROR(__xludf.DUMMYFUNCTION("IFERROR(JOIN("";""&amp;CHAR(10),FILTER(Curses!$A$3:$A43,Curses!$B$3:$B43=P$2,Curses!$G$3:$G43=$A22)),"""")"),"")</f>
        <v/>
      </c>
      <c r="Q22" s="289" t="str">
        <f ca="1">IFERROR(__xludf.DUMMYFUNCTION("IFERROR(JOIN("";""&amp;CHAR(10),FILTER(Curses!$A$3:$A43,Curses!$B$3:$B43=Q$2,Curses!$G$3:$G43=$A22)),"""")"),"")</f>
        <v/>
      </c>
      <c r="R22" s="289" t="str">
        <f ca="1">IFERROR(__xludf.DUMMYFUNCTION("IFERROR(JOIN("";""&amp;CHAR(10),FILTER(Curses!$A$3:$A43,Curses!$B$3:$B43=R$2,Curses!$G$3:$G43=$A22)),"""")"),"")</f>
        <v/>
      </c>
      <c r="S22" s="289" t="str">
        <f ca="1">IFERROR(__xludf.DUMMYFUNCTION("IFERROR(JOIN("";""&amp;CHAR(10),FILTER(Curses!$A$3:$A43,Curses!$B$3:$B43=S$2,Curses!$G$3:$G43=$A22)),"""")"),"")</f>
        <v/>
      </c>
      <c r="T22" s="289" t="str">
        <f ca="1">IFERROR(__xludf.DUMMYFUNCTION("IFERROR(JOIN("";""&amp;CHAR(10),FILTER(Curses!$A$3:$A43,Curses!$B$3:$B43=T$2,Curses!$G$3:$G43=$A22)),"""")"),"")</f>
        <v/>
      </c>
      <c r="U22" s="289" t="str">
        <f ca="1">IFERROR(__xludf.DUMMYFUNCTION("IFERROR(JOIN("";""&amp;CHAR(10),FILTER(Curses!$A$3:$A43,Curses!$B$3:$B43=U$2,Curses!$G$3:$G43=$A22)),"""")"),"")</f>
        <v/>
      </c>
      <c r="V22" s="289" t="str">
        <f ca="1">IFERROR(__xludf.DUMMYFUNCTION("IFERROR(JOIN("";""&amp;CHAR(10),FILTER(Curses!$A$3:$A43,Curses!$B$3:$B43=V$2,Curses!$G$3:$G43=$A22)),"""")"),"")</f>
        <v/>
      </c>
      <c r="W22" s="289" t="str">
        <f ca="1">IFERROR(__xludf.DUMMYFUNCTION("IFERROR(JOIN("";""&amp;CHAR(10),FILTER(Curses!$A$3:$A43,Curses!$B$3:$B43=W$2,Curses!$G$3:$G43=$A22)),"""")"),"")</f>
        <v/>
      </c>
      <c r="X22" s="289" t="str">
        <f ca="1">IFERROR(__xludf.DUMMYFUNCTION("IFERROR(JOIN("";""&amp;CHAR(10),FILTER(Curses!$A$3:$A43,Curses!$B$3:$B43=X$2,Curses!$G$3:$G43=$A22)),"""")"),"")</f>
        <v/>
      </c>
      <c r="Y22" s="289" t="str">
        <f ca="1">IFERROR(__xludf.DUMMYFUNCTION("IFERROR(JOIN("";""&amp;CHAR(10),FILTER(Curses!$A$3:$A43,Curses!$B$3:$B43=Y$2,Curses!$G$3:$G43=$A22)),"""")"),"")</f>
        <v/>
      </c>
      <c r="Z22" s="289" t="str">
        <f ca="1">IFERROR(__xludf.DUMMYFUNCTION("IFERROR(JOIN("";""&amp;CHAR(10),FILTER(Curses!$A$3:$A43,Curses!$B$3:$B43=Z$2,Curses!$G$3:$G43=$A22)),"""")"),"")</f>
        <v/>
      </c>
      <c r="AA22" s="289" t="str">
        <f ca="1">IFERROR(__xludf.DUMMYFUNCTION("IFERROR(JOIN("";""&amp;CHAR(10),FILTER(Curses!$A$3:$A43,Curses!$B$3:$B43=AA$2,Curses!$G$3:$G43=$A22)),"""")"),"")</f>
        <v/>
      </c>
      <c r="AB22" s="289" t="str">
        <f ca="1">IFERROR(__xludf.DUMMYFUNCTION("IFERROR(JOIN("";""&amp;CHAR(10),FILTER(Curses!$A$3:$A43,Curses!$B$3:$B43=AB$2,Curses!$G$3:$G43=$A22)),"""")"),"")</f>
        <v/>
      </c>
      <c r="AC22" s="289" t="str">
        <f ca="1">IFERROR(__xludf.DUMMYFUNCTION("IFERROR(JOIN("";""&amp;CHAR(10),FILTER(Curses!$A$3:$A43,Curses!$B$3:$B43=AC$2,Curses!$G$3:$G43=$A22)),"""")"),"")</f>
        <v/>
      </c>
      <c r="AD22" s="289" t="str">
        <f ca="1">IFERROR(__xludf.DUMMYFUNCTION("IFERROR(JOIN("";""&amp;CHAR(10),FILTER(Curses!$A$3:$A43,Curses!$B$3:$B43=AD$2,Curses!$G$3:$G43=$A22)),"""")"),"")</f>
        <v/>
      </c>
      <c r="AE22" s="289" t="str">
        <f ca="1">IFERROR(__xludf.DUMMYFUNCTION("IFERROR(JOIN("";""&amp;CHAR(10),FILTER(Curses!$A$3:$A43,Curses!$B$3:$B43=AE$2,Curses!$G$3:$G43=$A22)),"""")"),"")</f>
        <v/>
      </c>
      <c r="AF22" s="289" t="str">
        <f ca="1">IFERROR(__xludf.DUMMYFUNCTION("IFERROR(JOIN("";""&amp;CHAR(10),FILTER(Curses!$A$3:$A43,Curses!$B$3:$B43=AF$2,Curses!$G$3:$G43=$A22)),"""")"),"")</f>
        <v/>
      </c>
      <c r="AG22" s="289" t="str">
        <f ca="1">IFERROR(__xludf.DUMMYFUNCTION("IFERROR(JOIN("";""&amp;CHAR(10),FILTER(Curses!$A$3:$A43,Curses!$B$3:$B43=AG$2,Curses!$G$3:$G43=$A22)),"""")"),"")</f>
        <v/>
      </c>
      <c r="AH22" s="289" t="str">
        <f ca="1">IFERROR(__xludf.DUMMYFUNCTION("IFERROR(JOIN("";""&amp;CHAR(10),FILTER(Curses!$A$3:$A43,Curses!$B$3:$B43=AH$2,Curses!$G$3:$G43=$A22)),"""")"),"")</f>
        <v/>
      </c>
      <c r="AI22" s="289" t="str">
        <f ca="1">IFERROR(__xludf.DUMMYFUNCTION("IFERROR(JOIN("";""&amp;CHAR(10),FILTER(Curses!$A$3:$A43,Curses!$B$3:$B43=AI$2,Curses!$G$3:$G43=$A22)),"""")"),"")</f>
        <v/>
      </c>
      <c r="AJ22" s="289" t="str">
        <f ca="1">IFERROR(__xludf.DUMMYFUNCTION("IFERROR(JOIN("";""&amp;CHAR(10),FILTER(Curses!$A$3:$A43,Curses!$B$3:$B43=AJ$2,Curses!$G$3:$G43=$A22)),"""")"),"")</f>
        <v/>
      </c>
      <c r="AK22" s="289" t="str">
        <f ca="1">IFERROR(__xludf.DUMMYFUNCTION("IFERROR(JOIN("";""&amp;CHAR(10),FILTER(Curses!$A$3:$A43,Curses!$B$3:$B43=AK$2,Curses!$G$3:$G43=$A22)),"""")"),"")</f>
        <v/>
      </c>
      <c r="AL22" s="289" t="str">
        <f ca="1">IFERROR(__xludf.DUMMYFUNCTION("IFERROR(JOIN("";""&amp;CHAR(10),FILTER(Curses!$A$3:$A43,Curses!$B$3:$B43=AL$2,Curses!$G$3:$G43=$A22)),"""")"),"")</f>
        <v/>
      </c>
      <c r="AM22" s="289" t="str">
        <f ca="1">IFERROR(__xludf.DUMMYFUNCTION("IFERROR(JOIN("";""&amp;CHAR(10),FILTER(Curses!$A$3:$A43,Curses!$B$3:$B43=AM$2,Curses!$G$3:$G43=$A22)),"""")"),"")</f>
        <v/>
      </c>
    </row>
    <row r="23" spans="1:39">
      <c r="A23" s="292" t="str">
        <f ca="1">IFERROR(__xludf.DUMMYFUNCTION("""COMPUTED_VALUE"""),"Death Shield")</f>
        <v>Death Shield</v>
      </c>
      <c r="B23" s="289" t="str">
        <f ca="1">IFERROR(__xludf.DUMMYFUNCTION("IFERROR(JOIN("";""&amp;CHAR(10),FILTER(Curses!$A$3:$A43,Curses!$B$3:$B43=B$2,Curses!$G$3:$G43=$A23)),"""")"),"Death Shield")</f>
        <v>Death Shield</v>
      </c>
      <c r="C23" s="289" t="str">
        <f ca="1">IFERROR(__xludf.DUMMYFUNCTION("IFERROR(JOIN("";""&amp;CHAR(10),FILTER(Curses!$A$3:$A43,Curses!$B$3:$B43=C$2,Curses!$G$3:$G43=$A23)),"""")"),"Death Shield+")</f>
        <v>Death Shield+</v>
      </c>
      <c r="D23" s="289" t="str">
        <f ca="1">IFERROR(__xludf.DUMMYFUNCTION("IFERROR(JOIN("";""&amp;CHAR(10),FILTER(Curses!$A$3:$A43,Curses!$B$3:$B43=D$2,Curses!$G$3:$G43=$A23)),"""")"),"")</f>
        <v/>
      </c>
      <c r="E23" s="289" t="str">
        <f ca="1">IFERROR(__xludf.DUMMYFUNCTION("IFERROR(JOIN("";""&amp;CHAR(10),FILTER(Curses!$A$3:$A43,Curses!$B$3:$B43=E$2,Curses!$G$3:$G43=$A23)),"""")"),"")</f>
        <v/>
      </c>
      <c r="F23" s="289" t="str">
        <f ca="1">IFERROR(__xludf.DUMMYFUNCTION("IFERROR(JOIN("";""&amp;CHAR(10),FILTER(Curses!$A$3:$A43,Curses!$B$3:$B43=F$2,Curses!$G$3:$G43=$A23)),"""")"),"")</f>
        <v/>
      </c>
      <c r="G23" s="289" t="str">
        <f ca="1">IFERROR(__xludf.DUMMYFUNCTION("IFERROR(JOIN("";""&amp;CHAR(10),FILTER(Curses!$A$3:$A43,Curses!$B$3:$B43=G$2,Curses!$G$3:$G43=$A23)),"""")"),"")</f>
        <v/>
      </c>
      <c r="H23" s="289" t="str">
        <f ca="1">IFERROR(__xludf.DUMMYFUNCTION("IFERROR(JOIN("";""&amp;CHAR(10),FILTER(Curses!$A$3:$A43,Curses!$B$3:$B43=H$2,Curses!$G$3:$G43=$A23)),"""")"),"")</f>
        <v/>
      </c>
      <c r="I23" s="289" t="str">
        <f ca="1">IFERROR(__xludf.DUMMYFUNCTION("IFERROR(JOIN("";""&amp;CHAR(10),FILTER(Curses!$A$3:$A43,Curses!$B$3:$B43=I$2,Curses!$G$3:$G43=$A23)),"""")"),"")</f>
        <v/>
      </c>
      <c r="J23" s="289" t="str">
        <f ca="1">IFERROR(__xludf.DUMMYFUNCTION("IFERROR(JOIN("";""&amp;CHAR(10),FILTER(Curses!$A$3:$A43,Curses!$B$3:$B43=J$2,Curses!$G$3:$G43=$A23)),"""")"),"")</f>
        <v/>
      </c>
      <c r="K23" s="289" t="str">
        <f ca="1">IFERROR(__xludf.DUMMYFUNCTION("IFERROR(JOIN("";""&amp;CHAR(10),FILTER(Curses!$A$3:$A43,Curses!$B$3:$B43=K$2,Curses!$G$3:$G43=$A23)),"""")"),"")</f>
        <v/>
      </c>
      <c r="L23" s="289" t="str">
        <f ca="1">IFERROR(__xludf.DUMMYFUNCTION("IFERROR(JOIN("";""&amp;CHAR(10),FILTER(Curses!$A$3:$A43,Curses!$B$3:$B43=L$2,Curses!$G$3:$G43=$A23)),"""")"),"")</f>
        <v/>
      </c>
      <c r="M23" s="289" t="str">
        <f ca="1">IFERROR(__xludf.DUMMYFUNCTION("IFERROR(JOIN("";""&amp;CHAR(10),FILTER(Curses!$A$3:$A43,Curses!$B$3:$B43=M$2,Curses!$G$3:$G43=$A23)),"""")"),"")</f>
        <v/>
      </c>
      <c r="N23" s="289" t="str">
        <f ca="1">IFERROR(__xludf.DUMMYFUNCTION("IFERROR(JOIN("";""&amp;CHAR(10),FILTER(Curses!$A$3:$A43,Curses!$B$3:$B43=N$2,Curses!$G$3:$G43=$A23)),"""")"),"")</f>
        <v/>
      </c>
      <c r="O23" s="289" t="str">
        <f ca="1">IFERROR(__xludf.DUMMYFUNCTION("IFERROR(JOIN("";""&amp;CHAR(10),FILTER(Curses!$A$3:$A43,Curses!$B$3:$B43=O$2,Curses!$G$3:$G43=$A23)),"""")"),"")</f>
        <v/>
      </c>
      <c r="P23" s="289" t="str">
        <f ca="1">IFERROR(__xludf.DUMMYFUNCTION("IFERROR(JOIN("";""&amp;CHAR(10),FILTER(Curses!$A$3:$A43,Curses!$B$3:$B43=P$2,Curses!$G$3:$G43=$A23)),"""")"),"")</f>
        <v/>
      </c>
      <c r="Q23" s="289" t="str">
        <f ca="1">IFERROR(__xludf.DUMMYFUNCTION("IFERROR(JOIN("";""&amp;CHAR(10),FILTER(Curses!$A$3:$A43,Curses!$B$3:$B43=Q$2,Curses!$G$3:$G43=$A23)),"""")"),"")</f>
        <v/>
      </c>
      <c r="R23" s="289" t="str">
        <f ca="1">IFERROR(__xludf.DUMMYFUNCTION("IFERROR(JOIN("";""&amp;CHAR(10),FILTER(Curses!$A$3:$A43,Curses!$B$3:$B43=R$2,Curses!$G$3:$G43=$A23)),"""")"),"")</f>
        <v/>
      </c>
      <c r="S23" s="289" t="str">
        <f ca="1">IFERROR(__xludf.DUMMYFUNCTION("IFERROR(JOIN("";""&amp;CHAR(10),FILTER(Curses!$A$3:$A43,Curses!$B$3:$B43=S$2,Curses!$G$3:$G43=$A23)),"""")"),"")</f>
        <v/>
      </c>
      <c r="T23" s="289" t="str">
        <f ca="1">IFERROR(__xludf.DUMMYFUNCTION("IFERROR(JOIN("";""&amp;CHAR(10),FILTER(Curses!$A$3:$A43,Curses!$B$3:$B43=T$2,Curses!$G$3:$G43=$A23)),"""")"),"")</f>
        <v/>
      </c>
      <c r="U23" s="289" t="str">
        <f ca="1">IFERROR(__xludf.DUMMYFUNCTION("IFERROR(JOIN("";""&amp;CHAR(10),FILTER(Curses!$A$3:$A43,Curses!$B$3:$B43=U$2,Curses!$G$3:$G43=$A23)),"""")"),"")</f>
        <v/>
      </c>
      <c r="V23" s="289" t="str">
        <f ca="1">IFERROR(__xludf.DUMMYFUNCTION("IFERROR(JOIN("";""&amp;CHAR(10),FILTER(Curses!$A$3:$A43,Curses!$B$3:$B43=V$2,Curses!$G$3:$G43=$A23)),"""")"),"")</f>
        <v/>
      </c>
      <c r="W23" s="289" t="str">
        <f ca="1">IFERROR(__xludf.DUMMYFUNCTION("IFERROR(JOIN("";""&amp;CHAR(10),FILTER(Curses!$A$3:$A43,Curses!$B$3:$B43=W$2,Curses!$G$3:$G43=$A23)),"""")"),"")</f>
        <v/>
      </c>
      <c r="X23" s="289" t="str">
        <f ca="1">IFERROR(__xludf.DUMMYFUNCTION("IFERROR(JOIN("";""&amp;CHAR(10),FILTER(Curses!$A$3:$A43,Curses!$B$3:$B43=X$2,Curses!$G$3:$G43=$A23)),"""")"),"")</f>
        <v/>
      </c>
      <c r="Y23" s="289" t="str">
        <f ca="1">IFERROR(__xludf.DUMMYFUNCTION("IFERROR(JOIN("";""&amp;CHAR(10),FILTER(Curses!$A$3:$A43,Curses!$B$3:$B43=Y$2,Curses!$G$3:$G43=$A23)),"""")"),"")</f>
        <v/>
      </c>
      <c r="Z23" s="289" t="str">
        <f ca="1">IFERROR(__xludf.DUMMYFUNCTION("IFERROR(JOIN("";""&amp;CHAR(10),FILTER(Curses!$A$3:$A43,Curses!$B$3:$B43=Z$2,Curses!$G$3:$G43=$A23)),"""")"),"")</f>
        <v/>
      </c>
      <c r="AA23" s="289" t="str">
        <f ca="1">IFERROR(__xludf.DUMMYFUNCTION("IFERROR(JOIN("";""&amp;CHAR(10),FILTER(Curses!$A$3:$A43,Curses!$B$3:$B43=AA$2,Curses!$G$3:$G43=$A23)),"""")"),"")</f>
        <v/>
      </c>
      <c r="AB23" s="289" t="str">
        <f ca="1">IFERROR(__xludf.DUMMYFUNCTION("IFERROR(JOIN("";""&amp;CHAR(10),FILTER(Curses!$A$3:$A43,Curses!$B$3:$B43=AB$2,Curses!$G$3:$G43=$A23)),"""")"),"")</f>
        <v/>
      </c>
      <c r="AC23" s="289" t="str">
        <f ca="1">IFERROR(__xludf.DUMMYFUNCTION("IFERROR(JOIN("";""&amp;CHAR(10),FILTER(Curses!$A$3:$A43,Curses!$B$3:$B43=AC$2,Curses!$G$3:$G43=$A23)),"""")"),"")</f>
        <v/>
      </c>
      <c r="AD23" s="289" t="str">
        <f ca="1">IFERROR(__xludf.DUMMYFUNCTION("IFERROR(JOIN("";""&amp;CHAR(10),FILTER(Curses!$A$3:$A43,Curses!$B$3:$B43=AD$2,Curses!$G$3:$G43=$A23)),"""")"),"")</f>
        <v/>
      </c>
      <c r="AE23" s="289" t="str">
        <f ca="1">IFERROR(__xludf.DUMMYFUNCTION("IFERROR(JOIN("";""&amp;CHAR(10),FILTER(Curses!$A$3:$A43,Curses!$B$3:$B43=AE$2,Curses!$G$3:$G43=$A23)),"""")"),"")</f>
        <v/>
      </c>
      <c r="AF23" s="289" t="str">
        <f ca="1">IFERROR(__xludf.DUMMYFUNCTION("IFERROR(JOIN("";""&amp;CHAR(10),FILTER(Curses!$A$3:$A43,Curses!$B$3:$B43=AF$2,Curses!$G$3:$G43=$A23)),"""")"),"")</f>
        <v/>
      </c>
      <c r="AG23" s="289" t="str">
        <f ca="1">IFERROR(__xludf.DUMMYFUNCTION("IFERROR(JOIN("";""&amp;CHAR(10),FILTER(Curses!$A$3:$A43,Curses!$B$3:$B43=AG$2,Curses!$G$3:$G43=$A23)),"""")"),"")</f>
        <v/>
      </c>
      <c r="AH23" s="289" t="str">
        <f ca="1">IFERROR(__xludf.DUMMYFUNCTION("IFERROR(JOIN("";""&amp;CHAR(10),FILTER(Curses!$A$3:$A43,Curses!$B$3:$B43=AH$2,Curses!$G$3:$G43=$A23)),"""")"),"")</f>
        <v/>
      </c>
      <c r="AI23" s="289" t="str">
        <f ca="1">IFERROR(__xludf.DUMMYFUNCTION("IFERROR(JOIN("";""&amp;CHAR(10),FILTER(Curses!$A$3:$A43,Curses!$B$3:$B43=AI$2,Curses!$G$3:$G43=$A23)),"""")"),"")</f>
        <v/>
      </c>
      <c r="AJ23" s="289" t="str">
        <f ca="1">IFERROR(__xludf.DUMMYFUNCTION("IFERROR(JOIN("";""&amp;CHAR(10),FILTER(Curses!$A$3:$A43,Curses!$B$3:$B43=AJ$2,Curses!$G$3:$G43=$A23)),"""")"),"")</f>
        <v/>
      </c>
      <c r="AK23" s="289" t="str">
        <f ca="1">IFERROR(__xludf.DUMMYFUNCTION("IFERROR(JOIN("";""&amp;CHAR(10),FILTER(Curses!$A$3:$A43,Curses!$B$3:$B43=AK$2,Curses!$G$3:$G43=$A23)),"""")"),"")</f>
        <v/>
      </c>
      <c r="AL23" s="289" t="str">
        <f ca="1">IFERROR(__xludf.DUMMYFUNCTION("IFERROR(JOIN("";""&amp;CHAR(10),FILTER(Curses!$A$3:$A43,Curses!$B$3:$B43=AL$2,Curses!$G$3:$G43=$A23)),"""")"),"")</f>
        <v/>
      </c>
      <c r="AM23" s="289" t="str">
        <f ca="1">IFERROR(__xludf.DUMMYFUNCTION("IFERROR(JOIN("";""&amp;CHAR(10),FILTER(Curses!$A$3:$A43,Curses!$B$3:$B43=AM$2,Curses!$G$3:$G43=$A23)),"""")"),"")</f>
        <v/>
      </c>
    </row>
    <row r="24" spans="1:39">
      <c r="A24" s="292" t="str">
        <f ca="1">IFERROR(__xludf.DUMMYFUNCTION("""COMPUTED_VALUE"""),"Single-use Dice")</f>
        <v>Single-use Dice</v>
      </c>
      <c r="B24" s="289" t="str">
        <f ca="1">IFERROR(__xludf.DUMMYFUNCTION("IFERROR(JOIN("";""&amp;CHAR(10),FILTER(Curses!$A$3:$A43,Curses!$B$3:$B43=B$2,Curses!$G$3:$G43=$A24)),"""")"),"Fourth single-use")</f>
        <v>Fourth single-use</v>
      </c>
      <c r="C24" s="289" t="str">
        <f ca="1">IFERROR(__xludf.DUMMYFUNCTION("IFERROR(JOIN("";""&amp;CHAR(10),FILTER(Curses!$A$3:$A43,Curses!$B$3:$B43=C$2,Curses!$G$3:$G43=$A24)),"""")"),"Second single-use")</f>
        <v>Second single-use</v>
      </c>
      <c r="D24" s="289" t="str">
        <f ca="1">IFERROR(__xludf.DUMMYFUNCTION("IFERROR(JOIN("";""&amp;CHAR(10),FILTER(Curses!$A$3:$A43,Curses!$B$3:$B43=D$2,Curses!$G$3:$G43=$A24)),"""")"),"")</f>
        <v/>
      </c>
      <c r="E24" s="289" t="str">
        <f ca="1">IFERROR(__xludf.DUMMYFUNCTION("IFERROR(JOIN("";""&amp;CHAR(10),FILTER(Curses!$A$3:$A43,Curses!$B$3:$B43=E$2,Curses!$G$3:$G43=$A24)),"""")"),"")</f>
        <v/>
      </c>
      <c r="F24" s="289" t="str">
        <f ca="1">IFERROR(__xludf.DUMMYFUNCTION("IFERROR(JOIN("";""&amp;CHAR(10),FILTER(Curses!$A$3:$A43,Curses!$B$3:$B43=F$2,Curses!$G$3:$G43=$A24)),"""")"),"")</f>
        <v/>
      </c>
      <c r="G24" s="289" t="str">
        <f ca="1">IFERROR(__xludf.DUMMYFUNCTION("IFERROR(JOIN("";""&amp;CHAR(10),FILTER(Curses!$A$3:$A43,Curses!$B$3:$B43=G$2,Curses!$G$3:$G43=$A24)),"""")"),"")</f>
        <v/>
      </c>
      <c r="H24" s="289" t="str">
        <f ca="1">IFERROR(__xludf.DUMMYFUNCTION("IFERROR(JOIN("";""&amp;CHAR(10),FILTER(Curses!$A$3:$A43,Curses!$B$3:$B43=H$2,Curses!$G$3:$G43=$A24)),"""")"),"")</f>
        <v/>
      </c>
      <c r="I24" s="289" t="str">
        <f ca="1">IFERROR(__xludf.DUMMYFUNCTION("IFERROR(JOIN("";""&amp;CHAR(10),FILTER(Curses!$A$3:$A43,Curses!$B$3:$B43=I$2,Curses!$G$3:$G43=$A24)),"""")"),"")</f>
        <v/>
      </c>
      <c r="J24" s="289" t="str">
        <f ca="1">IFERROR(__xludf.DUMMYFUNCTION("IFERROR(JOIN("";""&amp;CHAR(10),FILTER(Curses!$A$3:$A43,Curses!$B$3:$B43=J$2,Curses!$G$3:$G43=$A24)),"""")"),"")</f>
        <v/>
      </c>
      <c r="K24" s="289" t="str">
        <f ca="1">IFERROR(__xludf.DUMMYFUNCTION("IFERROR(JOIN("";""&amp;CHAR(10),FILTER(Curses!$A$3:$A43,Curses!$B$3:$B43=K$2,Curses!$G$3:$G43=$A24)),"""")"),"")</f>
        <v/>
      </c>
      <c r="L24" s="289" t="str">
        <f ca="1">IFERROR(__xludf.DUMMYFUNCTION("IFERROR(JOIN("";""&amp;CHAR(10),FILTER(Curses!$A$3:$A43,Curses!$B$3:$B43=L$2,Curses!$G$3:$G43=$A24)),"""")"),"")</f>
        <v/>
      </c>
      <c r="M24" s="289" t="str">
        <f ca="1">IFERROR(__xludf.DUMMYFUNCTION("IFERROR(JOIN("";""&amp;CHAR(10),FILTER(Curses!$A$3:$A43,Curses!$B$3:$B43=M$2,Curses!$G$3:$G43=$A24)),"""")"),"")</f>
        <v/>
      </c>
      <c r="N24" s="289" t="str">
        <f ca="1">IFERROR(__xludf.DUMMYFUNCTION("IFERROR(JOIN("";""&amp;CHAR(10),FILTER(Curses!$A$3:$A43,Curses!$B$3:$B43=N$2,Curses!$G$3:$G43=$A24)),"""")"),"")</f>
        <v/>
      </c>
      <c r="O24" s="289" t="str">
        <f ca="1">IFERROR(__xludf.DUMMYFUNCTION("IFERROR(JOIN("";""&amp;CHAR(10),FILTER(Curses!$A$3:$A43,Curses!$B$3:$B43=O$2,Curses!$G$3:$G43=$A24)),"""")"),"")</f>
        <v/>
      </c>
      <c r="P24" s="289" t="str">
        <f ca="1">IFERROR(__xludf.DUMMYFUNCTION("IFERROR(JOIN("";""&amp;CHAR(10),FILTER(Curses!$A$3:$A43,Curses!$B$3:$B43=P$2,Curses!$G$3:$G43=$A24)),"""")"),"")</f>
        <v/>
      </c>
      <c r="Q24" s="289" t="str">
        <f ca="1">IFERROR(__xludf.DUMMYFUNCTION("IFERROR(JOIN("";""&amp;CHAR(10),FILTER(Curses!$A$3:$A43,Curses!$B$3:$B43=Q$2,Curses!$G$3:$G43=$A24)),"""")"),"")</f>
        <v/>
      </c>
      <c r="R24" s="289" t="str">
        <f ca="1">IFERROR(__xludf.DUMMYFUNCTION("IFERROR(JOIN("";""&amp;CHAR(10),FILTER(Curses!$A$3:$A43,Curses!$B$3:$B43=R$2,Curses!$G$3:$G43=$A24)),"""")"),"")</f>
        <v/>
      </c>
      <c r="S24" s="289" t="str">
        <f ca="1">IFERROR(__xludf.DUMMYFUNCTION("IFERROR(JOIN("";""&amp;CHAR(10),FILTER(Curses!$A$3:$A43,Curses!$B$3:$B43=S$2,Curses!$G$3:$G43=$A24)),"""")"),"")</f>
        <v/>
      </c>
      <c r="T24" s="289" t="str">
        <f ca="1">IFERROR(__xludf.DUMMYFUNCTION("IFERROR(JOIN("";""&amp;CHAR(10),FILTER(Curses!$A$3:$A43,Curses!$B$3:$B43=T$2,Curses!$G$3:$G43=$A24)),"""")"),"")</f>
        <v/>
      </c>
      <c r="U24" s="289" t="str">
        <f ca="1">IFERROR(__xludf.DUMMYFUNCTION("IFERROR(JOIN("";""&amp;CHAR(10),FILTER(Curses!$A$3:$A43,Curses!$B$3:$B43=U$2,Curses!$G$3:$G43=$A24)),"""")"),"")</f>
        <v/>
      </c>
      <c r="V24" s="289" t="str">
        <f ca="1">IFERROR(__xludf.DUMMYFUNCTION("IFERROR(JOIN("";""&amp;CHAR(10),FILTER(Curses!$A$3:$A43,Curses!$B$3:$B43=V$2,Curses!$G$3:$G43=$A24)),"""")"),"")</f>
        <v/>
      </c>
      <c r="W24" s="289" t="str">
        <f ca="1">IFERROR(__xludf.DUMMYFUNCTION("IFERROR(JOIN("";""&amp;CHAR(10),FILTER(Curses!$A$3:$A43,Curses!$B$3:$B43=W$2,Curses!$G$3:$G43=$A24)),"""")"),"")</f>
        <v/>
      </c>
      <c r="X24" s="289" t="str">
        <f ca="1">IFERROR(__xludf.DUMMYFUNCTION("IFERROR(JOIN("";""&amp;CHAR(10),FILTER(Curses!$A$3:$A43,Curses!$B$3:$B43=X$2,Curses!$G$3:$G43=$A24)),"""")"),"")</f>
        <v/>
      </c>
      <c r="Y24" s="289" t="str">
        <f ca="1">IFERROR(__xludf.DUMMYFUNCTION("IFERROR(JOIN("";""&amp;CHAR(10),FILTER(Curses!$A$3:$A43,Curses!$B$3:$B43=Y$2,Curses!$G$3:$G43=$A24)),"""")"),"")</f>
        <v/>
      </c>
      <c r="Z24" s="289" t="str">
        <f ca="1">IFERROR(__xludf.DUMMYFUNCTION("IFERROR(JOIN("";""&amp;CHAR(10),FILTER(Curses!$A$3:$A43,Curses!$B$3:$B43=Z$2,Curses!$G$3:$G43=$A24)),"""")"),"")</f>
        <v/>
      </c>
      <c r="AA24" s="289" t="str">
        <f ca="1">IFERROR(__xludf.DUMMYFUNCTION("IFERROR(JOIN("";""&amp;CHAR(10),FILTER(Curses!$A$3:$A43,Curses!$B$3:$B43=AA$2,Curses!$G$3:$G43=$A24)),"""")"),"")</f>
        <v/>
      </c>
      <c r="AB24" s="289" t="str">
        <f ca="1">IFERROR(__xludf.DUMMYFUNCTION("IFERROR(JOIN("";""&amp;CHAR(10),FILTER(Curses!$A$3:$A43,Curses!$B$3:$B43=AB$2,Curses!$G$3:$G43=$A24)),"""")"),"")</f>
        <v/>
      </c>
      <c r="AC24" s="289" t="str">
        <f ca="1">IFERROR(__xludf.DUMMYFUNCTION("IFERROR(JOIN("";""&amp;CHAR(10),FILTER(Curses!$A$3:$A43,Curses!$B$3:$B43=AC$2,Curses!$G$3:$G43=$A24)),"""")"),"")</f>
        <v/>
      </c>
      <c r="AD24" s="289" t="str">
        <f ca="1">IFERROR(__xludf.DUMMYFUNCTION("IFERROR(JOIN("";""&amp;CHAR(10),FILTER(Curses!$A$3:$A43,Curses!$B$3:$B43=AD$2,Curses!$G$3:$G43=$A24)),"""")"),"")</f>
        <v/>
      </c>
      <c r="AE24" s="289" t="str">
        <f ca="1">IFERROR(__xludf.DUMMYFUNCTION("IFERROR(JOIN("";""&amp;CHAR(10),FILTER(Curses!$A$3:$A43,Curses!$B$3:$B43=AE$2,Curses!$G$3:$G43=$A24)),"""")"),"")</f>
        <v/>
      </c>
      <c r="AF24" s="289" t="str">
        <f ca="1">IFERROR(__xludf.DUMMYFUNCTION("IFERROR(JOIN("";""&amp;CHAR(10),FILTER(Curses!$A$3:$A43,Curses!$B$3:$B43=AF$2,Curses!$G$3:$G43=$A24)),"""")"),"")</f>
        <v/>
      </c>
      <c r="AG24" s="289" t="str">
        <f ca="1">IFERROR(__xludf.DUMMYFUNCTION("IFERROR(JOIN("";""&amp;CHAR(10),FILTER(Curses!$A$3:$A43,Curses!$B$3:$B43=AG$2,Curses!$G$3:$G43=$A24)),"""")"),"")</f>
        <v/>
      </c>
      <c r="AH24" s="289" t="str">
        <f ca="1">IFERROR(__xludf.DUMMYFUNCTION("IFERROR(JOIN("";""&amp;CHAR(10),FILTER(Curses!$A$3:$A43,Curses!$B$3:$B43=AH$2,Curses!$G$3:$G43=$A24)),"""")"),"")</f>
        <v/>
      </c>
      <c r="AI24" s="289" t="str">
        <f ca="1">IFERROR(__xludf.DUMMYFUNCTION("IFERROR(JOIN("";""&amp;CHAR(10),FILTER(Curses!$A$3:$A43,Curses!$B$3:$B43=AI$2,Curses!$G$3:$G43=$A24)),"""")"),"")</f>
        <v/>
      </c>
      <c r="AJ24" s="289" t="str">
        <f ca="1">IFERROR(__xludf.DUMMYFUNCTION("IFERROR(JOIN("";""&amp;CHAR(10),FILTER(Curses!$A$3:$A43,Curses!$B$3:$B43=AJ$2,Curses!$G$3:$G43=$A24)),"""")"),"")</f>
        <v/>
      </c>
      <c r="AK24" s="289" t="str">
        <f ca="1">IFERROR(__xludf.DUMMYFUNCTION("IFERROR(JOIN("";""&amp;CHAR(10),FILTER(Curses!$A$3:$A43,Curses!$B$3:$B43=AK$2,Curses!$G$3:$G43=$A24)),"""")"),"")</f>
        <v/>
      </c>
      <c r="AL24" s="289" t="str">
        <f ca="1">IFERROR(__xludf.DUMMYFUNCTION("IFERROR(JOIN("";""&amp;CHAR(10),FILTER(Curses!$A$3:$A43,Curses!$B$3:$B43=AL$2,Curses!$G$3:$G43=$A24)),"""")"),"")</f>
        <v/>
      </c>
      <c r="AM24" s="289" t="str">
        <f ca="1">IFERROR(__xludf.DUMMYFUNCTION("IFERROR(JOIN("";""&amp;CHAR(10),FILTER(Curses!$A$3:$A43,Curses!$B$3:$B43=AM$2,Curses!$G$3:$G43=$A24)),"""")"),"")</f>
        <v/>
      </c>
    </row>
    <row r="25" spans="1:39">
      <c r="A25" s="292" t="str">
        <f ca="1">IFERROR(__xludf.DUMMYFUNCTION("""COMPUTED_VALUE"""),"Worse Items")</f>
        <v>Worse Items</v>
      </c>
      <c r="B25" s="289" t="str">
        <f ca="1">IFERROR(__xludf.DUMMYFUNCTION("IFERROR(JOIN("";""&amp;CHAR(10),FILTER(Curses!$A$3:$A43,Curses!$B$3:$B43=B$2,Curses!$G$3:$G43=$A25)),"""")"),"Worse Items")</f>
        <v>Worse Items</v>
      </c>
      <c r="C25" s="289" t="str">
        <f ca="1">IFERROR(__xludf.DUMMYFUNCTION("IFERROR(JOIN("";""&amp;CHAR(10),FILTER(Curses!$A$3:$A43,Curses!$B$3:$B43=C$2,Curses!$G$3:$G43=$A25)),"""")"),"")</f>
        <v/>
      </c>
      <c r="D25" s="289" t="str">
        <f ca="1">IFERROR(__xludf.DUMMYFUNCTION("IFERROR(JOIN("";""&amp;CHAR(10),FILTER(Curses!$A$3:$A43,Curses!$B$3:$B43=D$2,Curses!$G$3:$G43=$A25)),"""")"),"Worse Items+")</f>
        <v>Worse Items+</v>
      </c>
      <c r="E25" s="289" t="str">
        <f ca="1">IFERROR(__xludf.DUMMYFUNCTION("IFERROR(JOIN("";""&amp;CHAR(10),FILTER(Curses!$A$3:$A43,Curses!$B$3:$B43=E$2,Curses!$G$3:$G43=$A25)),"""")"),"")</f>
        <v/>
      </c>
      <c r="F25" s="289" t="str">
        <f ca="1">IFERROR(__xludf.DUMMYFUNCTION("IFERROR(JOIN("";""&amp;CHAR(10),FILTER(Curses!$A$3:$A43,Curses!$B$3:$B43=F$2,Curses!$G$3:$G43=$A25)),"""")"),"")</f>
        <v/>
      </c>
      <c r="G25" s="289" t="str">
        <f ca="1">IFERROR(__xludf.DUMMYFUNCTION("IFERROR(JOIN("";""&amp;CHAR(10),FILTER(Curses!$A$3:$A43,Curses!$B$3:$B43=G$2,Curses!$G$3:$G43=$A25)),"""")"),"")</f>
        <v/>
      </c>
      <c r="H25" s="289" t="str">
        <f ca="1">IFERROR(__xludf.DUMMYFUNCTION("IFERROR(JOIN("";""&amp;CHAR(10),FILTER(Curses!$A$3:$A43,Curses!$B$3:$B43=H$2,Curses!$G$3:$G43=$A25)),"""")"),"Worse Items++")</f>
        <v>Worse Items++</v>
      </c>
      <c r="I25" s="289" t="str">
        <f ca="1">IFERROR(__xludf.DUMMYFUNCTION("IFERROR(JOIN("";""&amp;CHAR(10),FILTER(Curses!$A$3:$A43,Curses!$B$3:$B43=I$2,Curses!$G$3:$G43=$A25)),"""")"),"")</f>
        <v/>
      </c>
      <c r="J25" s="289" t="str">
        <f ca="1">IFERROR(__xludf.DUMMYFUNCTION("IFERROR(JOIN("";""&amp;CHAR(10),FILTER(Curses!$A$3:$A43,Curses!$B$3:$B43=J$2,Curses!$G$3:$G43=$A25)),"""")"),"")</f>
        <v/>
      </c>
      <c r="K25" s="289" t="str">
        <f ca="1">IFERROR(__xludf.DUMMYFUNCTION("IFERROR(JOIN("";""&amp;CHAR(10),FILTER(Curses!$A$3:$A43,Curses!$B$3:$B43=K$2,Curses!$G$3:$G43=$A25)),"""")"),"")</f>
        <v/>
      </c>
      <c r="L25" s="289" t="str">
        <f ca="1">IFERROR(__xludf.DUMMYFUNCTION("IFERROR(JOIN("";""&amp;CHAR(10),FILTER(Curses!$A$3:$A43,Curses!$B$3:$B43=L$2,Curses!$G$3:$G43=$A25)),"""")"),"")</f>
        <v/>
      </c>
      <c r="M25" s="289" t="str">
        <f ca="1">IFERROR(__xludf.DUMMYFUNCTION("IFERROR(JOIN("";""&amp;CHAR(10),FILTER(Curses!$A$3:$A43,Curses!$B$3:$B43=M$2,Curses!$G$3:$G43=$A25)),"""")"),"")</f>
        <v/>
      </c>
      <c r="N25" s="289" t="str">
        <f ca="1">IFERROR(__xludf.DUMMYFUNCTION("IFERROR(JOIN("";""&amp;CHAR(10),FILTER(Curses!$A$3:$A43,Curses!$B$3:$B43=N$2,Curses!$G$3:$G43=$A25)),"""")"),"")</f>
        <v/>
      </c>
      <c r="O25" s="289" t="str">
        <f ca="1">IFERROR(__xludf.DUMMYFUNCTION("IFERROR(JOIN("";""&amp;CHAR(10),FILTER(Curses!$A$3:$A43,Curses!$B$3:$B43=O$2,Curses!$G$3:$G43=$A25)),"""")"),"")</f>
        <v/>
      </c>
      <c r="P25" s="289" t="str">
        <f ca="1">IFERROR(__xludf.DUMMYFUNCTION("IFERROR(JOIN("";""&amp;CHAR(10),FILTER(Curses!$A$3:$A43,Curses!$B$3:$B43=P$2,Curses!$G$3:$G43=$A25)),"""")"),"")</f>
        <v/>
      </c>
      <c r="Q25" s="289" t="str">
        <f ca="1">IFERROR(__xludf.DUMMYFUNCTION("IFERROR(JOIN("";""&amp;CHAR(10),FILTER(Curses!$A$3:$A43,Curses!$B$3:$B43=Q$2,Curses!$G$3:$G43=$A25)),"""")"),"")</f>
        <v/>
      </c>
      <c r="R25" s="289" t="str">
        <f ca="1">IFERROR(__xludf.DUMMYFUNCTION("IFERROR(JOIN("";""&amp;CHAR(10),FILTER(Curses!$A$3:$A43,Curses!$B$3:$B43=R$2,Curses!$G$3:$G43=$A25)),"""")"),"")</f>
        <v/>
      </c>
      <c r="S25" s="289" t="str">
        <f ca="1">IFERROR(__xludf.DUMMYFUNCTION("IFERROR(JOIN("";""&amp;CHAR(10),FILTER(Curses!$A$3:$A43,Curses!$B$3:$B43=S$2,Curses!$G$3:$G43=$A25)),"""")"),"")</f>
        <v/>
      </c>
      <c r="T25" s="289" t="str">
        <f ca="1">IFERROR(__xludf.DUMMYFUNCTION("IFERROR(JOIN("";""&amp;CHAR(10),FILTER(Curses!$A$3:$A43,Curses!$B$3:$B43=T$2,Curses!$G$3:$G43=$A25)),"""")"),"")</f>
        <v/>
      </c>
      <c r="U25" s="289" t="str">
        <f ca="1">IFERROR(__xludf.DUMMYFUNCTION("IFERROR(JOIN("";""&amp;CHAR(10),FILTER(Curses!$A$3:$A43,Curses!$B$3:$B43=U$2,Curses!$G$3:$G43=$A25)),"""")"),"")</f>
        <v/>
      </c>
      <c r="V25" s="289" t="str">
        <f ca="1">IFERROR(__xludf.DUMMYFUNCTION("IFERROR(JOIN("";""&amp;CHAR(10),FILTER(Curses!$A$3:$A43,Curses!$B$3:$B43=V$2,Curses!$G$3:$G43=$A25)),"""")"),"")</f>
        <v/>
      </c>
      <c r="W25" s="289" t="str">
        <f ca="1">IFERROR(__xludf.DUMMYFUNCTION("IFERROR(JOIN("";""&amp;CHAR(10),FILTER(Curses!$A$3:$A43,Curses!$B$3:$B43=W$2,Curses!$G$3:$G43=$A25)),"""")"),"")</f>
        <v/>
      </c>
      <c r="X25" s="289" t="str">
        <f ca="1">IFERROR(__xludf.DUMMYFUNCTION("IFERROR(JOIN("";""&amp;CHAR(10),FILTER(Curses!$A$3:$A43,Curses!$B$3:$B43=X$2,Curses!$G$3:$G43=$A25)),"""")"),"")</f>
        <v/>
      </c>
      <c r="Y25" s="289" t="str">
        <f ca="1">IFERROR(__xludf.DUMMYFUNCTION("IFERROR(JOIN("";""&amp;CHAR(10),FILTER(Curses!$A$3:$A43,Curses!$B$3:$B43=Y$2,Curses!$G$3:$G43=$A25)),"""")"),"")</f>
        <v/>
      </c>
      <c r="Z25" s="289" t="str">
        <f ca="1">IFERROR(__xludf.DUMMYFUNCTION("IFERROR(JOIN("";""&amp;CHAR(10),FILTER(Curses!$A$3:$A43,Curses!$B$3:$B43=Z$2,Curses!$G$3:$G43=$A25)),"""")"),"")</f>
        <v/>
      </c>
      <c r="AA25" s="289" t="str">
        <f ca="1">IFERROR(__xludf.DUMMYFUNCTION("IFERROR(JOIN("";""&amp;CHAR(10),FILTER(Curses!$A$3:$A43,Curses!$B$3:$B43=AA$2,Curses!$G$3:$G43=$A25)),"""")"),"")</f>
        <v/>
      </c>
      <c r="AB25" s="289" t="str">
        <f ca="1">IFERROR(__xludf.DUMMYFUNCTION("IFERROR(JOIN("";""&amp;CHAR(10),FILTER(Curses!$A$3:$A43,Curses!$B$3:$B43=AB$2,Curses!$G$3:$G43=$A25)),"""")"),"")</f>
        <v/>
      </c>
      <c r="AC25" s="289" t="str">
        <f ca="1">IFERROR(__xludf.DUMMYFUNCTION("IFERROR(JOIN("";""&amp;CHAR(10),FILTER(Curses!$A$3:$A43,Curses!$B$3:$B43=AC$2,Curses!$G$3:$G43=$A25)),"""")"),"")</f>
        <v/>
      </c>
      <c r="AD25" s="289" t="str">
        <f ca="1">IFERROR(__xludf.DUMMYFUNCTION("IFERROR(JOIN("";""&amp;CHAR(10),FILTER(Curses!$A$3:$A43,Curses!$B$3:$B43=AD$2,Curses!$G$3:$G43=$A25)),"""")"),"")</f>
        <v/>
      </c>
      <c r="AE25" s="289" t="str">
        <f ca="1">IFERROR(__xludf.DUMMYFUNCTION("IFERROR(JOIN("";""&amp;CHAR(10),FILTER(Curses!$A$3:$A43,Curses!$B$3:$B43=AE$2,Curses!$G$3:$G43=$A25)),"""")"),"")</f>
        <v/>
      </c>
      <c r="AF25" s="289" t="str">
        <f ca="1">IFERROR(__xludf.DUMMYFUNCTION("IFERROR(JOIN("";""&amp;CHAR(10),FILTER(Curses!$A$3:$A43,Curses!$B$3:$B43=AF$2,Curses!$G$3:$G43=$A25)),"""")"),"")</f>
        <v/>
      </c>
      <c r="AG25" s="289" t="str">
        <f ca="1">IFERROR(__xludf.DUMMYFUNCTION("IFERROR(JOIN("";""&amp;CHAR(10),FILTER(Curses!$A$3:$A43,Curses!$B$3:$B43=AG$2,Curses!$G$3:$G43=$A25)),"""")"),"")</f>
        <v/>
      </c>
      <c r="AH25" s="289" t="str">
        <f ca="1">IFERROR(__xludf.DUMMYFUNCTION("IFERROR(JOIN("";""&amp;CHAR(10),FILTER(Curses!$A$3:$A43,Curses!$B$3:$B43=AH$2,Curses!$G$3:$G43=$A25)),"""")"),"")</f>
        <v/>
      </c>
      <c r="AI25" s="289" t="str">
        <f ca="1">IFERROR(__xludf.DUMMYFUNCTION("IFERROR(JOIN("";""&amp;CHAR(10),FILTER(Curses!$A$3:$A43,Curses!$B$3:$B43=AI$2,Curses!$G$3:$G43=$A25)),"""")"),"")</f>
        <v/>
      </c>
      <c r="AJ25" s="289" t="str">
        <f ca="1">IFERROR(__xludf.DUMMYFUNCTION("IFERROR(JOIN("";""&amp;CHAR(10),FILTER(Curses!$A$3:$A43,Curses!$B$3:$B43=AJ$2,Curses!$G$3:$G43=$A25)),"""")"),"")</f>
        <v/>
      </c>
      <c r="AK25" s="289" t="str">
        <f ca="1">IFERROR(__xludf.DUMMYFUNCTION("IFERROR(JOIN("";""&amp;CHAR(10),FILTER(Curses!$A$3:$A43,Curses!$B$3:$B43=AK$2,Curses!$G$3:$G43=$A25)),"""")"),"")</f>
        <v/>
      </c>
      <c r="AL25" s="289" t="str">
        <f ca="1">IFERROR(__xludf.DUMMYFUNCTION("IFERROR(JOIN("";""&amp;CHAR(10),FILTER(Curses!$A$3:$A43,Curses!$B$3:$B43=AL$2,Curses!$G$3:$G43=$A25)),"""")"),"")</f>
        <v/>
      </c>
      <c r="AM25" s="289" t="str">
        <f ca="1">IFERROR(__xludf.DUMMYFUNCTION("IFERROR(JOIN("";""&amp;CHAR(10),FILTER(Curses!$A$3:$A43,Curses!$B$3:$B43=AM$2,Curses!$G$3:$G43=$A25)),"""")"),"")</f>
        <v/>
      </c>
    </row>
    <row r="26" spans="1:39">
      <c r="A26" s="292" t="str">
        <f ca="1">IFERROR(__xludf.DUMMYFUNCTION("""COMPUTED_VALUE"""),"Dice Blank")</f>
        <v>Dice Blank</v>
      </c>
      <c r="B26" s="289" t="str">
        <f ca="1">IFERROR(__xludf.DUMMYFUNCTION("IFERROR(JOIN("";""&amp;CHAR(10),FILTER(Curses!$A$3:$A43,Curses!$B$3:$B43=B$2,Curses!$G$3:$G43=$A26)),"""")"),"Right Blank")</f>
        <v>Right Blank</v>
      </c>
      <c r="C26" s="289" t="str">
        <f ca="1">IFERROR(__xludf.DUMMYFUNCTION("IFERROR(JOIN("";""&amp;CHAR(10),FILTER(Curses!$A$3:$A43,Curses!$B$3:$B43=C$2,Curses!$G$3:$G43=$A26)),"""")"),"")</f>
        <v/>
      </c>
      <c r="D26" s="289" t="str">
        <f ca="1">IFERROR(__xludf.DUMMYFUNCTION("IFERROR(JOIN("";""&amp;CHAR(10),FILTER(Curses!$A$3:$A43,Curses!$B$3:$B43=D$2,Curses!$G$3:$G43=$A26)),"""")"),"Right Blank+")</f>
        <v>Right Blank+</v>
      </c>
      <c r="E26" s="289" t="str">
        <f ca="1">IFERROR(__xludf.DUMMYFUNCTION("IFERROR(JOIN("";""&amp;CHAR(10),FILTER(Curses!$A$3:$A43,Curses!$B$3:$B43=E$2,Curses!$G$3:$G43=$A26)),"""")"),"Middle Blank")</f>
        <v>Middle Blank</v>
      </c>
      <c r="F26" s="289" t="str">
        <f ca="1">IFERROR(__xludf.DUMMYFUNCTION("IFERROR(JOIN("";""&amp;CHAR(10),FILTER(Curses!$A$3:$A43,Curses!$B$3:$B43=F$2,Curses!$G$3:$G43=$A26)),"""")"),"")</f>
        <v/>
      </c>
      <c r="G26" s="289" t="str">
        <f ca="1">IFERROR(__xludf.DUMMYFUNCTION("IFERROR(JOIN("";""&amp;CHAR(10),FILTER(Curses!$A$3:$A43,Curses!$B$3:$B43=G$2,Curses!$G$3:$G43=$A26)),"""")"),"")</f>
        <v/>
      </c>
      <c r="H26" s="289" t="str">
        <f ca="1">IFERROR(__xludf.DUMMYFUNCTION("IFERROR(JOIN("";""&amp;CHAR(10),FILTER(Curses!$A$3:$A43,Curses!$B$3:$B43=H$2,Curses!$G$3:$G43=$A26)),"""")"),"Left Blank")</f>
        <v>Left Blank</v>
      </c>
      <c r="I26" s="289" t="str">
        <f ca="1">IFERROR(__xludf.DUMMYFUNCTION("IFERROR(JOIN("";""&amp;CHAR(10),FILTER(Curses!$A$3:$A43,Curses!$B$3:$B43=I$2,Curses!$G$3:$G43=$A26)),"""")"),"")</f>
        <v/>
      </c>
      <c r="J26" s="289" t="str">
        <f ca="1">IFERROR(__xludf.DUMMYFUNCTION("IFERROR(JOIN("";""&amp;CHAR(10),FILTER(Curses!$A$3:$A43,Curses!$B$3:$B43=J$2,Curses!$G$3:$G43=$A26)),"""")"),"")</f>
        <v/>
      </c>
      <c r="K26" s="289" t="str">
        <f ca="1">IFERROR(__xludf.DUMMYFUNCTION("IFERROR(JOIN("";""&amp;CHAR(10),FILTER(Curses!$A$3:$A43,Curses!$B$3:$B43=K$2,Curses!$G$3:$G43=$A26)),"""")"),"")</f>
        <v/>
      </c>
      <c r="L26" s="289" t="str">
        <f ca="1">IFERROR(__xludf.DUMMYFUNCTION("IFERROR(JOIN("";""&amp;CHAR(10),FILTER(Curses!$A$3:$A43,Curses!$B$3:$B43=L$2,Curses!$G$3:$G43=$A26)),"""")"),"")</f>
        <v/>
      </c>
      <c r="M26" s="289" t="str">
        <f ca="1">IFERROR(__xludf.DUMMYFUNCTION("IFERROR(JOIN("";""&amp;CHAR(10),FILTER(Curses!$A$3:$A43,Curses!$B$3:$B43=M$2,Curses!$G$3:$G43=$A26)),"""")"),"")</f>
        <v/>
      </c>
      <c r="N26" s="289" t="str">
        <f ca="1">IFERROR(__xludf.DUMMYFUNCTION("IFERROR(JOIN("";""&amp;CHAR(10),FILTER(Curses!$A$3:$A43,Curses!$B$3:$B43=N$2,Curses!$G$3:$G43=$A26)),"""")"),"")</f>
        <v/>
      </c>
      <c r="O26" s="289" t="str">
        <f ca="1">IFERROR(__xludf.DUMMYFUNCTION("IFERROR(JOIN("";""&amp;CHAR(10),FILTER(Curses!$A$3:$A43,Curses!$B$3:$B43=O$2,Curses!$G$3:$G43=$A26)),"""")"),"")</f>
        <v/>
      </c>
      <c r="P26" s="289" t="str">
        <f ca="1">IFERROR(__xludf.DUMMYFUNCTION("IFERROR(JOIN("";""&amp;CHAR(10),FILTER(Curses!$A$3:$A43,Curses!$B$3:$B43=P$2,Curses!$G$3:$G43=$A26)),"""")"),"")</f>
        <v/>
      </c>
      <c r="Q26" s="289" t="str">
        <f ca="1">IFERROR(__xludf.DUMMYFUNCTION("IFERROR(JOIN("";""&amp;CHAR(10),FILTER(Curses!$A$3:$A43,Curses!$B$3:$B43=Q$2,Curses!$G$3:$G43=$A26)),"""")"),"")</f>
        <v/>
      </c>
      <c r="R26" s="289" t="str">
        <f ca="1">IFERROR(__xludf.DUMMYFUNCTION("IFERROR(JOIN("";""&amp;CHAR(10),FILTER(Curses!$A$3:$A43,Curses!$B$3:$B43=R$2,Curses!$G$3:$G43=$A26)),"""")"),"")</f>
        <v/>
      </c>
      <c r="S26" s="289" t="str">
        <f ca="1">IFERROR(__xludf.DUMMYFUNCTION("IFERROR(JOIN("";""&amp;CHAR(10),FILTER(Curses!$A$3:$A43,Curses!$B$3:$B43=S$2,Curses!$G$3:$G43=$A26)),"""")"),"")</f>
        <v/>
      </c>
      <c r="T26" s="289" t="str">
        <f ca="1">IFERROR(__xludf.DUMMYFUNCTION("IFERROR(JOIN("";""&amp;CHAR(10),FILTER(Curses!$A$3:$A43,Curses!$B$3:$B43=T$2,Curses!$G$3:$G43=$A26)),"""")"),"")</f>
        <v/>
      </c>
      <c r="U26" s="289" t="str">
        <f ca="1">IFERROR(__xludf.DUMMYFUNCTION("IFERROR(JOIN("";""&amp;CHAR(10),FILTER(Curses!$A$3:$A43,Curses!$B$3:$B43=U$2,Curses!$G$3:$G43=$A26)),"""")"),"")</f>
        <v/>
      </c>
      <c r="V26" s="289" t="str">
        <f ca="1">IFERROR(__xludf.DUMMYFUNCTION("IFERROR(JOIN("";""&amp;CHAR(10),FILTER(Curses!$A$3:$A43,Curses!$B$3:$B43=V$2,Curses!$G$3:$G43=$A26)),"""")"),"")</f>
        <v/>
      </c>
      <c r="W26" s="289" t="str">
        <f ca="1">IFERROR(__xludf.DUMMYFUNCTION("IFERROR(JOIN("";""&amp;CHAR(10),FILTER(Curses!$A$3:$A43,Curses!$B$3:$B43=W$2,Curses!$G$3:$G43=$A26)),"""")"),"")</f>
        <v/>
      </c>
      <c r="X26" s="289" t="str">
        <f ca="1">IFERROR(__xludf.DUMMYFUNCTION("IFERROR(JOIN("";""&amp;CHAR(10),FILTER(Curses!$A$3:$A43,Curses!$B$3:$B43=X$2,Curses!$G$3:$G43=$A26)),"""")"),"")</f>
        <v/>
      </c>
      <c r="Y26" s="289" t="str">
        <f ca="1">IFERROR(__xludf.DUMMYFUNCTION("IFERROR(JOIN("";""&amp;CHAR(10),FILTER(Curses!$A$3:$A43,Curses!$B$3:$B43=Y$2,Curses!$G$3:$G43=$A26)),"""")"),"")</f>
        <v/>
      </c>
      <c r="Z26" s="289" t="str">
        <f ca="1">IFERROR(__xludf.DUMMYFUNCTION("IFERROR(JOIN("";""&amp;CHAR(10),FILTER(Curses!$A$3:$A43,Curses!$B$3:$B43=Z$2,Curses!$G$3:$G43=$A26)),"""")"),"")</f>
        <v/>
      </c>
      <c r="AA26" s="289" t="str">
        <f ca="1">IFERROR(__xludf.DUMMYFUNCTION("IFERROR(JOIN("";""&amp;CHAR(10),FILTER(Curses!$A$3:$A43,Curses!$B$3:$B43=AA$2,Curses!$G$3:$G43=$A26)),"""")"),"")</f>
        <v/>
      </c>
      <c r="AB26" s="289" t="str">
        <f ca="1">IFERROR(__xludf.DUMMYFUNCTION("IFERROR(JOIN("";""&amp;CHAR(10),FILTER(Curses!$A$3:$A43,Curses!$B$3:$B43=AB$2,Curses!$G$3:$G43=$A26)),"""")"),"")</f>
        <v/>
      </c>
      <c r="AC26" s="289" t="str">
        <f ca="1">IFERROR(__xludf.DUMMYFUNCTION("IFERROR(JOIN("";""&amp;CHAR(10),FILTER(Curses!$A$3:$A43,Curses!$B$3:$B43=AC$2,Curses!$G$3:$G43=$A26)),"""")"),"")</f>
        <v/>
      </c>
      <c r="AD26" s="289" t="str">
        <f ca="1">IFERROR(__xludf.DUMMYFUNCTION("IFERROR(JOIN("";""&amp;CHAR(10),FILTER(Curses!$A$3:$A43,Curses!$B$3:$B43=AD$2,Curses!$G$3:$G43=$A26)),"""")"),"")</f>
        <v/>
      </c>
      <c r="AE26" s="289" t="str">
        <f ca="1">IFERROR(__xludf.DUMMYFUNCTION("IFERROR(JOIN("";""&amp;CHAR(10),FILTER(Curses!$A$3:$A43,Curses!$B$3:$B43=AE$2,Curses!$G$3:$G43=$A26)),"""")"),"")</f>
        <v/>
      </c>
      <c r="AF26" s="289" t="str">
        <f ca="1">IFERROR(__xludf.DUMMYFUNCTION("IFERROR(JOIN("";""&amp;CHAR(10),FILTER(Curses!$A$3:$A43,Curses!$B$3:$B43=AF$2,Curses!$G$3:$G43=$A26)),"""")"),"")</f>
        <v/>
      </c>
      <c r="AG26" s="289" t="str">
        <f ca="1">IFERROR(__xludf.DUMMYFUNCTION("IFERROR(JOIN("";""&amp;CHAR(10),FILTER(Curses!$A$3:$A43,Curses!$B$3:$B43=AG$2,Curses!$G$3:$G43=$A26)),"""")"),"")</f>
        <v/>
      </c>
      <c r="AH26" s="289" t="str">
        <f ca="1">IFERROR(__xludf.DUMMYFUNCTION("IFERROR(JOIN("";""&amp;CHAR(10),FILTER(Curses!$A$3:$A43,Curses!$B$3:$B43=AH$2,Curses!$G$3:$G43=$A26)),"""")"),"")</f>
        <v/>
      </c>
      <c r="AI26" s="289" t="str">
        <f ca="1">IFERROR(__xludf.DUMMYFUNCTION("IFERROR(JOIN("";""&amp;CHAR(10),FILTER(Curses!$A$3:$A43,Curses!$B$3:$B43=AI$2,Curses!$G$3:$G43=$A26)),"""")"),"")</f>
        <v/>
      </c>
      <c r="AJ26" s="289" t="str">
        <f ca="1">IFERROR(__xludf.DUMMYFUNCTION("IFERROR(JOIN("";""&amp;CHAR(10),FILTER(Curses!$A$3:$A43,Curses!$B$3:$B43=AJ$2,Curses!$G$3:$G43=$A26)),"""")"),"")</f>
        <v/>
      </c>
      <c r="AK26" s="289" t="str">
        <f ca="1">IFERROR(__xludf.DUMMYFUNCTION("IFERROR(JOIN("";""&amp;CHAR(10),FILTER(Curses!$A$3:$A43,Curses!$B$3:$B43=AK$2,Curses!$G$3:$G43=$A26)),"""")"),"")</f>
        <v/>
      </c>
      <c r="AL26" s="289" t="str">
        <f ca="1">IFERROR(__xludf.DUMMYFUNCTION("IFERROR(JOIN("";""&amp;CHAR(10),FILTER(Curses!$A$3:$A43,Curses!$B$3:$B43=AL$2,Curses!$G$3:$G43=$A26)),"""")"),"")</f>
        <v/>
      </c>
      <c r="AM26" s="289" t="str">
        <f ca="1">IFERROR(__xludf.DUMMYFUNCTION("IFERROR(JOIN("";""&amp;CHAR(10),FILTER(Curses!$A$3:$A43,Curses!$B$3:$B43=AM$2,Curses!$G$3:$G43=$A26)),"""")"),"")</f>
        <v/>
      </c>
    </row>
    <row r="27" spans="1:39">
      <c r="A27" s="292" t="str">
        <f ca="1">IFERROR(__xludf.DUMMYFUNCTION("""COMPUTED_VALUE"""),"Shield Response")</f>
        <v>Shield Response</v>
      </c>
      <c r="B27" s="289" t="str">
        <f ca="1">IFERROR(__xludf.DUMMYFUNCTION("IFERROR(JOIN("";""&amp;CHAR(10),FILTER(Curses!$A$3:$A43,Curses!$B$3:$B43=B$2,Curses!$G$3:$G43=$A27)),"""")"),"Shield Response")</f>
        <v>Shield Response</v>
      </c>
      <c r="C27" s="289" t="str">
        <f ca="1">IFERROR(__xludf.DUMMYFUNCTION("IFERROR(JOIN("";""&amp;CHAR(10),FILTER(Curses!$A$3:$A43,Curses!$B$3:$B43=C$2,Curses!$G$3:$G43=$A27)),"""")"),"")</f>
        <v/>
      </c>
      <c r="D27" s="289" t="str">
        <f ca="1">IFERROR(__xludf.DUMMYFUNCTION("IFERROR(JOIN("";""&amp;CHAR(10),FILTER(Curses!$A$3:$A43,Curses!$B$3:$B43=D$2,Curses!$G$3:$G43=$A27)),"""")"),"Shield Response+")</f>
        <v>Shield Response+</v>
      </c>
      <c r="E27" s="289" t="str">
        <f ca="1">IFERROR(__xludf.DUMMYFUNCTION("IFERROR(JOIN("";""&amp;CHAR(10),FILTER(Curses!$A$3:$A43,Curses!$B$3:$B43=E$2,Curses!$G$3:$G43=$A27)),"""")"),"")</f>
        <v/>
      </c>
      <c r="F27" s="289" t="str">
        <f ca="1">IFERROR(__xludf.DUMMYFUNCTION("IFERROR(JOIN("";""&amp;CHAR(10),FILTER(Curses!$A$3:$A43,Curses!$B$3:$B43=F$2,Curses!$G$3:$G43=$A27)),"""")"),"Shield Response++")</f>
        <v>Shield Response++</v>
      </c>
      <c r="G27" s="289" t="str">
        <f ca="1">IFERROR(__xludf.DUMMYFUNCTION("IFERROR(JOIN("";""&amp;CHAR(10),FILTER(Curses!$A$3:$A43,Curses!$B$3:$B43=G$2,Curses!$G$3:$G43=$A27)),"""")"),"")</f>
        <v/>
      </c>
      <c r="H27" s="289" t="str">
        <f ca="1">IFERROR(__xludf.DUMMYFUNCTION("IFERROR(JOIN("";""&amp;CHAR(10),FILTER(Curses!$A$3:$A43,Curses!$B$3:$B43=H$2,Curses!$G$3:$G43=$A27)),"""")"),"")</f>
        <v/>
      </c>
      <c r="I27" s="289" t="str">
        <f ca="1">IFERROR(__xludf.DUMMYFUNCTION("IFERROR(JOIN("";""&amp;CHAR(10),FILTER(Curses!$A$3:$A43,Curses!$B$3:$B43=I$2,Curses!$G$3:$G43=$A27)),"""")"),"")</f>
        <v/>
      </c>
      <c r="J27" s="289" t="str">
        <f ca="1">IFERROR(__xludf.DUMMYFUNCTION("IFERROR(JOIN("";""&amp;CHAR(10),FILTER(Curses!$A$3:$A43,Curses!$B$3:$B43=J$2,Curses!$G$3:$G43=$A27)),"""")"),"")</f>
        <v/>
      </c>
      <c r="K27" s="289" t="str">
        <f ca="1">IFERROR(__xludf.DUMMYFUNCTION("IFERROR(JOIN("";""&amp;CHAR(10),FILTER(Curses!$A$3:$A43,Curses!$B$3:$B43=K$2,Curses!$G$3:$G43=$A27)),"""")"),"")</f>
        <v/>
      </c>
      <c r="L27" s="289" t="str">
        <f ca="1">IFERROR(__xludf.DUMMYFUNCTION("IFERROR(JOIN("";""&amp;CHAR(10),FILTER(Curses!$A$3:$A43,Curses!$B$3:$B43=L$2,Curses!$G$3:$G43=$A27)),"""")"),"")</f>
        <v/>
      </c>
      <c r="M27" s="289" t="str">
        <f ca="1">IFERROR(__xludf.DUMMYFUNCTION("IFERROR(JOIN("";""&amp;CHAR(10),FILTER(Curses!$A$3:$A43,Curses!$B$3:$B43=M$2,Curses!$G$3:$G43=$A27)),"""")"),"")</f>
        <v/>
      </c>
      <c r="N27" s="289" t="str">
        <f ca="1">IFERROR(__xludf.DUMMYFUNCTION("IFERROR(JOIN("";""&amp;CHAR(10),FILTER(Curses!$A$3:$A43,Curses!$B$3:$B43=N$2,Curses!$G$3:$G43=$A27)),"""")"),"")</f>
        <v/>
      </c>
      <c r="O27" s="289" t="str">
        <f ca="1">IFERROR(__xludf.DUMMYFUNCTION("IFERROR(JOIN("";""&amp;CHAR(10),FILTER(Curses!$A$3:$A43,Curses!$B$3:$B43=O$2,Curses!$G$3:$G43=$A27)),"""")"),"")</f>
        <v/>
      </c>
      <c r="P27" s="289" t="str">
        <f ca="1">IFERROR(__xludf.DUMMYFUNCTION("IFERROR(JOIN("";""&amp;CHAR(10),FILTER(Curses!$A$3:$A43,Curses!$B$3:$B43=P$2,Curses!$G$3:$G43=$A27)),"""")"),"")</f>
        <v/>
      </c>
      <c r="Q27" s="289" t="str">
        <f ca="1">IFERROR(__xludf.DUMMYFUNCTION("IFERROR(JOIN("";""&amp;CHAR(10),FILTER(Curses!$A$3:$A43,Curses!$B$3:$B43=Q$2,Curses!$G$3:$G43=$A27)),"""")"),"")</f>
        <v/>
      </c>
      <c r="R27" s="289" t="str">
        <f ca="1">IFERROR(__xludf.DUMMYFUNCTION("IFERROR(JOIN("";""&amp;CHAR(10),FILTER(Curses!$A$3:$A43,Curses!$B$3:$B43=R$2,Curses!$G$3:$G43=$A27)),"""")"),"")</f>
        <v/>
      </c>
      <c r="S27" s="289" t="str">
        <f ca="1">IFERROR(__xludf.DUMMYFUNCTION("IFERROR(JOIN("";""&amp;CHAR(10),FILTER(Curses!$A$3:$A43,Curses!$B$3:$B43=S$2,Curses!$G$3:$G43=$A27)),"""")"),"")</f>
        <v/>
      </c>
      <c r="T27" s="289" t="str">
        <f ca="1">IFERROR(__xludf.DUMMYFUNCTION("IFERROR(JOIN("";""&amp;CHAR(10),FILTER(Curses!$A$3:$A43,Curses!$B$3:$B43=T$2,Curses!$G$3:$G43=$A27)),"""")"),"")</f>
        <v/>
      </c>
      <c r="U27" s="289" t="str">
        <f ca="1">IFERROR(__xludf.DUMMYFUNCTION("IFERROR(JOIN("";""&amp;CHAR(10),FILTER(Curses!$A$3:$A43,Curses!$B$3:$B43=U$2,Curses!$G$3:$G43=$A27)),"""")"),"")</f>
        <v/>
      </c>
      <c r="V27" s="289" t="str">
        <f ca="1">IFERROR(__xludf.DUMMYFUNCTION("IFERROR(JOIN("";""&amp;CHAR(10),FILTER(Curses!$A$3:$A43,Curses!$B$3:$B43=V$2,Curses!$G$3:$G43=$A27)),"""")"),"")</f>
        <v/>
      </c>
      <c r="W27" s="289" t="str">
        <f ca="1">IFERROR(__xludf.DUMMYFUNCTION("IFERROR(JOIN("";""&amp;CHAR(10),FILTER(Curses!$A$3:$A43,Curses!$B$3:$B43=W$2,Curses!$G$3:$G43=$A27)),"""")"),"")</f>
        <v/>
      </c>
      <c r="X27" s="289" t="str">
        <f ca="1">IFERROR(__xludf.DUMMYFUNCTION("IFERROR(JOIN("";""&amp;CHAR(10),FILTER(Curses!$A$3:$A43,Curses!$B$3:$B43=X$2,Curses!$G$3:$G43=$A27)),"""")"),"")</f>
        <v/>
      </c>
      <c r="Y27" s="289" t="str">
        <f ca="1">IFERROR(__xludf.DUMMYFUNCTION("IFERROR(JOIN("";""&amp;CHAR(10),FILTER(Curses!$A$3:$A43,Curses!$B$3:$B43=Y$2,Curses!$G$3:$G43=$A27)),"""")"),"")</f>
        <v/>
      </c>
      <c r="Z27" s="289" t="str">
        <f ca="1">IFERROR(__xludf.DUMMYFUNCTION("IFERROR(JOIN("";""&amp;CHAR(10),FILTER(Curses!$A$3:$A43,Curses!$B$3:$B43=Z$2,Curses!$G$3:$G43=$A27)),"""")"),"")</f>
        <v/>
      </c>
      <c r="AA27" s="289" t="str">
        <f ca="1">IFERROR(__xludf.DUMMYFUNCTION("IFERROR(JOIN("";""&amp;CHAR(10),FILTER(Curses!$A$3:$A43,Curses!$B$3:$B43=AA$2,Curses!$G$3:$G43=$A27)),"""")"),"")</f>
        <v/>
      </c>
      <c r="AB27" s="289" t="str">
        <f ca="1">IFERROR(__xludf.DUMMYFUNCTION("IFERROR(JOIN("";""&amp;CHAR(10),FILTER(Curses!$A$3:$A43,Curses!$B$3:$B43=AB$2,Curses!$G$3:$G43=$A27)),"""")"),"")</f>
        <v/>
      </c>
      <c r="AC27" s="289" t="str">
        <f ca="1">IFERROR(__xludf.DUMMYFUNCTION("IFERROR(JOIN("";""&amp;CHAR(10),FILTER(Curses!$A$3:$A43,Curses!$B$3:$B43=AC$2,Curses!$G$3:$G43=$A27)),"""")"),"")</f>
        <v/>
      </c>
      <c r="AD27" s="289" t="str">
        <f ca="1">IFERROR(__xludf.DUMMYFUNCTION("IFERROR(JOIN("";""&amp;CHAR(10),FILTER(Curses!$A$3:$A43,Curses!$B$3:$B43=AD$2,Curses!$G$3:$G43=$A27)),"""")"),"")</f>
        <v/>
      </c>
      <c r="AE27" s="289" t="str">
        <f ca="1">IFERROR(__xludf.DUMMYFUNCTION("IFERROR(JOIN("";""&amp;CHAR(10),FILTER(Curses!$A$3:$A43,Curses!$B$3:$B43=AE$2,Curses!$G$3:$G43=$A27)),"""")"),"")</f>
        <v/>
      </c>
      <c r="AF27" s="289" t="str">
        <f ca="1">IFERROR(__xludf.DUMMYFUNCTION("IFERROR(JOIN("";""&amp;CHAR(10),FILTER(Curses!$A$3:$A43,Curses!$B$3:$B43=AF$2,Curses!$G$3:$G43=$A27)),"""")"),"")</f>
        <v/>
      </c>
      <c r="AG27" s="289" t="str">
        <f ca="1">IFERROR(__xludf.DUMMYFUNCTION("IFERROR(JOIN("";""&amp;CHAR(10),FILTER(Curses!$A$3:$A43,Curses!$B$3:$B43=AG$2,Curses!$G$3:$G43=$A27)),"""")"),"")</f>
        <v/>
      </c>
      <c r="AH27" s="289" t="str">
        <f ca="1">IFERROR(__xludf.DUMMYFUNCTION("IFERROR(JOIN("";""&amp;CHAR(10),FILTER(Curses!$A$3:$A43,Curses!$B$3:$B43=AH$2,Curses!$G$3:$G43=$A27)),"""")"),"")</f>
        <v/>
      </c>
      <c r="AI27" s="289" t="str">
        <f ca="1">IFERROR(__xludf.DUMMYFUNCTION("IFERROR(JOIN("";""&amp;CHAR(10),FILTER(Curses!$A$3:$A43,Curses!$B$3:$B43=AI$2,Curses!$G$3:$G43=$A27)),"""")"),"")</f>
        <v/>
      </c>
      <c r="AJ27" s="289" t="str">
        <f ca="1">IFERROR(__xludf.DUMMYFUNCTION("IFERROR(JOIN("";""&amp;CHAR(10),FILTER(Curses!$A$3:$A43,Curses!$B$3:$B43=AJ$2,Curses!$G$3:$G43=$A27)),"""")"),"")</f>
        <v/>
      </c>
      <c r="AK27" s="289" t="str">
        <f ca="1">IFERROR(__xludf.DUMMYFUNCTION("IFERROR(JOIN("";""&amp;CHAR(10),FILTER(Curses!$A$3:$A43,Curses!$B$3:$B43=AK$2,Curses!$G$3:$G43=$A27)),"""")"),"")</f>
        <v/>
      </c>
      <c r="AL27" s="289" t="str">
        <f ca="1">IFERROR(__xludf.DUMMYFUNCTION("IFERROR(JOIN("";""&amp;CHAR(10),FILTER(Curses!$A$3:$A43,Curses!$B$3:$B43=AL$2,Curses!$G$3:$G43=$A27)),"""")"),"")</f>
        <v/>
      </c>
      <c r="AM27" s="289" t="str">
        <f ca="1">IFERROR(__xludf.DUMMYFUNCTION("IFERROR(JOIN("";""&amp;CHAR(10),FILTER(Curses!$A$3:$A43,Curses!$B$3:$B43=AM$2,Curses!$G$3:$G43=$A27)),"""")"),"")</f>
        <v/>
      </c>
    </row>
    <row r="28" spans="1:39">
      <c r="A28" s="292" t="str">
        <f ca="1">IFERROR(__xludf.DUMMYFUNCTION("""COMPUTED_VALUE"""),"Frail")</f>
        <v>Frail</v>
      </c>
      <c r="B28" s="289" t="str">
        <f ca="1">IFERROR(__xludf.DUMMYFUNCTION("IFERROR(JOIN("";""&amp;CHAR(10),FILTER(Curses!$A$3:$A43,Curses!$B$3:$B43=B$2,Curses!$G$3:$G43=$A28)),"""")"),"Frail middle")</f>
        <v>Frail middle</v>
      </c>
      <c r="C28" s="289" t="str">
        <f ca="1">IFERROR(__xludf.DUMMYFUNCTION("IFERROR(JOIN("";""&amp;CHAR(10),FILTER(Curses!$A$3:$A43,Curses!$B$3:$B43=C$2,Curses!$G$3:$G43=$A28)),"""")"),"")</f>
        <v/>
      </c>
      <c r="D28" s="289" t="str">
        <f ca="1">IFERROR(__xludf.DUMMYFUNCTION("IFERROR(JOIN("";""&amp;CHAR(10),FILTER(Curses!$A$3:$A43,Curses!$B$3:$B43=D$2,Curses!$G$3:$G43=$A28)),"""")"),"Frail Edges")</f>
        <v>Frail Edges</v>
      </c>
      <c r="E28" s="289" t="str">
        <f ca="1">IFERROR(__xludf.DUMMYFUNCTION("IFERROR(JOIN("";""&amp;CHAR(10),FILTER(Curses!$A$3:$A43,Curses!$B$3:$B43=E$2,Curses!$G$3:$G43=$A28)),"""")"),"")</f>
        <v/>
      </c>
      <c r="F28" s="289" t="str">
        <f ca="1">IFERROR(__xludf.DUMMYFUNCTION("IFERROR(JOIN("";""&amp;CHAR(10),FILTER(Curses!$A$3:$A43,Curses!$B$3:$B43=F$2,Curses!$G$3:$G43=$A28)),"""")"),"")</f>
        <v/>
      </c>
      <c r="G28" s="289" t="str">
        <f ca="1">IFERROR(__xludf.DUMMYFUNCTION("IFERROR(JOIN("";""&amp;CHAR(10),FILTER(Curses!$A$3:$A43,Curses!$B$3:$B43=G$2,Curses!$G$3:$G43=$A28)),"""")"),"")</f>
        <v/>
      </c>
      <c r="H28" s="289" t="str">
        <f ca="1">IFERROR(__xludf.DUMMYFUNCTION("IFERROR(JOIN("";""&amp;CHAR(10),FILTER(Curses!$A$3:$A43,Curses!$B$3:$B43=H$2,Curses!$G$3:$G43=$A28)),"""")"),"")</f>
        <v/>
      </c>
      <c r="I28" s="289" t="str">
        <f ca="1">IFERROR(__xludf.DUMMYFUNCTION("IFERROR(JOIN("";""&amp;CHAR(10),FILTER(Curses!$A$3:$A43,Curses!$B$3:$B43=I$2,Curses!$G$3:$G43=$A28)),"""")"),"")</f>
        <v/>
      </c>
      <c r="J28" s="289" t="str">
        <f ca="1">IFERROR(__xludf.DUMMYFUNCTION("IFERROR(JOIN("";""&amp;CHAR(10),FILTER(Curses!$A$3:$A43,Curses!$B$3:$B43=J$2,Curses!$G$3:$G43=$A28)),"""")"),"Frailty")</f>
        <v>Frailty</v>
      </c>
      <c r="K28" s="289" t="str">
        <f ca="1">IFERROR(__xludf.DUMMYFUNCTION("IFERROR(JOIN("";""&amp;CHAR(10),FILTER(Curses!$A$3:$A43,Curses!$B$3:$B43=K$2,Curses!$G$3:$G43=$A28)),"""")"),"")</f>
        <v/>
      </c>
      <c r="L28" s="289" t="str">
        <f ca="1">IFERROR(__xludf.DUMMYFUNCTION("IFERROR(JOIN("";""&amp;CHAR(10),FILTER(Curses!$A$3:$A43,Curses!$B$3:$B43=L$2,Curses!$G$3:$G43=$A28)),"""")"),"")</f>
        <v/>
      </c>
      <c r="M28" s="289" t="str">
        <f ca="1">IFERROR(__xludf.DUMMYFUNCTION("IFERROR(JOIN("";""&amp;CHAR(10),FILTER(Curses!$A$3:$A43,Curses!$B$3:$B43=M$2,Curses!$G$3:$G43=$A28)),"""")"),"")</f>
        <v/>
      </c>
      <c r="N28" s="289" t="str">
        <f ca="1">IFERROR(__xludf.DUMMYFUNCTION("IFERROR(JOIN("";""&amp;CHAR(10),FILTER(Curses!$A$3:$A43,Curses!$B$3:$B43=N$2,Curses!$G$3:$G43=$A28)),"""")"),"")</f>
        <v/>
      </c>
      <c r="O28" s="289" t="str">
        <f ca="1">IFERROR(__xludf.DUMMYFUNCTION("IFERROR(JOIN("";""&amp;CHAR(10),FILTER(Curses!$A$3:$A43,Curses!$B$3:$B43=O$2,Curses!$G$3:$G43=$A28)),"""")"),"")</f>
        <v/>
      </c>
      <c r="P28" s="289" t="str">
        <f ca="1">IFERROR(__xludf.DUMMYFUNCTION("IFERROR(JOIN("";""&amp;CHAR(10),FILTER(Curses!$A$3:$A43,Curses!$B$3:$B43=P$2,Curses!$G$3:$G43=$A28)),"""")"),"")</f>
        <v/>
      </c>
      <c r="Q28" s="289" t="str">
        <f ca="1">IFERROR(__xludf.DUMMYFUNCTION("IFERROR(JOIN("";""&amp;CHAR(10),FILTER(Curses!$A$3:$A43,Curses!$B$3:$B43=Q$2,Curses!$G$3:$G43=$A28)),"""")"),"")</f>
        <v/>
      </c>
      <c r="R28" s="289" t="str">
        <f ca="1">IFERROR(__xludf.DUMMYFUNCTION("IFERROR(JOIN("";""&amp;CHAR(10),FILTER(Curses!$A$3:$A43,Curses!$B$3:$B43=R$2,Curses!$G$3:$G43=$A28)),"""")"),"")</f>
        <v/>
      </c>
      <c r="S28" s="289" t="str">
        <f ca="1">IFERROR(__xludf.DUMMYFUNCTION("IFERROR(JOIN("";""&amp;CHAR(10),FILTER(Curses!$A$3:$A43,Curses!$B$3:$B43=S$2,Curses!$G$3:$G43=$A28)),"""")"),"")</f>
        <v/>
      </c>
      <c r="T28" s="289" t="str">
        <f ca="1">IFERROR(__xludf.DUMMYFUNCTION("IFERROR(JOIN("";""&amp;CHAR(10),FILTER(Curses!$A$3:$A43,Curses!$B$3:$B43=T$2,Curses!$G$3:$G43=$A28)),"""")"),"")</f>
        <v/>
      </c>
      <c r="U28" s="289" t="str">
        <f ca="1">IFERROR(__xludf.DUMMYFUNCTION("IFERROR(JOIN("";""&amp;CHAR(10),FILTER(Curses!$A$3:$A43,Curses!$B$3:$B43=U$2,Curses!$G$3:$G43=$A28)),"""")"),"")</f>
        <v/>
      </c>
      <c r="V28" s="289" t="str">
        <f ca="1">IFERROR(__xludf.DUMMYFUNCTION("IFERROR(JOIN("";""&amp;CHAR(10),FILTER(Curses!$A$3:$A43,Curses!$B$3:$B43=V$2,Curses!$G$3:$G43=$A28)),"""")"),"")</f>
        <v/>
      </c>
      <c r="W28" s="289" t="str">
        <f ca="1">IFERROR(__xludf.DUMMYFUNCTION("IFERROR(JOIN("";""&amp;CHAR(10),FILTER(Curses!$A$3:$A43,Curses!$B$3:$B43=W$2,Curses!$G$3:$G43=$A28)),"""")"),"")</f>
        <v/>
      </c>
      <c r="X28" s="289" t="str">
        <f ca="1">IFERROR(__xludf.DUMMYFUNCTION("IFERROR(JOIN("";""&amp;CHAR(10),FILTER(Curses!$A$3:$A43,Curses!$B$3:$B43=X$2,Curses!$G$3:$G43=$A28)),"""")"),"")</f>
        <v/>
      </c>
      <c r="Y28" s="289" t="str">
        <f ca="1">IFERROR(__xludf.DUMMYFUNCTION("IFERROR(JOIN("";""&amp;CHAR(10),FILTER(Curses!$A$3:$A43,Curses!$B$3:$B43=Y$2,Curses!$G$3:$G43=$A28)),"""")"),"")</f>
        <v/>
      </c>
      <c r="Z28" s="289" t="str">
        <f ca="1">IFERROR(__xludf.DUMMYFUNCTION("IFERROR(JOIN("";""&amp;CHAR(10),FILTER(Curses!$A$3:$A43,Curses!$B$3:$B43=Z$2,Curses!$G$3:$G43=$A28)),"""")"),"")</f>
        <v/>
      </c>
      <c r="AA28" s="289" t="str">
        <f ca="1">IFERROR(__xludf.DUMMYFUNCTION("IFERROR(JOIN("";""&amp;CHAR(10),FILTER(Curses!$A$3:$A43,Curses!$B$3:$B43=AA$2,Curses!$G$3:$G43=$A28)),"""")"),"")</f>
        <v/>
      </c>
      <c r="AB28" s="289" t="str">
        <f ca="1">IFERROR(__xludf.DUMMYFUNCTION("IFERROR(JOIN("";""&amp;CHAR(10),FILTER(Curses!$A$3:$A43,Curses!$B$3:$B43=AB$2,Curses!$G$3:$G43=$A28)),"""")"),"")</f>
        <v/>
      </c>
      <c r="AC28" s="289" t="str">
        <f ca="1">IFERROR(__xludf.DUMMYFUNCTION("IFERROR(JOIN("";""&amp;CHAR(10),FILTER(Curses!$A$3:$A43,Curses!$B$3:$B43=AC$2,Curses!$G$3:$G43=$A28)),"""")"),"")</f>
        <v/>
      </c>
      <c r="AD28" s="289" t="str">
        <f ca="1">IFERROR(__xludf.DUMMYFUNCTION("IFERROR(JOIN("";""&amp;CHAR(10),FILTER(Curses!$A$3:$A43,Curses!$B$3:$B43=AD$2,Curses!$G$3:$G43=$A28)),"""")"),"")</f>
        <v/>
      </c>
      <c r="AE28" s="289" t="str">
        <f ca="1">IFERROR(__xludf.DUMMYFUNCTION("IFERROR(JOIN("";""&amp;CHAR(10),FILTER(Curses!$A$3:$A43,Curses!$B$3:$B43=AE$2,Curses!$G$3:$G43=$A28)),"""")"),"")</f>
        <v/>
      </c>
      <c r="AF28" s="289" t="str">
        <f ca="1">IFERROR(__xludf.DUMMYFUNCTION("IFERROR(JOIN("";""&amp;CHAR(10),FILTER(Curses!$A$3:$A43,Curses!$B$3:$B43=AF$2,Curses!$G$3:$G43=$A28)),"""")"),"")</f>
        <v/>
      </c>
      <c r="AG28" s="289" t="str">
        <f ca="1">IFERROR(__xludf.DUMMYFUNCTION("IFERROR(JOIN("";""&amp;CHAR(10),FILTER(Curses!$A$3:$A43,Curses!$B$3:$B43=AG$2,Curses!$G$3:$G43=$A28)),"""")"),"")</f>
        <v/>
      </c>
      <c r="AH28" s="289" t="str">
        <f ca="1">IFERROR(__xludf.DUMMYFUNCTION("IFERROR(JOIN("";""&amp;CHAR(10),FILTER(Curses!$A$3:$A43,Curses!$B$3:$B43=AH$2,Curses!$G$3:$G43=$A28)),"""")"),"")</f>
        <v/>
      </c>
      <c r="AI28" s="289" t="str">
        <f ca="1">IFERROR(__xludf.DUMMYFUNCTION("IFERROR(JOIN("";""&amp;CHAR(10),FILTER(Curses!$A$3:$A43,Curses!$B$3:$B43=AI$2,Curses!$G$3:$G43=$A28)),"""")"),"")</f>
        <v/>
      </c>
      <c r="AJ28" s="289" t="str">
        <f ca="1">IFERROR(__xludf.DUMMYFUNCTION("IFERROR(JOIN("";""&amp;CHAR(10),FILTER(Curses!$A$3:$A43,Curses!$B$3:$B43=AJ$2,Curses!$G$3:$G43=$A28)),"""")"),"")</f>
        <v/>
      </c>
      <c r="AK28" s="289" t="str">
        <f ca="1">IFERROR(__xludf.DUMMYFUNCTION("IFERROR(JOIN("";""&amp;CHAR(10),FILTER(Curses!$A$3:$A43,Curses!$B$3:$B43=AK$2,Curses!$G$3:$G43=$A28)),"""")"),"")</f>
        <v/>
      </c>
      <c r="AL28" s="289" t="str">
        <f ca="1">IFERROR(__xludf.DUMMYFUNCTION("IFERROR(JOIN("";""&amp;CHAR(10),FILTER(Curses!$A$3:$A43,Curses!$B$3:$B43=AL$2,Curses!$G$3:$G43=$A28)),"""")"),"")</f>
        <v/>
      </c>
      <c r="AM28" s="289" t="str">
        <f ca="1">IFERROR(__xludf.DUMMYFUNCTION("IFERROR(JOIN("";""&amp;CHAR(10),FILTER(Curses!$A$3:$A43,Curses!$B$3:$B43=AM$2,Curses!$G$3:$G43=$A28)),"""")"),"")</f>
        <v/>
      </c>
    </row>
    <row r="29" spans="1:39">
      <c r="A29" s="292" t="str">
        <f ca="1">IFERROR(__xludf.DUMMYFUNCTION("""COMPUTED_VALUE"""),"Doom")</f>
        <v>Doom</v>
      </c>
      <c r="B29" s="289" t="str">
        <f ca="1">IFERROR(__xludf.DUMMYFUNCTION("IFERROR(JOIN("";""&amp;CHAR(10),FILTER(Curses!$A$3:$A43,Curses!$B$3:$B43=B$2,Curses!$G$3:$G43=$A29)),"""")"),"Doom")</f>
        <v>Doom</v>
      </c>
      <c r="C29" s="289" t="str">
        <f ca="1">IFERROR(__xludf.DUMMYFUNCTION("IFERROR(JOIN("";""&amp;CHAR(10),FILTER(Curses!$A$3:$A43,Curses!$B$3:$B43=C$2,Curses!$G$3:$G43=$A29)),"""")"),"Doom+")</f>
        <v>Doom+</v>
      </c>
      <c r="D29" s="289" t="str">
        <f ca="1">IFERROR(__xludf.DUMMYFUNCTION("IFERROR(JOIN("";""&amp;CHAR(10),FILTER(Curses!$A$3:$A43,Curses!$B$3:$B43=D$2,Curses!$G$3:$G43=$A29)),"""")"),"Doom++")</f>
        <v>Doom++</v>
      </c>
      <c r="E29" s="289" t="str">
        <f ca="1">IFERROR(__xludf.DUMMYFUNCTION("IFERROR(JOIN("";""&amp;CHAR(10),FILTER(Curses!$A$3:$A43,Curses!$B$3:$B43=E$2,Curses!$G$3:$G43=$A29)),"""")"),"Doom+++")</f>
        <v>Doom+++</v>
      </c>
      <c r="F29" s="289" t="str">
        <f ca="1">IFERROR(__xludf.DUMMYFUNCTION("IFERROR(JOIN("";""&amp;CHAR(10),FILTER(Curses!$A$3:$A43,Curses!$B$3:$B43=F$2,Curses!$G$3:$G43=$A29)),"""")"),"")</f>
        <v/>
      </c>
      <c r="G29" s="289" t="str">
        <f ca="1">IFERROR(__xludf.DUMMYFUNCTION("IFERROR(JOIN("";""&amp;CHAR(10),FILTER(Curses!$A$3:$A43,Curses!$B$3:$B43=G$2,Curses!$G$3:$G43=$A29)),"""")"),"Doom++++")</f>
        <v>Doom++++</v>
      </c>
      <c r="H29" s="289" t="str">
        <f ca="1">IFERROR(__xludf.DUMMYFUNCTION("IFERROR(JOIN("";""&amp;CHAR(10),FILTER(Curses!$A$3:$A43,Curses!$B$3:$B43=H$2,Curses!$G$3:$G43=$A29)),"""")"),"")</f>
        <v/>
      </c>
      <c r="I29" s="289" t="str">
        <f ca="1">IFERROR(__xludf.DUMMYFUNCTION("IFERROR(JOIN("";""&amp;CHAR(10),FILTER(Curses!$A$3:$A43,Curses!$B$3:$B43=I$2,Curses!$G$3:$G43=$A29)),"""")"),"Doom+++++")</f>
        <v>Doom+++++</v>
      </c>
      <c r="J29" s="289" t="str">
        <f ca="1">IFERROR(__xludf.DUMMYFUNCTION("IFERROR(JOIN("";""&amp;CHAR(10),FILTER(Curses!$A$3:$A43,Curses!$B$3:$B43=J$2,Curses!$G$3:$G43=$A29)),"""")"),"")</f>
        <v/>
      </c>
      <c r="K29" s="289" t="str">
        <f ca="1">IFERROR(__xludf.DUMMYFUNCTION("IFERROR(JOIN("";""&amp;CHAR(10),FILTER(Curses!$A$3:$A43,Curses!$B$3:$B43=K$2,Curses!$G$3:$G43=$A29)),"""")"),"")</f>
        <v/>
      </c>
      <c r="L29" s="289" t="str">
        <f ca="1">IFERROR(__xludf.DUMMYFUNCTION("IFERROR(JOIN("";""&amp;CHAR(10),FILTER(Curses!$A$3:$A43,Curses!$B$3:$B43=L$2,Curses!$G$3:$G43=$A29)),"""")"),"")</f>
        <v/>
      </c>
      <c r="M29" s="289" t="str">
        <f ca="1">IFERROR(__xludf.DUMMYFUNCTION("IFERROR(JOIN("";""&amp;CHAR(10),FILTER(Curses!$A$3:$A43,Curses!$B$3:$B43=M$2,Curses!$G$3:$G43=$A29)),"""")"),"")</f>
        <v/>
      </c>
      <c r="N29" s="289" t="str">
        <f ca="1">IFERROR(__xludf.DUMMYFUNCTION("IFERROR(JOIN("";""&amp;CHAR(10),FILTER(Curses!$A$3:$A43,Curses!$B$3:$B43=N$2,Curses!$G$3:$G43=$A29)),"""")"),"Doom++++++")</f>
        <v>Doom++++++</v>
      </c>
      <c r="O29" s="289" t="str">
        <f ca="1">IFERROR(__xludf.DUMMYFUNCTION("IFERROR(JOIN("";""&amp;CHAR(10),FILTER(Curses!$A$3:$A43,Curses!$B$3:$B43=O$2,Curses!$G$3:$G43=$A29)),"""")"),"")</f>
        <v/>
      </c>
      <c r="P29" s="289" t="str">
        <f ca="1">IFERROR(__xludf.DUMMYFUNCTION("IFERROR(JOIN("";""&amp;CHAR(10),FILTER(Curses!$A$3:$A43,Curses!$B$3:$B43=P$2,Curses!$G$3:$G43=$A29)),"""")"),"")</f>
        <v/>
      </c>
      <c r="Q29" s="289" t="str">
        <f ca="1">IFERROR(__xludf.DUMMYFUNCTION("IFERROR(JOIN("";""&amp;CHAR(10),FILTER(Curses!$A$3:$A43,Curses!$B$3:$B43=Q$2,Curses!$G$3:$G43=$A29)),"""")"),"")</f>
        <v/>
      </c>
      <c r="R29" s="289" t="str">
        <f ca="1">IFERROR(__xludf.DUMMYFUNCTION("IFERROR(JOIN("";""&amp;CHAR(10),FILTER(Curses!$A$3:$A43,Curses!$B$3:$B43=R$2,Curses!$G$3:$G43=$A29)),"""")"),"")</f>
        <v/>
      </c>
      <c r="S29" s="289" t="str">
        <f ca="1">IFERROR(__xludf.DUMMYFUNCTION("IFERROR(JOIN("";""&amp;CHAR(10),FILTER(Curses!$A$3:$A43,Curses!$B$3:$B43=S$2,Curses!$G$3:$G43=$A29)),"""")"),"")</f>
        <v/>
      </c>
      <c r="T29" s="289" t="str">
        <f ca="1">IFERROR(__xludf.DUMMYFUNCTION("IFERROR(JOIN("";""&amp;CHAR(10),FILTER(Curses!$A$3:$A43,Curses!$B$3:$B43=T$2,Curses!$G$3:$G43=$A29)),"""")"),"")</f>
        <v/>
      </c>
      <c r="U29" s="289" t="str">
        <f ca="1">IFERROR(__xludf.DUMMYFUNCTION("IFERROR(JOIN("";""&amp;CHAR(10),FILTER(Curses!$A$3:$A43,Curses!$B$3:$B43=U$2,Curses!$G$3:$G43=$A29)),"""")"),"")</f>
        <v/>
      </c>
      <c r="V29" s="289" t="str">
        <f ca="1">IFERROR(__xludf.DUMMYFUNCTION("IFERROR(JOIN("";""&amp;CHAR(10),FILTER(Curses!$A$3:$A43,Curses!$B$3:$B43=V$2,Curses!$G$3:$G43=$A29)),"""")"),"")</f>
        <v/>
      </c>
      <c r="W29" s="289" t="str">
        <f ca="1">IFERROR(__xludf.DUMMYFUNCTION("IFERROR(JOIN("";""&amp;CHAR(10),FILTER(Curses!$A$3:$A43,Curses!$B$3:$B43=W$2,Curses!$G$3:$G43=$A29)),"""")"),"")</f>
        <v/>
      </c>
      <c r="X29" s="289" t="str">
        <f ca="1">IFERROR(__xludf.DUMMYFUNCTION("IFERROR(JOIN("";""&amp;CHAR(10),FILTER(Curses!$A$3:$A43,Curses!$B$3:$B43=X$2,Curses!$G$3:$G43=$A29)),"""")"),"")</f>
        <v/>
      </c>
      <c r="Y29" s="289" t="str">
        <f ca="1">IFERROR(__xludf.DUMMYFUNCTION("IFERROR(JOIN("";""&amp;CHAR(10),FILTER(Curses!$A$3:$A43,Curses!$B$3:$B43=Y$2,Curses!$G$3:$G43=$A29)),"""")"),"Doom+++++++")</f>
        <v>Doom+++++++</v>
      </c>
      <c r="Z29" s="289" t="str">
        <f ca="1">IFERROR(__xludf.DUMMYFUNCTION("IFERROR(JOIN("";""&amp;CHAR(10),FILTER(Curses!$A$3:$A43,Curses!$B$3:$B43=Z$2,Curses!$G$3:$G43=$A29)),"""")"),"")</f>
        <v/>
      </c>
      <c r="AA29" s="289" t="str">
        <f ca="1">IFERROR(__xludf.DUMMYFUNCTION("IFERROR(JOIN("";""&amp;CHAR(10),FILTER(Curses!$A$3:$A43,Curses!$B$3:$B43=AA$2,Curses!$G$3:$G43=$A29)),"""")"),"")</f>
        <v/>
      </c>
      <c r="AB29" s="289" t="str">
        <f ca="1">IFERROR(__xludf.DUMMYFUNCTION("IFERROR(JOIN("";""&amp;CHAR(10),FILTER(Curses!$A$3:$A43,Curses!$B$3:$B43=AB$2,Curses!$G$3:$G43=$A29)),"""")"),"")</f>
        <v/>
      </c>
      <c r="AC29" s="289" t="str">
        <f ca="1">IFERROR(__xludf.DUMMYFUNCTION("IFERROR(JOIN("";""&amp;CHAR(10),FILTER(Curses!$A$3:$A43,Curses!$B$3:$B43=AC$2,Curses!$G$3:$G43=$A29)),"""")"),"")</f>
        <v/>
      </c>
      <c r="AD29" s="289" t="str">
        <f ca="1">IFERROR(__xludf.DUMMYFUNCTION("IFERROR(JOIN("";""&amp;CHAR(10),FILTER(Curses!$A$3:$A43,Curses!$B$3:$B43=AD$2,Curses!$G$3:$G43=$A29)),"""")"),"")</f>
        <v/>
      </c>
      <c r="AE29" s="289" t="str">
        <f ca="1">IFERROR(__xludf.DUMMYFUNCTION("IFERROR(JOIN("";""&amp;CHAR(10),FILTER(Curses!$A$3:$A43,Curses!$B$3:$B43=AE$2,Curses!$G$3:$G43=$A29)),"""")"),"")</f>
        <v/>
      </c>
      <c r="AF29" s="289" t="str">
        <f ca="1">IFERROR(__xludf.DUMMYFUNCTION("IFERROR(JOIN("";""&amp;CHAR(10),FILTER(Curses!$A$3:$A43,Curses!$B$3:$B43=AF$2,Curses!$G$3:$G43=$A29)),"""")"),"")</f>
        <v/>
      </c>
      <c r="AG29" s="289" t="str">
        <f ca="1">IFERROR(__xludf.DUMMYFUNCTION("IFERROR(JOIN("";""&amp;CHAR(10),FILTER(Curses!$A$3:$A43,Curses!$B$3:$B43=AG$2,Curses!$G$3:$G43=$A29)),"""")"),"")</f>
        <v/>
      </c>
      <c r="AH29" s="289" t="str">
        <f ca="1">IFERROR(__xludf.DUMMYFUNCTION("IFERROR(JOIN("";""&amp;CHAR(10),FILTER(Curses!$A$3:$A43,Curses!$B$3:$B43=AH$2,Curses!$G$3:$G43=$A29)),"""")"),"")</f>
        <v/>
      </c>
      <c r="AI29" s="289" t="str">
        <f ca="1">IFERROR(__xludf.DUMMYFUNCTION("IFERROR(JOIN("";""&amp;CHAR(10),FILTER(Curses!$A$3:$A43,Curses!$B$3:$B43=AI$2,Curses!$G$3:$G43=$A29)),"""")"),"")</f>
        <v/>
      </c>
      <c r="AJ29" s="289" t="str">
        <f ca="1">IFERROR(__xludf.DUMMYFUNCTION("IFERROR(JOIN("";""&amp;CHAR(10),FILTER(Curses!$A$3:$A43,Curses!$B$3:$B43=AJ$2,Curses!$G$3:$G43=$A29)),"""")"),"")</f>
        <v/>
      </c>
      <c r="AK29" s="289" t="str">
        <f ca="1">IFERROR(__xludf.DUMMYFUNCTION("IFERROR(JOIN("";""&amp;CHAR(10),FILTER(Curses!$A$3:$A43,Curses!$B$3:$B43=AK$2,Curses!$G$3:$G43=$A29)),"""")"),"")</f>
        <v/>
      </c>
      <c r="AL29" s="289" t="str">
        <f ca="1">IFERROR(__xludf.DUMMYFUNCTION("IFERROR(JOIN("";""&amp;CHAR(10),FILTER(Curses!$A$3:$A43,Curses!$B$3:$B43=AL$2,Curses!$G$3:$G43=$A29)),"""")"),"")</f>
        <v/>
      </c>
      <c r="AM29" s="289" t="str">
        <f ca="1">IFERROR(__xludf.DUMMYFUNCTION("IFERROR(JOIN("";""&amp;CHAR(10),FILTER(Curses!$A$3:$A43,Curses!$B$3:$B43=AM$2,Curses!$G$3:$G43=$A29)),"""")"),"")</f>
        <v/>
      </c>
    </row>
    <row r="30" spans="1:39">
      <c r="A30" s="292" t="str">
        <f ca="1">IFERROR(__xludf.DUMMYFUNCTION("""COMPUTED_VALUE"""),"Monster Left")</f>
        <v>Monster Left</v>
      </c>
      <c r="B30" s="289" t="str">
        <f ca="1">IFERROR(__xludf.DUMMYFUNCTION("IFERROR(JOIN("";""&amp;CHAR(10),FILTER(Curses!$A$3:$A43,Curses!$B$3:$B43=B$2,Curses!$G$3:$G43=$A30)),"""")"),"Monster Left +1")</f>
        <v>Monster Left +1</v>
      </c>
      <c r="C30" s="289" t="str">
        <f ca="1">IFERROR(__xludf.DUMMYFUNCTION("IFERROR(JOIN("";""&amp;CHAR(10),FILTER(Curses!$A$3:$A43,Curses!$B$3:$B43=C$2,Curses!$G$3:$G43=$A30)),"""")"),"Monster Left +2 ")</f>
        <v xml:space="preserve">Monster Left +2 </v>
      </c>
      <c r="D30" s="289" t="str">
        <f ca="1">IFERROR(__xludf.DUMMYFUNCTION("IFERROR(JOIN("";""&amp;CHAR(10),FILTER(Curses!$A$3:$A43,Curses!$B$3:$B43=D$2,Curses!$G$3:$G43=$A30)),"""")"),"Monster Left +3")</f>
        <v>Monster Left +3</v>
      </c>
      <c r="E30" s="289" t="str">
        <f ca="1">IFERROR(__xludf.DUMMYFUNCTION("IFERROR(JOIN("";""&amp;CHAR(10),FILTER(Curses!$A$3:$A43,Curses!$B$3:$B43=E$2,Curses!$G$3:$G43=$A30)),"""")"),"Monster Left +4")</f>
        <v>Monster Left +4</v>
      </c>
      <c r="F30" s="289" t="str">
        <f ca="1">IFERROR(__xludf.DUMMYFUNCTION("IFERROR(JOIN("";""&amp;CHAR(10),FILTER(Curses!$A$3:$A43,Curses!$B$3:$B43=F$2,Curses!$G$3:$G43=$A30)),"""")"),"Monster Left +5")</f>
        <v>Monster Left +5</v>
      </c>
      <c r="G30" s="289" t="str">
        <f ca="1">IFERROR(__xludf.DUMMYFUNCTION("IFERROR(JOIN("";""&amp;CHAR(10),FILTER(Curses!$A$3:$A43,Curses!$B$3:$B43=G$2,Curses!$G$3:$G43=$A30)),"""")"),"")</f>
        <v/>
      </c>
      <c r="H30" s="289" t="str">
        <f ca="1">IFERROR(__xludf.DUMMYFUNCTION("IFERROR(JOIN("";""&amp;CHAR(10),FILTER(Curses!$A$3:$A43,Curses!$B$3:$B43=H$2,Curses!$G$3:$G43=$A30)),"""")"),"")</f>
        <v/>
      </c>
      <c r="I30" s="289" t="str">
        <f ca="1">IFERROR(__xludf.DUMMYFUNCTION("IFERROR(JOIN("";""&amp;CHAR(10),FILTER(Curses!$A$3:$A43,Curses!$B$3:$B43=I$2,Curses!$G$3:$G43=$A30)),"""")"),"")</f>
        <v/>
      </c>
      <c r="J30" s="289" t="str">
        <f ca="1">IFERROR(__xludf.DUMMYFUNCTION("IFERROR(JOIN("";""&amp;CHAR(10),FILTER(Curses!$A$3:$A43,Curses!$B$3:$B43=J$2,Curses!$G$3:$G43=$A30)),"""")"),"")</f>
        <v/>
      </c>
      <c r="K30" s="289" t="str">
        <f ca="1">IFERROR(__xludf.DUMMYFUNCTION("IFERROR(JOIN("";""&amp;CHAR(10),FILTER(Curses!$A$3:$A43,Curses!$B$3:$B43=K$2,Curses!$G$3:$G43=$A30)),"""")"),"")</f>
        <v/>
      </c>
      <c r="L30" s="289" t="str">
        <f ca="1">IFERROR(__xludf.DUMMYFUNCTION("IFERROR(JOIN("";""&amp;CHAR(10),FILTER(Curses!$A$3:$A43,Curses!$B$3:$B43=L$2,Curses!$G$3:$G43=$A30)),"""")"),"")</f>
        <v/>
      </c>
      <c r="M30" s="289" t="str">
        <f ca="1">IFERROR(__xludf.DUMMYFUNCTION("IFERROR(JOIN("";""&amp;CHAR(10),FILTER(Curses!$A$3:$A43,Curses!$B$3:$B43=M$2,Curses!$G$3:$G43=$A30)),"""")"),"")</f>
        <v/>
      </c>
      <c r="N30" s="289" t="str">
        <f ca="1">IFERROR(__xludf.DUMMYFUNCTION("IFERROR(JOIN("";""&amp;CHAR(10),FILTER(Curses!$A$3:$A43,Curses!$B$3:$B43=N$2,Curses!$G$3:$G43=$A30)),"""")"),"")</f>
        <v/>
      </c>
      <c r="O30" s="289" t="str">
        <f ca="1">IFERROR(__xludf.DUMMYFUNCTION("IFERROR(JOIN("";""&amp;CHAR(10),FILTER(Curses!$A$3:$A43,Curses!$B$3:$B43=O$2,Curses!$G$3:$G43=$A30)),"""")"),"")</f>
        <v/>
      </c>
      <c r="P30" s="289" t="str">
        <f ca="1">IFERROR(__xludf.DUMMYFUNCTION("IFERROR(JOIN("";""&amp;CHAR(10),FILTER(Curses!$A$3:$A43,Curses!$B$3:$B43=P$2,Curses!$G$3:$G43=$A30)),"""")"),"")</f>
        <v/>
      </c>
      <c r="Q30" s="289" t="str">
        <f ca="1">IFERROR(__xludf.DUMMYFUNCTION("IFERROR(JOIN("";""&amp;CHAR(10),FILTER(Curses!$A$3:$A43,Curses!$B$3:$B43=Q$2,Curses!$G$3:$G43=$A30)),"""")"),"")</f>
        <v/>
      </c>
      <c r="R30" s="289" t="str">
        <f ca="1">IFERROR(__xludf.DUMMYFUNCTION("IFERROR(JOIN("";""&amp;CHAR(10),FILTER(Curses!$A$3:$A43,Curses!$B$3:$B43=R$2,Curses!$G$3:$G43=$A30)),"""")"),"")</f>
        <v/>
      </c>
      <c r="S30" s="289" t="str">
        <f ca="1">IFERROR(__xludf.DUMMYFUNCTION("IFERROR(JOIN("";""&amp;CHAR(10),FILTER(Curses!$A$3:$A43,Curses!$B$3:$B43=S$2,Curses!$G$3:$G43=$A30)),"""")"),"")</f>
        <v/>
      </c>
      <c r="T30" s="289" t="str">
        <f ca="1">IFERROR(__xludf.DUMMYFUNCTION("IFERROR(JOIN("";""&amp;CHAR(10),FILTER(Curses!$A$3:$A43,Curses!$B$3:$B43=T$2,Curses!$G$3:$G43=$A30)),"""")"),"")</f>
        <v/>
      </c>
      <c r="U30" s="289" t="str">
        <f ca="1">IFERROR(__xludf.DUMMYFUNCTION("IFERROR(JOIN("";""&amp;CHAR(10),FILTER(Curses!$A$3:$A43,Curses!$B$3:$B43=U$2,Curses!$G$3:$G43=$A30)),"""")"),"")</f>
        <v/>
      </c>
      <c r="V30" s="289" t="str">
        <f ca="1">IFERROR(__xludf.DUMMYFUNCTION("IFERROR(JOIN("";""&amp;CHAR(10),FILTER(Curses!$A$3:$A43,Curses!$B$3:$B43=V$2,Curses!$G$3:$G43=$A30)),"""")"),"")</f>
        <v/>
      </c>
      <c r="W30" s="289" t="str">
        <f ca="1">IFERROR(__xludf.DUMMYFUNCTION("IFERROR(JOIN("";""&amp;CHAR(10),FILTER(Curses!$A$3:$A43,Curses!$B$3:$B43=W$2,Curses!$G$3:$G43=$A30)),"""")"),"")</f>
        <v/>
      </c>
      <c r="X30" s="289" t="str">
        <f ca="1">IFERROR(__xludf.DUMMYFUNCTION("IFERROR(JOIN("";""&amp;CHAR(10),FILTER(Curses!$A$3:$A43,Curses!$B$3:$B43=X$2,Curses!$G$3:$G43=$A30)),"""")"),"")</f>
        <v/>
      </c>
      <c r="Y30" s="289" t="str">
        <f ca="1">IFERROR(__xludf.DUMMYFUNCTION("IFERROR(JOIN("";""&amp;CHAR(10),FILTER(Curses!$A$3:$A43,Curses!$B$3:$B43=Y$2,Curses!$G$3:$G43=$A30)),"""")"),"")</f>
        <v/>
      </c>
      <c r="Z30" s="289" t="str">
        <f ca="1">IFERROR(__xludf.DUMMYFUNCTION("IFERROR(JOIN("";""&amp;CHAR(10),FILTER(Curses!$A$3:$A43,Curses!$B$3:$B43=Z$2,Curses!$G$3:$G43=$A30)),"""")"),"")</f>
        <v/>
      </c>
      <c r="AA30" s="289" t="str">
        <f ca="1">IFERROR(__xludf.DUMMYFUNCTION("IFERROR(JOIN("";""&amp;CHAR(10),FILTER(Curses!$A$3:$A43,Curses!$B$3:$B43=AA$2,Curses!$G$3:$G43=$A30)),"""")"),"")</f>
        <v/>
      </c>
      <c r="AB30" s="289" t="str">
        <f ca="1">IFERROR(__xludf.DUMMYFUNCTION("IFERROR(JOIN("";""&amp;CHAR(10),FILTER(Curses!$A$3:$A43,Curses!$B$3:$B43=AB$2,Curses!$G$3:$G43=$A30)),"""")"),"")</f>
        <v/>
      </c>
      <c r="AC30" s="289" t="str">
        <f ca="1">IFERROR(__xludf.DUMMYFUNCTION("IFERROR(JOIN("";""&amp;CHAR(10),FILTER(Curses!$A$3:$A43,Curses!$B$3:$B43=AC$2,Curses!$G$3:$G43=$A30)),"""")"),"")</f>
        <v/>
      </c>
      <c r="AD30" s="289" t="str">
        <f ca="1">IFERROR(__xludf.DUMMYFUNCTION("IFERROR(JOIN("";""&amp;CHAR(10),FILTER(Curses!$A$3:$A43,Curses!$B$3:$B43=AD$2,Curses!$G$3:$G43=$A30)),"""")"),"")</f>
        <v/>
      </c>
      <c r="AE30" s="289" t="str">
        <f ca="1">IFERROR(__xludf.DUMMYFUNCTION("IFERROR(JOIN("";""&amp;CHAR(10),FILTER(Curses!$A$3:$A43,Curses!$B$3:$B43=AE$2,Curses!$G$3:$G43=$A30)),"""")"),"")</f>
        <v/>
      </c>
      <c r="AF30" s="289" t="str">
        <f ca="1">IFERROR(__xludf.DUMMYFUNCTION("IFERROR(JOIN("";""&amp;CHAR(10),FILTER(Curses!$A$3:$A43,Curses!$B$3:$B43=AF$2,Curses!$G$3:$G43=$A30)),"""")"),"")</f>
        <v/>
      </c>
      <c r="AG30" s="289" t="str">
        <f ca="1">IFERROR(__xludf.DUMMYFUNCTION("IFERROR(JOIN("";""&amp;CHAR(10),FILTER(Curses!$A$3:$A43,Curses!$B$3:$B43=AG$2,Curses!$G$3:$G43=$A30)),"""")"),"")</f>
        <v/>
      </c>
      <c r="AH30" s="289" t="str">
        <f ca="1">IFERROR(__xludf.DUMMYFUNCTION("IFERROR(JOIN("";""&amp;CHAR(10),FILTER(Curses!$A$3:$A43,Curses!$B$3:$B43=AH$2,Curses!$G$3:$G43=$A30)),"""")"),"")</f>
        <v/>
      </c>
      <c r="AI30" s="289" t="str">
        <f ca="1">IFERROR(__xludf.DUMMYFUNCTION("IFERROR(JOIN("";""&amp;CHAR(10),FILTER(Curses!$A$3:$A43,Curses!$B$3:$B43=AI$2,Curses!$G$3:$G43=$A30)),"""")"),"")</f>
        <v/>
      </c>
      <c r="AJ30" s="289" t="str">
        <f ca="1">IFERROR(__xludf.DUMMYFUNCTION("IFERROR(JOIN("";""&amp;CHAR(10),FILTER(Curses!$A$3:$A43,Curses!$B$3:$B43=AJ$2,Curses!$G$3:$G43=$A30)),"""")"),"")</f>
        <v/>
      </c>
      <c r="AK30" s="289" t="str">
        <f ca="1">IFERROR(__xludf.DUMMYFUNCTION("IFERROR(JOIN("";""&amp;CHAR(10),FILTER(Curses!$A$3:$A43,Curses!$B$3:$B43=AK$2,Curses!$G$3:$G43=$A30)),"""")"),"")</f>
        <v/>
      </c>
      <c r="AL30" s="289" t="str">
        <f ca="1">IFERROR(__xludf.DUMMYFUNCTION("IFERROR(JOIN("";""&amp;CHAR(10),FILTER(Curses!$A$3:$A43,Curses!$B$3:$B43=AL$2,Curses!$G$3:$G43=$A30)),"""")"),"")</f>
        <v/>
      </c>
      <c r="AM30" s="289" t="str">
        <f ca="1">IFERROR(__xludf.DUMMYFUNCTION("IFERROR(JOIN("";""&amp;CHAR(10),FILTER(Curses!$A$3:$A43,Curses!$B$3:$B43=AM$2,Curses!$G$3:$G43=$A30)),"""")"),"")</f>
        <v/>
      </c>
    </row>
    <row r="31" spans="1:39">
      <c r="A31" s="292" t="str">
        <f ca="1">IFERROR(__xludf.DUMMYFUNCTION("""COMPUTED_VALUE"""),"Add Enemy (11-20)")</f>
        <v>Add Enemy (11-20)</v>
      </c>
      <c r="B31" s="289" t="str">
        <f ca="1">IFERROR(__xludf.DUMMYFUNCTION("IFERROR(JOIN("";""&amp;CHAR(10),FILTER(Curses!$A$3:$A43,Curses!$B$3:$B43=B$2,Curses!$G$3:$G43=$A31)),"""")"),"Add Slimelet (11-20);
Add Illusion (11-20);
Add Archer (11-20);
Add Spider (11-20);
Add Rat (11-20)")</f>
        <v>Add Slimelet (11-20);
Add Illusion (11-20);
Add Archer (11-20);
Add Spider (11-20);
Add Rat (11-20)</v>
      </c>
      <c r="C31" s="289" t="str">
        <f ca="1">IFERROR(__xludf.DUMMYFUNCTION("IFERROR(JOIN("";""&amp;CHAR(10),FILTER(Curses!$A$3:$A43,Curses!$B$3:$B43=C$2,Curses!$G$3:$G43=$A31)),"""")"),"Add Wisp (11-20);
Add Goblin (11-20);
Add Wolf (11-20)")</f>
        <v>Add Wisp (11-20);
Add Goblin (11-20);
Add Wolf (11-20)</v>
      </c>
      <c r="D31" s="289" t="str">
        <f ca="1">IFERROR(__xludf.DUMMYFUNCTION("IFERROR(JOIN("";""&amp;CHAR(10),FILTER(Curses!$A$3:$A43,Curses!$B$3:$B43=D$2,Curses!$G$3:$G43=$A31)),"""")"),"Add Imp (11-20);
Add Grave (11-20);
Add Quartz (11-20);
Add Sudul (11-20);
Add Snake (11-20);
Add Gnoll (11-20);
Add Thorn (11-20);
Add Sniper (11-20);
Add Caw Egg (11-20);
Add Bandit (11-20);
Add Crone (11-20);
Add Boar (11-20)")</f>
        <v>Add Imp (11-20);
Add Grave (11-20);
Add Quartz (11-20);
Add Sudul (11-20);
Add Snake (11-20);
Add Gnoll (11-20);
Add Thorn (11-20);
Add Sniper (11-20);
Add Caw Egg (11-20);
Add Bandit (11-20);
Add Crone (11-20);
Add Boar (11-20)</v>
      </c>
      <c r="E31" s="289" t="str">
        <f ca="1">IFERROR(__xludf.DUMMYFUNCTION("IFERROR(JOIN("";""&amp;CHAR(10),FILTER(Curses!$A$3:$A43,Curses!$B$3:$B43=E$2,Curses!$G$3:$G43=$A31)),"""")"),"Add Fanatic (11-20);
Add Zombie (11-20);
Add Wizz (11-20);
Add Slimer (11-20);
Add Ghost (11-20);
Add Dragon Egg (11-20)")</f>
        <v>Add Fanatic (11-20);
Add Zombie (11-20);
Add Wizz (11-20);
Add Slimer (11-20);
Add Ghost (11-20);
Add Dragon Egg (11-20)</v>
      </c>
      <c r="F31" s="289" t="str">
        <f ca="1">IFERROR(__xludf.DUMMYFUNCTION("IFERROR(JOIN("";""&amp;CHAR(10),FILTER(Curses!$A$3:$A43,Curses!$B$3:$B43=F$2,Curses!$G$3:$G43=$A31)),"""")"),"Add Saber (11-20);
Add Caw (11-20);
Add Warchief (11-20)")</f>
        <v>Add Saber (11-20);
Add Caw (11-20);
Add Warchief (11-20)</v>
      </c>
      <c r="G31" s="289" t="str">
        <f ca="1">IFERROR(__xludf.DUMMYFUNCTION("IFERROR(JOIN("";""&amp;CHAR(10),FILTER(Curses!$A$3:$A43,Curses!$B$3:$B43=G$2,Curses!$G$3:$G43=$A31)),"""")"),"Add Slate (11-20);
Add Alpha (11-20);
Add Ogre (11-20)")</f>
        <v>Add Slate (11-20);
Add Alpha (11-20);
Add Ogre (11-20)</v>
      </c>
      <c r="H31" s="289" t="str">
        <f ca="1">IFERROR(__xludf.DUMMYFUNCTION("IFERROR(JOIN("";""&amp;CHAR(10),FILTER(Curses!$A$3:$A43,Curses!$B$3:$B43=H$2,Curses!$G$3:$G43=$A31)),"""")"),"Add Demon (11-20);
Add Basilisk (11-20);
Add Cyclops (11-20);
Add Bramble (11-20);
Add Z0mbie (11-20)")</f>
        <v>Add Demon (11-20);
Add Basilisk (11-20);
Add Cyclops (11-20);
Add Bramble (11-20);
Add Z0mbie (11-20)</v>
      </c>
      <c r="I31" s="289" t="str">
        <f ca="1">IFERROR(__xludf.DUMMYFUNCTION("IFERROR(JOIN("";""&amp;CHAR(10),FILTER(Curses!$A$3:$A43,Curses!$B$3:$B43=I$2,Curses!$G$3:$G43=$A31)),"""")"),"")</f>
        <v/>
      </c>
      <c r="J31" s="289" t="str">
        <f ca="1">IFERROR(__xludf.DUMMYFUNCTION("IFERROR(JOIN("";""&amp;CHAR(10),FILTER(Curses!$A$3:$A43,Curses!$B$3:$B43=J$2,Curses!$G$3:$G43=$A31)),"""")"),"Add Troll (11-20);
Add Banshee (11-20);
Add Spiker (11-20)")</f>
        <v>Add Troll (11-20);
Add Banshee (11-20);
Add Spiker (11-20)</v>
      </c>
      <c r="K31" s="289" t="str">
        <f ca="1">IFERROR(__xludf.DUMMYFUNCTION("IFERROR(JOIN("";""&amp;CHAR(10),FILTER(Curses!$A$3:$A43,Curses!$B$3:$B43=K$2,Curses!$G$3:$G43=$A31)),"""")"),"")</f>
        <v/>
      </c>
      <c r="L31" s="289" t="str">
        <f ca="1">IFERROR(__xludf.DUMMYFUNCTION("IFERROR(JOIN("";""&amp;CHAR(10),FILTER(Curses!$A$3:$A43,Curses!$B$3:$B43=L$2,Curses!$G$3:$G43=$A31)),"""")"),"")</f>
        <v/>
      </c>
      <c r="M31" s="289" t="str">
        <f ca="1">IFERROR(__xludf.DUMMYFUNCTION("IFERROR(JOIN("";""&amp;CHAR(10),FILTER(Curses!$A$3:$A43,Curses!$B$3:$B43=M$2,Curses!$G$3:$G43=$A31)),"""")"),"Add Hydra (11-20)")</f>
        <v>Add Hydra (11-20)</v>
      </c>
      <c r="N31" s="289" t="str">
        <f ca="1">IFERROR(__xludf.DUMMYFUNCTION("IFERROR(JOIN("";""&amp;CHAR(10),FILTER(Curses!$A$3:$A43,Curses!$B$3:$B43=N$2,Curses!$G$3:$G43=$A31)),"""")"),"")</f>
        <v/>
      </c>
      <c r="O31" s="289" t="str">
        <f ca="1">IFERROR(__xludf.DUMMYFUNCTION("IFERROR(JOIN("";""&amp;CHAR(10),FILTER(Curses!$A$3:$A43,Curses!$B$3:$B43=O$2,Curses!$G$3:$G43=$A31)),"""")"),"Add Lich (11-20)")</f>
        <v>Add Lich (11-20)</v>
      </c>
      <c r="P31" s="289" t="str">
        <f ca="1">IFERROR(__xludf.DUMMYFUNCTION("IFERROR(JOIN("";""&amp;CHAR(10),FILTER(Curses!$A$3:$A43,Curses!$B$3:$B43=P$2,Curses!$G$3:$G43=$A31)),"""")"),"")</f>
        <v/>
      </c>
      <c r="Q31" s="289" t="str">
        <f ca="1">IFERROR(__xludf.DUMMYFUNCTION("IFERROR(JOIN("";""&amp;CHAR(10),FILTER(Curses!$A$3:$A43,Curses!$B$3:$B43=Q$2,Curses!$G$3:$G43=$A31)),"""")"),"")</f>
        <v/>
      </c>
      <c r="R31" s="289" t="str">
        <f ca="1">IFERROR(__xludf.DUMMYFUNCTION("IFERROR(JOIN("";""&amp;CHAR(10),FILTER(Curses!$A$3:$A43,Curses!$B$3:$B43=R$2,Curses!$G$3:$G43=$A31)),"""")"),"")</f>
        <v/>
      </c>
      <c r="S31" s="289" t="str">
        <f ca="1">IFERROR(__xludf.DUMMYFUNCTION("IFERROR(JOIN("";""&amp;CHAR(10),FILTER(Curses!$A$3:$A43,Curses!$B$3:$B43=S$2,Curses!$G$3:$G43=$A31)),"""")"),"")</f>
        <v/>
      </c>
      <c r="T31" s="289" t="str">
        <f ca="1">IFERROR(__xludf.DUMMYFUNCTION("IFERROR(JOIN("";""&amp;CHAR(10),FILTER(Curses!$A$3:$A43,Curses!$B$3:$B43=T$2,Curses!$G$3:$G43=$A31)),"""")"),"")</f>
        <v/>
      </c>
      <c r="U31" s="289" t="str">
        <f ca="1">IFERROR(__xludf.DUMMYFUNCTION("IFERROR(JOIN("";""&amp;CHAR(10),FILTER(Curses!$A$3:$A43,Curses!$B$3:$B43=U$2,Curses!$G$3:$G43=$A31)),"""")"),"")</f>
        <v/>
      </c>
      <c r="V31" s="289" t="str">
        <f ca="1">IFERROR(__xludf.DUMMYFUNCTION("IFERROR(JOIN("";""&amp;CHAR(10),FILTER(Curses!$A$3:$A43,Curses!$B$3:$B43=V$2,Curses!$G$3:$G43=$A31)),"""")"),"")</f>
        <v/>
      </c>
      <c r="W31" s="289" t="str">
        <f ca="1">IFERROR(__xludf.DUMMYFUNCTION("IFERROR(JOIN("";""&amp;CHAR(10),FILTER(Curses!$A$3:$A43,Curses!$B$3:$B43=W$2,Curses!$G$3:$G43=$A31)),"""")"),"")</f>
        <v/>
      </c>
      <c r="X31" s="289" t="str">
        <f ca="1">IFERROR(__xludf.DUMMYFUNCTION("IFERROR(JOIN("";""&amp;CHAR(10),FILTER(Curses!$A$3:$A43,Curses!$B$3:$B43=X$2,Curses!$G$3:$G43=$A31)),"""")"),"")</f>
        <v/>
      </c>
      <c r="Y31" s="289" t="str">
        <f ca="1">IFERROR(__xludf.DUMMYFUNCTION("IFERROR(JOIN("";""&amp;CHAR(10),FILTER(Curses!$A$3:$A43,Curses!$B$3:$B43=Y$2,Curses!$G$3:$G43=$A31)),"""")"),"Add Dragon (11-20)")</f>
        <v>Add Dragon (11-20)</v>
      </c>
      <c r="Z31" s="289" t="str">
        <f ca="1">IFERROR(__xludf.DUMMYFUNCTION("IFERROR(JOIN("";""&amp;CHAR(10),FILTER(Curses!$A$3:$A43,Curses!$B$3:$B43=Z$2,Curses!$G$3:$G43=$A31)),"""")"),"")</f>
        <v/>
      </c>
      <c r="AA31" s="289" t="str">
        <f ca="1">IFERROR(__xludf.DUMMYFUNCTION("IFERROR(JOIN("";""&amp;CHAR(10),FILTER(Curses!$A$3:$A43,Curses!$B$3:$B43=AA$2,Curses!$G$3:$G43=$A31)),"""")"),"")</f>
        <v/>
      </c>
      <c r="AB31" s="289" t="str">
        <f ca="1">IFERROR(__xludf.DUMMYFUNCTION("IFERROR(JOIN("";""&amp;CHAR(10),FILTER(Curses!$A$3:$A43,Curses!$B$3:$B43=AB$2,Curses!$G$3:$G43=$A31)),"""")"),"")</f>
        <v/>
      </c>
      <c r="AC31" s="289" t="str">
        <f ca="1">IFERROR(__xludf.DUMMYFUNCTION("IFERROR(JOIN("";""&amp;CHAR(10),FILTER(Curses!$A$3:$A43,Curses!$B$3:$B43=AC$2,Curses!$G$3:$G43=$A31)),"""")"),"")</f>
        <v/>
      </c>
      <c r="AD31" s="289" t="str">
        <f ca="1">IFERROR(__xludf.DUMMYFUNCTION("IFERROR(JOIN("";""&amp;CHAR(10),FILTER(Curses!$A$3:$A43,Curses!$B$3:$B43=AD$2,Curses!$G$3:$G43=$A31)),"""")"),"")</f>
        <v/>
      </c>
      <c r="AE31" s="289" t="str">
        <f ca="1">IFERROR(__xludf.DUMMYFUNCTION("IFERROR(JOIN("";""&amp;CHAR(10),FILTER(Curses!$A$3:$A43,Curses!$B$3:$B43=AE$2,Curses!$G$3:$G43=$A31)),"""")"),"")</f>
        <v/>
      </c>
      <c r="AF31" s="289" t="str">
        <f ca="1">IFERROR(__xludf.DUMMYFUNCTION("IFERROR(JOIN("";""&amp;CHAR(10),FILTER(Curses!$A$3:$A43,Curses!$B$3:$B43=AF$2,Curses!$G$3:$G43=$A31)),"""")"),"")</f>
        <v/>
      </c>
      <c r="AG31" s="289" t="str">
        <f ca="1">IFERROR(__xludf.DUMMYFUNCTION("IFERROR(JOIN("";""&amp;CHAR(10),FILTER(Curses!$A$3:$A43,Curses!$B$3:$B43=AG$2,Curses!$G$3:$G43=$A31)),"""")"),"")</f>
        <v/>
      </c>
      <c r="AH31" s="289" t="str">
        <f ca="1">IFERROR(__xludf.DUMMYFUNCTION("IFERROR(JOIN("";""&amp;CHAR(10),FILTER(Curses!$A$3:$A43,Curses!$B$3:$B43=AH$2,Curses!$G$3:$G43=$A31)),"""")"),"")</f>
        <v/>
      </c>
      <c r="AI31" s="289" t="str">
        <f ca="1">IFERROR(__xludf.DUMMYFUNCTION("IFERROR(JOIN("";""&amp;CHAR(10),FILTER(Curses!$A$3:$A43,Curses!$B$3:$B43=AI$2,Curses!$G$3:$G43=$A31)),"""")"),"")</f>
        <v/>
      </c>
      <c r="AJ31" s="289" t="str">
        <f ca="1">IFERROR(__xludf.DUMMYFUNCTION("IFERROR(JOIN("";""&amp;CHAR(10),FILTER(Curses!$A$3:$A43,Curses!$B$3:$B43=AJ$2,Curses!$G$3:$G43=$A31)),"""")"),"")</f>
        <v/>
      </c>
      <c r="AK31" s="289" t="str">
        <f ca="1">IFERROR(__xludf.DUMMYFUNCTION("IFERROR(JOIN("";""&amp;CHAR(10),FILTER(Curses!$A$3:$A43,Curses!$B$3:$B43=AK$2,Curses!$G$3:$G43=$A31)),"""")"),"")</f>
        <v/>
      </c>
      <c r="AL31" s="289" t="str">
        <f ca="1">IFERROR(__xludf.DUMMYFUNCTION("IFERROR(JOIN("";""&amp;CHAR(10),FILTER(Curses!$A$3:$A43,Curses!$B$3:$B43=AL$2,Curses!$G$3:$G43=$A31)),"""")"),"")</f>
        <v/>
      </c>
      <c r="AM31" s="289" t="str">
        <f ca="1">IFERROR(__xludf.DUMMYFUNCTION("IFERROR(JOIN("";""&amp;CHAR(10),FILTER(Curses!$A$3:$A43,Curses!$B$3:$B43=AM$2,Curses!$G$3:$G43=$A31)),"""")"),"")</f>
        <v/>
      </c>
    </row>
    <row r="32" spans="1:39">
      <c r="A32" s="292" t="str">
        <f ca="1">IFERROR(__xludf.DUMMYFUNCTION("""COMPUTED_VALUE"""),"Item Curse")</f>
        <v>Item Curse</v>
      </c>
      <c r="B32" s="289" t="str">
        <f ca="1">IFERROR(__xludf.DUMMYFUNCTION("IFERROR(JOIN("";""&amp;CHAR(10),FILTER(Curses!$A$3:$A43,Curses!$B$3:$B43=B$2,Curses!$G$3:$G43=$A32)),"""")"),"i-Affliction;
i-Weariness;
i-Broken Heart;
i-D4;
i-Coiled Snake;
i-Martyr;
i-Handcuffs;
i-Lead Weight;
i-Mould")</f>
        <v>i-Affliction;
i-Weariness;
i-Broken Heart;
i-D4;
i-Coiled Snake;
i-Martyr;
i-Handcuffs;
i-Lead Weight;
i-Mould</v>
      </c>
      <c r="C32" s="289" t="str">
        <f ca="1">IFERROR(__xludf.DUMMYFUNCTION("IFERROR(JOIN("";""&amp;CHAR(10),FILTER(Curses!$A$3:$A43,Curses!$B$3:$B43=C$2,Curses!$G$3:$G43=$A32)),"""")"),"i-Exhaustion;
i-Broken Spirit;
i-Pharoah's Curse;
i-Slimed;
i-Soul Link;
i-Wretched Crown")</f>
        <v>i-Exhaustion;
i-Broken Spirit;
i-Pharoah's Curse;
i-Slimed;
i-Soul Link;
i-Wretched Crown</v>
      </c>
      <c r="D32" s="289" t="str">
        <f ca="1">IFERROR(__xludf.DUMMYFUNCTION("IFERROR(JOIN("";""&amp;CHAR(10),FILTER(Curses!$A$3:$A43,Curses!$B$3:$B43=D$2,Curses!$G$3:$G43=$A32)),"""")"),"")</f>
        <v/>
      </c>
      <c r="E32" s="289" t="str">
        <f ca="1">IFERROR(__xludf.DUMMYFUNCTION("IFERROR(JOIN("";""&amp;CHAR(10),FILTER(Curses!$A$3:$A43,Curses!$B$3:$B43=E$2,Curses!$G$3:$G43=$A32)),"""")"),"")</f>
        <v/>
      </c>
      <c r="F32" s="289" t="str">
        <f ca="1">IFERROR(__xludf.DUMMYFUNCTION("IFERROR(JOIN("";""&amp;CHAR(10),FILTER(Curses!$A$3:$A43,Curses!$B$3:$B43=F$2,Curses!$G$3:$G43=$A32)),"""")"),"")</f>
        <v/>
      </c>
      <c r="G32" s="289" t="str">
        <f ca="1">IFERROR(__xludf.DUMMYFUNCTION("IFERROR(JOIN("";""&amp;CHAR(10),FILTER(Curses!$A$3:$A43,Curses!$B$3:$B43=G$2,Curses!$G$3:$G43=$A32)),"""")"),"")</f>
        <v/>
      </c>
      <c r="H32" s="289" t="str">
        <f ca="1">IFERROR(__xludf.DUMMYFUNCTION("IFERROR(JOIN("";""&amp;CHAR(10),FILTER(Curses!$A$3:$A43,Curses!$B$3:$B43=H$2,Curses!$G$3:$G43=$A32)),"""")"),"")</f>
        <v/>
      </c>
      <c r="I32" s="289" t="str">
        <f ca="1">IFERROR(__xludf.DUMMYFUNCTION("IFERROR(JOIN("";""&amp;CHAR(10),FILTER(Curses!$A$3:$A43,Curses!$B$3:$B43=I$2,Curses!$G$3:$G43=$A32)),"""")"),"")</f>
        <v/>
      </c>
      <c r="J32" s="289" t="str">
        <f ca="1">IFERROR(__xludf.DUMMYFUNCTION("IFERROR(JOIN("";""&amp;CHAR(10),FILTER(Curses!$A$3:$A43,Curses!$B$3:$B43=J$2,Curses!$G$3:$G43=$A32)),"""")"),"")</f>
        <v/>
      </c>
      <c r="K32" s="289" t="str">
        <f ca="1">IFERROR(__xludf.DUMMYFUNCTION("IFERROR(JOIN("";""&amp;CHAR(10),FILTER(Curses!$A$3:$A43,Curses!$B$3:$B43=K$2,Curses!$G$3:$G43=$A32)),"""")"),"")</f>
        <v/>
      </c>
      <c r="L32" s="289" t="str">
        <f ca="1">IFERROR(__xludf.DUMMYFUNCTION("IFERROR(JOIN("";""&amp;CHAR(10),FILTER(Curses!$A$3:$A43,Curses!$B$3:$B43=L$2,Curses!$G$3:$G43=$A32)),"""")"),"")</f>
        <v/>
      </c>
      <c r="M32" s="289" t="str">
        <f ca="1">IFERROR(__xludf.DUMMYFUNCTION("IFERROR(JOIN("";""&amp;CHAR(10),FILTER(Curses!$A$3:$A43,Curses!$B$3:$B43=M$2,Curses!$G$3:$G43=$A32)),"""")"),"")</f>
        <v/>
      </c>
      <c r="N32" s="289" t="str">
        <f ca="1">IFERROR(__xludf.DUMMYFUNCTION("IFERROR(JOIN("";""&amp;CHAR(10),FILTER(Curses!$A$3:$A43,Curses!$B$3:$B43=N$2,Curses!$G$3:$G43=$A32)),"""")"),"")</f>
        <v/>
      </c>
      <c r="O32" s="289" t="str">
        <f ca="1">IFERROR(__xludf.DUMMYFUNCTION("IFERROR(JOIN("";""&amp;CHAR(10),FILTER(Curses!$A$3:$A43,Curses!$B$3:$B43=O$2,Curses!$G$3:$G43=$A32)),"""")"),"")</f>
        <v/>
      </c>
      <c r="P32" s="289" t="str">
        <f ca="1">IFERROR(__xludf.DUMMYFUNCTION("IFERROR(JOIN("";""&amp;CHAR(10),FILTER(Curses!$A$3:$A43,Curses!$B$3:$B43=P$2,Curses!$G$3:$G43=$A32)),"""")"),"")</f>
        <v/>
      </c>
      <c r="Q32" s="289" t="str">
        <f ca="1">IFERROR(__xludf.DUMMYFUNCTION("IFERROR(JOIN("";""&amp;CHAR(10),FILTER(Curses!$A$3:$A43,Curses!$B$3:$B43=Q$2,Curses!$G$3:$G43=$A32)),"""")"),"")</f>
        <v/>
      </c>
      <c r="R32" s="289" t="str">
        <f ca="1">IFERROR(__xludf.DUMMYFUNCTION("IFERROR(JOIN("";""&amp;CHAR(10),FILTER(Curses!$A$3:$A43,Curses!$B$3:$B43=R$2,Curses!$G$3:$G43=$A32)),"""")"),"")</f>
        <v/>
      </c>
      <c r="S32" s="289" t="str">
        <f ca="1">IFERROR(__xludf.DUMMYFUNCTION("IFERROR(JOIN("";""&amp;CHAR(10),FILTER(Curses!$A$3:$A43,Curses!$B$3:$B43=S$2,Curses!$G$3:$G43=$A32)),"""")"),"")</f>
        <v/>
      </c>
      <c r="T32" s="289" t="str">
        <f ca="1">IFERROR(__xludf.DUMMYFUNCTION("IFERROR(JOIN("";""&amp;CHAR(10),FILTER(Curses!$A$3:$A43,Curses!$B$3:$B43=T$2,Curses!$G$3:$G43=$A32)),"""")"),"")</f>
        <v/>
      </c>
      <c r="U32" s="289" t="str">
        <f ca="1">IFERROR(__xludf.DUMMYFUNCTION("IFERROR(JOIN("";""&amp;CHAR(10),FILTER(Curses!$A$3:$A43,Curses!$B$3:$B43=U$2,Curses!$G$3:$G43=$A32)),"""")"),"")</f>
        <v/>
      </c>
      <c r="V32" s="289" t="str">
        <f ca="1">IFERROR(__xludf.DUMMYFUNCTION("IFERROR(JOIN("";""&amp;CHAR(10),FILTER(Curses!$A$3:$A43,Curses!$B$3:$B43=V$2,Curses!$G$3:$G43=$A32)),"""")"),"")</f>
        <v/>
      </c>
      <c r="W32" s="289" t="str">
        <f ca="1">IFERROR(__xludf.DUMMYFUNCTION("IFERROR(JOIN("";""&amp;CHAR(10),FILTER(Curses!$A$3:$A43,Curses!$B$3:$B43=W$2,Curses!$G$3:$G43=$A32)),"""")"),"")</f>
        <v/>
      </c>
      <c r="X32" s="289" t="str">
        <f ca="1">IFERROR(__xludf.DUMMYFUNCTION("IFERROR(JOIN("";""&amp;CHAR(10),FILTER(Curses!$A$3:$A43,Curses!$B$3:$B43=X$2,Curses!$G$3:$G43=$A32)),"""")"),"")</f>
        <v/>
      </c>
      <c r="Y32" s="289" t="str">
        <f ca="1">IFERROR(__xludf.DUMMYFUNCTION("IFERROR(JOIN("";""&amp;CHAR(10),FILTER(Curses!$A$3:$A43,Curses!$B$3:$B43=Y$2,Curses!$G$3:$G43=$A32)),"""")"),"")</f>
        <v/>
      </c>
      <c r="Z32" s="289" t="str">
        <f ca="1">IFERROR(__xludf.DUMMYFUNCTION("IFERROR(JOIN("";""&amp;CHAR(10),FILTER(Curses!$A$3:$A43,Curses!$B$3:$B43=Z$2,Curses!$G$3:$G43=$A32)),"""")"),"")</f>
        <v/>
      </c>
      <c r="AA32" s="289" t="str">
        <f ca="1">IFERROR(__xludf.DUMMYFUNCTION("IFERROR(JOIN("";""&amp;CHAR(10),FILTER(Curses!$A$3:$A43,Curses!$B$3:$B43=AA$2,Curses!$G$3:$G43=$A32)),"""")"),"")</f>
        <v/>
      </c>
      <c r="AB32" s="289" t="str">
        <f ca="1">IFERROR(__xludf.DUMMYFUNCTION("IFERROR(JOIN("";""&amp;CHAR(10),FILTER(Curses!$A$3:$A43,Curses!$B$3:$B43=AB$2,Curses!$G$3:$G43=$A32)),"""")"),"")</f>
        <v/>
      </c>
      <c r="AC32" s="289" t="str">
        <f ca="1">IFERROR(__xludf.DUMMYFUNCTION("IFERROR(JOIN("";""&amp;CHAR(10),FILTER(Curses!$A$3:$A43,Curses!$B$3:$B43=AC$2,Curses!$G$3:$G43=$A32)),"""")"),"")</f>
        <v/>
      </c>
      <c r="AD32" s="289" t="str">
        <f ca="1">IFERROR(__xludf.DUMMYFUNCTION("IFERROR(JOIN("";""&amp;CHAR(10),FILTER(Curses!$A$3:$A43,Curses!$B$3:$B43=AD$2,Curses!$G$3:$G43=$A32)),"""")"),"")</f>
        <v/>
      </c>
      <c r="AE32" s="289" t="str">
        <f ca="1">IFERROR(__xludf.DUMMYFUNCTION("IFERROR(JOIN("";""&amp;CHAR(10),FILTER(Curses!$A$3:$A43,Curses!$B$3:$B43=AE$2,Curses!$G$3:$G43=$A32)),"""")"),"")</f>
        <v/>
      </c>
      <c r="AF32" s="289" t="str">
        <f ca="1">IFERROR(__xludf.DUMMYFUNCTION("IFERROR(JOIN("";""&amp;CHAR(10),FILTER(Curses!$A$3:$A43,Curses!$B$3:$B43=AF$2,Curses!$G$3:$G43=$A32)),"""")"),"")</f>
        <v/>
      </c>
      <c r="AG32" s="289" t="str">
        <f ca="1">IFERROR(__xludf.DUMMYFUNCTION("IFERROR(JOIN("";""&amp;CHAR(10),FILTER(Curses!$A$3:$A43,Curses!$B$3:$B43=AG$2,Curses!$G$3:$G43=$A32)),"""")"),"")</f>
        <v/>
      </c>
      <c r="AH32" s="289" t="str">
        <f ca="1">IFERROR(__xludf.DUMMYFUNCTION("IFERROR(JOIN("";""&amp;CHAR(10),FILTER(Curses!$A$3:$A43,Curses!$B$3:$B43=AH$2,Curses!$G$3:$G43=$A32)),"""")"),"")</f>
        <v/>
      </c>
      <c r="AI32" s="289" t="str">
        <f ca="1">IFERROR(__xludf.DUMMYFUNCTION("IFERROR(JOIN("";""&amp;CHAR(10),FILTER(Curses!$A$3:$A43,Curses!$B$3:$B43=AI$2,Curses!$G$3:$G43=$A32)),"""")"),"")</f>
        <v/>
      </c>
      <c r="AJ32" s="289" t="str">
        <f ca="1">IFERROR(__xludf.DUMMYFUNCTION("IFERROR(JOIN("";""&amp;CHAR(10),FILTER(Curses!$A$3:$A43,Curses!$B$3:$B43=AJ$2,Curses!$G$3:$G43=$A32)),"""")"),"")</f>
        <v/>
      </c>
      <c r="AK32" s="289" t="str">
        <f ca="1">IFERROR(__xludf.DUMMYFUNCTION("IFERROR(JOIN("";""&amp;CHAR(10),FILTER(Curses!$A$3:$A43,Curses!$B$3:$B43=AK$2,Curses!$G$3:$G43=$A32)),"""")"),"")</f>
        <v/>
      </c>
      <c r="AL32" s="289" t="str">
        <f ca="1">IFERROR(__xludf.DUMMYFUNCTION("IFERROR(JOIN("";""&amp;CHAR(10),FILTER(Curses!$A$3:$A43,Curses!$B$3:$B43=AL$2,Curses!$G$3:$G43=$A32)),"""")"),"")</f>
        <v/>
      </c>
      <c r="AM32" s="289" t="str">
        <f ca="1">IFERROR(__xludf.DUMMYFUNCTION("IFERROR(JOIN("";""&amp;CHAR(10),FILTER(Curses!$A$3:$A43,Curses!$B$3:$B43=AM$2,Curses!$G$3:$G43=$A32)),"""")"),"")</f>
        <v/>
      </c>
    </row>
    <row r="33" spans="1:39">
      <c r="A33" s="292" t="str">
        <f ca="1">IFERROR(__xludf.DUMMYFUNCTION("""COMPUTED_VALUE"""),"Stitch")</f>
        <v>Stitch</v>
      </c>
      <c r="B33" s="289" t="str">
        <f ca="1">IFERROR(__xludf.DUMMYFUNCTION("IFERROR(JOIN("";""&amp;CHAR(10),FILTER(Curses!$A$3:$A43,Curses!$B$3:$B43=B$2,Curses!$G$3:$G43=$A33)),"""")"),"")</f>
        <v/>
      </c>
      <c r="C33" s="289" t="str">
        <f ca="1">IFERROR(__xludf.DUMMYFUNCTION("IFERROR(JOIN("";""&amp;CHAR(10),FILTER(Curses!$A$3:$A43,Curses!$B$3:$B43=C$2,Curses!$G$3:$G43=$A33)),"""")"),"Stitch")</f>
        <v>Stitch</v>
      </c>
      <c r="D33" s="289" t="str">
        <f ca="1">IFERROR(__xludf.DUMMYFUNCTION("IFERROR(JOIN("";""&amp;CHAR(10),FILTER(Curses!$A$3:$A43,Curses!$B$3:$B43=D$2,Curses!$G$3:$G43=$A33)),"""")"),"")</f>
        <v/>
      </c>
      <c r="E33" s="289" t="str">
        <f ca="1">IFERROR(__xludf.DUMMYFUNCTION("IFERROR(JOIN("";""&amp;CHAR(10),FILTER(Curses!$A$3:$A43,Curses!$B$3:$B43=E$2,Curses!$G$3:$G43=$A33)),"""")"),"Stitch+")</f>
        <v>Stitch+</v>
      </c>
      <c r="F33" s="289" t="str">
        <f ca="1">IFERROR(__xludf.DUMMYFUNCTION("IFERROR(JOIN("";""&amp;CHAR(10),FILTER(Curses!$A$3:$A43,Curses!$B$3:$B43=F$2,Curses!$G$3:$G43=$A33)),"""")"),"")</f>
        <v/>
      </c>
      <c r="G33" s="289" t="str">
        <f ca="1">IFERROR(__xludf.DUMMYFUNCTION("IFERROR(JOIN("";""&amp;CHAR(10),FILTER(Curses!$A$3:$A43,Curses!$B$3:$B43=G$2,Curses!$G$3:$G43=$A33)),"""")"),"")</f>
        <v/>
      </c>
      <c r="H33" s="289" t="str">
        <f ca="1">IFERROR(__xludf.DUMMYFUNCTION("IFERROR(JOIN("";""&amp;CHAR(10),FILTER(Curses!$A$3:$A43,Curses!$B$3:$B43=H$2,Curses!$G$3:$G43=$A33)),"""")"),"")</f>
        <v/>
      </c>
      <c r="I33" s="289" t="str">
        <f ca="1">IFERROR(__xludf.DUMMYFUNCTION("IFERROR(JOIN("";""&amp;CHAR(10),FILTER(Curses!$A$3:$A43,Curses!$B$3:$B43=I$2,Curses!$G$3:$G43=$A33)),"""")"),"")</f>
        <v/>
      </c>
      <c r="J33" s="289" t="str">
        <f ca="1">IFERROR(__xludf.DUMMYFUNCTION("IFERROR(JOIN("";""&amp;CHAR(10),FILTER(Curses!$A$3:$A43,Curses!$B$3:$B43=J$2,Curses!$G$3:$G43=$A33)),"""")"),"")</f>
        <v/>
      </c>
      <c r="K33" s="289" t="str">
        <f ca="1">IFERROR(__xludf.DUMMYFUNCTION("IFERROR(JOIN("";""&amp;CHAR(10),FILTER(Curses!$A$3:$A43,Curses!$B$3:$B43=K$2,Curses!$G$3:$G43=$A33)),"""")"),"")</f>
        <v/>
      </c>
      <c r="L33" s="289" t="str">
        <f ca="1">IFERROR(__xludf.DUMMYFUNCTION("IFERROR(JOIN("";""&amp;CHAR(10),FILTER(Curses!$A$3:$A43,Curses!$B$3:$B43=L$2,Curses!$G$3:$G43=$A33)),"""")"),"")</f>
        <v/>
      </c>
      <c r="M33" s="289" t="str">
        <f ca="1">IFERROR(__xludf.DUMMYFUNCTION("IFERROR(JOIN("";""&amp;CHAR(10),FILTER(Curses!$A$3:$A43,Curses!$B$3:$B43=M$2,Curses!$G$3:$G43=$A33)),"""")"),"")</f>
        <v/>
      </c>
      <c r="N33" s="289" t="str">
        <f ca="1">IFERROR(__xludf.DUMMYFUNCTION("IFERROR(JOIN("";""&amp;CHAR(10),FILTER(Curses!$A$3:$A43,Curses!$B$3:$B43=N$2,Curses!$G$3:$G43=$A33)),"""")"),"")</f>
        <v/>
      </c>
      <c r="O33" s="289" t="str">
        <f ca="1">IFERROR(__xludf.DUMMYFUNCTION("IFERROR(JOIN("";""&amp;CHAR(10),FILTER(Curses!$A$3:$A43,Curses!$B$3:$B43=O$2,Curses!$G$3:$G43=$A33)),"""")"),"")</f>
        <v/>
      </c>
      <c r="P33" s="289" t="str">
        <f ca="1">IFERROR(__xludf.DUMMYFUNCTION("IFERROR(JOIN("";""&amp;CHAR(10),FILTER(Curses!$A$3:$A43,Curses!$B$3:$B43=P$2,Curses!$G$3:$G43=$A33)),"""")"),"")</f>
        <v/>
      </c>
      <c r="Q33" s="289" t="str">
        <f ca="1">IFERROR(__xludf.DUMMYFUNCTION("IFERROR(JOIN("";""&amp;CHAR(10),FILTER(Curses!$A$3:$A43,Curses!$B$3:$B43=Q$2,Curses!$G$3:$G43=$A33)),"""")"),"")</f>
        <v/>
      </c>
      <c r="R33" s="289" t="str">
        <f ca="1">IFERROR(__xludf.DUMMYFUNCTION("IFERROR(JOIN("";""&amp;CHAR(10),FILTER(Curses!$A$3:$A43,Curses!$B$3:$B43=R$2,Curses!$G$3:$G43=$A33)),"""")"),"")</f>
        <v/>
      </c>
      <c r="S33" s="289" t="str">
        <f ca="1">IFERROR(__xludf.DUMMYFUNCTION("IFERROR(JOIN("";""&amp;CHAR(10),FILTER(Curses!$A$3:$A43,Curses!$B$3:$B43=S$2,Curses!$G$3:$G43=$A33)),"""")"),"")</f>
        <v/>
      </c>
      <c r="T33" s="289" t="str">
        <f ca="1">IFERROR(__xludf.DUMMYFUNCTION("IFERROR(JOIN("";""&amp;CHAR(10),FILTER(Curses!$A$3:$A43,Curses!$B$3:$B43=T$2,Curses!$G$3:$G43=$A33)),"""")"),"")</f>
        <v/>
      </c>
      <c r="U33" s="289" t="str">
        <f ca="1">IFERROR(__xludf.DUMMYFUNCTION("IFERROR(JOIN("";""&amp;CHAR(10),FILTER(Curses!$A$3:$A43,Curses!$B$3:$B43=U$2,Curses!$G$3:$G43=$A33)),"""")"),"")</f>
        <v/>
      </c>
      <c r="V33" s="289" t="str">
        <f ca="1">IFERROR(__xludf.DUMMYFUNCTION("IFERROR(JOIN("";""&amp;CHAR(10),FILTER(Curses!$A$3:$A43,Curses!$B$3:$B43=V$2,Curses!$G$3:$G43=$A33)),"""")"),"")</f>
        <v/>
      </c>
      <c r="W33" s="289" t="str">
        <f ca="1">IFERROR(__xludf.DUMMYFUNCTION("IFERROR(JOIN("";""&amp;CHAR(10),FILTER(Curses!$A$3:$A43,Curses!$B$3:$B43=W$2,Curses!$G$3:$G43=$A33)),"""")"),"")</f>
        <v/>
      </c>
      <c r="X33" s="289" t="str">
        <f ca="1">IFERROR(__xludf.DUMMYFUNCTION("IFERROR(JOIN("";""&amp;CHAR(10),FILTER(Curses!$A$3:$A43,Curses!$B$3:$B43=X$2,Curses!$G$3:$G43=$A33)),"""")"),"")</f>
        <v/>
      </c>
      <c r="Y33" s="289" t="str">
        <f ca="1">IFERROR(__xludf.DUMMYFUNCTION("IFERROR(JOIN("";""&amp;CHAR(10),FILTER(Curses!$A$3:$A43,Curses!$B$3:$B43=Y$2,Curses!$G$3:$G43=$A33)),"""")"),"")</f>
        <v/>
      </c>
      <c r="Z33" s="289" t="str">
        <f ca="1">IFERROR(__xludf.DUMMYFUNCTION("IFERROR(JOIN("";""&amp;CHAR(10),FILTER(Curses!$A$3:$A43,Curses!$B$3:$B43=Z$2,Curses!$G$3:$G43=$A33)),"""")"),"")</f>
        <v/>
      </c>
      <c r="AA33" s="289" t="str">
        <f ca="1">IFERROR(__xludf.DUMMYFUNCTION("IFERROR(JOIN("";""&amp;CHAR(10),FILTER(Curses!$A$3:$A43,Curses!$B$3:$B43=AA$2,Curses!$G$3:$G43=$A33)),"""")"),"")</f>
        <v/>
      </c>
      <c r="AB33" s="289" t="str">
        <f ca="1">IFERROR(__xludf.DUMMYFUNCTION("IFERROR(JOIN("";""&amp;CHAR(10),FILTER(Curses!$A$3:$A43,Curses!$B$3:$B43=AB$2,Curses!$G$3:$G43=$A33)),"""")"),"")</f>
        <v/>
      </c>
      <c r="AC33" s="289" t="str">
        <f ca="1">IFERROR(__xludf.DUMMYFUNCTION("IFERROR(JOIN("";""&amp;CHAR(10),FILTER(Curses!$A$3:$A43,Curses!$B$3:$B43=AC$2,Curses!$G$3:$G43=$A33)),"""")"),"")</f>
        <v/>
      </c>
      <c r="AD33" s="289" t="str">
        <f ca="1">IFERROR(__xludf.DUMMYFUNCTION("IFERROR(JOIN("";""&amp;CHAR(10),FILTER(Curses!$A$3:$A43,Curses!$B$3:$B43=AD$2,Curses!$G$3:$G43=$A33)),"""")"),"")</f>
        <v/>
      </c>
      <c r="AE33" s="289" t="str">
        <f ca="1">IFERROR(__xludf.DUMMYFUNCTION("IFERROR(JOIN("";""&amp;CHAR(10),FILTER(Curses!$A$3:$A43,Curses!$B$3:$B43=AE$2,Curses!$G$3:$G43=$A33)),"""")"),"")</f>
        <v/>
      </c>
      <c r="AF33" s="289" t="str">
        <f ca="1">IFERROR(__xludf.DUMMYFUNCTION("IFERROR(JOIN("";""&amp;CHAR(10),FILTER(Curses!$A$3:$A43,Curses!$B$3:$B43=AF$2,Curses!$G$3:$G43=$A33)),"""")"),"")</f>
        <v/>
      </c>
      <c r="AG33" s="289" t="str">
        <f ca="1">IFERROR(__xludf.DUMMYFUNCTION("IFERROR(JOIN("";""&amp;CHAR(10),FILTER(Curses!$A$3:$A43,Curses!$B$3:$B43=AG$2,Curses!$G$3:$G43=$A33)),"""")"),"")</f>
        <v/>
      </c>
      <c r="AH33" s="289" t="str">
        <f ca="1">IFERROR(__xludf.DUMMYFUNCTION("IFERROR(JOIN("";""&amp;CHAR(10),FILTER(Curses!$A$3:$A43,Curses!$B$3:$B43=AH$2,Curses!$G$3:$G43=$A33)),"""")"),"")</f>
        <v/>
      </c>
      <c r="AI33" s="289" t="str">
        <f ca="1">IFERROR(__xludf.DUMMYFUNCTION("IFERROR(JOIN("";""&amp;CHAR(10),FILTER(Curses!$A$3:$A43,Curses!$B$3:$B43=AI$2,Curses!$G$3:$G43=$A33)),"""")"),"")</f>
        <v/>
      </c>
      <c r="AJ33" s="289" t="str">
        <f ca="1">IFERROR(__xludf.DUMMYFUNCTION("IFERROR(JOIN("";""&amp;CHAR(10),FILTER(Curses!$A$3:$A43,Curses!$B$3:$B43=AJ$2,Curses!$G$3:$G43=$A33)),"""")"),"")</f>
        <v/>
      </c>
      <c r="AK33" s="289" t="str">
        <f ca="1">IFERROR(__xludf.DUMMYFUNCTION("IFERROR(JOIN("";""&amp;CHAR(10),FILTER(Curses!$A$3:$A43,Curses!$B$3:$B43=AK$2,Curses!$G$3:$G43=$A33)),"""")"),"")</f>
        <v/>
      </c>
      <c r="AL33" s="289" t="str">
        <f ca="1">IFERROR(__xludf.DUMMYFUNCTION("IFERROR(JOIN("";""&amp;CHAR(10),FILTER(Curses!$A$3:$A43,Curses!$B$3:$B43=AL$2,Curses!$G$3:$G43=$A33)),"""")"),"")</f>
        <v/>
      </c>
      <c r="AM33" s="289" t="str">
        <f ca="1">IFERROR(__xludf.DUMMYFUNCTION("IFERROR(JOIN("";""&amp;CHAR(10),FILTER(Curses!$A$3:$A43,Curses!$B$3:$B43=AM$2,Curses!$G$3:$G43=$A33)),"""")"),"")</f>
        <v/>
      </c>
    </row>
    <row r="34" spans="1:39">
      <c r="A34" s="292" t="str">
        <f ca="1">IFERROR(__xludf.DUMMYFUNCTION("""COMPUTED_VALUE"""),"Death Dice")</f>
        <v>Death Dice</v>
      </c>
      <c r="B34" s="289" t="str">
        <f ca="1">IFERROR(__xludf.DUMMYFUNCTION("IFERROR(JOIN("";""&amp;CHAR(10),FILTER(Curses!$A$3:$A43,Curses!$B$3:$B43=B$2,Curses!$G$3:$G43=$A34)),"""")"),"")</f>
        <v/>
      </c>
      <c r="C34" s="289" t="str">
        <f ca="1">IFERROR(__xludf.DUMMYFUNCTION("IFERROR(JOIN("";""&amp;CHAR(10),FILTER(Curses!$A$3:$A43,Curses!$B$3:$B43=C$2,Curses!$G$3:$G43=$A34)),"""")"),"Fifth death")</f>
        <v>Fifth death</v>
      </c>
      <c r="D34" s="289" t="str">
        <f ca="1">IFERROR(__xludf.DUMMYFUNCTION("IFERROR(JOIN("";""&amp;CHAR(10),FILTER(Curses!$A$3:$A43,Curses!$B$3:$B43=D$2,Curses!$G$3:$G43=$A34)),"""")"),"")</f>
        <v/>
      </c>
      <c r="E34" s="289" t="str">
        <f ca="1">IFERROR(__xludf.DUMMYFUNCTION("IFERROR(JOIN("";""&amp;CHAR(10),FILTER(Curses!$A$3:$A43,Curses!$B$3:$B43=E$2,Curses!$G$3:$G43=$A34)),"""")"),"Fourth death")</f>
        <v>Fourth death</v>
      </c>
      <c r="F34" s="289" t="str">
        <f ca="1">IFERROR(__xludf.DUMMYFUNCTION("IFERROR(JOIN("";""&amp;CHAR(10),FILTER(Curses!$A$3:$A43,Curses!$B$3:$B43=F$2,Curses!$G$3:$G43=$A34)),"""")"),"")</f>
        <v/>
      </c>
      <c r="G34" s="289" t="str">
        <f ca="1">IFERROR(__xludf.DUMMYFUNCTION("IFERROR(JOIN("";""&amp;CHAR(10),FILTER(Curses!$A$3:$A43,Curses!$B$3:$B43=G$2,Curses!$G$3:$G43=$A34)),"""")"),"Third death")</f>
        <v>Third death</v>
      </c>
      <c r="H34" s="289" t="str">
        <f ca="1">IFERROR(__xludf.DUMMYFUNCTION("IFERROR(JOIN("";""&amp;CHAR(10),FILTER(Curses!$A$3:$A43,Curses!$B$3:$B43=H$2,Curses!$G$3:$G43=$A34)),"""")"),"")</f>
        <v/>
      </c>
      <c r="I34" s="289" t="str">
        <f ca="1">IFERROR(__xludf.DUMMYFUNCTION("IFERROR(JOIN("";""&amp;CHAR(10),FILTER(Curses!$A$3:$A43,Curses!$B$3:$B43=I$2,Curses!$G$3:$G43=$A34)),"""")"),"Second death")</f>
        <v>Second death</v>
      </c>
      <c r="J34" s="289" t="str">
        <f ca="1">IFERROR(__xludf.DUMMYFUNCTION("IFERROR(JOIN("";""&amp;CHAR(10),FILTER(Curses!$A$3:$A43,Curses!$B$3:$B43=J$2,Curses!$G$3:$G43=$A34)),"""")"),"")</f>
        <v/>
      </c>
      <c r="K34" s="289" t="str">
        <f ca="1">IFERROR(__xludf.DUMMYFUNCTION("IFERROR(JOIN("";""&amp;CHAR(10),FILTER(Curses!$A$3:$A43,Curses!$B$3:$B43=K$2,Curses!$G$3:$G43=$A34)),"""")"),"")</f>
        <v/>
      </c>
      <c r="L34" s="289" t="str">
        <f ca="1">IFERROR(__xludf.DUMMYFUNCTION("IFERROR(JOIN("";""&amp;CHAR(10),FILTER(Curses!$A$3:$A43,Curses!$B$3:$B43=L$2,Curses!$G$3:$G43=$A34)),"""")"),"")</f>
        <v/>
      </c>
      <c r="M34" s="289" t="str">
        <f ca="1">IFERROR(__xludf.DUMMYFUNCTION("IFERROR(JOIN("";""&amp;CHAR(10),FILTER(Curses!$A$3:$A43,Curses!$B$3:$B43=M$2,Curses!$G$3:$G43=$A34)),"""")"),"")</f>
        <v/>
      </c>
      <c r="N34" s="289" t="str">
        <f ca="1">IFERROR(__xludf.DUMMYFUNCTION("IFERROR(JOIN("";""&amp;CHAR(10),FILTER(Curses!$A$3:$A43,Curses!$B$3:$B43=N$2,Curses!$G$3:$G43=$A34)),"""")"),"")</f>
        <v/>
      </c>
      <c r="O34" s="289" t="str">
        <f ca="1">IFERROR(__xludf.DUMMYFUNCTION("IFERROR(JOIN("";""&amp;CHAR(10),FILTER(Curses!$A$3:$A43,Curses!$B$3:$B43=O$2,Curses!$G$3:$G43=$A34)),"""")"),"")</f>
        <v/>
      </c>
      <c r="P34" s="289" t="str">
        <f ca="1">IFERROR(__xludf.DUMMYFUNCTION("IFERROR(JOIN("";""&amp;CHAR(10),FILTER(Curses!$A$3:$A43,Curses!$B$3:$B43=P$2,Curses!$G$3:$G43=$A34)),"""")"),"")</f>
        <v/>
      </c>
      <c r="Q34" s="289" t="str">
        <f ca="1">IFERROR(__xludf.DUMMYFUNCTION("IFERROR(JOIN("";""&amp;CHAR(10),FILTER(Curses!$A$3:$A43,Curses!$B$3:$B43=Q$2,Curses!$G$3:$G43=$A34)),"""")"),"")</f>
        <v/>
      </c>
      <c r="R34" s="289" t="str">
        <f ca="1">IFERROR(__xludf.DUMMYFUNCTION("IFERROR(JOIN("";""&amp;CHAR(10),FILTER(Curses!$A$3:$A43,Curses!$B$3:$B43=R$2,Curses!$G$3:$G43=$A34)),"""")"),"")</f>
        <v/>
      </c>
      <c r="S34" s="289" t="str">
        <f ca="1">IFERROR(__xludf.DUMMYFUNCTION("IFERROR(JOIN("";""&amp;CHAR(10),FILTER(Curses!$A$3:$A43,Curses!$B$3:$B43=S$2,Curses!$G$3:$G43=$A34)),"""")"),"")</f>
        <v/>
      </c>
      <c r="T34" s="289" t="str">
        <f ca="1">IFERROR(__xludf.DUMMYFUNCTION("IFERROR(JOIN("";""&amp;CHAR(10),FILTER(Curses!$A$3:$A43,Curses!$B$3:$B43=T$2,Curses!$G$3:$G43=$A34)),"""")"),"")</f>
        <v/>
      </c>
      <c r="U34" s="289" t="str">
        <f ca="1">IFERROR(__xludf.DUMMYFUNCTION("IFERROR(JOIN("";""&amp;CHAR(10),FILTER(Curses!$A$3:$A43,Curses!$B$3:$B43=U$2,Curses!$G$3:$G43=$A34)),"""")"),"")</f>
        <v/>
      </c>
      <c r="V34" s="289" t="str">
        <f ca="1">IFERROR(__xludf.DUMMYFUNCTION("IFERROR(JOIN("";""&amp;CHAR(10),FILTER(Curses!$A$3:$A43,Curses!$B$3:$B43=V$2,Curses!$G$3:$G43=$A34)),"""")"),"")</f>
        <v/>
      </c>
      <c r="W34" s="289" t="str">
        <f ca="1">IFERROR(__xludf.DUMMYFUNCTION("IFERROR(JOIN("";""&amp;CHAR(10),FILTER(Curses!$A$3:$A43,Curses!$B$3:$B43=W$2,Curses!$G$3:$G43=$A34)),"""")"),"")</f>
        <v/>
      </c>
      <c r="X34" s="289" t="str">
        <f ca="1">IFERROR(__xludf.DUMMYFUNCTION("IFERROR(JOIN("";""&amp;CHAR(10),FILTER(Curses!$A$3:$A43,Curses!$B$3:$B43=X$2,Curses!$G$3:$G43=$A34)),"""")"),"")</f>
        <v/>
      </c>
      <c r="Y34" s="289" t="str">
        <f ca="1">IFERROR(__xludf.DUMMYFUNCTION("IFERROR(JOIN("";""&amp;CHAR(10),FILTER(Curses!$A$3:$A43,Curses!$B$3:$B43=Y$2,Curses!$G$3:$G43=$A34)),"""")"),"")</f>
        <v/>
      </c>
      <c r="Z34" s="289" t="str">
        <f ca="1">IFERROR(__xludf.DUMMYFUNCTION("IFERROR(JOIN("";""&amp;CHAR(10),FILTER(Curses!$A$3:$A43,Curses!$B$3:$B43=Z$2,Curses!$G$3:$G43=$A34)),"""")"),"")</f>
        <v/>
      </c>
      <c r="AA34" s="289" t="str">
        <f ca="1">IFERROR(__xludf.DUMMYFUNCTION("IFERROR(JOIN("";""&amp;CHAR(10),FILTER(Curses!$A$3:$A43,Curses!$B$3:$B43=AA$2,Curses!$G$3:$G43=$A34)),"""")"),"")</f>
        <v/>
      </c>
      <c r="AB34" s="289" t="str">
        <f ca="1">IFERROR(__xludf.DUMMYFUNCTION("IFERROR(JOIN("";""&amp;CHAR(10),FILTER(Curses!$A$3:$A43,Curses!$B$3:$B43=AB$2,Curses!$G$3:$G43=$A34)),"""")"),"")</f>
        <v/>
      </c>
      <c r="AC34" s="289" t="str">
        <f ca="1">IFERROR(__xludf.DUMMYFUNCTION("IFERROR(JOIN("";""&amp;CHAR(10),FILTER(Curses!$A$3:$A43,Curses!$B$3:$B43=AC$2,Curses!$G$3:$G43=$A34)),"""")"),"")</f>
        <v/>
      </c>
      <c r="AD34" s="289" t="str">
        <f ca="1">IFERROR(__xludf.DUMMYFUNCTION("IFERROR(JOIN("";""&amp;CHAR(10),FILTER(Curses!$A$3:$A43,Curses!$B$3:$B43=AD$2,Curses!$G$3:$G43=$A34)),"""")"),"")</f>
        <v/>
      </c>
      <c r="AE34" s="289" t="str">
        <f ca="1">IFERROR(__xludf.DUMMYFUNCTION("IFERROR(JOIN("";""&amp;CHAR(10),FILTER(Curses!$A$3:$A43,Curses!$B$3:$B43=AE$2,Curses!$G$3:$G43=$A34)),"""")"),"")</f>
        <v/>
      </c>
      <c r="AF34" s="289" t="str">
        <f ca="1">IFERROR(__xludf.DUMMYFUNCTION("IFERROR(JOIN("";""&amp;CHAR(10),FILTER(Curses!$A$3:$A43,Curses!$B$3:$B43=AF$2,Curses!$G$3:$G43=$A34)),"""")"),"")</f>
        <v/>
      </c>
      <c r="AG34" s="289" t="str">
        <f ca="1">IFERROR(__xludf.DUMMYFUNCTION("IFERROR(JOIN("";""&amp;CHAR(10),FILTER(Curses!$A$3:$A43,Curses!$B$3:$B43=AG$2,Curses!$G$3:$G43=$A34)),"""")"),"")</f>
        <v/>
      </c>
      <c r="AH34" s="289" t="str">
        <f ca="1">IFERROR(__xludf.DUMMYFUNCTION("IFERROR(JOIN("";""&amp;CHAR(10),FILTER(Curses!$A$3:$A43,Curses!$B$3:$B43=AH$2,Curses!$G$3:$G43=$A34)),"""")"),"")</f>
        <v/>
      </c>
      <c r="AI34" s="289" t="str">
        <f ca="1">IFERROR(__xludf.DUMMYFUNCTION("IFERROR(JOIN("";""&amp;CHAR(10),FILTER(Curses!$A$3:$A43,Curses!$B$3:$B43=AI$2,Curses!$G$3:$G43=$A34)),"""")"),"")</f>
        <v/>
      </c>
      <c r="AJ34" s="289" t="str">
        <f ca="1">IFERROR(__xludf.DUMMYFUNCTION("IFERROR(JOIN("";""&amp;CHAR(10),FILTER(Curses!$A$3:$A43,Curses!$B$3:$B43=AJ$2,Curses!$G$3:$G43=$A34)),"""")"),"")</f>
        <v/>
      </c>
      <c r="AK34" s="289" t="str">
        <f ca="1">IFERROR(__xludf.DUMMYFUNCTION("IFERROR(JOIN("";""&amp;CHAR(10),FILTER(Curses!$A$3:$A43,Curses!$B$3:$B43=AK$2,Curses!$G$3:$G43=$A34)),"""")"),"")</f>
        <v/>
      </c>
      <c r="AL34" s="289" t="str">
        <f ca="1">IFERROR(__xludf.DUMMYFUNCTION("IFERROR(JOIN("";""&amp;CHAR(10),FILTER(Curses!$A$3:$A43,Curses!$B$3:$B43=AL$2,Curses!$G$3:$G43=$A34)),"""")"),"")</f>
        <v/>
      </c>
      <c r="AM34" s="289" t="str">
        <f ca="1">IFERROR(__xludf.DUMMYFUNCTION("IFERROR(JOIN("";""&amp;CHAR(10),FILTER(Curses!$A$3:$A43,Curses!$B$3:$B43=AM$2,Curses!$G$3:$G43=$A34)),"""")"),"")</f>
        <v/>
      </c>
    </row>
    <row r="35" spans="1:39">
      <c r="A35" s="292" t="str">
        <f ca="1">IFERROR(__xludf.DUMMYFUNCTION("""COMPUTED_VALUE"""),"Monster Right")</f>
        <v>Monster Right</v>
      </c>
      <c r="B35" s="289" t="str">
        <f ca="1">IFERROR(__xludf.DUMMYFUNCTION("IFERROR(JOIN("";""&amp;CHAR(10),FILTER(Curses!$A$3:$A43,Curses!$B$3:$B43=B$2,Curses!$G$3:$G43=$A35)),"""")"),"")</f>
        <v/>
      </c>
      <c r="C35" s="289" t="str">
        <f ca="1">IFERROR(__xludf.DUMMYFUNCTION("IFERROR(JOIN("";""&amp;CHAR(10),FILTER(Curses!$A$3:$A43,Curses!$B$3:$B43=C$2,Curses!$G$3:$G43=$A35)),"""")"),"Monster Right +1")</f>
        <v>Monster Right +1</v>
      </c>
      <c r="D35" s="289" t="str">
        <f ca="1">IFERROR(__xludf.DUMMYFUNCTION("IFERROR(JOIN("";""&amp;CHAR(10),FILTER(Curses!$A$3:$A43,Curses!$B$3:$B43=D$2,Curses!$G$3:$G43=$A35)),"""")"),"")</f>
        <v/>
      </c>
      <c r="E35" s="289" t="str">
        <f ca="1">IFERROR(__xludf.DUMMYFUNCTION("IFERROR(JOIN("";""&amp;CHAR(10),FILTER(Curses!$A$3:$A43,Curses!$B$3:$B43=E$2,Curses!$G$3:$G43=$A35)),"""")"),"Monster Right +2")</f>
        <v>Monster Right +2</v>
      </c>
      <c r="F35" s="289" t="str">
        <f ca="1">IFERROR(__xludf.DUMMYFUNCTION("IFERROR(JOIN("";""&amp;CHAR(10),FILTER(Curses!$A$3:$A43,Curses!$B$3:$B43=F$2,Curses!$G$3:$G43=$A35)),"""")"),"")</f>
        <v/>
      </c>
      <c r="G35" s="289" t="str">
        <f ca="1">IFERROR(__xludf.DUMMYFUNCTION("IFERROR(JOIN("";""&amp;CHAR(10),FILTER(Curses!$A$3:$A43,Curses!$B$3:$B43=G$2,Curses!$G$3:$G43=$A35)),"""")"),"")</f>
        <v/>
      </c>
      <c r="H35" s="289" t="str">
        <f ca="1">IFERROR(__xludf.DUMMYFUNCTION("IFERROR(JOIN("";""&amp;CHAR(10),FILTER(Curses!$A$3:$A43,Curses!$B$3:$B43=H$2,Curses!$G$3:$G43=$A35)),"""")"),"")</f>
        <v/>
      </c>
      <c r="I35" s="289" t="str">
        <f ca="1">IFERROR(__xludf.DUMMYFUNCTION("IFERROR(JOIN("";""&amp;CHAR(10),FILTER(Curses!$A$3:$A43,Curses!$B$3:$B43=I$2,Curses!$G$3:$G43=$A35)),"""")"),"")</f>
        <v/>
      </c>
      <c r="J35" s="289" t="str">
        <f ca="1">IFERROR(__xludf.DUMMYFUNCTION("IFERROR(JOIN("";""&amp;CHAR(10),FILTER(Curses!$A$3:$A43,Curses!$B$3:$B43=J$2,Curses!$G$3:$G43=$A35)),"""")"),"")</f>
        <v/>
      </c>
      <c r="K35" s="289" t="str">
        <f ca="1">IFERROR(__xludf.DUMMYFUNCTION("IFERROR(JOIN("";""&amp;CHAR(10),FILTER(Curses!$A$3:$A43,Curses!$B$3:$B43=K$2,Curses!$G$3:$G43=$A35)),"""")"),"")</f>
        <v/>
      </c>
      <c r="L35" s="289" t="str">
        <f ca="1">IFERROR(__xludf.DUMMYFUNCTION("IFERROR(JOIN("";""&amp;CHAR(10),FILTER(Curses!$A$3:$A43,Curses!$B$3:$B43=L$2,Curses!$G$3:$G43=$A35)),"""")"),"")</f>
        <v/>
      </c>
      <c r="M35" s="289" t="str">
        <f ca="1">IFERROR(__xludf.DUMMYFUNCTION("IFERROR(JOIN("";""&amp;CHAR(10),FILTER(Curses!$A$3:$A43,Curses!$B$3:$B43=M$2,Curses!$G$3:$G43=$A35)),"""")"),"")</f>
        <v/>
      </c>
      <c r="N35" s="289" t="str">
        <f ca="1">IFERROR(__xludf.DUMMYFUNCTION("IFERROR(JOIN("";""&amp;CHAR(10),FILTER(Curses!$A$3:$A43,Curses!$B$3:$B43=N$2,Curses!$G$3:$G43=$A35)),"""")"),"")</f>
        <v/>
      </c>
      <c r="O35" s="289" t="str">
        <f ca="1">IFERROR(__xludf.DUMMYFUNCTION("IFERROR(JOIN("";""&amp;CHAR(10),FILTER(Curses!$A$3:$A43,Curses!$B$3:$B43=O$2,Curses!$G$3:$G43=$A35)),"""")"),"")</f>
        <v/>
      </c>
      <c r="P35" s="289" t="str">
        <f ca="1">IFERROR(__xludf.DUMMYFUNCTION("IFERROR(JOIN("";""&amp;CHAR(10),FILTER(Curses!$A$3:$A43,Curses!$B$3:$B43=P$2,Curses!$G$3:$G43=$A35)),"""")"),"")</f>
        <v/>
      </c>
      <c r="Q35" s="289" t="str">
        <f ca="1">IFERROR(__xludf.DUMMYFUNCTION("IFERROR(JOIN("";""&amp;CHAR(10),FILTER(Curses!$A$3:$A43,Curses!$B$3:$B43=Q$2,Curses!$G$3:$G43=$A35)),"""")"),"")</f>
        <v/>
      </c>
      <c r="R35" s="289" t="str">
        <f ca="1">IFERROR(__xludf.DUMMYFUNCTION("IFERROR(JOIN("";""&amp;CHAR(10),FILTER(Curses!$A$3:$A43,Curses!$B$3:$B43=R$2,Curses!$G$3:$G43=$A35)),"""")"),"")</f>
        <v/>
      </c>
      <c r="S35" s="289" t="str">
        <f ca="1">IFERROR(__xludf.DUMMYFUNCTION("IFERROR(JOIN("";""&amp;CHAR(10),FILTER(Curses!$A$3:$A43,Curses!$B$3:$B43=S$2,Curses!$G$3:$G43=$A35)),"""")"),"")</f>
        <v/>
      </c>
      <c r="T35" s="289" t="str">
        <f ca="1">IFERROR(__xludf.DUMMYFUNCTION("IFERROR(JOIN("";""&amp;CHAR(10),FILTER(Curses!$A$3:$A43,Curses!$B$3:$B43=T$2,Curses!$G$3:$G43=$A35)),"""")"),"")</f>
        <v/>
      </c>
      <c r="U35" s="289" t="str">
        <f ca="1">IFERROR(__xludf.DUMMYFUNCTION("IFERROR(JOIN("";""&amp;CHAR(10),FILTER(Curses!$A$3:$A43,Curses!$B$3:$B43=U$2,Curses!$G$3:$G43=$A35)),"""")"),"")</f>
        <v/>
      </c>
      <c r="V35" s="289" t="str">
        <f ca="1">IFERROR(__xludf.DUMMYFUNCTION("IFERROR(JOIN("";""&amp;CHAR(10),FILTER(Curses!$A$3:$A43,Curses!$B$3:$B43=V$2,Curses!$G$3:$G43=$A35)),"""")"),"")</f>
        <v/>
      </c>
      <c r="W35" s="289" t="str">
        <f ca="1">IFERROR(__xludf.DUMMYFUNCTION("IFERROR(JOIN("";""&amp;CHAR(10),FILTER(Curses!$A$3:$A43,Curses!$B$3:$B43=W$2,Curses!$G$3:$G43=$A35)),"""")"),"")</f>
        <v/>
      </c>
      <c r="X35" s="289" t="str">
        <f ca="1">IFERROR(__xludf.DUMMYFUNCTION("IFERROR(JOIN("";""&amp;CHAR(10),FILTER(Curses!$A$3:$A43,Curses!$B$3:$B43=X$2,Curses!$G$3:$G43=$A35)),"""")"),"")</f>
        <v/>
      </c>
      <c r="Y35" s="289" t="str">
        <f ca="1">IFERROR(__xludf.DUMMYFUNCTION("IFERROR(JOIN("";""&amp;CHAR(10),FILTER(Curses!$A$3:$A43,Curses!$B$3:$B43=Y$2,Curses!$G$3:$G43=$A35)),"""")"),"")</f>
        <v/>
      </c>
      <c r="Z35" s="289" t="str">
        <f ca="1">IFERROR(__xludf.DUMMYFUNCTION("IFERROR(JOIN("";""&amp;CHAR(10),FILTER(Curses!$A$3:$A43,Curses!$B$3:$B43=Z$2,Curses!$G$3:$G43=$A35)),"""")"),"")</f>
        <v/>
      </c>
      <c r="AA35" s="289" t="str">
        <f ca="1">IFERROR(__xludf.DUMMYFUNCTION("IFERROR(JOIN("";""&amp;CHAR(10),FILTER(Curses!$A$3:$A43,Curses!$B$3:$B43=AA$2,Curses!$G$3:$G43=$A35)),"""")"),"")</f>
        <v/>
      </c>
      <c r="AB35" s="289" t="str">
        <f ca="1">IFERROR(__xludf.DUMMYFUNCTION("IFERROR(JOIN("";""&amp;CHAR(10),FILTER(Curses!$A$3:$A43,Curses!$B$3:$B43=AB$2,Curses!$G$3:$G43=$A35)),"""")"),"")</f>
        <v/>
      </c>
      <c r="AC35" s="289" t="str">
        <f ca="1">IFERROR(__xludf.DUMMYFUNCTION("IFERROR(JOIN("";""&amp;CHAR(10),FILTER(Curses!$A$3:$A43,Curses!$B$3:$B43=AC$2,Curses!$G$3:$G43=$A35)),"""")"),"")</f>
        <v/>
      </c>
      <c r="AD35" s="289" t="str">
        <f ca="1">IFERROR(__xludf.DUMMYFUNCTION("IFERROR(JOIN("";""&amp;CHAR(10),FILTER(Curses!$A$3:$A43,Curses!$B$3:$B43=AD$2,Curses!$G$3:$G43=$A35)),"""")"),"")</f>
        <v/>
      </c>
      <c r="AE35" s="289" t="str">
        <f ca="1">IFERROR(__xludf.DUMMYFUNCTION("IFERROR(JOIN("";""&amp;CHAR(10),FILTER(Curses!$A$3:$A43,Curses!$B$3:$B43=AE$2,Curses!$G$3:$G43=$A35)),"""")"),"")</f>
        <v/>
      </c>
      <c r="AF35" s="289" t="str">
        <f ca="1">IFERROR(__xludf.DUMMYFUNCTION("IFERROR(JOIN("";""&amp;CHAR(10),FILTER(Curses!$A$3:$A43,Curses!$B$3:$B43=AF$2,Curses!$G$3:$G43=$A35)),"""")"),"")</f>
        <v/>
      </c>
      <c r="AG35" s="289" t="str">
        <f ca="1">IFERROR(__xludf.DUMMYFUNCTION("IFERROR(JOIN("";""&amp;CHAR(10),FILTER(Curses!$A$3:$A43,Curses!$B$3:$B43=AG$2,Curses!$G$3:$G43=$A35)),"""")"),"")</f>
        <v/>
      </c>
      <c r="AH35" s="289" t="str">
        <f ca="1">IFERROR(__xludf.DUMMYFUNCTION("IFERROR(JOIN("";""&amp;CHAR(10),FILTER(Curses!$A$3:$A43,Curses!$B$3:$B43=AH$2,Curses!$G$3:$G43=$A35)),"""")"),"")</f>
        <v/>
      </c>
      <c r="AI35" s="289" t="str">
        <f ca="1">IFERROR(__xludf.DUMMYFUNCTION("IFERROR(JOIN("";""&amp;CHAR(10),FILTER(Curses!$A$3:$A43,Curses!$B$3:$B43=AI$2,Curses!$G$3:$G43=$A35)),"""")"),"")</f>
        <v/>
      </c>
      <c r="AJ35" s="289" t="str">
        <f ca="1">IFERROR(__xludf.DUMMYFUNCTION("IFERROR(JOIN("";""&amp;CHAR(10),FILTER(Curses!$A$3:$A43,Curses!$B$3:$B43=AJ$2,Curses!$G$3:$G43=$A35)),"""")"),"")</f>
        <v/>
      </c>
      <c r="AK35" s="289" t="str">
        <f ca="1">IFERROR(__xludf.DUMMYFUNCTION("IFERROR(JOIN("";""&amp;CHAR(10),FILTER(Curses!$A$3:$A43,Curses!$B$3:$B43=AK$2,Curses!$G$3:$G43=$A35)),"""")"),"")</f>
        <v/>
      </c>
      <c r="AL35" s="289" t="str">
        <f ca="1">IFERROR(__xludf.DUMMYFUNCTION("IFERROR(JOIN("";""&amp;CHAR(10),FILTER(Curses!$A$3:$A43,Curses!$B$3:$B43=AL$2,Curses!$G$3:$G43=$A35)),"""")"),"")</f>
        <v/>
      </c>
      <c r="AM35" s="289" t="str">
        <f ca="1">IFERROR(__xludf.DUMMYFUNCTION("IFERROR(JOIN("";""&amp;CHAR(10),FILTER(Curses!$A$3:$A43,Curses!$B$3:$B43=AM$2,Curses!$G$3:$G43=$A35)),"""")"),"")</f>
        <v/>
      </c>
    </row>
    <row r="36" spans="1:39">
      <c r="A36" s="292" t="str">
        <f ca="1">IFERROR(__xludf.DUMMYFUNCTION("""COMPUTED_VALUE"""),"Add Enemy")</f>
        <v>Add Enemy</v>
      </c>
      <c r="B36" s="289" t="str">
        <f ca="1">IFERROR(__xludf.DUMMYFUNCTION("IFERROR(JOIN("";""&amp;CHAR(10),FILTER(Curses!$A$3:$A43,Curses!$B$3:$B43=B$2,Curses!$G$3:$G43=$A36)),"""")"),"")</f>
        <v/>
      </c>
      <c r="C36" s="289" t="str">
        <f ca="1">IFERROR(__xludf.DUMMYFUNCTION("IFERROR(JOIN("";""&amp;CHAR(10),FILTER(Curses!$A$3:$A43,Curses!$B$3:$B43=C$2,Curses!$G$3:$G43=$A36)),"""")"),"Add Slimelet;
Add Illusion;
Add Archer;
Add Rat")</f>
        <v>Add Slimelet;
Add Illusion;
Add Archer;
Add Rat</v>
      </c>
      <c r="D36" s="289" t="str">
        <f ca="1">IFERROR(__xludf.DUMMYFUNCTION("IFERROR(JOIN("";""&amp;CHAR(10),FILTER(Curses!$A$3:$A43,Curses!$B$3:$B43=D$2,Curses!$G$3:$G43=$A36)),"""")"),"Add Spider")</f>
        <v>Add Spider</v>
      </c>
      <c r="E36" s="289" t="str">
        <f ca="1">IFERROR(__xludf.DUMMYFUNCTION("IFERROR(JOIN("";""&amp;CHAR(10),FILTER(Curses!$A$3:$A43,Curses!$B$3:$B43=E$2,Curses!$G$3:$G43=$A36)),"""")"),"Add Goblin;
Add Wolf;
Add Wisp")</f>
        <v>Add Goblin;
Add Wolf;
Add Wisp</v>
      </c>
      <c r="F36" s="289" t="str">
        <f ca="1">IFERROR(__xludf.DUMMYFUNCTION("IFERROR(JOIN("";""&amp;CHAR(10),FILTER(Curses!$A$3:$A43,Curses!$B$3:$B43=F$2,Curses!$G$3:$G43=$A36)),"""")"),"Add Imp;
Add Caw Egg;
Add Gnoll;
Add Snake;
Add Sudul;
Add Sniper")</f>
        <v>Add Imp;
Add Caw Egg;
Add Gnoll;
Add Snake;
Add Sudul;
Add Sniper</v>
      </c>
      <c r="G36" s="289" t="str">
        <f ca="1">IFERROR(__xludf.DUMMYFUNCTION("IFERROR(JOIN("";""&amp;CHAR(10),FILTER(Curses!$A$3:$A43,Curses!$B$3:$B43=G$2,Curses!$G$3:$G43=$A36)),"""")"),"Add Thorn;
Add Crone;
Add Bandit;
Add Boar;
Add Grave;
Add Quartz")</f>
        <v>Add Thorn;
Add Crone;
Add Bandit;
Add Boar;
Add Grave;
Add Quartz</v>
      </c>
      <c r="H36" s="289" t="str">
        <f ca="1">IFERROR(__xludf.DUMMYFUNCTION("IFERROR(JOIN("";""&amp;CHAR(10),FILTER(Curses!$A$3:$A43,Curses!$B$3:$B43=H$2,Curses!$G$3:$G43=$A36)),"""")"),"Add Dragon Egg")</f>
        <v>Add Dragon Egg</v>
      </c>
      <c r="I36" s="289" t="str">
        <f ca="1">IFERROR(__xludf.DUMMYFUNCTION("IFERROR(JOIN("";""&amp;CHAR(10),FILTER(Curses!$A$3:$A43,Curses!$B$3:$B43=I$2,Curses!$G$3:$G43=$A36)),"""")"),"Add Fanatic;
Add Ghost;
Add Zombie;
Add Slimer;
Add Wizz")</f>
        <v>Add Fanatic;
Add Ghost;
Add Zombie;
Add Slimer;
Add Wizz</v>
      </c>
      <c r="J36" s="289" t="str">
        <f ca="1">IFERROR(__xludf.DUMMYFUNCTION("IFERROR(JOIN("";""&amp;CHAR(10),FILTER(Curses!$A$3:$A43,Curses!$B$3:$B43=J$2,Curses!$G$3:$G43=$A36)),"""")"),"Add Caw;
Add Saber;
Add Warchief")</f>
        <v>Add Caw;
Add Saber;
Add Warchief</v>
      </c>
      <c r="K36" s="289" t="str">
        <f ca="1">IFERROR(__xludf.DUMMYFUNCTION("IFERROR(JOIN("";""&amp;CHAR(10),FILTER(Curses!$A$3:$A43,Curses!$B$3:$B43=K$2,Curses!$G$3:$G43=$A36)),"""")"),"Add Ogre;
Add Alpha")</f>
        <v>Add Ogre;
Add Alpha</v>
      </c>
      <c r="L36" s="289" t="str">
        <f ca="1">IFERROR(__xludf.DUMMYFUNCTION("IFERROR(JOIN("";""&amp;CHAR(10),FILTER(Curses!$A$3:$A43,Curses!$B$3:$B43=L$2,Curses!$G$3:$G43=$A36)),"""")"),"Add Slate")</f>
        <v>Add Slate</v>
      </c>
      <c r="M36" s="289" t="str">
        <f ca="1">IFERROR(__xludf.DUMMYFUNCTION("IFERROR(JOIN("";""&amp;CHAR(10),FILTER(Curses!$A$3:$A43,Curses!$B$3:$B43=M$2,Curses!$G$3:$G43=$A36)),"""")"),"Add Basilisk;
Add Z0mbie")</f>
        <v>Add Basilisk;
Add Z0mbie</v>
      </c>
      <c r="N36" s="289" t="str">
        <f ca="1">IFERROR(__xludf.DUMMYFUNCTION("IFERROR(JOIN("";""&amp;CHAR(10),FILTER(Curses!$A$3:$A43,Curses!$B$3:$B43=N$2,Curses!$G$3:$G43=$A36)),"""")"),"Add Cyclops;
Add Demon;
Add Bramble")</f>
        <v>Add Cyclops;
Add Demon;
Add Bramble</v>
      </c>
      <c r="O36" s="289" t="str">
        <f ca="1">IFERROR(__xludf.DUMMYFUNCTION("IFERROR(JOIN("";""&amp;CHAR(10),FILTER(Curses!$A$3:$A43,Curses!$B$3:$B43=O$2,Curses!$G$3:$G43=$A36)),"""")"),"")</f>
        <v/>
      </c>
      <c r="P36" s="289" t="str">
        <f ca="1">IFERROR(__xludf.DUMMYFUNCTION("IFERROR(JOIN("";""&amp;CHAR(10),FILTER(Curses!$A$3:$A43,Curses!$B$3:$B43=P$2,Curses!$G$3:$G43=$A36)),"""")"),"Add Troll")</f>
        <v>Add Troll</v>
      </c>
      <c r="Q36" s="289" t="str">
        <f ca="1">IFERROR(__xludf.DUMMYFUNCTION("IFERROR(JOIN("";""&amp;CHAR(10),FILTER(Curses!$A$3:$A43,Curses!$B$3:$B43=Q$2,Curses!$G$3:$G43=$A36)),"""")"),"Add Banshee;
Add Spiker")</f>
        <v>Add Banshee;
Add Spiker</v>
      </c>
      <c r="R36" s="289" t="str">
        <f ca="1">IFERROR(__xludf.DUMMYFUNCTION("IFERROR(JOIN("";""&amp;CHAR(10),FILTER(Curses!$A$3:$A43,Curses!$B$3:$B43=R$2,Curses!$G$3:$G43=$A36)),"""")"),"")</f>
        <v/>
      </c>
      <c r="S36" s="289" t="str">
        <f ca="1">IFERROR(__xludf.DUMMYFUNCTION("IFERROR(JOIN("";""&amp;CHAR(10),FILTER(Curses!$A$3:$A43,Curses!$B$3:$B43=S$2,Curses!$G$3:$G43=$A36)),"""")"),"")</f>
        <v/>
      </c>
      <c r="T36" s="289" t="str">
        <f ca="1">IFERROR(__xludf.DUMMYFUNCTION("IFERROR(JOIN("";""&amp;CHAR(10),FILTER(Curses!$A$3:$A43,Curses!$B$3:$B43=T$2,Curses!$G$3:$G43=$A36)),"""")"),"")</f>
        <v/>
      </c>
      <c r="U36" s="289" t="str">
        <f ca="1">IFERROR(__xludf.DUMMYFUNCTION("IFERROR(JOIN("";""&amp;CHAR(10),FILTER(Curses!$A$3:$A43,Curses!$B$3:$B43=U$2,Curses!$G$3:$G43=$A36)),"""")"),"")</f>
        <v/>
      </c>
      <c r="V36" s="289" t="str">
        <f ca="1">IFERROR(__xludf.DUMMYFUNCTION("IFERROR(JOIN("";""&amp;CHAR(10),FILTER(Curses!$A$3:$A43,Curses!$B$3:$B43=V$2,Curses!$G$3:$G43=$A36)),"""")"),"Add Hydra")</f>
        <v>Add Hydra</v>
      </c>
      <c r="W36" s="289" t="str">
        <f ca="1">IFERROR(__xludf.DUMMYFUNCTION("IFERROR(JOIN("";""&amp;CHAR(10),FILTER(Curses!$A$3:$A43,Curses!$B$3:$B43=W$2,Curses!$G$3:$G43=$A36)),"""")"),"")</f>
        <v/>
      </c>
      <c r="X36" s="289" t="str">
        <f ca="1">IFERROR(__xludf.DUMMYFUNCTION("IFERROR(JOIN("";""&amp;CHAR(10),FILTER(Curses!$A$3:$A43,Curses!$B$3:$B43=X$2,Curses!$G$3:$G43=$A36)),"""")"),"Add Lich")</f>
        <v>Add Lich</v>
      </c>
      <c r="Y36" s="289" t="str">
        <f ca="1">IFERROR(__xludf.DUMMYFUNCTION("IFERROR(JOIN("";""&amp;CHAR(10),FILTER(Curses!$A$3:$A43,Curses!$B$3:$B43=Y$2,Curses!$G$3:$G43=$A36)),"""")"),"")</f>
        <v/>
      </c>
      <c r="Z36" s="289" t="str">
        <f ca="1">IFERROR(__xludf.DUMMYFUNCTION("IFERROR(JOIN("";""&amp;CHAR(10),FILTER(Curses!$A$3:$A43,Curses!$B$3:$B43=Z$2,Curses!$G$3:$G43=$A36)),"""")"),"")</f>
        <v/>
      </c>
      <c r="AA36" s="289" t="str">
        <f ca="1">IFERROR(__xludf.DUMMYFUNCTION("IFERROR(JOIN("";""&amp;CHAR(10),FILTER(Curses!$A$3:$A43,Curses!$B$3:$B43=AA$2,Curses!$G$3:$G43=$A36)),"""")"),"")</f>
        <v/>
      </c>
      <c r="AB36" s="289" t="str">
        <f ca="1">IFERROR(__xludf.DUMMYFUNCTION("IFERROR(JOIN("";""&amp;CHAR(10),FILTER(Curses!$A$3:$A43,Curses!$B$3:$B43=AB$2,Curses!$G$3:$G43=$A36)),"""")"),"")</f>
        <v/>
      </c>
      <c r="AC36" s="289" t="str">
        <f ca="1">IFERROR(__xludf.DUMMYFUNCTION("IFERROR(JOIN("";""&amp;CHAR(10),FILTER(Curses!$A$3:$A43,Curses!$B$3:$B43=AC$2,Curses!$G$3:$G43=$A36)),"""")"),"")</f>
        <v/>
      </c>
      <c r="AD36" s="289" t="str">
        <f ca="1">IFERROR(__xludf.DUMMYFUNCTION("IFERROR(JOIN("";""&amp;CHAR(10),FILTER(Curses!$A$3:$A43,Curses!$B$3:$B43=AD$2,Curses!$G$3:$G43=$A36)),"""")"),"")</f>
        <v/>
      </c>
      <c r="AE36" s="289" t="str">
        <f ca="1">IFERROR(__xludf.DUMMYFUNCTION("IFERROR(JOIN("";""&amp;CHAR(10),FILTER(Curses!$A$3:$A43,Curses!$B$3:$B43=AE$2,Curses!$G$3:$G43=$A36)),"""")"),"")</f>
        <v/>
      </c>
      <c r="AF36" s="289" t="str">
        <f ca="1">IFERROR(__xludf.DUMMYFUNCTION("IFERROR(JOIN("";""&amp;CHAR(10),FILTER(Curses!$A$3:$A43,Curses!$B$3:$B43=AF$2,Curses!$G$3:$G43=$A36)),"""")"),"")</f>
        <v/>
      </c>
      <c r="AG36" s="289" t="str">
        <f ca="1">IFERROR(__xludf.DUMMYFUNCTION("IFERROR(JOIN("";""&amp;CHAR(10),FILTER(Curses!$A$3:$A43,Curses!$B$3:$B43=AG$2,Curses!$G$3:$G43=$A36)),"""")"),"")</f>
        <v/>
      </c>
      <c r="AH36" s="289" t="str">
        <f ca="1">IFERROR(__xludf.DUMMYFUNCTION("IFERROR(JOIN("";""&amp;CHAR(10),FILTER(Curses!$A$3:$A43,Curses!$B$3:$B43=AH$2,Curses!$G$3:$G43=$A36)),"""")"),"")</f>
        <v/>
      </c>
      <c r="AI36" s="289" t="str">
        <f ca="1">IFERROR(__xludf.DUMMYFUNCTION("IFERROR(JOIN("";""&amp;CHAR(10),FILTER(Curses!$A$3:$A43,Curses!$B$3:$B43=AI$2,Curses!$G$3:$G43=$A36)),"""")"),"Add Dragon")</f>
        <v>Add Dragon</v>
      </c>
      <c r="AJ36" s="289" t="str">
        <f ca="1">IFERROR(__xludf.DUMMYFUNCTION("IFERROR(JOIN("";""&amp;CHAR(10),FILTER(Curses!$A$3:$A43,Curses!$B$3:$B43=AJ$2,Curses!$G$3:$G43=$A36)),"""")"),"")</f>
        <v/>
      </c>
      <c r="AK36" s="289" t="str">
        <f ca="1">IFERROR(__xludf.DUMMYFUNCTION("IFERROR(JOIN("";""&amp;CHAR(10),FILTER(Curses!$A$3:$A43,Curses!$B$3:$B43=AK$2,Curses!$G$3:$G43=$A36)),"""")"),"")</f>
        <v/>
      </c>
      <c r="AL36" s="289" t="str">
        <f ca="1">IFERROR(__xludf.DUMMYFUNCTION("IFERROR(JOIN("";""&amp;CHAR(10),FILTER(Curses!$A$3:$A43,Curses!$B$3:$B43=AL$2,Curses!$G$3:$G43=$A36)),"""")"),"")</f>
        <v/>
      </c>
      <c r="AM36" s="289" t="str">
        <f ca="1">IFERROR(__xludf.DUMMYFUNCTION("IFERROR(JOIN("";""&amp;CHAR(10),FILTER(Curses!$A$3:$A43,Curses!$B$3:$B43=AM$2,Curses!$G$3:$G43=$A36)),"""")"),"")</f>
        <v/>
      </c>
    </row>
    <row r="37" spans="1:39">
      <c r="A37" s="292" t="str">
        <f ca="1">IFERROR(__xludf.DUMMYFUNCTION("""COMPUTED_VALUE"""),"3rd turn Enemy")</f>
        <v>3rd turn Enemy</v>
      </c>
      <c r="B37" s="289" t="str">
        <f ca="1">IFERROR(__xludf.DUMMYFUNCTION("IFERROR(JOIN("";""&amp;CHAR(10),FILTER(Curses!$A$3:$A43,Curses!$B$3:$B43=B$2,Curses!$G$3:$G43=$A37)),"""")"),"")</f>
        <v/>
      </c>
      <c r="C37" s="289" t="str">
        <f ca="1">IFERROR(__xludf.DUMMYFUNCTION("IFERROR(JOIN("";""&amp;CHAR(10),FILTER(Curses!$A$3:$A43,Curses!$B$3:$B43=C$2,Curses!$G$3:$G43=$A37)),"""")"),"3rd turn Slimelets;
3rd turn Illusions;
3rd turn Archers;
3rd turn Rats")</f>
        <v>3rd turn Slimelets;
3rd turn Illusions;
3rd turn Archers;
3rd turn Rats</v>
      </c>
      <c r="D37" s="289" t="str">
        <f ca="1">IFERROR(__xludf.DUMMYFUNCTION("IFERROR(JOIN("";""&amp;CHAR(10),FILTER(Curses!$A$3:$A43,Curses!$B$3:$B43=D$2,Curses!$G$3:$G43=$A37)),"""")"),"3rd turn Bones;
3rd turn Spiders")</f>
        <v>3rd turn Bones;
3rd turn Spiders</v>
      </c>
      <c r="E37" s="289" t="str">
        <f ca="1">IFERROR(__xludf.DUMMYFUNCTION("IFERROR(JOIN("";""&amp;CHAR(10),FILTER(Curses!$A$3:$A43,Curses!$B$3:$B43=E$2,Curses!$G$3:$G43=$A37)),"""")"),"3rd turn Caw Eggs;
3rd turn Snakes;
3rd turn Suduls;
3rd turn Goblins;
3rd turn Wolves;
3rd turn Wisps;
3rd turn Snipers")</f>
        <v>3rd turn Caw Eggs;
3rd turn Snakes;
3rd turn Suduls;
3rd turn Goblins;
3rd turn Wolves;
3rd turn Wisps;
3rd turn Snipers</v>
      </c>
      <c r="F37" s="289" t="str">
        <f ca="1">IFERROR(__xludf.DUMMYFUNCTION("IFERROR(JOIN("";""&amp;CHAR(10),FILTER(Curses!$A$3:$A43,Curses!$B$3:$B43=F$2,Curses!$G$3:$G43=$A37)),"""")"),"3rd turn Gnolls;
3rd turn Thorns;
3rd turn Quartz;
3rd turn Imps")</f>
        <v>3rd turn Gnolls;
3rd turn Thorns;
3rd turn Quartz;
3rd turn Imps</v>
      </c>
      <c r="G37" s="289" t="str">
        <f ca="1">IFERROR(__xludf.DUMMYFUNCTION("IFERROR(JOIN("";""&amp;CHAR(10),FILTER(Curses!$A$3:$A43,Curses!$B$3:$B43=G$2,Curses!$G$3:$G43=$A37)),"""")"),"3rd turn Dragon Eggs;
3rd turn Boars;
3rd turn Bandits;
3rd turn Crones;
3rd turn Graves")</f>
        <v>3rd turn Dragon Eggs;
3rd turn Boars;
3rd turn Bandits;
3rd turn Crones;
3rd turn Graves</v>
      </c>
      <c r="H37" s="289" t="str">
        <f ca="1">IFERROR(__xludf.DUMMYFUNCTION("IFERROR(JOIN("";""&amp;CHAR(10),FILTER(Curses!$A$3:$A43,Curses!$B$3:$B43=H$2,Curses!$G$3:$G43=$A37)),"""")"),"3rd turn Fanatics;
3rd turn Zombies;
3rd turn Slimers;
3rd turn Ghosts;
3rd turn Wizz")</f>
        <v>3rd turn Fanatics;
3rd turn Zombies;
3rd turn Slimers;
3rd turn Ghosts;
3rd turn Wizz</v>
      </c>
      <c r="I37" s="289" t="str">
        <f ca="1">IFERROR(__xludf.DUMMYFUNCTION("IFERROR(JOIN("";""&amp;CHAR(10),FILTER(Curses!$A$3:$A43,Curses!$B$3:$B43=I$2,Curses!$G$3:$G43=$A37)),"""")"),"3rd turn Sabers;
3rd turn Warchiefs;
3rd turn Caws;
3rd turn Alphas;
3rd turn Ogres")</f>
        <v>3rd turn Sabers;
3rd turn Warchiefs;
3rd turn Caws;
3rd turn Alphas;
3rd turn Ogres</v>
      </c>
      <c r="J37" s="289" t="str">
        <f ca="1">IFERROR(__xludf.DUMMYFUNCTION("IFERROR(JOIN("";""&amp;CHAR(10),FILTER(Curses!$A$3:$A43,Curses!$B$3:$B43=J$2,Curses!$G$3:$G43=$A37)),"""")"),"")</f>
        <v/>
      </c>
      <c r="K37" s="289" t="str">
        <f ca="1">IFERROR(__xludf.DUMMYFUNCTION("IFERROR(JOIN("";""&amp;CHAR(10),FILTER(Curses!$A$3:$A43,Curses!$B$3:$B43=K$2,Curses!$G$3:$G43=$A37)),"""")"),"3rd turn Demons;
3rd turn Slates;
3rd turn Basilisks;
3rd turn Z0mbies")</f>
        <v>3rd turn Demons;
3rd turn Slates;
3rd turn Basilisks;
3rd turn Z0mbies</v>
      </c>
      <c r="L37" s="289" t="str">
        <f ca="1">IFERROR(__xludf.DUMMYFUNCTION("IFERROR(JOIN("";""&amp;CHAR(10),FILTER(Curses!$A$3:$A43,Curses!$B$3:$B43=L$2,Curses!$G$3:$G43=$A37)),"""")"),"")</f>
        <v/>
      </c>
      <c r="M37" s="289" t="str">
        <f ca="1">IFERROR(__xludf.DUMMYFUNCTION("IFERROR(JOIN("";""&amp;CHAR(10),FILTER(Curses!$A$3:$A43,Curses!$B$3:$B43=M$2,Curses!$G$3:$G43=$A37)),"""")"),"")</f>
        <v/>
      </c>
      <c r="N37" s="289" t="str">
        <f ca="1">IFERROR(__xludf.DUMMYFUNCTION("IFERROR(JOIN("";""&amp;CHAR(10),FILTER(Curses!$A$3:$A43,Curses!$B$3:$B43=N$2,Curses!$G$3:$G43=$A37)),"""")"),"")</f>
        <v/>
      </c>
      <c r="O37" s="289" t="str">
        <f ca="1">IFERROR(__xludf.DUMMYFUNCTION("IFERROR(JOIN("";""&amp;CHAR(10),FILTER(Curses!$A$3:$A43,Curses!$B$3:$B43=O$2,Curses!$G$3:$G43=$A37)),"""")"),"")</f>
        <v/>
      </c>
      <c r="P37" s="289" t="str">
        <f ca="1">IFERROR(__xludf.DUMMYFUNCTION("IFERROR(JOIN("";""&amp;CHAR(10),FILTER(Curses!$A$3:$A43,Curses!$B$3:$B43=P$2,Curses!$G$3:$G43=$A37)),"""")"),"")</f>
        <v/>
      </c>
      <c r="Q37" s="289" t="str">
        <f ca="1">IFERROR(__xludf.DUMMYFUNCTION("IFERROR(JOIN("";""&amp;CHAR(10),FILTER(Curses!$A$3:$A43,Curses!$B$3:$B43=Q$2,Curses!$G$3:$G43=$A37)),"""")"),"")</f>
        <v/>
      </c>
      <c r="R37" s="289" t="str">
        <f ca="1">IFERROR(__xludf.DUMMYFUNCTION("IFERROR(JOIN("";""&amp;CHAR(10),FILTER(Curses!$A$3:$A43,Curses!$B$3:$B43=R$2,Curses!$G$3:$G43=$A37)),"""")"),"")</f>
        <v/>
      </c>
      <c r="S37" s="289" t="str">
        <f ca="1">IFERROR(__xludf.DUMMYFUNCTION("IFERROR(JOIN("";""&amp;CHAR(10),FILTER(Curses!$A$3:$A43,Curses!$B$3:$B43=S$2,Curses!$G$3:$G43=$A37)),"""")"),"")</f>
        <v/>
      </c>
      <c r="T37" s="289" t="str">
        <f ca="1">IFERROR(__xludf.DUMMYFUNCTION("IFERROR(JOIN("";""&amp;CHAR(10),FILTER(Curses!$A$3:$A43,Curses!$B$3:$B43=T$2,Curses!$G$3:$G43=$A37)),"""")"),"")</f>
        <v/>
      </c>
      <c r="U37" s="289" t="str">
        <f ca="1">IFERROR(__xludf.DUMMYFUNCTION("IFERROR(JOIN("";""&amp;CHAR(10),FILTER(Curses!$A$3:$A43,Curses!$B$3:$B43=U$2,Curses!$G$3:$G43=$A37)),"""")"),"")</f>
        <v/>
      </c>
      <c r="V37" s="289" t="str">
        <f ca="1">IFERROR(__xludf.DUMMYFUNCTION("IFERROR(JOIN("";""&amp;CHAR(10),FILTER(Curses!$A$3:$A43,Curses!$B$3:$B43=V$2,Curses!$G$3:$G43=$A37)),"""")"),"")</f>
        <v/>
      </c>
      <c r="W37" s="289" t="str">
        <f ca="1">IFERROR(__xludf.DUMMYFUNCTION("IFERROR(JOIN("";""&amp;CHAR(10),FILTER(Curses!$A$3:$A43,Curses!$B$3:$B43=W$2,Curses!$G$3:$G43=$A37)),"""")"),"")</f>
        <v/>
      </c>
      <c r="X37" s="289" t="str">
        <f ca="1">IFERROR(__xludf.DUMMYFUNCTION("IFERROR(JOIN("";""&amp;CHAR(10),FILTER(Curses!$A$3:$A43,Curses!$B$3:$B43=X$2,Curses!$G$3:$G43=$A37)),"""")"),"")</f>
        <v/>
      </c>
      <c r="Y37" s="289" t="str">
        <f ca="1">IFERROR(__xludf.DUMMYFUNCTION("IFERROR(JOIN("";""&amp;CHAR(10),FILTER(Curses!$A$3:$A43,Curses!$B$3:$B43=Y$2,Curses!$G$3:$G43=$A37)),"""")"),"")</f>
        <v/>
      </c>
      <c r="Z37" s="289" t="str">
        <f ca="1">IFERROR(__xludf.DUMMYFUNCTION("IFERROR(JOIN("";""&amp;CHAR(10),FILTER(Curses!$A$3:$A43,Curses!$B$3:$B43=Z$2,Curses!$G$3:$G43=$A37)),"""")"),"")</f>
        <v/>
      </c>
      <c r="AA37" s="289" t="str">
        <f ca="1">IFERROR(__xludf.DUMMYFUNCTION("IFERROR(JOIN("";""&amp;CHAR(10),FILTER(Curses!$A$3:$A43,Curses!$B$3:$B43=AA$2,Curses!$G$3:$G43=$A37)),"""")"),"")</f>
        <v/>
      </c>
      <c r="AB37" s="289" t="str">
        <f ca="1">IFERROR(__xludf.DUMMYFUNCTION("IFERROR(JOIN("";""&amp;CHAR(10),FILTER(Curses!$A$3:$A43,Curses!$B$3:$B43=AB$2,Curses!$G$3:$G43=$A37)),"""")"),"")</f>
        <v/>
      </c>
      <c r="AC37" s="289" t="str">
        <f ca="1">IFERROR(__xludf.DUMMYFUNCTION("IFERROR(JOIN("";""&amp;CHAR(10),FILTER(Curses!$A$3:$A43,Curses!$B$3:$B43=AC$2,Curses!$G$3:$G43=$A37)),"""")"),"")</f>
        <v/>
      </c>
      <c r="AD37" s="289" t="str">
        <f ca="1">IFERROR(__xludf.DUMMYFUNCTION("IFERROR(JOIN("";""&amp;CHAR(10),FILTER(Curses!$A$3:$A43,Curses!$B$3:$B43=AD$2,Curses!$G$3:$G43=$A37)),"""")"),"")</f>
        <v/>
      </c>
      <c r="AE37" s="289" t="str">
        <f ca="1">IFERROR(__xludf.DUMMYFUNCTION("IFERROR(JOIN("";""&amp;CHAR(10),FILTER(Curses!$A$3:$A43,Curses!$B$3:$B43=AE$2,Curses!$G$3:$G43=$A37)),"""")"),"")</f>
        <v/>
      </c>
      <c r="AF37" s="289" t="str">
        <f ca="1">IFERROR(__xludf.DUMMYFUNCTION("IFERROR(JOIN("";""&amp;CHAR(10),FILTER(Curses!$A$3:$A43,Curses!$B$3:$B43=AF$2,Curses!$G$3:$G43=$A37)),"""")"),"")</f>
        <v/>
      </c>
      <c r="AG37" s="289" t="str">
        <f ca="1">IFERROR(__xludf.DUMMYFUNCTION("IFERROR(JOIN("";""&amp;CHAR(10),FILTER(Curses!$A$3:$A43,Curses!$B$3:$B43=AG$2,Curses!$G$3:$G43=$A37)),"""")"),"")</f>
        <v/>
      </c>
      <c r="AH37" s="289" t="str">
        <f ca="1">IFERROR(__xludf.DUMMYFUNCTION("IFERROR(JOIN("";""&amp;CHAR(10),FILTER(Curses!$A$3:$A43,Curses!$B$3:$B43=AH$2,Curses!$G$3:$G43=$A37)),"""")"),"")</f>
        <v/>
      </c>
      <c r="AI37" s="289" t="str">
        <f ca="1">IFERROR(__xludf.DUMMYFUNCTION("IFERROR(JOIN("";""&amp;CHAR(10),FILTER(Curses!$A$3:$A43,Curses!$B$3:$B43=AI$2,Curses!$G$3:$G43=$A37)),"""")"),"")</f>
        <v/>
      </c>
      <c r="AJ37" s="289" t="str">
        <f ca="1">IFERROR(__xludf.DUMMYFUNCTION("IFERROR(JOIN("";""&amp;CHAR(10),FILTER(Curses!$A$3:$A43,Curses!$B$3:$B43=AJ$2,Curses!$G$3:$G43=$A37)),"""")"),"")</f>
        <v/>
      </c>
      <c r="AK37" s="289" t="str">
        <f ca="1">IFERROR(__xludf.DUMMYFUNCTION("IFERROR(JOIN("";""&amp;CHAR(10),FILTER(Curses!$A$3:$A43,Curses!$B$3:$B43=AK$2,Curses!$G$3:$G43=$A37)),"""")"),"")</f>
        <v/>
      </c>
      <c r="AL37" s="289" t="str">
        <f ca="1">IFERROR(__xludf.DUMMYFUNCTION("IFERROR(JOIN("";""&amp;CHAR(10),FILTER(Curses!$A$3:$A43,Curses!$B$3:$B43=AL$2,Curses!$G$3:$G43=$A37)),"""")"),"")</f>
        <v/>
      </c>
      <c r="AM37" s="289" t="str">
        <f ca="1">IFERROR(__xludf.DUMMYFUNCTION("IFERROR(JOIN("";""&amp;CHAR(10),FILTER(Curses!$A$3:$A43,Curses!$B$3:$B43=AM$2,Curses!$G$3:$G43=$A37)),"""")"),"")</f>
        <v/>
      </c>
    </row>
    <row r="38" spans="1:39">
      <c r="A38" s="292" t="str">
        <f ca="1">IFERROR(__xludf.DUMMYFUNCTION("""COMPUTED_VALUE"""),"Monster Rights")</f>
        <v>Monster Rights</v>
      </c>
      <c r="B38" s="289" t="str">
        <f ca="1">IFERROR(__xludf.DUMMYFUNCTION("IFERROR(JOIN("";""&amp;CHAR(10),FILTER(Curses!$A$3:$A43,Curses!$B$3:$B43=B$2,Curses!$G$3:$G43=$A38)),"""")"),"")</f>
        <v/>
      </c>
      <c r="C38" s="289" t="str">
        <f ca="1">IFERROR(__xludf.DUMMYFUNCTION("IFERROR(JOIN("";""&amp;CHAR(10),FILTER(Curses!$A$3:$A43,Curses!$B$3:$B43=C$2,Curses!$G$3:$G43=$A38)),"""")"),"")</f>
        <v/>
      </c>
      <c r="D38" s="289" t="str">
        <f ca="1">IFERROR(__xludf.DUMMYFUNCTION("IFERROR(JOIN("";""&amp;CHAR(10),FILTER(Curses!$A$3:$A43,Curses!$B$3:$B43=D$2,Curses!$G$3:$G43=$A38)),"""")"),"Monster Rights +1")</f>
        <v>Monster Rights +1</v>
      </c>
      <c r="E38" s="289" t="str">
        <f ca="1">IFERROR(__xludf.DUMMYFUNCTION("IFERROR(JOIN("";""&amp;CHAR(10),FILTER(Curses!$A$3:$A43,Curses!$B$3:$B43=E$2,Curses!$G$3:$G43=$A38)),"""")"),"")</f>
        <v/>
      </c>
      <c r="F38" s="289" t="str">
        <f ca="1">IFERROR(__xludf.DUMMYFUNCTION("IFERROR(JOIN("";""&amp;CHAR(10),FILTER(Curses!$A$3:$A43,Curses!$B$3:$B43=F$2,Curses!$G$3:$G43=$A38)),"""")"),"")</f>
        <v/>
      </c>
      <c r="G38" s="289" t="str">
        <f ca="1">IFERROR(__xludf.DUMMYFUNCTION("IFERROR(JOIN("";""&amp;CHAR(10),FILTER(Curses!$A$3:$A43,Curses!$B$3:$B43=G$2,Curses!$G$3:$G43=$A38)),"""")"),"Monster Rights +2")</f>
        <v>Monster Rights +2</v>
      </c>
      <c r="H38" s="289" t="str">
        <f ca="1">IFERROR(__xludf.DUMMYFUNCTION("IFERROR(JOIN("";""&amp;CHAR(10),FILTER(Curses!$A$3:$A43,Curses!$B$3:$B43=H$2,Curses!$G$3:$G43=$A38)),"""")"),"")</f>
        <v/>
      </c>
      <c r="I38" s="289" t="str">
        <f ca="1">IFERROR(__xludf.DUMMYFUNCTION("IFERROR(JOIN("";""&amp;CHAR(10),FILTER(Curses!$A$3:$A43,Curses!$B$3:$B43=I$2,Curses!$G$3:$G43=$A38)),"""")"),"")</f>
        <v/>
      </c>
      <c r="J38" s="289" t="str">
        <f ca="1">IFERROR(__xludf.DUMMYFUNCTION("IFERROR(JOIN("";""&amp;CHAR(10),FILTER(Curses!$A$3:$A43,Curses!$B$3:$B43=J$2,Curses!$G$3:$G43=$A38)),"""")"),"Monster Rights +3")</f>
        <v>Monster Rights +3</v>
      </c>
      <c r="K38" s="289" t="str">
        <f ca="1">IFERROR(__xludf.DUMMYFUNCTION("IFERROR(JOIN("";""&amp;CHAR(10),FILTER(Curses!$A$3:$A43,Curses!$B$3:$B43=K$2,Curses!$G$3:$G43=$A38)),"""")"),"")</f>
        <v/>
      </c>
      <c r="L38" s="289" t="str">
        <f ca="1">IFERROR(__xludf.DUMMYFUNCTION("IFERROR(JOIN("";""&amp;CHAR(10),FILTER(Curses!$A$3:$A43,Curses!$B$3:$B43=L$2,Curses!$G$3:$G43=$A38)),"""")"),"")</f>
        <v/>
      </c>
      <c r="M38" s="289" t="str">
        <f ca="1">IFERROR(__xludf.DUMMYFUNCTION("IFERROR(JOIN("";""&amp;CHAR(10),FILTER(Curses!$A$3:$A43,Curses!$B$3:$B43=M$2,Curses!$G$3:$G43=$A38)),"""")"),"")</f>
        <v/>
      </c>
      <c r="N38" s="289" t="str">
        <f ca="1">IFERROR(__xludf.DUMMYFUNCTION("IFERROR(JOIN("";""&amp;CHAR(10),FILTER(Curses!$A$3:$A43,Curses!$B$3:$B43=N$2,Curses!$G$3:$G43=$A38)),"""")"),"")</f>
        <v/>
      </c>
      <c r="O38" s="289" t="str">
        <f ca="1">IFERROR(__xludf.DUMMYFUNCTION("IFERROR(JOIN("";""&amp;CHAR(10),FILTER(Curses!$A$3:$A43,Curses!$B$3:$B43=O$2,Curses!$G$3:$G43=$A38)),"""")"),"")</f>
        <v/>
      </c>
      <c r="P38" s="289" t="str">
        <f ca="1">IFERROR(__xludf.DUMMYFUNCTION("IFERROR(JOIN("";""&amp;CHAR(10),FILTER(Curses!$A$3:$A43,Curses!$B$3:$B43=P$2,Curses!$G$3:$G43=$A38)),"""")"),"")</f>
        <v/>
      </c>
      <c r="Q38" s="289" t="str">
        <f ca="1">IFERROR(__xludf.DUMMYFUNCTION("IFERROR(JOIN("";""&amp;CHAR(10),FILTER(Curses!$A$3:$A43,Curses!$B$3:$B43=Q$2,Curses!$G$3:$G43=$A38)),"""")"),"")</f>
        <v/>
      </c>
      <c r="R38" s="289" t="str">
        <f ca="1">IFERROR(__xludf.DUMMYFUNCTION("IFERROR(JOIN("";""&amp;CHAR(10),FILTER(Curses!$A$3:$A43,Curses!$B$3:$B43=R$2,Curses!$G$3:$G43=$A38)),"""")"),"")</f>
        <v/>
      </c>
      <c r="S38" s="289" t="str">
        <f ca="1">IFERROR(__xludf.DUMMYFUNCTION("IFERROR(JOIN("";""&amp;CHAR(10),FILTER(Curses!$A$3:$A43,Curses!$B$3:$B43=S$2,Curses!$G$3:$G43=$A38)),"""")"),"")</f>
        <v/>
      </c>
      <c r="T38" s="289" t="str">
        <f ca="1">IFERROR(__xludf.DUMMYFUNCTION("IFERROR(JOIN("";""&amp;CHAR(10),FILTER(Curses!$A$3:$A43,Curses!$B$3:$B43=T$2,Curses!$G$3:$G43=$A38)),"""")"),"")</f>
        <v/>
      </c>
      <c r="U38" s="289" t="str">
        <f ca="1">IFERROR(__xludf.DUMMYFUNCTION("IFERROR(JOIN("";""&amp;CHAR(10),FILTER(Curses!$A$3:$A43,Curses!$B$3:$B43=U$2,Curses!$G$3:$G43=$A38)),"""")"),"")</f>
        <v/>
      </c>
      <c r="V38" s="289" t="str">
        <f ca="1">IFERROR(__xludf.DUMMYFUNCTION("IFERROR(JOIN("";""&amp;CHAR(10),FILTER(Curses!$A$3:$A43,Curses!$B$3:$B43=V$2,Curses!$G$3:$G43=$A38)),"""")"),"")</f>
        <v/>
      </c>
      <c r="W38" s="289" t="str">
        <f ca="1">IFERROR(__xludf.DUMMYFUNCTION("IFERROR(JOIN("";""&amp;CHAR(10),FILTER(Curses!$A$3:$A43,Curses!$B$3:$B43=W$2,Curses!$G$3:$G43=$A38)),"""")"),"")</f>
        <v/>
      </c>
      <c r="X38" s="289" t="str">
        <f ca="1">IFERROR(__xludf.DUMMYFUNCTION("IFERROR(JOIN("";""&amp;CHAR(10),FILTER(Curses!$A$3:$A43,Curses!$B$3:$B43=X$2,Curses!$G$3:$G43=$A38)),"""")"),"")</f>
        <v/>
      </c>
      <c r="Y38" s="289" t="str">
        <f ca="1">IFERROR(__xludf.DUMMYFUNCTION("IFERROR(JOIN("";""&amp;CHAR(10),FILTER(Curses!$A$3:$A43,Curses!$B$3:$B43=Y$2,Curses!$G$3:$G43=$A38)),"""")"),"")</f>
        <v/>
      </c>
      <c r="Z38" s="289" t="str">
        <f ca="1">IFERROR(__xludf.DUMMYFUNCTION("IFERROR(JOIN("";""&amp;CHAR(10),FILTER(Curses!$A$3:$A43,Curses!$B$3:$B43=Z$2,Curses!$G$3:$G43=$A38)),"""")"),"")</f>
        <v/>
      </c>
      <c r="AA38" s="289" t="str">
        <f ca="1">IFERROR(__xludf.DUMMYFUNCTION("IFERROR(JOIN("";""&amp;CHAR(10),FILTER(Curses!$A$3:$A43,Curses!$B$3:$B43=AA$2,Curses!$G$3:$G43=$A38)),"""")"),"")</f>
        <v/>
      </c>
      <c r="AB38" s="289" t="str">
        <f ca="1">IFERROR(__xludf.DUMMYFUNCTION("IFERROR(JOIN("";""&amp;CHAR(10),FILTER(Curses!$A$3:$A43,Curses!$B$3:$B43=AB$2,Curses!$G$3:$G43=$A38)),"""")"),"")</f>
        <v/>
      </c>
      <c r="AC38" s="289" t="str">
        <f ca="1">IFERROR(__xludf.DUMMYFUNCTION("IFERROR(JOIN("";""&amp;CHAR(10),FILTER(Curses!$A$3:$A43,Curses!$B$3:$B43=AC$2,Curses!$G$3:$G43=$A38)),"""")"),"")</f>
        <v/>
      </c>
      <c r="AD38" s="289" t="str">
        <f ca="1">IFERROR(__xludf.DUMMYFUNCTION("IFERROR(JOIN("";""&amp;CHAR(10),FILTER(Curses!$A$3:$A43,Curses!$B$3:$B43=AD$2,Curses!$G$3:$G43=$A38)),"""")"),"")</f>
        <v/>
      </c>
      <c r="AE38" s="289" t="str">
        <f ca="1">IFERROR(__xludf.DUMMYFUNCTION("IFERROR(JOIN("";""&amp;CHAR(10),FILTER(Curses!$A$3:$A43,Curses!$B$3:$B43=AE$2,Curses!$G$3:$G43=$A38)),"""")"),"")</f>
        <v/>
      </c>
      <c r="AF38" s="289" t="str">
        <f ca="1">IFERROR(__xludf.DUMMYFUNCTION("IFERROR(JOIN("";""&amp;CHAR(10),FILTER(Curses!$A$3:$A43,Curses!$B$3:$B43=AF$2,Curses!$G$3:$G43=$A38)),"""")"),"")</f>
        <v/>
      </c>
      <c r="AG38" s="289" t="str">
        <f ca="1">IFERROR(__xludf.DUMMYFUNCTION("IFERROR(JOIN("";""&amp;CHAR(10),FILTER(Curses!$A$3:$A43,Curses!$B$3:$B43=AG$2,Curses!$G$3:$G43=$A38)),"""")"),"")</f>
        <v/>
      </c>
      <c r="AH38" s="289" t="str">
        <f ca="1">IFERROR(__xludf.DUMMYFUNCTION("IFERROR(JOIN("";""&amp;CHAR(10),FILTER(Curses!$A$3:$A43,Curses!$B$3:$B43=AH$2,Curses!$G$3:$G43=$A38)),"""")"),"")</f>
        <v/>
      </c>
      <c r="AI38" s="289" t="str">
        <f ca="1">IFERROR(__xludf.DUMMYFUNCTION("IFERROR(JOIN("";""&amp;CHAR(10),FILTER(Curses!$A$3:$A43,Curses!$B$3:$B43=AI$2,Curses!$G$3:$G43=$A38)),"""")"),"")</f>
        <v/>
      </c>
      <c r="AJ38" s="289" t="str">
        <f ca="1">IFERROR(__xludf.DUMMYFUNCTION("IFERROR(JOIN("";""&amp;CHAR(10),FILTER(Curses!$A$3:$A43,Curses!$B$3:$B43=AJ$2,Curses!$G$3:$G43=$A38)),"""")"),"")</f>
        <v/>
      </c>
      <c r="AK38" s="289" t="str">
        <f ca="1">IFERROR(__xludf.DUMMYFUNCTION("IFERROR(JOIN("";""&amp;CHAR(10),FILTER(Curses!$A$3:$A43,Curses!$B$3:$B43=AK$2,Curses!$G$3:$G43=$A38)),"""")"),"")</f>
        <v/>
      </c>
      <c r="AL38" s="289" t="str">
        <f ca="1">IFERROR(__xludf.DUMMYFUNCTION("IFERROR(JOIN("";""&amp;CHAR(10),FILTER(Curses!$A$3:$A43,Curses!$B$3:$B43=AL$2,Curses!$G$3:$G43=$A38)),"""")"),"")</f>
        <v/>
      </c>
      <c r="AM38" s="289" t="str">
        <f ca="1">IFERROR(__xludf.DUMMYFUNCTION("IFERROR(JOIN("";""&amp;CHAR(10),FILTER(Curses!$A$3:$A43,Curses!$B$3:$B43=AM$2,Curses!$G$3:$G43=$A38)),"""")"),"")</f>
        <v/>
      </c>
    </row>
    <row r="39" spans="1:39">
      <c r="A39" s="292" t="str">
        <f ca="1">IFERROR(__xludf.DUMMYFUNCTION("""COMPUTED_VALUE"""),"Caltrops")</f>
        <v>Caltrops</v>
      </c>
      <c r="B39" s="289" t="str">
        <f ca="1">IFERROR(__xludf.DUMMYFUNCTION("IFERROR(JOIN("";""&amp;CHAR(10),FILTER(Curses!$A$3:$A43,Curses!$B$3:$B43=B$2,Curses!$G$3:$G43=$A39)),"""")"),"")</f>
        <v/>
      </c>
      <c r="C39" s="289" t="str">
        <f ca="1">IFERROR(__xludf.DUMMYFUNCTION("IFERROR(JOIN("";""&amp;CHAR(10),FILTER(Curses!$A$3:$A43,Curses!$B$3:$B43=C$2,Curses!$G$3:$G43=$A39)),"""")"),"")</f>
        <v/>
      </c>
      <c r="D39" s="289" t="str">
        <f ca="1">IFERROR(__xludf.DUMMYFUNCTION("IFERROR(JOIN("";""&amp;CHAR(10),FILTER(Curses!$A$3:$A43,Curses!$B$3:$B43=D$2,Curses!$G$3:$G43=$A39)),"""")"),"")</f>
        <v/>
      </c>
      <c r="E39" s="289" t="str">
        <f ca="1">IFERROR(__xludf.DUMMYFUNCTION("IFERROR(JOIN("";""&amp;CHAR(10),FILTER(Curses!$A$3:$A43,Curses!$B$3:$B43=E$2,Curses!$G$3:$G43=$A39)),"""")"),"")</f>
        <v/>
      </c>
      <c r="F39" s="289" t="str">
        <f ca="1">IFERROR(__xludf.DUMMYFUNCTION("IFERROR(JOIN("";""&amp;CHAR(10),FILTER(Curses!$A$3:$A43,Curses!$B$3:$B43=F$2,Curses!$G$3:$G43=$A39)),"""")"),"Caltrops")</f>
        <v>Caltrops</v>
      </c>
      <c r="G39" s="289" t="str">
        <f ca="1">IFERROR(__xludf.DUMMYFUNCTION("IFERROR(JOIN("";""&amp;CHAR(10),FILTER(Curses!$A$3:$A43,Curses!$B$3:$B43=G$2,Curses!$G$3:$G43=$A39)),"""")"),"")</f>
        <v/>
      </c>
      <c r="H39" s="289" t="str">
        <f ca="1">IFERROR(__xludf.DUMMYFUNCTION("IFERROR(JOIN("";""&amp;CHAR(10),FILTER(Curses!$A$3:$A43,Curses!$B$3:$B43=H$2,Curses!$G$3:$G43=$A39)),"""")"),"")</f>
        <v/>
      </c>
      <c r="I39" s="289" t="str">
        <f ca="1">IFERROR(__xludf.DUMMYFUNCTION("IFERROR(JOIN("";""&amp;CHAR(10),FILTER(Curses!$A$3:$A43,Curses!$B$3:$B43=I$2,Curses!$G$3:$G43=$A39)),"""")"),"")</f>
        <v/>
      </c>
      <c r="J39" s="289" t="str">
        <f ca="1">IFERROR(__xludf.DUMMYFUNCTION("IFERROR(JOIN("";""&amp;CHAR(10),FILTER(Curses!$A$3:$A43,Curses!$B$3:$B43=J$2,Curses!$G$3:$G43=$A39)),"""")"),"")</f>
        <v/>
      </c>
      <c r="K39" s="289" t="str">
        <f ca="1">IFERROR(__xludf.DUMMYFUNCTION("IFERROR(JOIN("";""&amp;CHAR(10),FILTER(Curses!$A$3:$A43,Curses!$B$3:$B43=K$2,Curses!$G$3:$G43=$A39)),"""")"),"Caltrops+")</f>
        <v>Caltrops+</v>
      </c>
      <c r="L39" s="289" t="str">
        <f ca="1">IFERROR(__xludf.DUMMYFUNCTION("IFERROR(JOIN("";""&amp;CHAR(10),FILTER(Curses!$A$3:$A43,Curses!$B$3:$B43=L$2,Curses!$G$3:$G43=$A39)),"""")"),"")</f>
        <v/>
      </c>
      <c r="M39" s="289" t="str">
        <f ca="1">IFERROR(__xludf.DUMMYFUNCTION("IFERROR(JOIN("";""&amp;CHAR(10),FILTER(Curses!$A$3:$A43,Curses!$B$3:$B43=M$2,Curses!$G$3:$G43=$A39)),"""")"),"")</f>
        <v/>
      </c>
      <c r="N39" s="289" t="str">
        <f ca="1">IFERROR(__xludf.DUMMYFUNCTION("IFERROR(JOIN("";""&amp;CHAR(10),FILTER(Curses!$A$3:$A43,Curses!$B$3:$B43=N$2,Curses!$G$3:$G43=$A39)),"""")"),"Caltrops++")</f>
        <v>Caltrops++</v>
      </c>
      <c r="O39" s="289" t="str">
        <f ca="1">IFERROR(__xludf.DUMMYFUNCTION("IFERROR(JOIN("";""&amp;CHAR(10),FILTER(Curses!$A$3:$A43,Curses!$B$3:$B43=O$2,Curses!$G$3:$G43=$A39)),"""")"),"")</f>
        <v/>
      </c>
      <c r="P39" s="289" t="str">
        <f ca="1">IFERROR(__xludf.DUMMYFUNCTION("IFERROR(JOIN("";""&amp;CHAR(10),FILTER(Curses!$A$3:$A43,Curses!$B$3:$B43=P$2,Curses!$G$3:$G43=$A39)),"""")"),"Caltrops+++")</f>
        <v>Caltrops+++</v>
      </c>
      <c r="Q39" s="289" t="str">
        <f ca="1">IFERROR(__xludf.DUMMYFUNCTION("IFERROR(JOIN("";""&amp;CHAR(10),FILTER(Curses!$A$3:$A43,Curses!$B$3:$B43=Q$2,Curses!$G$3:$G43=$A39)),"""")"),"")</f>
        <v/>
      </c>
      <c r="R39" s="289" t="str">
        <f ca="1">IFERROR(__xludf.DUMMYFUNCTION("IFERROR(JOIN("";""&amp;CHAR(10),FILTER(Curses!$A$3:$A43,Curses!$B$3:$B43=R$2,Curses!$G$3:$G43=$A39)),"""")"),"")</f>
        <v/>
      </c>
      <c r="S39" s="289" t="str">
        <f ca="1">IFERROR(__xludf.DUMMYFUNCTION("IFERROR(JOIN("";""&amp;CHAR(10),FILTER(Curses!$A$3:$A43,Curses!$B$3:$B43=S$2,Curses!$G$3:$G43=$A39)),"""")"),"")</f>
        <v/>
      </c>
      <c r="T39" s="289" t="str">
        <f ca="1">IFERROR(__xludf.DUMMYFUNCTION("IFERROR(JOIN("";""&amp;CHAR(10),FILTER(Curses!$A$3:$A43,Curses!$B$3:$B43=T$2,Curses!$G$3:$G43=$A39)),"""")"),"")</f>
        <v/>
      </c>
      <c r="U39" s="289" t="str">
        <f ca="1">IFERROR(__xludf.DUMMYFUNCTION("IFERROR(JOIN("";""&amp;CHAR(10),FILTER(Curses!$A$3:$A43,Curses!$B$3:$B43=U$2,Curses!$G$3:$G43=$A39)),"""")"),"")</f>
        <v/>
      </c>
      <c r="V39" s="289" t="str">
        <f ca="1">IFERROR(__xludf.DUMMYFUNCTION("IFERROR(JOIN("";""&amp;CHAR(10),FILTER(Curses!$A$3:$A43,Curses!$B$3:$B43=V$2,Curses!$G$3:$G43=$A39)),"""")"),"")</f>
        <v/>
      </c>
      <c r="W39" s="289" t="str">
        <f ca="1">IFERROR(__xludf.DUMMYFUNCTION("IFERROR(JOIN("";""&amp;CHAR(10),FILTER(Curses!$A$3:$A43,Curses!$B$3:$B43=W$2,Curses!$G$3:$G43=$A39)),"""")"),"")</f>
        <v/>
      </c>
      <c r="X39" s="289" t="str">
        <f ca="1">IFERROR(__xludf.DUMMYFUNCTION("IFERROR(JOIN("";""&amp;CHAR(10),FILTER(Curses!$A$3:$A43,Curses!$B$3:$B43=X$2,Curses!$G$3:$G43=$A39)),"""")"),"")</f>
        <v/>
      </c>
      <c r="Y39" s="289" t="str">
        <f ca="1">IFERROR(__xludf.DUMMYFUNCTION("IFERROR(JOIN("";""&amp;CHAR(10),FILTER(Curses!$A$3:$A43,Curses!$B$3:$B43=Y$2,Curses!$G$3:$G43=$A39)),"""")"),"")</f>
        <v/>
      </c>
      <c r="Z39" s="289" t="str">
        <f ca="1">IFERROR(__xludf.DUMMYFUNCTION("IFERROR(JOIN("";""&amp;CHAR(10),FILTER(Curses!$A$3:$A43,Curses!$B$3:$B43=Z$2,Curses!$G$3:$G43=$A39)),"""")"),"")</f>
        <v/>
      </c>
      <c r="AA39" s="289" t="str">
        <f ca="1">IFERROR(__xludf.DUMMYFUNCTION("IFERROR(JOIN("";""&amp;CHAR(10),FILTER(Curses!$A$3:$A43,Curses!$B$3:$B43=AA$2,Curses!$G$3:$G43=$A39)),"""")"),"")</f>
        <v/>
      </c>
      <c r="AB39" s="289" t="str">
        <f ca="1">IFERROR(__xludf.DUMMYFUNCTION("IFERROR(JOIN("";""&amp;CHAR(10),FILTER(Curses!$A$3:$A43,Curses!$B$3:$B43=AB$2,Curses!$G$3:$G43=$A39)),"""")"),"")</f>
        <v/>
      </c>
      <c r="AC39" s="289" t="str">
        <f ca="1">IFERROR(__xludf.DUMMYFUNCTION("IFERROR(JOIN("";""&amp;CHAR(10),FILTER(Curses!$A$3:$A43,Curses!$B$3:$B43=AC$2,Curses!$G$3:$G43=$A39)),"""")"),"")</f>
        <v/>
      </c>
      <c r="AD39" s="289" t="str">
        <f ca="1">IFERROR(__xludf.DUMMYFUNCTION("IFERROR(JOIN("";""&amp;CHAR(10),FILTER(Curses!$A$3:$A43,Curses!$B$3:$B43=AD$2,Curses!$G$3:$G43=$A39)),"""")"),"")</f>
        <v/>
      </c>
      <c r="AE39" s="289" t="str">
        <f ca="1">IFERROR(__xludf.DUMMYFUNCTION("IFERROR(JOIN("";""&amp;CHAR(10),FILTER(Curses!$A$3:$A43,Curses!$B$3:$B43=AE$2,Curses!$G$3:$G43=$A39)),"""")"),"")</f>
        <v/>
      </c>
      <c r="AF39" s="289" t="str">
        <f ca="1">IFERROR(__xludf.DUMMYFUNCTION("IFERROR(JOIN("";""&amp;CHAR(10),FILTER(Curses!$A$3:$A43,Curses!$B$3:$B43=AF$2,Curses!$G$3:$G43=$A39)),"""")"),"")</f>
        <v/>
      </c>
      <c r="AG39" s="289" t="str">
        <f ca="1">IFERROR(__xludf.DUMMYFUNCTION("IFERROR(JOIN("";""&amp;CHAR(10),FILTER(Curses!$A$3:$A43,Curses!$B$3:$B43=AG$2,Curses!$G$3:$G43=$A39)),"""")"),"")</f>
        <v/>
      </c>
      <c r="AH39" s="289" t="str">
        <f ca="1">IFERROR(__xludf.DUMMYFUNCTION("IFERROR(JOIN("";""&amp;CHAR(10),FILTER(Curses!$A$3:$A43,Curses!$B$3:$B43=AH$2,Curses!$G$3:$G43=$A39)),"""")"),"")</f>
        <v/>
      </c>
      <c r="AI39" s="289" t="str">
        <f ca="1">IFERROR(__xludf.DUMMYFUNCTION("IFERROR(JOIN("";""&amp;CHAR(10),FILTER(Curses!$A$3:$A43,Curses!$B$3:$B43=AI$2,Curses!$G$3:$G43=$A39)),"""")"),"")</f>
        <v/>
      </c>
      <c r="AJ39" s="289" t="str">
        <f ca="1">IFERROR(__xludf.DUMMYFUNCTION("IFERROR(JOIN("";""&amp;CHAR(10),FILTER(Curses!$A$3:$A43,Curses!$B$3:$B43=AJ$2,Curses!$G$3:$G43=$A39)),"""")"),"")</f>
        <v/>
      </c>
      <c r="AK39" s="289" t="str">
        <f ca="1">IFERROR(__xludf.DUMMYFUNCTION("IFERROR(JOIN("";""&amp;CHAR(10),FILTER(Curses!$A$3:$A43,Curses!$B$3:$B43=AK$2,Curses!$G$3:$G43=$A39)),"""")"),"")</f>
        <v/>
      </c>
      <c r="AL39" s="289" t="str">
        <f ca="1">IFERROR(__xludf.DUMMYFUNCTION("IFERROR(JOIN("";""&amp;CHAR(10),FILTER(Curses!$A$3:$A43,Curses!$B$3:$B43=AL$2,Curses!$G$3:$G43=$A39)),"""")"),"")</f>
        <v/>
      </c>
      <c r="AM39" s="289" t="str">
        <f ca="1">IFERROR(__xludf.DUMMYFUNCTION("IFERROR(JOIN("";""&amp;CHAR(10),FILTER(Curses!$A$3:$A43,Curses!$B$3:$B43=AM$2,Curses!$G$3:$G43=$A39)),"""")"),"")</f>
        <v/>
      </c>
    </row>
    <row r="40" spans="1:39">
      <c r="A40" s="292" t="str">
        <f ca="1">IFERROR(__xludf.DUMMYFUNCTION("""COMPUTED_VALUE"""),"Growing HP")</f>
        <v>Growing HP</v>
      </c>
      <c r="B40" s="289" t="str">
        <f ca="1">IFERROR(__xludf.DUMMYFUNCTION("IFERROR(JOIN("";""&amp;CHAR(10),FILTER(Curses!$A$3:$A43,Curses!$B$3:$B43=B$2,Curses!$G$3:$G43=$A40)),"""")"),"")</f>
        <v/>
      </c>
      <c r="C40" s="289" t="str">
        <f ca="1">IFERROR(__xludf.DUMMYFUNCTION("IFERROR(JOIN("";""&amp;CHAR(10),FILTER(Curses!$A$3:$A43,Curses!$B$3:$B43=C$2,Curses!$G$3:$G43=$A40)),"""")"),"")</f>
        <v/>
      </c>
      <c r="D40" s="289" t="str">
        <f ca="1">IFERROR(__xludf.DUMMYFUNCTION("IFERROR(JOIN("";""&amp;CHAR(10),FILTER(Curses!$A$3:$A43,Curses!$B$3:$B43=D$2,Curses!$G$3:$G43=$A40)),"""")"),"")</f>
        <v/>
      </c>
      <c r="E40" s="289" t="str">
        <f ca="1">IFERROR(__xludf.DUMMYFUNCTION("IFERROR(JOIN("";""&amp;CHAR(10),FILTER(Curses!$A$3:$A43,Curses!$B$3:$B43=E$2,Curses!$G$3:$G43=$A40)),"""")"),"")</f>
        <v/>
      </c>
      <c r="F40" s="289" t="str">
        <f ca="1">IFERROR(__xludf.DUMMYFUNCTION("IFERROR(JOIN("";""&amp;CHAR(10),FILTER(Curses!$A$3:$A43,Curses!$B$3:$B43=F$2,Curses!$G$3:$G43=$A40)),"""")"),"")</f>
        <v/>
      </c>
      <c r="G40" s="289" t="str">
        <f ca="1">IFERROR(__xludf.DUMMYFUNCTION("IFERROR(JOIN("";""&amp;CHAR(10),FILTER(Curses!$A$3:$A43,Curses!$B$3:$B43=G$2,Curses!$G$3:$G43=$A40)),"""")"),"Growing HP")</f>
        <v>Growing HP</v>
      </c>
      <c r="H40" s="289" t="str">
        <f ca="1">IFERROR(__xludf.DUMMYFUNCTION("IFERROR(JOIN("";""&amp;CHAR(10),FILTER(Curses!$A$3:$A43,Curses!$B$3:$B43=H$2,Curses!$G$3:$G43=$A40)),"""")"),"")</f>
        <v/>
      </c>
      <c r="I40" s="289" t="str">
        <f ca="1">IFERROR(__xludf.DUMMYFUNCTION("IFERROR(JOIN("";""&amp;CHAR(10),FILTER(Curses!$A$3:$A43,Curses!$B$3:$B43=I$2,Curses!$G$3:$G43=$A40)),"""")"),"")</f>
        <v/>
      </c>
      <c r="J40" s="289" t="str">
        <f ca="1">IFERROR(__xludf.DUMMYFUNCTION("IFERROR(JOIN("";""&amp;CHAR(10),FILTER(Curses!$A$3:$A43,Curses!$B$3:$B43=J$2,Curses!$G$3:$G43=$A40)),"""")"),"")</f>
        <v/>
      </c>
      <c r="K40" s="289" t="str">
        <f ca="1">IFERROR(__xludf.DUMMYFUNCTION("IFERROR(JOIN("";""&amp;CHAR(10),FILTER(Curses!$A$3:$A43,Curses!$B$3:$B43=K$2,Curses!$G$3:$G43=$A40)),"""")"),"")</f>
        <v/>
      </c>
      <c r="L40" s="289" t="str">
        <f ca="1">IFERROR(__xludf.DUMMYFUNCTION("IFERROR(JOIN("";""&amp;CHAR(10),FILTER(Curses!$A$3:$A43,Curses!$B$3:$B43=L$2,Curses!$G$3:$G43=$A40)),"""")"),"")</f>
        <v/>
      </c>
      <c r="M40" s="289" t="str">
        <f ca="1">IFERROR(__xludf.DUMMYFUNCTION("IFERROR(JOIN("";""&amp;CHAR(10),FILTER(Curses!$A$3:$A43,Curses!$B$3:$B43=M$2,Curses!$G$3:$G43=$A40)),"""")"),"Growing HP+")</f>
        <v>Growing HP+</v>
      </c>
      <c r="N40" s="289" t="str">
        <f ca="1">IFERROR(__xludf.DUMMYFUNCTION("IFERROR(JOIN("";""&amp;CHAR(10),FILTER(Curses!$A$3:$A43,Curses!$B$3:$B43=N$2,Curses!$G$3:$G43=$A40)),"""")"),"")</f>
        <v/>
      </c>
      <c r="O40" s="289" t="str">
        <f ca="1">IFERROR(__xludf.DUMMYFUNCTION("IFERROR(JOIN("";""&amp;CHAR(10),FILTER(Curses!$A$3:$A43,Curses!$B$3:$B43=O$2,Curses!$G$3:$G43=$A40)),"""")"),"")</f>
        <v/>
      </c>
      <c r="P40" s="289" t="str">
        <f ca="1">IFERROR(__xludf.DUMMYFUNCTION("IFERROR(JOIN("";""&amp;CHAR(10),FILTER(Curses!$A$3:$A43,Curses!$B$3:$B43=P$2,Curses!$G$3:$G43=$A40)),"""")"),"")</f>
        <v/>
      </c>
      <c r="Q40" s="289" t="str">
        <f ca="1">IFERROR(__xludf.DUMMYFUNCTION("IFERROR(JOIN("";""&amp;CHAR(10),FILTER(Curses!$A$3:$A43,Curses!$B$3:$B43=Q$2,Curses!$G$3:$G43=$A40)),"""")"),"")</f>
        <v/>
      </c>
      <c r="R40" s="289" t="str">
        <f ca="1">IFERROR(__xludf.DUMMYFUNCTION("IFERROR(JOIN("";""&amp;CHAR(10),FILTER(Curses!$A$3:$A43,Curses!$B$3:$B43=R$2,Curses!$G$3:$G43=$A40)),"""")"),"")</f>
        <v/>
      </c>
      <c r="S40" s="289" t="str">
        <f ca="1">IFERROR(__xludf.DUMMYFUNCTION("IFERROR(JOIN("";""&amp;CHAR(10),FILTER(Curses!$A$3:$A43,Curses!$B$3:$B43=S$2,Curses!$G$3:$G43=$A40)),"""")"),"Growing HP++")</f>
        <v>Growing HP++</v>
      </c>
      <c r="T40" s="289" t="str">
        <f ca="1">IFERROR(__xludf.DUMMYFUNCTION("IFERROR(JOIN("";""&amp;CHAR(10),FILTER(Curses!$A$3:$A43,Curses!$B$3:$B43=T$2,Curses!$G$3:$G43=$A40)),"""")"),"")</f>
        <v/>
      </c>
      <c r="U40" s="289" t="str">
        <f ca="1">IFERROR(__xludf.DUMMYFUNCTION("IFERROR(JOIN("";""&amp;CHAR(10),FILTER(Curses!$A$3:$A43,Curses!$B$3:$B43=U$2,Curses!$G$3:$G43=$A40)),"""")"),"")</f>
        <v/>
      </c>
      <c r="V40" s="289" t="str">
        <f ca="1">IFERROR(__xludf.DUMMYFUNCTION("IFERROR(JOIN("";""&amp;CHAR(10),FILTER(Curses!$A$3:$A43,Curses!$B$3:$B43=V$2,Curses!$G$3:$G43=$A40)),"""")"),"")</f>
        <v/>
      </c>
      <c r="W40" s="289" t="str">
        <f ca="1">IFERROR(__xludf.DUMMYFUNCTION("IFERROR(JOIN("";""&amp;CHAR(10),FILTER(Curses!$A$3:$A43,Curses!$B$3:$B43=W$2,Curses!$G$3:$G43=$A40)),"""")"),"")</f>
        <v/>
      </c>
      <c r="X40" s="289" t="str">
        <f ca="1">IFERROR(__xludf.DUMMYFUNCTION("IFERROR(JOIN("";""&amp;CHAR(10),FILTER(Curses!$A$3:$A43,Curses!$B$3:$B43=X$2,Curses!$G$3:$G43=$A40)),"""")"),"")</f>
        <v/>
      </c>
      <c r="Y40" s="289" t="str">
        <f ca="1">IFERROR(__xludf.DUMMYFUNCTION("IFERROR(JOIN("";""&amp;CHAR(10),FILTER(Curses!$A$3:$A43,Curses!$B$3:$B43=Y$2,Curses!$G$3:$G43=$A40)),"""")"),"")</f>
        <v/>
      </c>
      <c r="Z40" s="289" t="str">
        <f ca="1">IFERROR(__xludf.DUMMYFUNCTION("IFERROR(JOIN("";""&amp;CHAR(10),FILTER(Curses!$A$3:$A43,Curses!$B$3:$B43=Z$2,Curses!$G$3:$G43=$A40)),"""")"),"")</f>
        <v/>
      </c>
      <c r="AA40" s="289" t="str">
        <f ca="1">IFERROR(__xludf.DUMMYFUNCTION("IFERROR(JOIN("";""&amp;CHAR(10),FILTER(Curses!$A$3:$A43,Curses!$B$3:$B43=AA$2,Curses!$G$3:$G43=$A40)),"""")"),"")</f>
        <v/>
      </c>
      <c r="AB40" s="289" t="str">
        <f ca="1">IFERROR(__xludf.DUMMYFUNCTION("IFERROR(JOIN("";""&amp;CHAR(10),FILTER(Curses!$A$3:$A43,Curses!$B$3:$B43=AB$2,Curses!$G$3:$G43=$A40)),"""")"),"")</f>
        <v/>
      </c>
      <c r="AC40" s="289" t="str">
        <f ca="1">IFERROR(__xludf.DUMMYFUNCTION("IFERROR(JOIN("";""&amp;CHAR(10),FILTER(Curses!$A$3:$A43,Curses!$B$3:$B43=AC$2,Curses!$G$3:$G43=$A40)),"""")"),"")</f>
        <v/>
      </c>
      <c r="AD40" s="289" t="str">
        <f ca="1">IFERROR(__xludf.DUMMYFUNCTION("IFERROR(JOIN("";""&amp;CHAR(10),FILTER(Curses!$A$3:$A43,Curses!$B$3:$B43=AD$2,Curses!$G$3:$G43=$A40)),"""")"),"")</f>
        <v/>
      </c>
      <c r="AE40" s="289" t="str">
        <f ca="1">IFERROR(__xludf.DUMMYFUNCTION("IFERROR(JOIN("";""&amp;CHAR(10),FILTER(Curses!$A$3:$A43,Curses!$B$3:$B43=AE$2,Curses!$G$3:$G43=$A40)),"""")"),"")</f>
        <v/>
      </c>
      <c r="AF40" s="289" t="str">
        <f ca="1">IFERROR(__xludf.DUMMYFUNCTION("IFERROR(JOIN("";""&amp;CHAR(10),FILTER(Curses!$A$3:$A43,Curses!$B$3:$B43=AF$2,Curses!$G$3:$G43=$A40)),"""")"),"")</f>
        <v/>
      </c>
      <c r="AG40" s="289" t="str">
        <f ca="1">IFERROR(__xludf.DUMMYFUNCTION("IFERROR(JOIN("";""&amp;CHAR(10),FILTER(Curses!$A$3:$A43,Curses!$B$3:$B43=AG$2,Curses!$G$3:$G43=$A40)),"""")"),"")</f>
        <v/>
      </c>
      <c r="AH40" s="289" t="str">
        <f ca="1">IFERROR(__xludf.DUMMYFUNCTION("IFERROR(JOIN("";""&amp;CHAR(10),FILTER(Curses!$A$3:$A43,Curses!$B$3:$B43=AH$2,Curses!$G$3:$G43=$A40)),"""")"),"")</f>
        <v/>
      </c>
      <c r="AI40" s="289" t="str">
        <f ca="1">IFERROR(__xludf.DUMMYFUNCTION("IFERROR(JOIN("";""&amp;CHAR(10),FILTER(Curses!$A$3:$A43,Curses!$B$3:$B43=AI$2,Curses!$G$3:$G43=$A40)),"""")"),"")</f>
        <v/>
      </c>
      <c r="AJ40" s="289" t="str">
        <f ca="1">IFERROR(__xludf.DUMMYFUNCTION("IFERROR(JOIN("";""&amp;CHAR(10),FILTER(Curses!$A$3:$A43,Curses!$B$3:$B43=AJ$2,Curses!$G$3:$G43=$A40)),"""")"),"")</f>
        <v/>
      </c>
      <c r="AK40" s="289" t="str">
        <f ca="1">IFERROR(__xludf.DUMMYFUNCTION("IFERROR(JOIN("";""&amp;CHAR(10),FILTER(Curses!$A$3:$A43,Curses!$B$3:$B43=AK$2,Curses!$G$3:$G43=$A40)),"""")"),"")</f>
        <v/>
      </c>
      <c r="AL40" s="289" t="str">
        <f ca="1">IFERROR(__xludf.DUMMYFUNCTION("IFERROR(JOIN("";""&amp;CHAR(10),FILTER(Curses!$A$3:$A43,Curses!$B$3:$B43=AL$2,Curses!$G$3:$G43=$A40)),"""")"),"")</f>
        <v/>
      </c>
      <c r="AM40" s="289" t="str">
        <f ca="1">IFERROR(__xludf.DUMMYFUNCTION("IFERROR(JOIN("";""&amp;CHAR(10),FILTER(Curses!$A$3:$A43,Curses!$B$3:$B43=AM$2,Curses!$G$3:$G43=$A40)),"""")"),"")</f>
        <v/>
      </c>
    </row>
    <row r="41" spans="1:39">
      <c r="A41" s="292" t="str">
        <f ca="1">IFERROR(__xludf.DUMMYFUNCTION("""COMPUTED_VALUE"""),"Consistency")</f>
        <v>Consistency</v>
      </c>
      <c r="B41" s="289" t="str">
        <f ca="1">IFERROR(__xludf.DUMMYFUNCTION("IFERROR(JOIN("";""&amp;CHAR(10),FILTER(Curses!$A$3:$A43,Curses!$B$3:$B43=B$2,Curses!$G$3:$G43=$A41)),"""")"),"")</f>
        <v/>
      </c>
      <c r="C41" s="289" t="str">
        <f ca="1">IFERROR(__xludf.DUMMYFUNCTION("IFERROR(JOIN("";""&amp;CHAR(10),FILTER(Curses!$A$3:$A43,Curses!$B$3:$B43=C$2,Curses!$G$3:$G43=$A41)),"""")"),"")</f>
        <v/>
      </c>
      <c r="D41" s="289" t="str">
        <f ca="1">IFERROR(__xludf.DUMMYFUNCTION("IFERROR(JOIN("";""&amp;CHAR(10),FILTER(Curses!$A$3:$A43,Curses!$B$3:$B43=D$2,Curses!$G$3:$G43=$A41)),"""")"),"")</f>
        <v/>
      </c>
      <c r="E41" s="289" t="str">
        <f ca="1">IFERROR(__xludf.DUMMYFUNCTION("IFERROR(JOIN("";""&amp;CHAR(10),FILTER(Curses!$A$3:$A43,Curses!$B$3:$B43=E$2,Curses!$G$3:$G43=$A41)),"""")"),"")</f>
        <v/>
      </c>
      <c r="F41" s="289" t="str">
        <f ca="1">IFERROR(__xludf.DUMMYFUNCTION("IFERROR(JOIN("";""&amp;CHAR(10),FILTER(Curses!$A$3:$A43,Curses!$B$3:$B43=F$2,Curses!$G$3:$G43=$A41)),"""")"),"")</f>
        <v/>
      </c>
      <c r="G41" s="289" t="str">
        <f ca="1">IFERROR(__xludf.DUMMYFUNCTION("IFERROR(JOIN("";""&amp;CHAR(10),FILTER(Curses!$A$3:$A43,Curses!$B$3:$B43=G$2,Curses!$G$3:$G43=$A41)),"""")"),"Consistency")</f>
        <v>Consistency</v>
      </c>
      <c r="H41" s="289" t="str">
        <f ca="1">IFERROR(__xludf.DUMMYFUNCTION("IFERROR(JOIN("";""&amp;CHAR(10),FILTER(Curses!$A$3:$A43,Curses!$B$3:$B43=H$2,Curses!$G$3:$G43=$A41)),"""")"),"")</f>
        <v/>
      </c>
      <c r="I41" s="289" t="str">
        <f ca="1">IFERROR(__xludf.DUMMYFUNCTION("IFERROR(JOIN("";""&amp;CHAR(10),FILTER(Curses!$A$3:$A43,Curses!$B$3:$B43=I$2,Curses!$G$3:$G43=$A41)),"""")"),"Consistency+")</f>
        <v>Consistency+</v>
      </c>
      <c r="J41" s="289" t="str">
        <f ca="1">IFERROR(__xludf.DUMMYFUNCTION("IFERROR(JOIN("";""&amp;CHAR(10),FILTER(Curses!$A$3:$A43,Curses!$B$3:$B43=J$2,Curses!$G$3:$G43=$A41)),"""")"),"")</f>
        <v/>
      </c>
      <c r="K41" s="289" t="str">
        <f ca="1">IFERROR(__xludf.DUMMYFUNCTION("IFERROR(JOIN("";""&amp;CHAR(10),FILTER(Curses!$A$3:$A43,Curses!$B$3:$B43=K$2,Curses!$G$3:$G43=$A41)),"""")"),"")</f>
        <v/>
      </c>
      <c r="L41" s="289" t="str">
        <f ca="1">IFERROR(__xludf.DUMMYFUNCTION("IFERROR(JOIN("";""&amp;CHAR(10),FILTER(Curses!$A$3:$A43,Curses!$B$3:$B43=L$2,Curses!$G$3:$G43=$A41)),"""")"),"")</f>
        <v/>
      </c>
      <c r="M41" s="289" t="str">
        <f ca="1">IFERROR(__xludf.DUMMYFUNCTION("IFERROR(JOIN("";""&amp;CHAR(10),FILTER(Curses!$A$3:$A43,Curses!$B$3:$B43=M$2,Curses!$G$3:$G43=$A41)),"""")"),"")</f>
        <v/>
      </c>
      <c r="N41" s="289" t="str">
        <f ca="1">IFERROR(__xludf.DUMMYFUNCTION("IFERROR(JOIN("";""&amp;CHAR(10),FILTER(Curses!$A$3:$A43,Curses!$B$3:$B43=N$2,Curses!$G$3:$G43=$A41)),"""")"),"")</f>
        <v/>
      </c>
      <c r="O41" s="289" t="str">
        <f ca="1">IFERROR(__xludf.DUMMYFUNCTION("IFERROR(JOIN("";""&amp;CHAR(10),FILTER(Curses!$A$3:$A43,Curses!$B$3:$B43=O$2,Curses!$G$3:$G43=$A41)),"""")"),"")</f>
        <v/>
      </c>
      <c r="P41" s="289" t="str">
        <f ca="1">IFERROR(__xludf.DUMMYFUNCTION("IFERROR(JOIN("";""&amp;CHAR(10),FILTER(Curses!$A$3:$A43,Curses!$B$3:$B43=P$2,Curses!$G$3:$G43=$A41)),"""")"),"")</f>
        <v/>
      </c>
      <c r="Q41" s="289" t="str">
        <f ca="1">IFERROR(__xludf.DUMMYFUNCTION("IFERROR(JOIN("";""&amp;CHAR(10),FILTER(Curses!$A$3:$A43,Curses!$B$3:$B43=Q$2,Curses!$G$3:$G43=$A41)),"""")"),"")</f>
        <v/>
      </c>
      <c r="R41" s="289" t="str">
        <f ca="1">IFERROR(__xludf.DUMMYFUNCTION("IFERROR(JOIN("";""&amp;CHAR(10),FILTER(Curses!$A$3:$A43,Curses!$B$3:$B43=R$2,Curses!$G$3:$G43=$A41)),"""")"),"")</f>
        <v/>
      </c>
      <c r="S41" s="289" t="str">
        <f ca="1">IFERROR(__xludf.DUMMYFUNCTION("IFERROR(JOIN("";""&amp;CHAR(10),FILTER(Curses!$A$3:$A43,Curses!$B$3:$B43=S$2,Curses!$G$3:$G43=$A41)),"""")"),"")</f>
        <v/>
      </c>
      <c r="T41" s="289" t="str">
        <f ca="1">IFERROR(__xludf.DUMMYFUNCTION("IFERROR(JOIN("";""&amp;CHAR(10),FILTER(Curses!$A$3:$A43,Curses!$B$3:$B43=T$2,Curses!$G$3:$G43=$A41)),"""")"),"")</f>
        <v/>
      </c>
      <c r="U41" s="289" t="str">
        <f ca="1">IFERROR(__xludf.DUMMYFUNCTION("IFERROR(JOIN("";""&amp;CHAR(10),FILTER(Curses!$A$3:$A43,Curses!$B$3:$B43=U$2,Curses!$G$3:$G43=$A41)),"""")"),"")</f>
        <v/>
      </c>
      <c r="V41" s="289" t="str">
        <f ca="1">IFERROR(__xludf.DUMMYFUNCTION("IFERROR(JOIN("";""&amp;CHAR(10),FILTER(Curses!$A$3:$A43,Curses!$B$3:$B43=V$2,Curses!$G$3:$G43=$A41)),"""")"),"")</f>
        <v/>
      </c>
      <c r="W41" s="289" t="str">
        <f ca="1">IFERROR(__xludf.DUMMYFUNCTION("IFERROR(JOIN("";""&amp;CHAR(10),FILTER(Curses!$A$3:$A43,Curses!$B$3:$B43=W$2,Curses!$G$3:$G43=$A41)),"""")"),"")</f>
        <v/>
      </c>
      <c r="X41" s="289" t="str">
        <f ca="1">IFERROR(__xludf.DUMMYFUNCTION("IFERROR(JOIN("";""&amp;CHAR(10),FILTER(Curses!$A$3:$A43,Curses!$B$3:$B43=X$2,Curses!$G$3:$G43=$A41)),"""")"),"")</f>
        <v/>
      </c>
      <c r="Y41" s="289" t="str">
        <f ca="1">IFERROR(__xludf.DUMMYFUNCTION("IFERROR(JOIN("";""&amp;CHAR(10),FILTER(Curses!$A$3:$A43,Curses!$B$3:$B43=Y$2,Curses!$G$3:$G43=$A41)),"""")"),"")</f>
        <v/>
      </c>
      <c r="Z41" s="289" t="str">
        <f ca="1">IFERROR(__xludf.DUMMYFUNCTION("IFERROR(JOIN("";""&amp;CHAR(10),FILTER(Curses!$A$3:$A43,Curses!$B$3:$B43=Z$2,Curses!$G$3:$G43=$A41)),"""")"),"")</f>
        <v/>
      </c>
      <c r="AA41" s="289" t="str">
        <f ca="1">IFERROR(__xludf.DUMMYFUNCTION("IFERROR(JOIN("";""&amp;CHAR(10),FILTER(Curses!$A$3:$A43,Curses!$B$3:$B43=AA$2,Curses!$G$3:$G43=$A41)),"""")"),"")</f>
        <v/>
      </c>
      <c r="AB41" s="289" t="str">
        <f ca="1">IFERROR(__xludf.DUMMYFUNCTION("IFERROR(JOIN("";""&amp;CHAR(10),FILTER(Curses!$A$3:$A43,Curses!$B$3:$B43=AB$2,Curses!$G$3:$G43=$A41)),"""")"),"")</f>
        <v/>
      </c>
      <c r="AC41" s="289" t="str">
        <f ca="1">IFERROR(__xludf.DUMMYFUNCTION("IFERROR(JOIN("";""&amp;CHAR(10),FILTER(Curses!$A$3:$A43,Curses!$B$3:$B43=AC$2,Curses!$G$3:$G43=$A41)),"""")"),"")</f>
        <v/>
      </c>
      <c r="AD41" s="289" t="str">
        <f ca="1">IFERROR(__xludf.DUMMYFUNCTION("IFERROR(JOIN("";""&amp;CHAR(10),FILTER(Curses!$A$3:$A43,Curses!$B$3:$B43=AD$2,Curses!$G$3:$G43=$A41)),"""")"),"")</f>
        <v/>
      </c>
      <c r="AE41" s="289" t="str">
        <f ca="1">IFERROR(__xludf.DUMMYFUNCTION("IFERROR(JOIN("";""&amp;CHAR(10),FILTER(Curses!$A$3:$A43,Curses!$B$3:$B43=AE$2,Curses!$G$3:$G43=$A41)),"""")"),"")</f>
        <v/>
      </c>
      <c r="AF41" s="289" t="str">
        <f ca="1">IFERROR(__xludf.DUMMYFUNCTION("IFERROR(JOIN("";""&amp;CHAR(10),FILTER(Curses!$A$3:$A43,Curses!$B$3:$B43=AF$2,Curses!$G$3:$G43=$A41)),"""")"),"")</f>
        <v/>
      </c>
      <c r="AG41" s="289" t="str">
        <f ca="1">IFERROR(__xludf.DUMMYFUNCTION("IFERROR(JOIN("";""&amp;CHAR(10),FILTER(Curses!$A$3:$A43,Curses!$B$3:$B43=AG$2,Curses!$G$3:$G43=$A41)),"""")"),"")</f>
        <v/>
      </c>
      <c r="AH41" s="289" t="str">
        <f ca="1">IFERROR(__xludf.DUMMYFUNCTION("IFERROR(JOIN("";""&amp;CHAR(10),FILTER(Curses!$A$3:$A43,Curses!$B$3:$B43=AH$2,Curses!$G$3:$G43=$A41)),"""")"),"")</f>
        <v/>
      </c>
      <c r="AI41" s="289" t="str">
        <f ca="1">IFERROR(__xludf.DUMMYFUNCTION("IFERROR(JOIN("";""&amp;CHAR(10),FILTER(Curses!$A$3:$A43,Curses!$B$3:$B43=AI$2,Curses!$G$3:$G43=$A41)),"""")"),"")</f>
        <v/>
      </c>
      <c r="AJ41" s="289" t="str">
        <f ca="1">IFERROR(__xludf.DUMMYFUNCTION("IFERROR(JOIN("";""&amp;CHAR(10),FILTER(Curses!$A$3:$A43,Curses!$B$3:$B43=AJ$2,Curses!$G$3:$G43=$A41)),"""")"),"")</f>
        <v/>
      </c>
      <c r="AK41" s="289" t="str">
        <f ca="1">IFERROR(__xludf.DUMMYFUNCTION("IFERROR(JOIN("";""&amp;CHAR(10),FILTER(Curses!$A$3:$A43,Curses!$B$3:$B43=AK$2,Curses!$G$3:$G43=$A41)),"""")"),"")</f>
        <v/>
      </c>
      <c r="AL41" s="289" t="str">
        <f ca="1">IFERROR(__xludf.DUMMYFUNCTION("IFERROR(JOIN("";""&amp;CHAR(10),FILTER(Curses!$A$3:$A43,Curses!$B$3:$B43=AL$2,Curses!$G$3:$G43=$A41)),"""")"),"")</f>
        <v/>
      </c>
      <c r="AM41" s="289" t="str">
        <f ca="1">IFERROR(__xludf.DUMMYFUNCTION("IFERROR(JOIN("";""&amp;CHAR(10),FILTER(Curses!$A$3:$A43,Curses!$B$3:$B43=AM$2,Curses!$G$3:$G43=$A41)),"""")"),"")</f>
        <v/>
      </c>
    </row>
    <row r="42" spans="1:39">
      <c r="A42" s="292" t="str">
        <f ca="1">IFERROR(__xludf.DUMMYFUNCTION("""COMPUTED_VALUE"""),"Summon")</f>
        <v>Summon</v>
      </c>
      <c r="B42" s="289" t="str">
        <f ca="1">IFERROR(__xludf.DUMMYFUNCTION("IFERROR(JOIN("";""&amp;CHAR(10),FILTER(Curses!$A$3:$A43,Curses!$B$3:$B43=B$2,Curses!$G$3:$G43=$A42)),"""")"),"")</f>
        <v/>
      </c>
      <c r="C42" s="289" t="str">
        <f ca="1">IFERROR(__xludf.DUMMYFUNCTION("IFERROR(JOIN("";""&amp;CHAR(10),FILTER(Curses!$A$3:$A43,Curses!$B$3:$B43=C$2,Curses!$G$3:$G43=$A42)),"""")"),"")</f>
        <v/>
      </c>
      <c r="D42" s="289" t="str">
        <f ca="1">IFERROR(__xludf.DUMMYFUNCTION("IFERROR(JOIN("";""&amp;CHAR(10),FILTER(Curses!$A$3:$A43,Curses!$B$3:$B43=D$2,Curses!$G$3:$G43=$A42)),"""")"),"")</f>
        <v/>
      </c>
      <c r="E42" s="289" t="str">
        <f ca="1">IFERROR(__xludf.DUMMYFUNCTION("IFERROR(JOIN("";""&amp;CHAR(10),FILTER(Curses!$A$3:$A43,Curses!$B$3:$B43=E$2,Curses!$G$3:$G43=$A42)),"""")"),"")</f>
        <v/>
      </c>
      <c r="F42" s="289" t="str">
        <f ca="1">IFERROR(__xludf.DUMMYFUNCTION("IFERROR(JOIN("";""&amp;CHAR(10),FILTER(Curses!$A$3:$A43,Curses!$B$3:$B43=F$2,Curses!$G$3:$G43=$A42)),"""")"),"")</f>
        <v/>
      </c>
      <c r="G42" s="289" t="str">
        <f ca="1">IFERROR(__xludf.DUMMYFUNCTION("IFERROR(JOIN("";""&amp;CHAR(10),FILTER(Curses!$A$3:$A43,Curses!$B$3:$B43=G$2,Curses!$G$3:$G43=$A42)),"""")"),"Summon Slimelets;
Summon Illusions")</f>
        <v>Summon Slimelets;
Summon Illusions</v>
      </c>
      <c r="H42" s="289" t="str">
        <f ca="1">IFERROR(__xludf.DUMMYFUNCTION("IFERROR(JOIN("";""&amp;CHAR(10),FILTER(Curses!$A$3:$A43,Curses!$B$3:$B43=H$2,Curses!$G$3:$G43=$A42)),"""")"),"Summon Archers")</f>
        <v>Summon Archers</v>
      </c>
      <c r="I42" s="289" t="str">
        <f ca="1">IFERROR(__xludf.DUMMYFUNCTION("IFERROR(JOIN("";""&amp;CHAR(10),FILTER(Curses!$A$3:$A43,Curses!$B$3:$B43=I$2,Curses!$G$3:$G43=$A42)),"""")"),"Summon Rats")</f>
        <v>Summon Rats</v>
      </c>
      <c r="J42" s="289" t="str">
        <f ca="1">IFERROR(__xludf.DUMMYFUNCTION("IFERROR(JOIN("";""&amp;CHAR(10),FILTER(Curses!$A$3:$A43,Curses!$B$3:$B43=J$2,Curses!$G$3:$G43=$A42)),"""")"),"")</f>
        <v/>
      </c>
      <c r="K42" s="289" t="str">
        <f ca="1">IFERROR(__xludf.DUMMYFUNCTION("IFERROR(JOIN("";""&amp;CHAR(10),FILTER(Curses!$A$3:$A43,Curses!$B$3:$B43=K$2,Curses!$G$3:$G43=$A42)),"""")"),"")</f>
        <v/>
      </c>
      <c r="L42" s="289" t="str">
        <f ca="1">IFERROR(__xludf.DUMMYFUNCTION("IFERROR(JOIN("";""&amp;CHAR(10),FILTER(Curses!$A$3:$A43,Curses!$B$3:$B43=L$2,Curses!$G$3:$G43=$A42)),"""")"),"Summon Bones;
Summon Spiders")</f>
        <v>Summon Bones;
Summon Spiders</v>
      </c>
      <c r="M42" s="289" t="str">
        <f ca="1">IFERROR(__xludf.DUMMYFUNCTION("IFERROR(JOIN("";""&amp;CHAR(10),FILTER(Curses!$A$3:$A43,Curses!$B$3:$B43=M$2,Curses!$G$3:$G43=$A42)),"""")"),"")</f>
        <v/>
      </c>
      <c r="N42" s="289" t="str">
        <f ca="1">IFERROR(__xludf.DUMMYFUNCTION("IFERROR(JOIN("";""&amp;CHAR(10),FILTER(Curses!$A$3:$A43,Curses!$B$3:$B43=N$2,Curses!$G$3:$G43=$A42)),"""")"),"Summon Wisps;
Summon Goblins")</f>
        <v>Summon Wisps;
Summon Goblins</v>
      </c>
      <c r="O42" s="289" t="str">
        <f ca="1">IFERROR(__xludf.DUMMYFUNCTION("IFERROR(JOIN("";""&amp;CHAR(10),FILTER(Curses!$A$3:$A43,Curses!$B$3:$B43=O$2,Curses!$G$3:$G43=$A42)),"""")"),"Summon Suduls;
Summon Wolves")</f>
        <v>Summon Suduls;
Summon Wolves</v>
      </c>
      <c r="P42" s="289" t="str">
        <f ca="1">IFERROR(__xludf.DUMMYFUNCTION("IFERROR(JOIN("";""&amp;CHAR(10),FILTER(Curses!$A$3:$A43,Curses!$B$3:$B43=P$2,Curses!$G$3:$G43=$A42)),"""")"),"Summon Imps;
Summon Snipers;
Summon Caw Eggs;
Summon Snakes")</f>
        <v>Summon Imps;
Summon Snipers;
Summon Caw Eggs;
Summon Snakes</v>
      </c>
      <c r="Q42" s="289" t="str">
        <f ca="1">IFERROR(__xludf.DUMMYFUNCTION("IFERROR(JOIN("";""&amp;CHAR(10),FILTER(Curses!$A$3:$A43,Curses!$B$3:$B43=Q$2,Curses!$G$3:$G43=$A42)),"""")"),"Summon Gnolls")</f>
        <v>Summon Gnolls</v>
      </c>
      <c r="R42" s="289" t="str">
        <f ca="1">IFERROR(__xludf.DUMMYFUNCTION("IFERROR(JOIN("";""&amp;CHAR(10),FILTER(Curses!$A$3:$A43,Curses!$B$3:$B43=R$2,Curses!$G$3:$G43=$A42)),"""")"),"Summon Thorns")</f>
        <v>Summon Thorns</v>
      </c>
      <c r="S42" s="289" t="str">
        <f ca="1">IFERROR(__xludf.DUMMYFUNCTION("IFERROR(JOIN("";""&amp;CHAR(10),FILTER(Curses!$A$3:$A43,Curses!$B$3:$B43=S$2,Curses!$G$3:$G43=$A42)),"""")"),"Summon Boars;
Summon Quartz")</f>
        <v>Summon Boars;
Summon Quartz</v>
      </c>
      <c r="T42" s="289" t="str">
        <f ca="1">IFERROR(__xludf.DUMMYFUNCTION("IFERROR(JOIN("";""&amp;CHAR(10),FILTER(Curses!$A$3:$A43,Curses!$B$3:$B43=T$2,Curses!$G$3:$G43=$A42)),"""")"),"Summon Graves;
Summon Bandits;
Summon Crones")</f>
        <v>Summon Graves;
Summon Bandits;
Summon Crones</v>
      </c>
      <c r="U42" s="289" t="str">
        <f ca="1">IFERROR(__xludf.DUMMYFUNCTION("IFERROR(JOIN("";""&amp;CHAR(10),FILTER(Curses!$A$3:$A43,Curses!$B$3:$B43=U$2,Curses!$G$3:$G43=$A42)),"""")"),"")</f>
        <v/>
      </c>
      <c r="V42" s="289" t="str">
        <f ca="1">IFERROR(__xludf.DUMMYFUNCTION("IFERROR(JOIN("";""&amp;CHAR(10),FILTER(Curses!$A$3:$A43,Curses!$B$3:$B43=V$2,Curses!$G$3:$G43=$A42)),"""")"),"Summon Dragon Eggs")</f>
        <v>Summon Dragon Eggs</v>
      </c>
      <c r="W42" s="289" t="str">
        <f ca="1">IFERROR(__xludf.DUMMYFUNCTION("IFERROR(JOIN("";""&amp;CHAR(10),FILTER(Curses!$A$3:$A43,Curses!$B$3:$B43=W$2,Curses!$G$3:$G43=$A42)),"""")"),"Summon Wizz;
Summon Fanatics;
Summon Ghosts")</f>
        <v>Summon Wizz;
Summon Fanatics;
Summon Ghosts</v>
      </c>
      <c r="X42" s="289" t="str">
        <f ca="1">IFERROR(__xludf.DUMMYFUNCTION("IFERROR(JOIN("";""&amp;CHAR(10),FILTER(Curses!$A$3:$A43,Curses!$B$3:$B43=X$2,Curses!$G$3:$G43=$A42)),"""")"),"Summon Zombies;
Summon Sabers;
Summon Slimers")</f>
        <v>Summon Zombies;
Summon Sabers;
Summon Slimers</v>
      </c>
      <c r="Y42" s="289" t="str">
        <f ca="1">IFERROR(__xludf.DUMMYFUNCTION("IFERROR(JOIN("";""&amp;CHAR(10),FILTER(Curses!$A$3:$A43,Curses!$B$3:$B43=Y$2,Curses!$G$3:$G43=$A42)),"""")"),"Summon Caws;
Summon Warchiefs")</f>
        <v>Summon Caws;
Summon Warchiefs</v>
      </c>
      <c r="Z42" s="289" t="str">
        <f ca="1">IFERROR(__xludf.DUMMYFUNCTION("IFERROR(JOIN("";""&amp;CHAR(10),FILTER(Curses!$A$3:$A43,Curses!$B$3:$B43=Z$2,Curses!$G$3:$G43=$A42)),"""")"),"Summon Ogres;
Summon Alphas")</f>
        <v>Summon Ogres;
Summon Alphas</v>
      </c>
      <c r="AA42" s="289" t="str">
        <f ca="1">IFERROR(__xludf.DUMMYFUNCTION("IFERROR(JOIN("";""&amp;CHAR(10),FILTER(Curses!$A$3:$A43,Curses!$B$3:$B43=AA$2,Curses!$G$3:$G43=$A42)),"""")"),"Summon Slates")</f>
        <v>Summon Slates</v>
      </c>
      <c r="AB42" s="289" t="str">
        <f ca="1">IFERROR(__xludf.DUMMYFUNCTION("IFERROR(JOIN("";""&amp;CHAR(10),FILTER(Curses!$A$3:$A43,Curses!$B$3:$B43=AB$2,Curses!$G$3:$G43=$A42)),"""")"),"Summon Z0mbies")</f>
        <v>Summon Z0mbies</v>
      </c>
      <c r="AC42" s="289" t="str">
        <f ca="1">IFERROR(__xludf.DUMMYFUNCTION("IFERROR(JOIN("";""&amp;CHAR(10),FILTER(Curses!$A$3:$A43,Curses!$B$3:$B43=AC$2,Curses!$G$3:$G43=$A42)),"""")"),"Summon Basilisks")</f>
        <v>Summon Basilisks</v>
      </c>
      <c r="AD42" s="289" t="str">
        <f ca="1">IFERROR(__xludf.DUMMYFUNCTION("IFERROR(JOIN("";""&amp;CHAR(10),FILTER(Curses!$A$3:$A43,Curses!$B$3:$B43=AD$2,Curses!$G$3:$G43=$A42)),"""")"),"Summon Demons")</f>
        <v>Summon Demons</v>
      </c>
      <c r="AE42" s="289" t="str">
        <f ca="1">IFERROR(__xludf.DUMMYFUNCTION("IFERROR(JOIN("";""&amp;CHAR(10),FILTER(Curses!$A$3:$A43,Curses!$B$3:$B43=AE$2,Curses!$G$3:$G43=$A42)),"""")"),"Summon Cyclops")</f>
        <v>Summon Cyclops</v>
      </c>
      <c r="AF42" s="289" t="str">
        <f ca="1">IFERROR(__xludf.DUMMYFUNCTION("IFERROR(JOIN("";""&amp;CHAR(10),FILTER(Curses!$A$3:$A43,Curses!$B$3:$B43=AF$2,Curses!$G$3:$G43=$A42)),"""")"),"Summon Brambles")</f>
        <v>Summon Brambles</v>
      </c>
      <c r="AG42" s="289" t="str">
        <f ca="1">IFERROR(__xludf.DUMMYFUNCTION("IFERROR(JOIN("";""&amp;CHAR(10),FILTER(Curses!$A$3:$A43,Curses!$B$3:$B43=AG$2,Curses!$G$3:$G43=$A42)),"""")"),"Summon Trolls")</f>
        <v>Summon Trolls</v>
      </c>
      <c r="AH42" s="289" t="str">
        <f ca="1">IFERROR(__xludf.DUMMYFUNCTION("IFERROR(JOIN("";""&amp;CHAR(10),FILTER(Curses!$A$3:$A43,Curses!$B$3:$B43=AH$2,Curses!$G$3:$G43=$A42)),"""")"),"Summon Banshees;
Summon Spikers")</f>
        <v>Summon Banshees;
Summon Spikers</v>
      </c>
      <c r="AI42" s="289" t="str">
        <f ca="1">IFERROR(__xludf.DUMMYFUNCTION("IFERROR(JOIN("";""&amp;CHAR(10),FILTER(Curses!$A$3:$A43,Curses!$B$3:$B43=AI$2,Curses!$G$3:$G43=$A42)),"""")"),"")</f>
        <v/>
      </c>
      <c r="AJ42" s="289" t="str">
        <f ca="1">IFERROR(__xludf.DUMMYFUNCTION("IFERROR(JOIN("";""&amp;CHAR(10),FILTER(Curses!$A$3:$A43,Curses!$B$3:$B43=AJ$2,Curses!$G$3:$G43=$A42)),"""")"),"Summon Hydras")</f>
        <v>Summon Hydras</v>
      </c>
      <c r="AK42" s="289" t="str">
        <f ca="1">IFERROR(__xludf.DUMMYFUNCTION("IFERROR(JOIN("";""&amp;CHAR(10),FILTER(Curses!$A$3:$A43,Curses!$B$3:$B43=AK$2,Curses!$G$3:$G43=$A42)),"""")"),"Summon Lichs")</f>
        <v>Summon Lichs</v>
      </c>
      <c r="AL42" s="289" t="str">
        <f ca="1">IFERROR(__xludf.DUMMYFUNCTION("IFERROR(JOIN("";""&amp;CHAR(10),FILTER(Curses!$A$3:$A43,Curses!$B$3:$B43=AL$2,Curses!$G$3:$G43=$A42)),"""")"),"")</f>
        <v/>
      </c>
      <c r="AM42" s="289" t="str">
        <f ca="1">IFERROR(__xludf.DUMMYFUNCTION("IFERROR(JOIN("";""&amp;CHAR(10),FILTER(Curses!$A$3:$A43,Curses!$B$3:$B43=AM$2,Curses!$G$3:$G43=$A42)),"""")"),"")</f>
        <v/>
      </c>
    </row>
    <row r="43" spans="1:39">
      <c r="A43" s="292"/>
      <c r="B43" s="289" t="str">
        <f ca="1">IFERROR(__xludf.DUMMYFUNCTION("IFERROR(JOIN("";""&amp;CHAR(10),FILTER(Curses!$A$3:$A43,Curses!$B$3:$B43=B$2,Curses!$G$3:$G43=$A43)),"""")"),"Horde;
Nostalgia;
Archery Training;
XYZ;
Spiky;
Boss Armour;
Selfless Heroes")</f>
        <v>Horde;
Nostalgia;
Archery Training;
XYZ;
Spiky;
Boss Armour;
Selfless Heroes</v>
      </c>
      <c r="C43" s="289" t="str">
        <f ca="1">IFERROR(__xludf.DUMMYFUNCTION("IFERROR(JOIN("";""&amp;CHAR(10),FILTER(Curses!$A$3:$A43,Curses!$B$3:$B43=C$2,Curses!$G$3:$G43=$A43)),"""")"),"Monster Growth;
Final Boss Curse;
15-16 Curses;
Poisoned Finale")</f>
        <v>Monster Growth;
Final Boss Curse;
15-16 Curses;
Poisoned Finale</v>
      </c>
      <c r="D43" s="289" t="str">
        <f ca="1">IFERROR(__xludf.DUMMYFUNCTION("IFERROR(JOIN("";""&amp;CHAR(10),FILTER(Curses!$A$3:$A43,Curses!$B$3:$B43=D$2,Curses!$G$3:$G43=$A43)),"""")"),"Monster Charged;
Top 1 hp;
Middle 1 hp;
Bottom 1 hp;
Stony Grasp;
Skip rewards 5;
Skip rewards 18-19;
Shield -1;
Heal -1;
Left -1;
Mundane;
Depleted spells;
Hero eliminate")</f>
        <v>Monster Charged;
Top 1 hp;
Middle 1 hp;
Bottom 1 hp;
Stony Grasp;
Skip rewards 5;
Skip rewards 18-19;
Shield -1;
Heal -1;
Left -1;
Mundane;
Depleted spells;
Hero eliminate</v>
      </c>
      <c r="E43" s="289" t="str">
        <f ca="1">IFERROR(__xludf.DUMMYFUNCTION("IFERROR(JOIN("";""&amp;CHAR(10),FILTER(Curses!$A$3:$A43,Curses!$B$3:$B43=E$2,Curses!$G$3:$G43=$A43)),"""")"),"Top 3 Poisoned;
Monster Pristine;
De-level top;
De-level middle;
De-level bottom;
Expensive Spells;
Hero decay;
Pain edges;
Wanded;
Heavy Weapons;
Stone Monsters;
Barricade;
Slimedemic;
-1 Reroll;
Undying Monsters;
Ouroboros")</f>
        <v>Top 3 Poisoned;
Monster Pristine;
De-level top;
De-level middle;
De-level bottom;
Expensive Spells;
Hero decay;
Pain edges;
Wanded;
Heavy Weapons;
Stone Monsters;
Barricade;
Slimedemic;
-1 Reroll;
Undying Monsters;
Ouroboros</v>
      </c>
      <c r="F43" s="289" t="str">
        <f ca="1">IFERROR(__xludf.DUMMYFUNCTION("IFERROR(JOIN("";""&amp;CHAR(10),FILTER(Curses!$A$3:$A43,Curses!$B$3:$B43=F$2,Curses!$G$3:$G43=$A43)),"""")"),"Mana -1;
Sticky blanks;
Shimmering Monsters;
Single spells;
Back to basics;
Monster Column +1;
Creaky Joints;
Monster +1 (11-20)")</f>
        <v>Mana -1;
Sticky blanks;
Shimmering Monsters;
Single spells;
Back to basics;
Monster Column +1;
Creaky Joints;
Monster +1 (11-20)</v>
      </c>
      <c r="G43" s="289" t="str">
        <f ca="1">IFERROR(__xludf.DUMMYFUNCTION("IFERROR(JOIN("";""&amp;CHAR(10),FILTER(Curses!$A$3:$A43,Curses!$B$3:$B43=G$2,Curses!$G$3:$G43=$A43)),"""")"),"Damage -1;
Migraine;
BUG")</f>
        <v>Damage -1;
Migraine;
BUG</v>
      </c>
      <c r="H43" s="289" t="str">
        <f ca="1">IFERROR(__xludf.DUMMYFUNCTION("IFERROR(JOIN("";""&amp;CHAR(10),FILTER(Curses!$A$3:$A43,Curses!$B$3:$B43=H$2,Curses!$G$3:$G43=$A43)),"""")"),"1-10 curses;
Top Death;
Middle Death;
Bottom Death;
Rise;
All Poisoned;
Monster Row +1;
Reanimated Bosses")</f>
        <v>1-10 curses;
Top Death;
Middle Death;
Bottom Death;
Rise;
All Poisoned;
Monster Row +1;
Reanimated Bosses</v>
      </c>
      <c r="I43" s="289" t="str">
        <f ca="1">IFERROR(__xludf.DUMMYFUNCTION("IFERROR(JOIN("";""&amp;CHAR(10),FILTER(Curses!$A$3:$A43,Curses!$B$3:$B43=I$2,Curses!$G$3:$G43=$A43)),"""")"),"Monster self-heal;
De-level top and bottom;
Hero heavy")</f>
        <v>Monster self-heal;
De-level top and bottom;
Hero heavy</v>
      </c>
      <c r="J43" s="289" t="str">
        <f ca="1">IFERROR(__xludf.DUMMYFUNCTION("IFERROR(JOIN("";""&amp;CHAR(10),FILTER(Curses!$A$3:$A43,Curses!$B$3:$B43=J$2,Curses!$G$3:$G43=$A43)),"""")"),"Monster era;
Hero single-use;
Monster Column +2;
Monster +1")</f>
        <v>Monster era;
Hero single-use;
Monster Column +2;
Monster +1</v>
      </c>
      <c r="K43" s="289" t="str">
        <f ca="1">IFERROR(__xludf.DUMMYFUNCTION("IFERROR(JOIN("";""&amp;CHAR(10),FILTER(Curses!$A$3:$A43,Curses!$B$3:$B43=K$2,Curses!$G$3:$G43=$A43)),"""")"),"Monster inflict-death;
-2 Rerolls;
Hero exert;
Hero pain;
Undying Monsters+;
Monster +2 (11-20)")</f>
        <v>Monster inflict-death;
-2 Rerolls;
Hero exert;
Hero pain;
Undying Monsters+;
Monster +2 (11-20)</v>
      </c>
      <c r="L43" s="289" t="str">
        <f ca="1">IFERROR(__xludf.DUMMYFUNCTION("IFERROR(JOIN("";""&amp;CHAR(10),FILTER(Curses!$A$3:$A43,Curses!$B$3:$B43=L$2,Curses!$G$3:$G43=$A43)),"""")"),"")</f>
        <v/>
      </c>
      <c r="M43" s="289" t="str">
        <f ca="1">IFERROR(__xludf.DUMMYFUNCTION("IFERROR(JOIN("";""&amp;CHAR(10),FILTER(Curses!$A$3:$A43,Curses!$B$3:$B43=M$2,Curses!$G$3:$G43=$A43)),"""")"),"De-level top three;
De-level every other")</f>
        <v>De-level top three;
De-level every other</v>
      </c>
      <c r="N43" s="289" t="str">
        <f ca="1">IFERROR(__xludf.DUMMYFUNCTION("IFERROR(JOIN("";""&amp;CHAR(10),FILTER(Curses!$A$3:$A43,Curses!$B$3:$B43=N$2,Curses!$G$3:$G43=$A43)),"""")"),"Curse of Horus;
Monster Row +2")</f>
        <v>Curse of Horus;
Monster Row +2</v>
      </c>
      <c r="O43" s="289" t="str">
        <f ca="1">IFERROR(__xludf.DUMMYFUNCTION("IFERROR(JOIN("";""&amp;CHAR(10),FILTER(Curses!$A$3:$A43,Curses!$B$3:$B43=O$2,Curses!$G$3:$G43=$A43)),"""")"),"")</f>
        <v/>
      </c>
      <c r="P43" s="289" t="str">
        <f ca="1">IFERROR(__xludf.DUMMYFUNCTION("IFERROR(JOIN("";""&amp;CHAR(10),FILTER(Curses!$A$3:$A43,Curses!$B$3:$B43=P$2,Curses!$G$3:$G43=$A43)),"""")"),"Edge death;
Skip rewards 11-19;
Boss Spirits")</f>
        <v>Edge death;
Skip rewards 11-19;
Boss Spirits</v>
      </c>
      <c r="Q43" s="289" t="str">
        <f ca="1">IFERROR(__xludf.DUMMYFUNCTION("IFERROR(JOIN("";""&amp;CHAR(10),FILTER(Curses!$A$3:$A43,Curses!$B$3:$B43=Q$2,Curses!$G$3:$G43=$A43)),"""")"),"")</f>
        <v/>
      </c>
      <c r="R43" s="289" t="str">
        <f ca="1">IFERROR(__xludf.DUMMYFUNCTION("IFERROR(JOIN("";""&amp;CHAR(10),FILTER(Curses!$A$3:$A43,Curses!$B$3:$B43=R$2,Curses!$G$3:$G43=$A43)),"""")"),"Monster +2")</f>
        <v>Monster +2</v>
      </c>
      <c r="S43" s="289" t="str">
        <f ca="1">IFERROR(__xludf.DUMMYFUNCTION("IFERROR(JOIN("";""&amp;CHAR(10),FILTER(Curses!$A$3:$A43,Curses!$B$3:$B43=S$2,Curses!$G$3:$G43=$A43)),"""")"),"")</f>
        <v/>
      </c>
      <c r="T43" s="289" t="str">
        <f ca="1">IFERROR(__xludf.DUMMYFUNCTION("IFERROR(JOIN("";""&amp;CHAR(10),FILTER(Curses!$A$3:$A43,Curses!$B$3:$B43=T$2,Curses!$G$3:$G43=$A43)),"""")"),"")</f>
        <v/>
      </c>
      <c r="U43" s="289" t="str">
        <f ca="1">IFERROR(__xludf.DUMMYFUNCTION("IFERROR(JOIN("";""&amp;CHAR(10),FILTER(Curses!$A$3:$A43,Curses!$B$3:$B43=U$2,Curses!$G$3:$G43=$A43)),"""")"),"Double Monsters")</f>
        <v>Double Monsters</v>
      </c>
      <c r="V43" s="289" t="str">
        <f ca="1">IFERROR(__xludf.DUMMYFUNCTION("IFERROR(JOIN("";""&amp;CHAR(10),FILTER(Curses!$A$3:$A43,Curses!$B$3:$B43=V$2,Curses!$G$3:$G43=$A43)),"""")"),"")</f>
        <v/>
      </c>
      <c r="W43" s="289" t="str">
        <f ca="1">IFERROR(__xludf.DUMMYFUNCTION("IFERROR(JOIN("";""&amp;CHAR(10),FILTER(Curses!$A$3:$A43,Curses!$B$3:$B43=W$2,Curses!$G$3:$G43=$A43)),"""")"),"")</f>
        <v/>
      </c>
      <c r="X43" s="289" t="str">
        <f ca="1">IFERROR(__xludf.DUMMYFUNCTION("IFERROR(JOIN("";""&amp;CHAR(10),FILTER(Curses!$A$3:$A43,Curses!$B$3:$B43=X$2,Curses!$G$3:$G43=$A43)),"""")"),"")</f>
        <v/>
      </c>
      <c r="Y43" s="289" t="str">
        <f ca="1">IFERROR(__xludf.DUMMYFUNCTION("IFERROR(JOIN("";""&amp;CHAR(10),FILTER(Curses!$A$3:$A43,Curses!$B$3:$B43=Y$2,Curses!$G$3:$G43=$A43)),"""")"),"Hero death")</f>
        <v>Hero death</v>
      </c>
      <c r="Z43" s="289" t="str">
        <f ca="1">IFERROR(__xludf.DUMMYFUNCTION("IFERROR(JOIN("";""&amp;CHAR(10),FILTER(Curses!$A$3:$A43,Curses!$B$3:$B43=Z$2,Curses!$G$3:$G43=$A43)),"""")"),"")</f>
        <v/>
      </c>
      <c r="AA43" s="289" t="str">
        <f ca="1">IFERROR(__xludf.DUMMYFUNCTION("IFERROR(JOIN("";""&amp;CHAR(10),FILTER(Curses!$A$3:$A43,Curses!$B$3:$B43=AA$2,Curses!$G$3:$G43=$A43)),"""")"),"")</f>
        <v/>
      </c>
      <c r="AB43" s="289" t="str">
        <f ca="1">IFERROR(__xludf.DUMMYFUNCTION("IFERROR(JOIN("";""&amp;CHAR(10),FILTER(Curses!$A$3:$A43,Curses!$B$3:$B43=AB$2,Curses!$G$3:$G43=$A43)),"""")"),"")</f>
        <v/>
      </c>
      <c r="AC43" s="289" t="str">
        <f ca="1">IFERROR(__xludf.DUMMYFUNCTION("IFERROR(JOIN("";""&amp;CHAR(10),FILTER(Curses!$A$3:$A43,Curses!$B$3:$B43=AC$2,Curses!$G$3:$G43=$A43)),"""")"),"")</f>
        <v/>
      </c>
      <c r="AD43" s="289" t="str">
        <f ca="1">IFERROR(__xludf.DUMMYFUNCTION("IFERROR(JOIN("";""&amp;CHAR(10),FILTER(Curses!$A$3:$A43,Curses!$B$3:$B43=AD$2,Curses!$G$3:$G43=$A43)),"""")"),"")</f>
        <v/>
      </c>
      <c r="AE43" s="289" t="str">
        <f ca="1">IFERROR(__xludf.DUMMYFUNCTION("IFERROR(JOIN("";""&amp;CHAR(10),FILTER(Curses!$A$3:$A43,Curses!$B$3:$B43=AE$2,Curses!$G$3:$G43=$A43)),"""")"),"")</f>
        <v/>
      </c>
      <c r="AF43" s="289" t="str">
        <f ca="1">IFERROR(__xludf.DUMMYFUNCTION("IFERROR(JOIN("";""&amp;CHAR(10),FILTER(Curses!$A$3:$A43,Curses!$B$3:$B43=AF$2,Curses!$G$3:$G43=$A43)),"""")"),"")</f>
        <v/>
      </c>
      <c r="AG43" s="289" t="str">
        <f ca="1">IFERROR(__xludf.DUMMYFUNCTION("IFERROR(JOIN("";""&amp;CHAR(10),FILTER(Curses!$A$3:$A43,Curses!$B$3:$B43=AG$2,Curses!$G$3:$G43=$A43)),"""")"),"")</f>
        <v/>
      </c>
      <c r="AH43" s="289" t="str">
        <f ca="1">IFERROR(__xludf.DUMMYFUNCTION("IFERROR(JOIN("";""&amp;CHAR(10),FILTER(Curses!$A$3:$A43,Curses!$B$3:$B43=AH$2,Curses!$G$3:$G43=$A43)),"""")"),"")</f>
        <v/>
      </c>
      <c r="AI43" s="289" t="str">
        <f ca="1">IFERROR(__xludf.DUMMYFUNCTION("IFERROR(JOIN("";""&amp;CHAR(10),FILTER(Curses!$A$3:$A43,Curses!$B$3:$B43=AI$2,Curses!$G$3:$G43=$A43)),"""")"),"")</f>
        <v/>
      </c>
      <c r="AJ43" s="289" t="str">
        <f ca="1">IFERROR(__xludf.DUMMYFUNCTION("IFERROR(JOIN("";""&amp;CHAR(10),FILTER(Curses!$A$3:$A43,Curses!$B$3:$B43=AJ$2,Curses!$G$3:$G43=$A43)),"""")"),"")</f>
        <v/>
      </c>
      <c r="AK43" s="289" t="str">
        <f ca="1">IFERROR(__xludf.DUMMYFUNCTION("IFERROR(JOIN("";""&amp;CHAR(10),FILTER(Curses!$A$3:$A43,Curses!$B$3:$B43=AK$2,Curses!$G$3:$G43=$A43)),"""")"),"")</f>
        <v/>
      </c>
      <c r="AL43" s="289" t="str">
        <f ca="1">IFERROR(__xludf.DUMMYFUNCTION("IFERROR(JOIN("";""&amp;CHAR(10),FILTER(Curses!$A$3:$A43,Curses!$B$3:$B43=AL$2,Curses!$G$3:$G43=$A43)),"""")"),"")</f>
        <v/>
      </c>
      <c r="AM43" s="289" t="str">
        <f ca="1">IFERROR(__xludf.DUMMYFUNCTION("IFERROR(JOIN("";""&amp;CHAR(10),FILTER(Curses!$A$3:$A43,Curses!$B$3:$B43=AM$2,Curses!$G$3:$G43=$A43)),"""")"),";
Failsafe;
")</f>
        <v xml:space="preserve">;
Failsafe;
</v>
      </c>
    </row>
  </sheetData>
  <conditionalFormatting sqref="B3:AM43">
    <cfRule type="notContainsBlanks" dxfId="0" priority="1">
      <formula>LEN(TRIM(B3))&gt;0</formula>
    </cfRule>
  </conditionalFormatting>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S1003"/>
  <sheetViews>
    <sheetView workbookViewId="0"/>
  </sheetViews>
  <sheetFormatPr defaultColWidth="12.5703125" defaultRowHeight="15.75" customHeight="1"/>
  <cols>
    <col min="1" max="1" width="13.7109375" customWidth="1"/>
    <col min="2" max="2" width="3" customWidth="1"/>
    <col min="3" max="3" width="17.7109375" customWidth="1"/>
    <col min="4" max="4" width="3" customWidth="1"/>
    <col min="5" max="5" width="39" customWidth="1"/>
    <col min="6" max="6" width="3.28515625" customWidth="1"/>
    <col min="7" max="7" width="37.85546875" customWidth="1"/>
    <col min="8" max="8" width="3.28515625" customWidth="1"/>
    <col min="9" max="9" width="40" customWidth="1"/>
    <col min="10" max="10" width="42.42578125" customWidth="1"/>
    <col min="11" max="11" width="35.5703125" customWidth="1"/>
    <col min="12" max="12" width="26.28515625" customWidth="1"/>
    <col min="13" max="14" width="26.5703125" customWidth="1"/>
    <col min="15" max="15" width="18.7109375" customWidth="1"/>
    <col min="16" max="16" width="17.85546875" customWidth="1"/>
    <col min="17" max="17" width="16.28515625" customWidth="1"/>
    <col min="18" max="18" width="17" customWidth="1"/>
    <col min="19" max="19" width="15.42578125" customWidth="1"/>
    <col min="20" max="20" width="16.5703125" customWidth="1"/>
    <col min="21" max="21" width="19.7109375" customWidth="1"/>
    <col min="22" max="22" width="16" customWidth="1"/>
    <col min="23" max="23" width="16.7109375" customWidth="1"/>
    <col min="24" max="24" width="17.42578125" customWidth="1"/>
    <col min="25" max="25" width="18.85546875" customWidth="1"/>
    <col min="26" max="26" width="16" customWidth="1"/>
    <col min="27" max="27" width="16.42578125" customWidth="1"/>
    <col min="28" max="28" width="17" customWidth="1"/>
    <col min="29" max="30" width="15.42578125" customWidth="1"/>
    <col min="31" max="31" width="15.7109375" customWidth="1"/>
    <col min="32" max="32" width="16" customWidth="1"/>
    <col min="33" max="34" width="15.42578125" customWidth="1"/>
    <col min="35" max="35" width="16.7109375" customWidth="1"/>
    <col min="36" max="36" width="15.42578125" customWidth="1"/>
    <col min="37" max="37" width="17.28515625" customWidth="1"/>
    <col min="38" max="38" width="14.28515625" customWidth="1"/>
    <col min="39" max="39" width="15" customWidth="1"/>
    <col min="40" max="45" width="14.85546875" customWidth="1"/>
  </cols>
  <sheetData>
    <row r="1" spans="1:45">
      <c r="A1" s="152" t="s">
        <v>3906</v>
      </c>
      <c r="B1" s="250"/>
      <c r="C1" s="250" t="str">
        <f>"Tier 1 ("&amp;COUNTIF(C2:C72,"&lt;&gt;")&amp;IF(COUNTIF(C2:C72,"&lt;&gt;")=1," curse)"," curses)")</f>
        <v>Tier 1 (33 curses)</v>
      </c>
      <c r="D1" s="251"/>
      <c r="E1" s="251" t="str">
        <f>"Tier 2 ("&amp;COUNTIF(E2:E72,"&lt;&gt;")&amp;IF(COUNTIF(E2:E72,"&lt;&gt;")=1," curse)"," curses)")</f>
        <v>Tier 2 (28 curses)</v>
      </c>
      <c r="F1" s="250"/>
      <c r="G1" s="250" t="str">
        <f>"Tier 3 ("&amp;COUNTIF(G2:G72,"&lt;&gt;")&amp;IF(COUNTIF(G2:G72,"&lt;&gt;")=1," curse)"," curses)")</f>
        <v>Tier 3 (34 curses)</v>
      </c>
      <c r="H1" s="251"/>
      <c r="I1" s="251" t="str">
        <f>"Tier 4 ("&amp;COUNTIF(I2:I72,"&lt;&gt;")&amp;IF(COUNTIF(I2:I72,"&lt;&gt;")=1," curse)"," curses)")</f>
        <v>Tier 4 (32 curses)</v>
      </c>
      <c r="J1" s="250" t="str">
        <f>"Tier 5 ("&amp;COUNTIF(J2:J72,"&lt;&gt;")&amp;IF(COUNTIF(J2:J72,"&lt;&gt;")=1," curse)"," curses)")</f>
        <v>Tier 5 (16 curses)</v>
      </c>
      <c r="K1" s="251" t="str">
        <f>"Tier 6 ("&amp;COUNTIF(K2:K72,"&lt;&gt;")&amp;IF(COUNTIF(K2:K72,"&lt;&gt;")=1," curse)"," curses)")</f>
        <v>Tier 6 (8 curses)</v>
      </c>
      <c r="L1" s="250" t="str">
        <f>"Tier 7 ("&amp;COUNTIF(L2:L72,"&lt;&gt;")&amp;IF(COUNTIF(L2:L72,"&lt;&gt;")=1," curse)"," curses)")</f>
        <v>Tier 7 (13 curses)</v>
      </c>
      <c r="M1" s="251" t="str">
        <f>"Tier 8 ("&amp;COUNTIF(M2:M72,"&lt;&gt;")&amp;IF(COUNTIF(M2:M72,"&lt;&gt;")=1," curse)"," curses)")</f>
        <v>Tier 8 (7 curses)</v>
      </c>
      <c r="N1" s="250" t="str">
        <f>"Tier 9 ("&amp;COUNTIF(N2:N72,"&lt;&gt;")&amp;IF(COUNTIF(N2:N72,"&lt;&gt;")=1," curse)"," curses)")</f>
        <v>Tier 9 (7 curses)</v>
      </c>
      <c r="O1" s="251" t="str">
        <f>"Tier 10 ("&amp;COUNTIF(O2:O72,"&lt;&gt;")&amp;IF(COUNTIF(O2:O72,"&lt;&gt;")=1," curse)"," curses)")</f>
        <v>Tier 10 (7 curses)</v>
      </c>
      <c r="P1" s="250" t="str">
        <f>"Tier 12 ("&amp;COUNTIF(P2:P72,"&lt;&gt;")&amp;IF(COUNTIF(P2:P72,"&lt;&gt;")=1," curse)"," curses)")</f>
        <v>Tier 12 (3 curses)</v>
      </c>
      <c r="Q1" s="251" t="str">
        <f>"Tier 13 ("&amp;COUNTIF(Q2:Q72,"&lt;&gt;")&amp;IF(COUNTIF(Q2:Q72,"&lt;&gt;")=1," curse)"," curses)")</f>
        <v>Tier 13 (3 curses)</v>
      </c>
      <c r="R1" s="250" t="str">
        <f>"Tier 15 ("&amp;COUNTIF(R2:R72,"&lt;&gt;")&amp;IF(COUNTIF(R2:R72,"&lt;&gt;")=1," curse)"," curses)")</f>
        <v>Tier 15 (5 curses)</v>
      </c>
      <c r="S1" s="251" t="str">
        <f>"Tier 17 ("&amp;COUNTIF(S2:S72,"&lt;&gt;")&amp;IF(COUNTIF(S2:S72,"&lt;&gt;")=1," curse)"," curses)")</f>
        <v>Tier 17 (1 curse)</v>
      </c>
      <c r="T1" s="250" t="str">
        <f>"Tier 18 ("&amp;COUNTIF(T2:T72,"&lt;&gt;")&amp;IF(COUNTIF(T2:T72,"&lt;&gt;")=1," curse)"," curses)")</f>
        <v>Tier 18 (1 curse)</v>
      </c>
      <c r="U1" s="251" t="str">
        <f>"Tier 20 ("&amp;COUNTIF(U2:U72,"&lt;&gt;")&amp;IF(COUNTIF(U2:U72,"&lt;&gt;")=1," curse)"," curses)")</f>
        <v>Tier 20 (2 curses)</v>
      </c>
      <c r="V1" s="250" t="str">
        <f>"Tier 25 ("&amp;COUNTIF(V2:V72,"&lt;&gt;")&amp;IF(COUNTIF(V2:V72,"&lt;&gt;")=1," curse)"," curses)")</f>
        <v>Tier 25 (2 curses)</v>
      </c>
      <c r="W1" s="251" t="str">
        <f>"Tier 40 ("&amp;COUNTIF(W2:W72,"&lt;&gt;")&amp;IF(COUNTIF(W2:W72,"&lt;&gt;")=1," curse)"," curses)")</f>
        <v>Tier 40 (1 curse)</v>
      </c>
      <c r="X1" s="250" t="str">
        <f>"Tier 100 ("&amp;COUNTIF(X2:X72,"&lt;&gt;")&amp;IF(COUNTIF(X2:X72,"&lt;&gt;")=1," curse)"," curses)")</f>
        <v>Tier 100 (1 curse)</v>
      </c>
      <c r="Y1" s="173"/>
      <c r="Z1" s="258"/>
      <c r="AA1" s="173"/>
      <c r="AB1" s="258"/>
      <c r="AC1" s="173"/>
      <c r="AD1" s="258"/>
      <c r="AE1" s="173"/>
      <c r="AF1" s="258"/>
      <c r="AG1" s="173"/>
      <c r="AH1" s="258"/>
      <c r="AI1" s="173"/>
      <c r="AJ1" s="258"/>
      <c r="AK1" s="173"/>
      <c r="AL1" s="258"/>
      <c r="AM1" s="173"/>
      <c r="AN1" s="258"/>
      <c r="AO1" s="258"/>
      <c r="AP1" s="258"/>
      <c r="AQ1" s="258"/>
      <c r="AR1" s="258"/>
      <c r="AS1" s="258"/>
    </row>
    <row r="2" spans="1:45">
      <c r="A2" s="263"/>
      <c r="B2" s="293" t="b">
        <v>0</v>
      </c>
      <c r="C2" s="264" t="s">
        <v>1955</v>
      </c>
      <c r="D2" s="294" t="b">
        <v>0</v>
      </c>
      <c r="E2" s="265" t="s">
        <v>3915</v>
      </c>
      <c r="F2" s="293" t="b">
        <v>0</v>
      </c>
      <c r="G2" s="264" t="s">
        <v>3916</v>
      </c>
      <c r="H2" s="294" t="b">
        <v>0</v>
      </c>
      <c r="I2" s="265" t="s">
        <v>3917</v>
      </c>
      <c r="J2" s="264" t="s">
        <v>3918</v>
      </c>
      <c r="K2" s="265"/>
      <c r="L2" s="264" t="s">
        <v>2551</v>
      </c>
      <c r="M2" s="265"/>
      <c r="N2" s="264"/>
      <c r="O2" s="265" t="s">
        <v>2679</v>
      </c>
      <c r="P2" s="264"/>
      <c r="Q2" s="265"/>
      <c r="R2" s="264" t="s">
        <v>2759</v>
      </c>
      <c r="S2" s="265"/>
      <c r="T2" s="264"/>
      <c r="U2" s="265"/>
      <c r="V2" s="264" t="s">
        <v>2828</v>
      </c>
      <c r="W2" s="265" t="s">
        <v>2859</v>
      </c>
      <c r="X2" s="264" t="s">
        <v>2872</v>
      </c>
      <c r="Y2" s="266"/>
      <c r="Z2" s="267"/>
      <c r="AA2" s="266"/>
      <c r="AB2" s="267"/>
      <c r="AC2" s="266"/>
      <c r="AD2" s="267"/>
      <c r="AE2" s="266"/>
      <c r="AF2" s="267"/>
      <c r="AG2" s="266"/>
      <c r="AH2" s="267"/>
      <c r="AI2" s="266"/>
      <c r="AJ2" s="267"/>
      <c r="AK2" s="266"/>
      <c r="AL2" s="267"/>
      <c r="AM2" s="266"/>
      <c r="AN2" s="267"/>
      <c r="AO2" s="267"/>
      <c r="AP2" s="267"/>
      <c r="AQ2" s="267"/>
      <c r="AR2" s="267"/>
      <c r="AS2" s="267"/>
    </row>
    <row r="3" spans="1:45">
      <c r="A3" s="268"/>
      <c r="B3" s="293" t="b">
        <v>0</v>
      </c>
      <c r="C3" s="264" t="s">
        <v>1959</v>
      </c>
      <c r="D3" s="294" t="b">
        <v>0</v>
      </c>
      <c r="E3" s="265" t="s">
        <v>3919</v>
      </c>
      <c r="F3" s="293" t="b">
        <v>0</v>
      </c>
      <c r="G3" s="264" t="s">
        <v>3920</v>
      </c>
      <c r="H3" s="294" t="b">
        <v>0</v>
      </c>
      <c r="I3" s="265" t="s">
        <v>3921</v>
      </c>
      <c r="J3" s="264" t="s">
        <v>3922</v>
      </c>
      <c r="K3" s="265" t="s">
        <v>3923</v>
      </c>
      <c r="L3" s="264" t="s">
        <v>3924</v>
      </c>
      <c r="M3" s="265" t="s">
        <v>3925</v>
      </c>
      <c r="N3" s="264" t="s">
        <v>3926</v>
      </c>
      <c r="O3" s="265"/>
      <c r="P3" s="264"/>
      <c r="Q3" s="265"/>
      <c r="R3" s="264"/>
      <c r="S3" s="265"/>
      <c r="T3" s="264"/>
      <c r="U3" s="265" t="s">
        <v>2804</v>
      </c>
      <c r="V3" s="264"/>
      <c r="W3" s="265"/>
      <c r="X3" s="264"/>
      <c r="Y3" s="266"/>
      <c r="Z3" s="267"/>
      <c r="AA3" s="266"/>
      <c r="AB3" s="267"/>
      <c r="AC3" s="266"/>
      <c r="AD3" s="267"/>
      <c r="AE3" s="266"/>
      <c r="AF3" s="267"/>
      <c r="AG3" s="266"/>
      <c r="AH3" s="267"/>
      <c r="AI3" s="266"/>
      <c r="AJ3" s="267"/>
      <c r="AK3" s="266"/>
      <c r="AL3" s="267"/>
      <c r="AM3" s="266"/>
      <c r="AN3" s="267"/>
      <c r="AO3" s="267"/>
      <c r="AP3" s="267"/>
      <c r="AQ3" s="267"/>
      <c r="AR3" s="267"/>
      <c r="AS3" s="267"/>
    </row>
    <row r="4" spans="1:45">
      <c r="A4" s="268"/>
      <c r="B4" s="293" t="b">
        <v>0</v>
      </c>
      <c r="C4" s="264" t="s">
        <v>1962</v>
      </c>
      <c r="D4" s="294" t="b">
        <v>0</v>
      </c>
      <c r="E4" s="265" t="s">
        <v>3927</v>
      </c>
      <c r="F4" s="293" t="b">
        <v>0</v>
      </c>
      <c r="G4" s="264" t="s">
        <v>3928</v>
      </c>
      <c r="H4" s="294" t="b">
        <v>0</v>
      </c>
      <c r="I4" s="265" t="s">
        <v>3929</v>
      </c>
      <c r="J4" s="264" t="s">
        <v>3930</v>
      </c>
      <c r="K4" s="265" t="s">
        <v>3931</v>
      </c>
      <c r="L4" s="264" t="s">
        <v>3932</v>
      </c>
      <c r="M4" s="265" t="s">
        <v>3933</v>
      </c>
      <c r="N4" s="264" t="s">
        <v>3934</v>
      </c>
      <c r="O4" s="265"/>
      <c r="P4" s="264"/>
      <c r="Q4" s="265"/>
      <c r="R4" s="264"/>
      <c r="S4" s="265"/>
      <c r="T4" s="264"/>
      <c r="U4" s="265"/>
      <c r="V4" s="264"/>
      <c r="W4" s="265"/>
      <c r="X4" s="264"/>
      <c r="Y4" s="266"/>
      <c r="Z4" s="267"/>
      <c r="AA4" s="266"/>
      <c r="AB4" s="267"/>
      <c r="AC4" s="266"/>
      <c r="AD4" s="267"/>
      <c r="AE4" s="266"/>
      <c r="AF4" s="267"/>
      <c r="AG4" s="266"/>
      <c r="AH4" s="267"/>
      <c r="AI4" s="266"/>
      <c r="AJ4" s="267"/>
      <c r="AK4" s="266"/>
      <c r="AL4" s="267"/>
      <c r="AM4" s="266"/>
      <c r="AN4" s="267"/>
      <c r="AO4" s="267"/>
      <c r="AP4" s="267"/>
      <c r="AQ4" s="267"/>
      <c r="AR4" s="267"/>
      <c r="AS4" s="267"/>
    </row>
    <row r="5" spans="1:45">
      <c r="A5" s="268"/>
      <c r="B5" s="293" t="b">
        <v>0</v>
      </c>
      <c r="C5" s="264" t="s">
        <v>1965</v>
      </c>
      <c r="D5" s="294" t="b">
        <v>0</v>
      </c>
      <c r="E5" s="265" t="s">
        <v>3935</v>
      </c>
      <c r="F5" s="293" t="b">
        <v>0</v>
      </c>
      <c r="G5" s="264" t="s">
        <v>3936</v>
      </c>
      <c r="H5" s="294" t="b">
        <v>0</v>
      </c>
      <c r="I5" s="265" t="s">
        <v>3937</v>
      </c>
      <c r="J5" s="264" t="s">
        <v>3938</v>
      </c>
      <c r="K5" s="265" t="s">
        <v>2494</v>
      </c>
      <c r="L5" s="264"/>
      <c r="M5" s="265"/>
      <c r="N5" s="264"/>
      <c r="O5" s="265"/>
      <c r="P5" s="264"/>
      <c r="Q5" s="265"/>
      <c r="R5" s="264"/>
      <c r="S5" s="265"/>
      <c r="T5" s="264"/>
      <c r="U5" s="265"/>
      <c r="V5" s="264"/>
      <c r="W5" s="265"/>
      <c r="X5" s="264"/>
      <c r="Y5" s="266"/>
      <c r="Z5" s="267"/>
      <c r="AA5" s="266"/>
      <c r="AB5" s="267"/>
      <c r="AC5" s="266"/>
      <c r="AD5" s="267"/>
      <c r="AE5" s="266"/>
      <c r="AF5" s="267"/>
      <c r="AG5" s="266"/>
      <c r="AH5" s="267"/>
      <c r="AI5" s="266"/>
      <c r="AJ5" s="267"/>
      <c r="AK5" s="266"/>
      <c r="AL5" s="267"/>
      <c r="AM5" s="266"/>
      <c r="AN5" s="267"/>
      <c r="AO5" s="267"/>
      <c r="AP5" s="267"/>
      <c r="AQ5" s="267"/>
      <c r="AR5" s="267"/>
      <c r="AS5" s="267"/>
    </row>
    <row r="6" spans="1:45">
      <c r="A6" s="268"/>
      <c r="B6" s="293" t="b">
        <v>0</v>
      </c>
      <c r="C6" s="264" t="s">
        <v>1969</v>
      </c>
      <c r="D6" s="294" t="b">
        <v>0</v>
      </c>
      <c r="E6" s="265" t="s">
        <v>3939</v>
      </c>
      <c r="F6" s="293" t="b">
        <v>0</v>
      </c>
      <c r="G6" s="264" t="s">
        <v>3940</v>
      </c>
      <c r="H6" s="294" t="b">
        <v>0</v>
      </c>
      <c r="I6" s="265" t="s">
        <v>3941</v>
      </c>
      <c r="J6" s="264" t="s">
        <v>3942</v>
      </c>
      <c r="K6" s="265"/>
      <c r="L6" s="264"/>
      <c r="M6" s="265"/>
      <c r="N6" s="264"/>
      <c r="O6" s="265"/>
      <c r="P6" s="264"/>
      <c r="Q6" s="265"/>
      <c r="R6" s="264"/>
      <c r="S6" s="265"/>
      <c r="T6" s="264"/>
      <c r="U6" s="265"/>
      <c r="V6" s="264"/>
      <c r="W6" s="265"/>
      <c r="X6" s="264"/>
      <c r="Y6" s="266"/>
      <c r="Z6" s="267"/>
      <c r="AA6" s="266"/>
      <c r="AB6" s="267"/>
      <c r="AC6" s="266"/>
      <c r="AD6" s="267"/>
      <c r="AE6" s="266"/>
      <c r="AF6" s="267"/>
      <c r="AG6" s="266"/>
      <c r="AH6" s="267"/>
      <c r="AI6" s="266"/>
      <c r="AJ6" s="267"/>
      <c r="AK6" s="266"/>
      <c r="AL6" s="267"/>
      <c r="AM6" s="266"/>
      <c r="AN6" s="267"/>
      <c r="AO6" s="267"/>
      <c r="AP6" s="267"/>
      <c r="AQ6" s="267"/>
      <c r="AR6" s="267"/>
      <c r="AS6" s="267"/>
    </row>
    <row r="7" spans="1:45">
      <c r="A7" s="268"/>
      <c r="B7" s="293" t="b">
        <v>0</v>
      </c>
      <c r="C7" s="264" t="s">
        <v>1972</v>
      </c>
      <c r="D7" s="294" t="b">
        <v>0</v>
      </c>
      <c r="E7" s="265" t="s">
        <v>3943</v>
      </c>
      <c r="F7" s="293" t="b">
        <v>0</v>
      </c>
      <c r="G7" s="264" t="s">
        <v>3944</v>
      </c>
      <c r="H7" s="294" t="b">
        <v>0</v>
      </c>
      <c r="I7" s="265" t="s">
        <v>3945</v>
      </c>
      <c r="J7" s="264" t="s">
        <v>3946</v>
      </c>
      <c r="K7" s="265"/>
      <c r="L7" s="264"/>
      <c r="M7" s="265"/>
      <c r="N7" s="264"/>
      <c r="O7" s="265"/>
      <c r="P7" s="264"/>
      <c r="Q7" s="265"/>
      <c r="R7" s="264"/>
      <c r="S7" s="265"/>
      <c r="T7" s="264"/>
      <c r="U7" s="265"/>
      <c r="V7" s="264"/>
      <c r="W7" s="265"/>
      <c r="X7" s="264"/>
      <c r="Y7" s="266"/>
      <c r="Z7" s="267"/>
      <c r="AA7" s="266"/>
      <c r="AB7" s="267"/>
      <c r="AC7" s="266"/>
      <c r="AD7" s="267"/>
      <c r="AE7" s="266"/>
      <c r="AF7" s="267"/>
      <c r="AG7" s="266"/>
      <c r="AH7" s="267"/>
      <c r="AI7" s="266"/>
      <c r="AJ7" s="267"/>
      <c r="AK7" s="266"/>
      <c r="AL7" s="267"/>
      <c r="AM7" s="266"/>
      <c r="AN7" s="267"/>
      <c r="AO7" s="267"/>
      <c r="AP7" s="267"/>
      <c r="AQ7" s="267"/>
      <c r="AR7" s="267"/>
      <c r="AS7" s="267"/>
    </row>
    <row r="8" spans="1:45">
      <c r="A8" s="268"/>
      <c r="B8" s="293" t="b">
        <v>0</v>
      </c>
      <c r="C8" s="264" t="s">
        <v>1976</v>
      </c>
      <c r="D8" s="294" t="b">
        <v>0</v>
      </c>
      <c r="E8" s="265" t="s">
        <v>3947</v>
      </c>
      <c r="F8" s="293" t="b">
        <v>0</v>
      </c>
      <c r="G8" s="264" t="s">
        <v>3948</v>
      </c>
      <c r="H8" s="294" t="b">
        <v>0</v>
      </c>
      <c r="I8" s="265" t="s">
        <v>3949</v>
      </c>
      <c r="J8" s="264" t="s">
        <v>3950</v>
      </c>
      <c r="K8" s="265"/>
      <c r="L8" s="264"/>
      <c r="M8" s="265"/>
      <c r="N8" s="264"/>
      <c r="O8" s="265"/>
      <c r="P8" s="264"/>
      <c r="Q8" s="265"/>
      <c r="R8" s="264"/>
      <c r="S8" s="265"/>
      <c r="T8" s="264"/>
      <c r="U8" s="265"/>
      <c r="V8" s="264"/>
      <c r="W8" s="265"/>
      <c r="X8" s="264"/>
      <c r="Y8" s="266"/>
      <c r="Z8" s="267"/>
      <c r="AA8" s="266"/>
      <c r="AB8" s="267"/>
      <c r="AC8" s="266"/>
      <c r="AD8" s="267"/>
      <c r="AE8" s="266"/>
      <c r="AF8" s="267"/>
      <c r="AG8" s="266"/>
      <c r="AH8" s="267"/>
      <c r="AI8" s="266"/>
      <c r="AJ8" s="267"/>
      <c r="AK8" s="266"/>
      <c r="AL8" s="267"/>
      <c r="AM8" s="266"/>
      <c r="AN8" s="267"/>
      <c r="AO8" s="267"/>
      <c r="AP8" s="267"/>
      <c r="AQ8" s="267"/>
      <c r="AR8" s="267"/>
      <c r="AS8" s="267"/>
    </row>
    <row r="9" spans="1:45">
      <c r="A9" s="268"/>
      <c r="B9" s="293" t="b">
        <v>0</v>
      </c>
      <c r="C9" s="264" t="s">
        <v>1979</v>
      </c>
      <c r="D9" s="294" t="b">
        <v>0</v>
      </c>
      <c r="E9" s="265" t="s">
        <v>3951</v>
      </c>
      <c r="F9" s="293" t="b">
        <v>0</v>
      </c>
      <c r="G9" s="264" t="s">
        <v>3952</v>
      </c>
      <c r="H9" s="294" t="b">
        <v>0</v>
      </c>
      <c r="I9" s="265" t="s">
        <v>3953</v>
      </c>
      <c r="J9" s="264"/>
      <c r="K9" s="265"/>
      <c r="L9" s="264"/>
      <c r="M9" s="265"/>
      <c r="N9" s="264"/>
      <c r="O9" s="265"/>
      <c r="P9" s="264"/>
      <c r="Q9" s="265"/>
      <c r="R9" s="264"/>
      <c r="S9" s="265"/>
      <c r="T9" s="264"/>
      <c r="U9" s="265"/>
      <c r="V9" s="264"/>
      <c r="W9" s="265"/>
      <c r="X9" s="264"/>
      <c r="Y9" s="266"/>
      <c r="Z9" s="267"/>
      <c r="AA9" s="266"/>
      <c r="AB9" s="267"/>
      <c r="AC9" s="266"/>
      <c r="AD9" s="267"/>
      <c r="AE9" s="266"/>
      <c r="AF9" s="267"/>
      <c r="AG9" s="266"/>
      <c r="AH9" s="267"/>
      <c r="AI9" s="266"/>
      <c r="AJ9" s="267"/>
      <c r="AK9" s="266"/>
      <c r="AL9" s="267"/>
      <c r="AM9" s="266"/>
      <c r="AN9" s="267"/>
      <c r="AO9" s="267"/>
      <c r="AP9" s="267"/>
      <c r="AQ9" s="267"/>
      <c r="AR9" s="267"/>
      <c r="AS9" s="267"/>
    </row>
    <row r="10" spans="1:45">
      <c r="A10" s="268"/>
      <c r="B10" s="293" t="b">
        <v>0</v>
      </c>
      <c r="C10" s="264" t="s">
        <v>1982</v>
      </c>
      <c r="D10" s="294" t="b">
        <v>0</v>
      </c>
      <c r="E10" s="265" t="s">
        <v>3954</v>
      </c>
      <c r="F10" s="293" t="b">
        <v>0</v>
      </c>
      <c r="G10" s="264" t="s">
        <v>3955</v>
      </c>
      <c r="H10" s="294" t="b">
        <v>0</v>
      </c>
      <c r="I10" s="269" t="s">
        <v>3956</v>
      </c>
      <c r="J10" s="270"/>
      <c r="K10" s="269"/>
      <c r="L10" s="270"/>
      <c r="M10" s="269"/>
      <c r="N10" s="264"/>
      <c r="O10" s="265"/>
      <c r="P10" s="264"/>
      <c r="Q10" s="265"/>
      <c r="R10" s="264"/>
      <c r="S10" s="265"/>
      <c r="T10" s="264"/>
      <c r="U10" s="265"/>
      <c r="V10" s="264"/>
      <c r="W10" s="265"/>
      <c r="X10" s="264"/>
      <c r="Y10" s="266"/>
      <c r="Z10" s="267"/>
      <c r="AA10" s="266"/>
      <c r="AB10" s="267"/>
      <c r="AC10" s="266"/>
      <c r="AD10" s="267"/>
      <c r="AE10" s="266"/>
      <c r="AF10" s="267"/>
      <c r="AG10" s="266"/>
      <c r="AH10" s="267"/>
      <c r="AI10" s="266"/>
      <c r="AJ10" s="267"/>
      <c r="AK10" s="266"/>
      <c r="AL10" s="267"/>
      <c r="AM10" s="266"/>
      <c r="AN10" s="267"/>
      <c r="AO10" s="267"/>
      <c r="AP10" s="267"/>
      <c r="AQ10" s="267"/>
      <c r="AR10" s="267"/>
      <c r="AS10" s="267"/>
    </row>
    <row r="11" spans="1:45">
      <c r="A11" s="268"/>
      <c r="B11" s="293" t="b">
        <v>0</v>
      </c>
      <c r="C11" s="264" t="s">
        <v>1985</v>
      </c>
      <c r="D11" s="294" t="b">
        <v>0</v>
      </c>
      <c r="E11" s="265" t="s">
        <v>3957</v>
      </c>
      <c r="F11" s="293" t="b">
        <v>0</v>
      </c>
      <c r="G11" s="264" t="s">
        <v>3958</v>
      </c>
      <c r="H11" s="294" t="b">
        <v>0</v>
      </c>
      <c r="I11" s="269" t="s">
        <v>3959</v>
      </c>
      <c r="J11" s="270"/>
      <c r="K11" s="269"/>
      <c r="L11" s="270"/>
      <c r="M11" s="269"/>
      <c r="N11" s="264"/>
      <c r="O11" s="265"/>
      <c r="P11" s="264"/>
      <c r="Q11" s="265"/>
      <c r="R11" s="264"/>
      <c r="S11" s="265"/>
      <c r="T11" s="264"/>
      <c r="U11" s="265"/>
      <c r="V11" s="264"/>
      <c r="W11" s="265"/>
      <c r="X11" s="264"/>
      <c r="Y11" s="266"/>
      <c r="Z11" s="267"/>
      <c r="AA11" s="266"/>
      <c r="AB11" s="267"/>
      <c r="AC11" s="266"/>
      <c r="AD11" s="267"/>
      <c r="AE11" s="266"/>
      <c r="AF11" s="267"/>
      <c r="AG11" s="266"/>
      <c r="AH11" s="267"/>
      <c r="AI11" s="266"/>
      <c r="AJ11" s="267"/>
      <c r="AK11" s="266"/>
      <c r="AL11" s="267"/>
      <c r="AM11" s="266"/>
      <c r="AN11" s="267"/>
      <c r="AO11" s="267"/>
      <c r="AP11" s="267"/>
      <c r="AQ11" s="267"/>
      <c r="AR11" s="267"/>
      <c r="AS11" s="267"/>
    </row>
    <row r="12" spans="1:45">
      <c r="A12" s="268"/>
      <c r="B12" s="293" t="b">
        <v>0</v>
      </c>
      <c r="C12" s="264" t="s">
        <v>1988</v>
      </c>
      <c r="D12" s="294" t="b">
        <v>0</v>
      </c>
      <c r="E12" s="265" t="s">
        <v>3960</v>
      </c>
      <c r="F12" s="293" t="b">
        <v>0</v>
      </c>
      <c r="G12" s="264" t="s">
        <v>3961</v>
      </c>
      <c r="H12" s="294" t="b">
        <v>0</v>
      </c>
      <c r="I12" s="265" t="s">
        <v>3962</v>
      </c>
      <c r="J12" s="264"/>
      <c r="K12" s="265"/>
      <c r="L12" s="264"/>
      <c r="M12" s="265"/>
      <c r="N12" s="264"/>
      <c r="O12" s="265"/>
      <c r="P12" s="264"/>
      <c r="Q12" s="265"/>
      <c r="R12" s="264"/>
      <c r="S12" s="265"/>
      <c r="T12" s="264"/>
      <c r="U12" s="265"/>
      <c r="V12" s="264"/>
      <c r="W12" s="265"/>
      <c r="X12" s="264"/>
      <c r="Y12" s="266"/>
      <c r="Z12" s="267"/>
      <c r="AA12" s="266"/>
      <c r="AB12" s="267"/>
      <c r="AC12" s="266"/>
      <c r="AD12" s="267"/>
      <c r="AE12" s="266"/>
      <c r="AF12" s="267"/>
      <c r="AG12" s="266"/>
      <c r="AH12" s="267"/>
      <c r="AI12" s="266"/>
      <c r="AJ12" s="267"/>
      <c r="AK12" s="266"/>
      <c r="AL12" s="267"/>
      <c r="AM12" s="266"/>
      <c r="AN12" s="267"/>
      <c r="AO12" s="267"/>
      <c r="AP12" s="267"/>
      <c r="AQ12" s="267"/>
      <c r="AR12" s="267"/>
      <c r="AS12" s="267"/>
    </row>
    <row r="13" spans="1:45">
      <c r="A13" s="268"/>
      <c r="B13" s="293" t="b">
        <v>0</v>
      </c>
      <c r="C13" s="264" t="s">
        <v>1991</v>
      </c>
      <c r="D13" s="294" t="b">
        <v>0</v>
      </c>
      <c r="E13" s="265" t="s">
        <v>3963</v>
      </c>
      <c r="F13" s="293" t="b">
        <v>0</v>
      </c>
      <c r="G13" s="264" t="s">
        <v>3964</v>
      </c>
      <c r="H13" s="294" t="b">
        <v>0</v>
      </c>
      <c r="I13" s="265" t="s">
        <v>3965</v>
      </c>
      <c r="J13" s="264"/>
      <c r="K13" s="265"/>
      <c r="L13" s="264"/>
      <c r="M13" s="265"/>
      <c r="N13" s="264"/>
      <c r="O13" s="265"/>
      <c r="P13" s="264"/>
      <c r="Q13" s="265"/>
      <c r="R13" s="264"/>
      <c r="S13" s="265"/>
      <c r="T13" s="264"/>
      <c r="U13" s="265"/>
      <c r="V13" s="264"/>
      <c r="W13" s="265"/>
      <c r="X13" s="264"/>
      <c r="Y13" s="266"/>
      <c r="Z13" s="267"/>
      <c r="AA13" s="266"/>
      <c r="AB13" s="267"/>
      <c r="AC13" s="266"/>
      <c r="AD13" s="267"/>
      <c r="AE13" s="266"/>
      <c r="AF13" s="267"/>
      <c r="AG13" s="266"/>
      <c r="AH13" s="267"/>
      <c r="AI13" s="266"/>
      <c r="AJ13" s="267"/>
      <c r="AK13" s="266"/>
      <c r="AL13" s="267"/>
      <c r="AM13" s="266"/>
      <c r="AN13" s="267"/>
      <c r="AO13" s="267"/>
      <c r="AP13" s="267"/>
      <c r="AQ13" s="267"/>
      <c r="AR13" s="267"/>
      <c r="AS13" s="267"/>
    </row>
    <row r="14" spans="1:45">
      <c r="A14" s="268"/>
      <c r="B14" s="293" t="b">
        <v>0</v>
      </c>
      <c r="C14" s="264" t="s">
        <v>1995</v>
      </c>
      <c r="D14" s="294" t="b">
        <v>0</v>
      </c>
      <c r="E14" s="265" t="s">
        <v>3966</v>
      </c>
      <c r="F14" s="293" t="b">
        <v>0</v>
      </c>
      <c r="G14" s="264" t="s">
        <v>3967</v>
      </c>
      <c r="H14" s="294" t="b">
        <v>0</v>
      </c>
      <c r="I14" s="269" t="s">
        <v>3968</v>
      </c>
      <c r="J14" s="270"/>
      <c r="K14" s="269"/>
      <c r="L14" s="270"/>
      <c r="M14" s="269"/>
      <c r="N14" s="264"/>
      <c r="O14" s="265"/>
      <c r="P14" s="264"/>
      <c r="Q14" s="265"/>
      <c r="R14" s="264"/>
      <c r="S14" s="265"/>
      <c r="T14" s="264"/>
      <c r="U14" s="265"/>
      <c r="V14" s="264"/>
      <c r="W14" s="265"/>
      <c r="X14" s="264"/>
      <c r="Y14" s="266"/>
      <c r="Z14" s="267"/>
      <c r="AA14" s="266"/>
      <c r="AB14" s="267"/>
      <c r="AC14" s="266"/>
      <c r="AD14" s="267"/>
      <c r="AE14" s="266"/>
      <c r="AF14" s="267"/>
      <c r="AG14" s="266"/>
      <c r="AH14" s="267"/>
      <c r="AI14" s="266"/>
      <c r="AJ14" s="267"/>
      <c r="AK14" s="266"/>
      <c r="AL14" s="267"/>
      <c r="AM14" s="266"/>
      <c r="AN14" s="267"/>
      <c r="AO14" s="267"/>
      <c r="AP14" s="267"/>
      <c r="AQ14" s="267"/>
      <c r="AR14" s="267"/>
      <c r="AS14" s="267"/>
    </row>
    <row r="15" spans="1:45">
      <c r="A15" s="268"/>
      <c r="B15" s="293" t="b">
        <v>0</v>
      </c>
      <c r="C15" s="264" t="s">
        <v>1999</v>
      </c>
      <c r="D15" s="294" t="b">
        <v>0</v>
      </c>
      <c r="E15" s="265" t="s">
        <v>3969</v>
      </c>
      <c r="F15" s="293" t="b">
        <v>0</v>
      </c>
      <c r="G15" s="264" t="s">
        <v>3970</v>
      </c>
      <c r="H15" s="294" t="b">
        <v>0</v>
      </c>
      <c r="I15" s="153" t="s">
        <v>2341</v>
      </c>
      <c r="J15" s="271"/>
      <c r="K15" s="269"/>
      <c r="L15" s="272" t="s">
        <v>2571</v>
      </c>
      <c r="M15" s="269"/>
      <c r="N15" s="264"/>
      <c r="O15" s="265"/>
      <c r="P15" s="264"/>
      <c r="Q15" s="265"/>
      <c r="R15" s="264"/>
      <c r="S15" s="265"/>
      <c r="T15" s="264"/>
      <c r="U15" s="265"/>
      <c r="V15" s="264"/>
      <c r="W15" s="265"/>
      <c r="X15" s="264"/>
      <c r="Y15" s="266"/>
      <c r="Z15" s="267"/>
      <c r="AA15" s="266"/>
      <c r="AB15" s="267"/>
      <c r="AC15" s="266"/>
      <c r="AD15" s="267"/>
      <c r="AE15" s="266"/>
      <c r="AF15" s="267"/>
      <c r="AG15" s="266"/>
      <c r="AH15" s="267"/>
      <c r="AI15" s="266"/>
      <c r="AJ15" s="267"/>
      <c r="AK15" s="266"/>
      <c r="AL15" s="267"/>
      <c r="AM15" s="266"/>
      <c r="AN15" s="267"/>
      <c r="AO15" s="267"/>
      <c r="AP15" s="267"/>
      <c r="AQ15" s="267"/>
      <c r="AR15" s="267"/>
      <c r="AS15" s="267"/>
    </row>
    <row r="16" spans="1:45">
      <c r="A16" s="268"/>
      <c r="B16" s="293" t="b">
        <v>0</v>
      </c>
      <c r="C16" s="264" t="s">
        <v>2003</v>
      </c>
      <c r="D16" s="294" t="b">
        <v>0</v>
      </c>
      <c r="E16" s="265" t="s">
        <v>3971</v>
      </c>
      <c r="F16" s="293" t="b">
        <v>0</v>
      </c>
      <c r="G16" s="264" t="s">
        <v>3972</v>
      </c>
      <c r="H16" s="294" t="b">
        <v>0</v>
      </c>
      <c r="I16" s="269"/>
      <c r="J16" s="270"/>
      <c r="K16" s="269"/>
      <c r="L16" s="270"/>
      <c r="M16" s="269"/>
      <c r="N16" s="264"/>
      <c r="O16" s="265"/>
      <c r="P16" s="264"/>
      <c r="Q16" s="265"/>
      <c r="R16" s="264"/>
      <c r="S16" s="265"/>
      <c r="T16" s="264"/>
      <c r="U16" s="265"/>
      <c r="V16" s="264"/>
      <c r="W16" s="265"/>
      <c r="X16" s="264"/>
      <c r="Y16" s="266"/>
      <c r="Z16" s="267"/>
      <c r="AA16" s="266"/>
      <c r="AB16" s="267"/>
      <c r="AC16" s="266"/>
      <c r="AD16" s="267"/>
      <c r="AE16" s="266"/>
      <c r="AF16" s="267"/>
      <c r="AG16" s="266"/>
      <c r="AH16" s="267"/>
      <c r="AI16" s="266"/>
      <c r="AJ16" s="267"/>
      <c r="AK16" s="266"/>
      <c r="AL16" s="267"/>
      <c r="AM16" s="266"/>
      <c r="AN16" s="267"/>
      <c r="AO16" s="267"/>
      <c r="AP16" s="267"/>
      <c r="AQ16" s="267"/>
      <c r="AR16" s="267"/>
      <c r="AS16" s="267"/>
    </row>
    <row r="17" spans="1:45">
      <c r="A17" s="268"/>
      <c r="B17" s="293" t="b">
        <v>0</v>
      </c>
      <c r="C17" s="264" t="s">
        <v>2010</v>
      </c>
      <c r="D17" s="294" t="b">
        <v>0</v>
      </c>
      <c r="E17" s="265" t="s">
        <v>3973</v>
      </c>
      <c r="F17" s="293" t="b">
        <v>0</v>
      </c>
      <c r="G17" s="264" t="s">
        <v>3974</v>
      </c>
      <c r="H17" s="294" t="b">
        <v>0</v>
      </c>
      <c r="I17" s="269"/>
      <c r="J17" s="273"/>
      <c r="K17" s="114"/>
      <c r="L17" s="273"/>
      <c r="M17" s="269"/>
      <c r="N17" s="264"/>
      <c r="O17" s="265"/>
      <c r="P17" s="264"/>
      <c r="Q17" s="265"/>
      <c r="R17" s="264"/>
      <c r="S17" s="265"/>
      <c r="T17" s="264"/>
      <c r="U17" s="265"/>
      <c r="V17" s="264"/>
      <c r="W17" s="265"/>
      <c r="X17" s="264"/>
      <c r="Y17" s="266"/>
      <c r="Z17" s="267"/>
      <c r="AA17" s="266"/>
      <c r="AB17" s="267"/>
      <c r="AC17" s="266"/>
      <c r="AD17" s="267"/>
      <c r="AE17" s="266"/>
      <c r="AF17" s="267"/>
      <c r="AG17" s="266"/>
      <c r="AH17" s="267"/>
      <c r="AI17" s="266"/>
      <c r="AJ17" s="267"/>
      <c r="AK17" s="266"/>
      <c r="AL17" s="267"/>
      <c r="AM17" s="266"/>
      <c r="AN17" s="267"/>
      <c r="AO17" s="267"/>
      <c r="AP17" s="267"/>
      <c r="AQ17" s="267"/>
      <c r="AR17" s="267"/>
      <c r="AS17" s="267"/>
    </row>
    <row r="18" spans="1:45">
      <c r="A18" s="268"/>
      <c r="B18" s="293" t="b">
        <v>0</v>
      </c>
      <c r="C18" s="264" t="s">
        <v>2014</v>
      </c>
      <c r="D18" s="294" t="b">
        <v>0</v>
      </c>
      <c r="E18" s="265" t="s">
        <v>3975</v>
      </c>
      <c r="F18" s="293" t="b">
        <v>0</v>
      </c>
      <c r="G18" s="264" t="s">
        <v>3976</v>
      </c>
      <c r="H18" s="294" t="b">
        <v>0</v>
      </c>
      <c r="I18" s="269"/>
      <c r="J18" s="270"/>
      <c r="K18" s="269"/>
      <c r="L18" s="270"/>
      <c r="M18" s="269"/>
      <c r="N18" s="264"/>
      <c r="O18" s="265"/>
      <c r="P18" s="264"/>
      <c r="Q18" s="265"/>
      <c r="R18" s="264"/>
      <c r="S18" s="265"/>
      <c r="T18" s="264"/>
      <c r="U18" s="265"/>
      <c r="V18" s="264"/>
      <c r="W18" s="265"/>
      <c r="X18" s="264"/>
      <c r="Y18" s="266"/>
      <c r="Z18" s="267"/>
      <c r="AA18" s="266"/>
      <c r="AB18" s="267"/>
      <c r="AC18" s="266"/>
      <c r="AD18" s="267"/>
      <c r="AE18" s="266"/>
      <c r="AF18" s="267"/>
      <c r="AG18" s="266"/>
      <c r="AH18" s="267"/>
      <c r="AI18" s="266"/>
      <c r="AJ18" s="267"/>
      <c r="AK18" s="266"/>
      <c r="AL18" s="267"/>
      <c r="AM18" s="266"/>
      <c r="AN18" s="267"/>
      <c r="AO18" s="267"/>
      <c r="AP18" s="267"/>
      <c r="AQ18" s="267"/>
      <c r="AR18" s="267"/>
      <c r="AS18" s="267"/>
    </row>
    <row r="19" spans="1:45">
      <c r="A19" s="268"/>
      <c r="B19" s="293" t="b">
        <v>0</v>
      </c>
      <c r="C19" s="264" t="s">
        <v>2007</v>
      </c>
      <c r="D19" s="294" t="b">
        <v>0</v>
      </c>
      <c r="E19" s="265" t="s">
        <v>3977</v>
      </c>
      <c r="F19" s="293" t="b">
        <v>0</v>
      </c>
      <c r="G19" s="264"/>
      <c r="H19" s="294" t="b">
        <v>0</v>
      </c>
      <c r="I19" s="269"/>
      <c r="J19" s="270"/>
      <c r="K19" s="269"/>
      <c r="L19" s="270"/>
      <c r="M19" s="269"/>
      <c r="N19" s="264"/>
      <c r="O19" s="265"/>
      <c r="P19" s="264"/>
      <c r="Q19" s="265"/>
      <c r="R19" s="264"/>
      <c r="S19" s="265"/>
      <c r="T19" s="264"/>
      <c r="U19" s="265"/>
      <c r="V19" s="264"/>
      <c r="W19" s="265"/>
      <c r="X19" s="264"/>
      <c r="Y19" s="266"/>
      <c r="Z19" s="267"/>
      <c r="AA19" s="266"/>
      <c r="AB19" s="267"/>
      <c r="AC19" s="266"/>
      <c r="AD19" s="267"/>
      <c r="AE19" s="266"/>
      <c r="AF19" s="267"/>
      <c r="AG19" s="266"/>
      <c r="AH19" s="267"/>
      <c r="AI19" s="266"/>
      <c r="AJ19" s="267"/>
      <c r="AK19" s="266"/>
      <c r="AL19" s="267"/>
      <c r="AM19" s="266"/>
      <c r="AN19" s="267"/>
      <c r="AO19" s="267"/>
      <c r="AP19" s="267"/>
      <c r="AQ19" s="267"/>
      <c r="AR19" s="267"/>
      <c r="AS19" s="267"/>
    </row>
    <row r="20" spans="1:45">
      <c r="A20" s="268"/>
      <c r="B20" s="293" t="b">
        <v>0</v>
      </c>
      <c r="C20" s="264" t="s">
        <v>2017</v>
      </c>
      <c r="D20" s="294" t="b">
        <v>0</v>
      </c>
      <c r="E20" s="265" t="s">
        <v>3978</v>
      </c>
      <c r="F20" s="293" t="b">
        <v>0</v>
      </c>
      <c r="G20" s="264"/>
      <c r="H20" s="294" t="b">
        <v>0</v>
      </c>
      <c r="I20" s="265"/>
      <c r="J20" s="264"/>
      <c r="K20" s="265"/>
      <c r="L20" s="264"/>
      <c r="M20" s="265"/>
      <c r="N20" s="264"/>
      <c r="O20" s="265"/>
      <c r="P20" s="264"/>
      <c r="Q20" s="265"/>
      <c r="R20" s="264"/>
      <c r="S20" s="265"/>
      <c r="T20" s="264"/>
      <c r="U20" s="265"/>
      <c r="V20" s="264"/>
      <c r="W20" s="265"/>
      <c r="X20" s="264"/>
      <c r="Y20" s="266"/>
      <c r="Z20" s="267"/>
      <c r="AA20" s="266"/>
      <c r="AB20" s="267"/>
      <c r="AC20" s="266"/>
      <c r="AD20" s="267"/>
      <c r="AE20" s="266"/>
      <c r="AF20" s="267"/>
      <c r="AG20" s="266"/>
      <c r="AH20" s="267"/>
      <c r="AI20" s="266"/>
      <c r="AJ20" s="267"/>
      <c r="AK20" s="266"/>
      <c r="AL20" s="267"/>
      <c r="AM20" s="266"/>
      <c r="AN20" s="267"/>
      <c r="AO20" s="267"/>
      <c r="AP20" s="267"/>
      <c r="AQ20" s="267"/>
      <c r="AR20" s="267"/>
      <c r="AS20" s="267"/>
    </row>
    <row r="21" spans="1:45">
      <c r="A21" s="268"/>
      <c r="B21" s="293" t="b">
        <v>0</v>
      </c>
      <c r="C21" s="264" t="s">
        <v>2021</v>
      </c>
      <c r="D21" s="294" t="b">
        <v>0</v>
      </c>
      <c r="E21" s="265" t="s">
        <v>3979</v>
      </c>
      <c r="F21" s="293" t="b">
        <v>0</v>
      </c>
      <c r="G21" s="264"/>
      <c r="H21" s="294" t="b">
        <v>0</v>
      </c>
      <c r="I21" s="265"/>
      <c r="J21" s="264"/>
      <c r="K21" s="265"/>
      <c r="L21" s="264"/>
      <c r="M21" s="265"/>
      <c r="N21" s="264"/>
      <c r="O21" s="265"/>
      <c r="P21" s="264"/>
      <c r="Q21" s="265"/>
      <c r="R21" s="264"/>
      <c r="S21" s="265"/>
      <c r="T21" s="264"/>
      <c r="U21" s="265"/>
      <c r="V21" s="264"/>
      <c r="W21" s="265"/>
      <c r="X21" s="264"/>
      <c r="Y21" s="266"/>
      <c r="Z21" s="267"/>
      <c r="AA21" s="266"/>
      <c r="AB21" s="267"/>
      <c r="AC21" s="266"/>
      <c r="AD21" s="267"/>
      <c r="AE21" s="266"/>
      <c r="AF21" s="267"/>
      <c r="AG21" s="266"/>
      <c r="AH21" s="267"/>
      <c r="AI21" s="266"/>
      <c r="AJ21" s="267"/>
      <c r="AK21" s="266"/>
      <c r="AL21" s="267"/>
      <c r="AM21" s="266"/>
      <c r="AN21" s="267"/>
      <c r="AO21" s="267"/>
      <c r="AP21" s="267"/>
      <c r="AQ21" s="267"/>
      <c r="AR21" s="267"/>
      <c r="AS21" s="267"/>
    </row>
    <row r="22" spans="1:45">
      <c r="A22" s="268"/>
      <c r="B22" s="293" t="b">
        <v>0</v>
      </c>
      <c r="C22" s="264" t="s">
        <v>2025</v>
      </c>
      <c r="D22" s="294" t="b">
        <v>0</v>
      </c>
      <c r="E22" s="265" t="s">
        <v>3980</v>
      </c>
      <c r="F22" s="293" t="b">
        <v>0</v>
      </c>
      <c r="G22" s="264"/>
      <c r="H22" s="294" t="b">
        <v>0</v>
      </c>
      <c r="I22" s="265"/>
      <c r="J22" s="264"/>
      <c r="K22" s="265"/>
      <c r="L22" s="264"/>
      <c r="M22" s="265"/>
      <c r="N22" s="264"/>
      <c r="O22" s="265"/>
      <c r="P22" s="264"/>
      <c r="Q22" s="265"/>
      <c r="R22" s="264"/>
      <c r="S22" s="265"/>
      <c r="T22" s="264"/>
      <c r="U22" s="265"/>
      <c r="V22" s="264"/>
      <c r="W22" s="265"/>
      <c r="X22" s="264"/>
      <c r="Y22" s="266"/>
      <c r="Z22" s="267"/>
      <c r="AA22" s="266"/>
      <c r="AB22" s="267"/>
      <c r="AC22" s="266"/>
      <c r="AD22" s="267"/>
      <c r="AE22" s="266"/>
      <c r="AF22" s="267"/>
      <c r="AG22" s="266"/>
      <c r="AH22" s="267"/>
      <c r="AI22" s="266"/>
      <c r="AJ22" s="267"/>
      <c r="AK22" s="266"/>
      <c r="AL22" s="267"/>
      <c r="AM22" s="266"/>
      <c r="AN22" s="267"/>
      <c r="AO22" s="267"/>
      <c r="AP22" s="267"/>
      <c r="AQ22" s="267"/>
      <c r="AR22" s="267"/>
      <c r="AS22" s="267"/>
    </row>
    <row r="23" spans="1:45">
      <c r="A23" s="268"/>
      <c r="B23" s="293" t="b">
        <v>0</v>
      </c>
      <c r="C23" s="264" t="s">
        <v>2028</v>
      </c>
      <c r="D23" s="294" t="b">
        <v>0</v>
      </c>
      <c r="E23" s="265" t="s">
        <v>2141</v>
      </c>
      <c r="F23" s="293" t="b">
        <v>0</v>
      </c>
      <c r="G23" s="264"/>
      <c r="H23" s="294" t="b">
        <v>0</v>
      </c>
      <c r="I23" s="265"/>
      <c r="J23" s="264"/>
      <c r="K23" s="265"/>
      <c r="L23" s="264"/>
      <c r="M23" s="265"/>
      <c r="N23" s="264"/>
      <c r="O23" s="265"/>
      <c r="P23" s="264"/>
      <c r="Q23" s="265"/>
      <c r="R23" s="264"/>
      <c r="S23" s="265"/>
      <c r="T23" s="264"/>
      <c r="U23" s="265"/>
      <c r="V23" s="264"/>
      <c r="W23" s="265"/>
      <c r="X23" s="264"/>
      <c r="Y23" s="266"/>
      <c r="Z23" s="267"/>
      <c r="AA23" s="266"/>
      <c r="AB23" s="267"/>
      <c r="AC23" s="266"/>
      <c r="AD23" s="267"/>
      <c r="AE23" s="266"/>
      <c r="AF23" s="267"/>
      <c r="AG23" s="266"/>
      <c r="AH23" s="267"/>
      <c r="AI23" s="266"/>
      <c r="AJ23" s="267"/>
      <c r="AK23" s="266"/>
      <c r="AL23" s="267"/>
      <c r="AM23" s="266"/>
      <c r="AN23" s="267"/>
      <c r="AO23" s="267"/>
      <c r="AP23" s="267"/>
      <c r="AQ23" s="267"/>
      <c r="AR23" s="267"/>
      <c r="AS23" s="267"/>
    </row>
    <row r="24" spans="1:45">
      <c r="A24" s="268"/>
      <c r="B24" s="293" t="b">
        <v>0</v>
      </c>
      <c r="C24" s="264" t="s">
        <v>2031</v>
      </c>
      <c r="D24" s="294" t="b">
        <v>0</v>
      </c>
      <c r="E24" s="265"/>
      <c r="F24" s="293" t="b">
        <v>0</v>
      </c>
      <c r="G24" s="264" t="s">
        <v>2235</v>
      </c>
      <c r="H24" s="294" t="b">
        <v>0</v>
      </c>
      <c r="I24" s="265"/>
      <c r="J24" s="264"/>
      <c r="K24" s="265"/>
      <c r="L24" s="264" t="s">
        <v>2557</v>
      </c>
      <c r="M24" s="265"/>
      <c r="N24" s="264"/>
      <c r="O24" s="265"/>
      <c r="P24" s="264"/>
      <c r="Q24" s="265"/>
      <c r="R24" s="264"/>
      <c r="S24" s="265"/>
      <c r="T24" s="264"/>
      <c r="U24" s="265"/>
      <c r="V24" s="264"/>
      <c r="W24" s="265"/>
      <c r="X24" s="264"/>
      <c r="Y24" s="266"/>
      <c r="Z24" s="267"/>
      <c r="AA24" s="266"/>
      <c r="AB24" s="267"/>
      <c r="AC24" s="266"/>
      <c r="AD24" s="267"/>
      <c r="AE24" s="266"/>
      <c r="AF24" s="267"/>
      <c r="AG24" s="266"/>
      <c r="AH24" s="267"/>
      <c r="AI24" s="266"/>
      <c r="AJ24" s="267"/>
      <c r="AK24" s="266"/>
      <c r="AL24" s="267"/>
      <c r="AM24" s="266"/>
      <c r="AN24" s="267"/>
      <c r="AO24" s="267"/>
      <c r="AP24" s="267"/>
      <c r="AQ24" s="267"/>
      <c r="AR24" s="267"/>
      <c r="AS24" s="267"/>
    </row>
    <row r="25" spans="1:45">
      <c r="A25" s="268"/>
      <c r="B25" s="293" t="b">
        <v>0</v>
      </c>
      <c r="C25" s="264" t="s">
        <v>2033</v>
      </c>
      <c r="D25" s="294" t="b">
        <v>0</v>
      </c>
      <c r="E25" s="265"/>
      <c r="F25" s="293" t="b">
        <v>0</v>
      </c>
      <c r="G25" s="264" t="s">
        <v>2237</v>
      </c>
      <c r="H25" s="294" t="b">
        <v>0</v>
      </c>
      <c r="I25" s="265" t="s">
        <v>2343</v>
      </c>
      <c r="J25" s="264"/>
      <c r="K25" s="265"/>
      <c r="L25" s="264" t="s">
        <v>2559</v>
      </c>
      <c r="M25" s="265"/>
      <c r="N25" s="264"/>
      <c r="O25" s="265"/>
      <c r="P25" s="264"/>
      <c r="Q25" s="265"/>
      <c r="R25" s="264"/>
      <c r="S25" s="265"/>
      <c r="T25" s="264"/>
      <c r="U25" s="265"/>
      <c r="V25" s="264"/>
      <c r="W25" s="265"/>
      <c r="X25" s="264"/>
      <c r="Y25" s="266"/>
      <c r="Z25" s="267"/>
      <c r="AA25" s="266"/>
      <c r="AB25" s="267"/>
      <c r="AC25" s="266"/>
      <c r="AD25" s="267"/>
      <c r="AE25" s="266"/>
      <c r="AF25" s="267"/>
      <c r="AG25" s="266"/>
      <c r="AH25" s="267"/>
      <c r="AI25" s="266"/>
      <c r="AJ25" s="267"/>
      <c r="AK25" s="266"/>
      <c r="AL25" s="267"/>
      <c r="AM25" s="266"/>
      <c r="AN25" s="267"/>
      <c r="AO25" s="267"/>
      <c r="AP25" s="267"/>
      <c r="AQ25" s="267"/>
      <c r="AR25" s="267"/>
      <c r="AS25" s="267"/>
    </row>
    <row r="26" spans="1:45">
      <c r="A26" s="268"/>
      <c r="B26" s="293" t="b">
        <v>0</v>
      </c>
      <c r="C26" s="264" t="s">
        <v>2036</v>
      </c>
      <c r="D26" s="294" t="b">
        <v>0</v>
      </c>
      <c r="E26" s="265"/>
      <c r="F26" s="293" t="b">
        <v>0</v>
      </c>
      <c r="G26" s="264" t="s">
        <v>2239</v>
      </c>
      <c r="H26" s="294" t="b">
        <v>0</v>
      </c>
      <c r="I26" s="265"/>
      <c r="J26" s="264" t="s">
        <v>2434</v>
      </c>
      <c r="K26" s="265"/>
      <c r="L26" s="264"/>
      <c r="M26" s="265"/>
      <c r="N26" s="264"/>
      <c r="O26" s="265"/>
      <c r="P26" s="264"/>
      <c r="Q26" s="265"/>
      <c r="R26" s="264"/>
      <c r="S26" s="265"/>
      <c r="T26" s="264"/>
      <c r="U26" s="265"/>
      <c r="V26" s="264"/>
      <c r="W26" s="265"/>
      <c r="X26" s="264"/>
      <c r="Y26" s="266"/>
      <c r="Z26" s="267"/>
      <c r="AA26" s="266"/>
      <c r="AB26" s="267"/>
      <c r="AC26" s="266"/>
      <c r="AD26" s="267"/>
      <c r="AE26" s="266"/>
      <c r="AF26" s="267"/>
      <c r="AG26" s="266"/>
      <c r="AH26" s="267"/>
      <c r="AI26" s="266"/>
      <c r="AJ26" s="267"/>
      <c r="AK26" s="266"/>
      <c r="AL26" s="267"/>
      <c r="AM26" s="266"/>
      <c r="AN26" s="267"/>
      <c r="AO26" s="267"/>
      <c r="AP26" s="267"/>
      <c r="AQ26" s="267"/>
      <c r="AR26" s="267"/>
      <c r="AS26" s="267"/>
    </row>
    <row r="27" spans="1:45">
      <c r="A27" s="268"/>
      <c r="B27" s="293" t="b">
        <v>0</v>
      </c>
      <c r="C27" s="264" t="s">
        <v>2038</v>
      </c>
      <c r="D27" s="294" t="b">
        <v>0</v>
      </c>
      <c r="E27" s="265"/>
      <c r="F27" s="293" t="b">
        <v>0</v>
      </c>
      <c r="G27" s="264" t="s">
        <v>2241</v>
      </c>
      <c r="H27" s="294" t="b">
        <v>0</v>
      </c>
      <c r="I27" s="265"/>
      <c r="J27" s="264"/>
      <c r="K27" s="265"/>
      <c r="L27" s="264"/>
      <c r="M27" s="265"/>
      <c r="N27" s="264" t="s">
        <v>2649</v>
      </c>
      <c r="O27" s="265"/>
      <c r="P27" s="264"/>
      <c r="Q27" s="265"/>
      <c r="R27" s="264"/>
      <c r="S27" s="265"/>
      <c r="T27" s="264"/>
      <c r="U27" s="265"/>
      <c r="V27" s="264"/>
      <c r="W27" s="265"/>
      <c r="X27" s="264"/>
      <c r="Y27" s="266"/>
      <c r="Z27" s="267"/>
      <c r="AA27" s="266"/>
      <c r="AB27" s="267"/>
      <c r="AC27" s="266"/>
      <c r="AD27" s="267"/>
      <c r="AE27" s="266"/>
      <c r="AF27" s="267"/>
      <c r="AG27" s="266"/>
      <c r="AH27" s="267"/>
      <c r="AI27" s="266"/>
      <c r="AJ27" s="267"/>
      <c r="AK27" s="266"/>
      <c r="AL27" s="267"/>
      <c r="AM27" s="266"/>
      <c r="AN27" s="267"/>
      <c r="AO27" s="267"/>
      <c r="AP27" s="267"/>
      <c r="AQ27" s="267"/>
      <c r="AR27" s="267"/>
      <c r="AS27" s="267"/>
    </row>
    <row r="28" spans="1:45">
      <c r="A28" s="268"/>
      <c r="B28" s="293" t="b">
        <v>0</v>
      </c>
      <c r="C28" s="264" t="s">
        <v>2041</v>
      </c>
      <c r="D28" s="294" t="b">
        <v>0</v>
      </c>
      <c r="E28" s="265"/>
      <c r="F28" s="293" t="b">
        <v>0</v>
      </c>
      <c r="G28" s="264"/>
      <c r="H28" s="294" t="b">
        <v>0</v>
      </c>
      <c r="I28" s="265"/>
      <c r="J28" s="264"/>
      <c r="K28" s="265"/>
      <c r="L28" s="264"/>
      <c r="M28" s="265"/>
      <c r="N28" s="264"/>
      <c r="O28" s="265"/>
      <c r="P28" s="264"/>
      <c r="Q28" s="265"/>
      <c r="R28" s="264"/>
      <c r="S28" s="265"/>
      <c r="T28" s="264"/>
      <c r="U28" s="265"/>
      <c r="V28" s="264"/>
      <c r="W28" s="265"/>
      <c r="X28" s="264"/>
      <c r="Y28" s="266"/>
      <c r="Z28" s="267"/>
      <c r="AA28" s="266"/>
      <c r="AB28" s="267"/>
      <c r="AC28" s="266"/>
      <c r="AD28" s="267"/>
      <c r="AE28" s="266"/>
      <c r="AF28" s="267"/>
      <c r="AG28" s="266"/>
      <c r="AH28" s="267"/>
      <c r="AI28" s="266"/>
      <c r="AJ28" s="267"/>
      <c r="AK28" s="266"/>
      <c r="AL28" s="267"/>
      <c r="AM28" s="266"/>
      <c r="AN28" s="267"/>
      <c r="AO28" s="267"/>
      <c r="AP28" s="267"/>
      <c r="AQ28" s="267"/>
      <c r="AR28" s="267"/>
      <c r="AS28" s="267"/>
    </row>
    <row r="29" spans="1:45">
      <c r="A29" s="268"/>
      <c r="B29" s="293" t="b">
        <v>0</v>
      </c>
      <c r="C29" s="264" t="s">
        <v>2043</v>
      </c>
      <c r="D29" s="294" t="b">
        <v>0</v>
      </c>
      <c r="E29" s="265"/>
      <c r="F29" s="293" t="b">
        <v>0</v>
      </c>
      <c r="G29" s="264"/>
      <c r="H29" s="294" t="b">
        <v>0</v>
      </c>
      <c r="I29" s="265"/>
      <c r="J29" s="264"/>
      <c r="K29" s="265"/>
      <c r="L29" s="264"/>
      <c r="M29" s="265"/>
      <c r="N29" s="264"/>
      <c r="O29" s="265"/>
      <c r="P29" s="264"/>
      <c r="Q29" s="265"/>
      <c r="R29" s="264"/>
      <c r="S29" s="265"/>
      <c r="T29" s="264"/>
      <c r="U29" s="265"/>
      <c r="V29" s="264"/>
      <c r="W29" s="265"/>
      <c r="X29" s="264"/>
      <c r="Y29" s="266"/>
      <c r="Z29" s="267"/>
      <c r="AA29" s="266"/>
      <c r="AB29" s="267"/>
      <c r="AC29" s="266"/>
      <c r="AD29" s="267"/>
      <c r="AE29" s="266"/>
      <c r="AF29" s="267"/>
      <c r="AG29" s="266"/>
      <c r="AH29" s="267"/>
      <c r="AI29" s="266"/>
      <c r="AJ29" s="267"/>
      <c r="AK29" s="266"/>
      <c r="AL29" s="267"/>
      <c r="AM29" s="266"/>
      <c r="AN29" s="267"/>
      <c r="AO29" s="267"/>
      <c r="AP29" s="267"/>
      <c r="AQ29" s="267"/>
      <c r="AR29" s="267"/>
      <c r="AS29" s="267"/>
    </row>
    <row r="30" spans="1:45">
      <c r="A30" s="268"/>
      <c r="B30" s="293" t="b">
        <v>0</v>
      </c>
      <c r="C30" s="264" t="s">
        <v>2045</v>
      </c>
      <c r="D30" s="294" t="b">
        <v>0</v>
      </c>
      <c r="E30" s="265"/>
      <c r="F30" s="293" t="b">
        <v>0</v>
      </c>
      <c r="G30" s="264"/>
      <c r="H30" s="294" t="b">
        <v>0</v>
      </c>
      <c r="I30" s="265"/>
      <c r="J30" s="264"/>
      <c r="K30" s="265"/>
      <c r="L30" s="264"/>
      <c r="M30" s="265"/>
      <c r="N30" s="264"/>
      <c r="O30" s="265"/>
      <c r="P30" s="264"/>
      <c r="Q30" s="265"/>
      <c r="R30" s="264"/>
      <c r="S30" s="265"/>
      <c r="T30" s="264"/>
      <c r="U30" s="265"/>
      <c r="V30" s="264"/>
      <c r="W30" s="265"/>
      <c r="X30" s="264"/>
      <c r="Y30" s="266"/>
      <c r="Z30" s="267"/>
      <c r="AA30" s="266"/>
      <c r="AB30" s="267"/>
      <c r="AC30" s="266"/>
      <c r="AD30" s="267"/>
      <c r="AE30" s="266"/>
      <c r="AF30" s="267"/>
      <c r="AG30" s="266"/>
      <c r="AH30" s="267"/>
      <c r="AI30" s="266"/>
      <c r="AJ30" s="267"/>
      <c r="AK30" s="266"/>
      <c r="AL30" s="267"/>
      <c r="AM30" s="266"/>
      <c r="AN30" s="267"/>
      <c r="AO30" s="267"/>
      <c r="AP30" s="267"/>
      <c r="AQ30" s="267"/>
      <c r="AR30" s="267"/>
      <c r="AS30" s="267"/>
    </row>
    <row r="31" spans="1:45">
      <c r="A31" s="268"/>
      <c r="B31" s="293" t="b">
        <v>0</v>
      </c>
      <c r="C31" s="264" t="s">
        <v>2047</v>
      </c>
      <c r="D31" s="294" t="b">
        <v>0</v>
      </c>
      <c r="E31" s="265"/>
      <c r="F31" s="293" t="b">
        <v>0</v>
      </c>
      <c r="G31" s="264"/>
      <c r="H31" s="294" t="b">
        <v>0</v>
      </c>
      <c r="I31" s="265"/>
      <c r="J31" s="264"/>
      <c r="K31" s="265"/>
      <c r="L31" s="264"/>
      <c r="M31" s="265"/>
      <c r="N31" s="264"/>
      <c r="O31" s="265"/>
      <c r="P31" s="264"/>
      <c r="Q31" s="265"/>
      <c r="R31" s="264"/>
      <c r="S31" s="265"/>
      <c r="T31" s="264"/>
      <c r="U31" s="265"/>
      <c r="V31" s="264"/>
      <c r="W31" s="265"/>
      <c r="X31" s="264"/>
      <c r="Y31" s="266"/>
      <c r="Z31" s="267"/>
      <c r="AA31" s="266"/>
      <c r="AB31" s="267"/>
      <c r="AC31" s="266"/>
      <c r="AD31" s="267"/>
      <c r="AE31" s="266"/>
      <c r="AF31" s="267"/>
      <c r="AG31" s="266"/>
      <c r="AH31" s="267"/>
      <c r="AI31" s="266"/>
      <c r="AJ31" s="267"/>
      <c r="AK31" s="266"/>
      <c r="AL31" s="267"/>
      <c r="AM31" s="266"/>
      <c r="AN31" s="267"/>
      <c r="AO31" s="267"/>
      <c r="AP31" s="267"/>
      <c r="AQ31" s="267"/>
      <c r="AR31" s="267"/>
      <c r="AS31" s="267"/>
    </row>
    <row r="32" spans="1:45">
      <c r="A32" s="268"/>
      <c r="B32" s="293" t="b">
        <v>0</v>
      </c>
      <c r="C32" s="264" t="s">
        <v>2049</v>
      </c>
      <c r="D32" s="294" t="b">
        <v>0</v>
      </c>
      <c r="E32" s="265"/>
      <c r="F32" s="293" t="b">
        <v>0</v>
      </c>
      <c r="G32" s="264"/>
      <c r="H32" s="294" t="b">
        <v>0</v>
      </c>
      <c r="I32" s="265"/>
      <c r="J32" s="264"/>
      <c r="K32" s="265"/>
      <c r="L32" s="264"/>
      <c r="M32" s="265"/>
      <c r="N32" s="264"/>
      <c r="O32" s="265"/>
      <c r="P32" s="264"/>
      <c r="Q32" s="265"/>
      <c r="R32" s="264"/>
      <c r="S32" s="265"/>
      <c r="T32" s="264"/>
      <c r="U32" s="265"/>
      <c r="V32" s="264"/>
      <c r="W32" s="265"/>
      <c r="X32" s="264"/>
      <c r="Y32" s="266"/>
      <c r="Z32" s="267"/>
      <c r="AA32" s="266"/>
      <c r="AB32" s="267"/>
      <c r="AC32" s="266"/>
      <c r="AD32" s="267"/>
      <c r="AE32" s="266"/>
      <c r="AF32" s="267"/>
      <c r="AG32" s="266"/>
      <c r="AH32" s="267"/>
      <c r="AI32" s="266"/>
      <c r="AJ32" s="267"/>
      <c r="AK32" s="266"/>
      <c r="AL32" s="267"/>
      <c r="AM32" s="266"/>
      <c r="AN32" s="267"/>
      <c r="AO32" s="267"/>
      <c r="AP32" s="267"/>
      <c r="AQ32" s="267"/>
      <c r="AR32" s="267"/>
      <c r="AS32" s="267"/>
    </row>
    <row r="33" spans="1:45">
      <c r="A33" s="268"/>
      <c r="B33" s="293" t="b">
        <v>0</v>
      </c>
      <c r="C33" s="264" t="s">
        <v>2051</v>
      </c>
      <c r="D33" s="294" t="b">
        <v>0</v>
      </c>
      <c r="E33" s="265"/>
      <c r="F33" s="293" t="b">
        <v>0</v>
      </c>
      <c r="G33" s="264"/>
      <c r="H33" s="294" t="b">
        <v>0</v>
      </c>
      <c r="I33" s="265"/>
      <c r="J33" s="264"/>
      <c r="K33" s="265"/>
      <c r="L33" s="264"/>
      <c r="M33" s="265"/>
      <c r="N33" s="264"/>
      <c r="O33" s="265"/>
      <c r="P33" s="264"/>
      <c r="Q33" s="265"/>
      <c r="R33" s="264"/>
      <c r="S33" s="265"/>
      <c r="T33" s="264"/>
      <c r="U33" s="265"/>
      <c r="V33" s="264"/>
      <c r="W33" s="265"/>
      <c r="X33" s="264"/>
      <c r="Y33" s="266"/>
      <c r="Z33" s="267"/>
      <c r="AA33" s="266"/>
      <c r="AB33" s="267"/>
      <c r="AC33" s="266"/>
      <c r="AD33" s="267"/>
      <c r="AE33" s="266"/>
      <c r="AF33" s="267"/>
      <c r="AG33" s="266"/>
      <c r="AH33" s="267"/>
      <c r="AI33" s="266"/>
      <c r="AJ33" s="267"/>
      <c r="AK33" s="266"/>
      <c r="AL33" s="267"/>
      <c r="AM33" s="266"/>
      <c r="AN33" s="267"/>
      <c r="AO33" s="267"/>
      <c r="AP33" s="267"/>
      <c r="AQ33" s="267"/>
      <c r="AR33" s="267"/>
      <c r="AS33" s="267"/>
    </row>
    <row r="34" spans="1:45">
      <c r="A34" s="268"/>
      <c r="B34" s="293" t="b">
        <v>0</v>
      </c>
      <c r="C34" s="264" t="s">
        <v>2053</v>
      </c>
      <c r="D34" s="294" t="b">
        <v>0</v>
      </c>
      <c r="E34" s="265"/>
      <c r="F34" s="293" t="b">
        <v>0</v>
      </c>
      <c r="G34" s="264"/>
      <c r="H34" s="294" t="b">
        <v>0</v>
      </c>
      <c r="I34" s="265"/>
      <c r="J34" s="264"/>
      <c r="K34" s="265"/>
      <c r="L34" s="264"/>
      <c r="M34" s="265"/>
      <c r="N34" s="264"/>
      <c r="O34" s="265"/>
      <c r="P34" s="264"/>
      <c r="Q34" s="265"/>
      <c r="R34" s="264"/>
      <c r="S34" s="265"/>
      <c r="T34" s="264"/>
      <c r="U34" s="265"/>
      <c r="V34" s="264"/>
      <c r="W34" s="265"/>
      <c r="X34" s="264"/>
      <c r="Y34" s="266"/>
      <c r="Z34" s="267"/>
      <c r="AA34" s="266"/>
      <c r="AB34" s="267"/>
      <c r="AC34" s="266"/>
      <c r="AD34" s="267"/>
      <c r="AE34" s="266"/>
      <c r="AF34" s="267"/>
      <c r="AG34" s="266"/>
      <c r="AH34" s="267"/>
      <c r="AI34" s="266"/>
      <c r="AJ34" s="267"/>
      <c r="AK34" s="266"/>
      <c r="AL34" s="267"/>
      <c r="AM34" s="266"/>
      <c r="AN34" s="267"/>
      <c r="AO34" s="267"/>
      <c r="AP34" s="267"/>
      <c r="AQ34" s="267"/>
      <c r="AR34" s="267"/>
      <c r="AS34" s="267"/>
    </row>
    <row r="35" spans="1:45">
      <c r="A35" s="268"/>
      <c r="B35" s="293" t="b">
        <v>0</v>
      </c>
      <c r="C35" s="264"/>
      <c r="D35" s="294" t="b">
        <v>0</v>
      </c>
      <c r="E35" s="265" t="s">
        <v>2144</v>
      </c>
      <c r="F35" s="293" t="b">
        <v>0</v>
      </c>
      <c r="G35" s="264"/>
      <c r="H35" s="294" t="b">
        <v>0</v>
      </c>
      <c r="I35" s="265" t="s">
        <v>2345</v>
      </c>
      <c r="J35" s="264"/>
      <c r="K35" s="265"/>
      <c r="L35" s="264"/>
      <c r="M35" s="265"/>
      <c r="N35" s="264"/>
      <c r="O35" s="265"/>
      <c r="P35" s="264"/>
      <c r="Q35" s="265"/>
      <c r="R35" s="264"/>
      <c r="S35" s="265"/>
      <c r="T35" s="264"/>
      <c r="U35" s="265"/>
      <c r="V35" s="264"/>
      <c r="W35" s="265"/>
      <c r="X35" s="264"/>
      <c r="Y35" s="266"/>
      <c r="Z35" s="267"/>
      <c r="AA35" s="266"/>
      <c r="AB35" s="267"/>
      <c r="AC35" s="266"/>
      <c r="AD35" s="267"/>
      <c r="AE35" s="266"/>
      <c r="AF35" s="267"/>
      <c r="AG35" s="266"/>
      <c r="AH35" s="267"/>
      <c r="AI35" s="266"/>
      <c r="AJ35" s="267"/>
      <c r="AK35" s="266"/>
      <c r="AL35" s="267"/>
      <c r="AM35" s="266"/>
      <c r="AN35" s="267"/>
      <c r="AO35" s="267"/>
      <c r="AP35" s="267"/>
      <c r="AQ35" s="267"/>
      <c r="AR35" s="267"/>
      <c r="AS35" s="267"/>
    </row>
    <row r="36" spans="1:45">
      <c r="A36" s="268"/>
      <c r="B36" s="293" t="b">
        <v>0</v>
      </c>
      <c r="C36" s="264"/>
      <c r="D36" s="294" t="b">
        <v>0</v>
      </c>
      <c r="E36" s="265" t="s">
        <v>2146</v>
      </c>
      <c r="F36" s="293" t="b">
        <v>0</v>
      </c>
      <c r="G36" s="264"/>
      <c r="H36" s="294" t="b">
        <v>0</v>
      </c>
      <c r="I36" s="265" t="s">
        <v>2347</v>
      </c>
      <c r="J36" s="264"/>
      <c r="K36" s="265" t="s">
        <v>2496</v>
      </c>
      <c r="L36" s="264"/>
      <c r="M36" s="265" t="s">
        <v>2608</v>
      </c>
      <c r="N36" s="264"/>
      <c r="O36" s="265"/>
      <c r="P36" s="264"/>
      <c r="Q36" s="265"/>
      <c r="R36" s="264"/>
      <c r="S36" s="265"/>
      <c r="T36" s="264"/>
      <c r="U36" s="265"/>
      <c r="V36" s="264"/>
      <c r="W36" s="265"/>
      <c r="X36" s="264"/>
      <c r="Y36" s="266"/>
      <c r="Z36" s="267"/>
      <c r="AA36" s="266"/>
      <c r="AB36" s="267"/>
      <c r="AC36" s="266"/>
      <c r="AD36" s="267"/>
      <c r="AE36" s="266"/>
      <c r="AF36" s="267"/>
      <c r="AG36" s="266"/>
      <c r="AH36" s="267"/>
      <c r="AI36" s="266"/>
      <c r="AJ36" s="267"/>
      <c r="AK36" s="266"/>
      <c r="AL36" s="267"/>
      <c r="AM36" s="266"/>
      <c r="AN36" s="267"/>
      <c r="AO36" s="267"/>
      <c r="AP36" s="267"/>
      <c r="AQ36" s="267"/>
      <c r="AR36" s="267"/>
      <c r="AS36" s="267"/>
    </row>
    <row r="37" spans="1:45">
      <c r="A37" s="268"/>
      <c r="B37" s="293" t="b">
        <v>0</v>
      </c>
      <c r="C37" s="264"/>
      <c r="D37" s="294" t="b">
        <v>0</v>
      </c>
      <c r="E37" s="265" t="s">
        <v>2149</v>
      </c>
      <c r="F37" s="293" t="b">
        <v>0</v>
      </c>
      <c r="G37" s="264" t="s">
        <v>2243</v>
      </c>
      <c r="H37" s="294" t="b">
        <v>0</v>
      </c>
      <c r="I37" s="265" t="s">
        <v>2349</v>
      </c>
      <c r="J37" s="264"/>
      <c r="K37" s="265"/>
      <c r="L37" s="264"/>
      <c r="M37" s="265" t="s">
        <v>2610</v>
      </c>
      <c r="N37" s="264" t="s">
        <v>2651</v>
      </c>
      <c r="O37" s="265" t="s">
        <v>2681</v>
      </c>
      <c r="P37" s="264"/>
      <c r="Q37" s="265"/>
      <c r="R37" s="264"/>
      <c r="S37" s="265"/>
      <c r="T37" s="264"/>
      <c r="U37" s="265"/>
      <c r="V37" s="264"/>
      <c r="W37" s="265"/>
      <c r="X37" s="264"/>
      <c r="Y37" s="266"/>
      <c r="Z37" s="267"/>
      <c r="AA37" s="266"/>
      <c r="AB37" s="267"/>
      <c r="AC37" s="266"/>
      <c r="AD37" s="267"/>
      <c r="AE37" s="266"/>
      <c r="AF37" s="267"/>
      <c r="AG37" s="266"/>
      <c r="AH37" s="267"/>
      <c r="AI37" s="266"/>
      <c r="AJ37" s="267"/>
      <c r="AK37" s="266"/>
      <c r="AL37" s="267"/>
      <c r="AM37" s="266"/>
      <c r="AN37" s="267"/>
      <c r="AO37" s="267"/>
      <c r="AP37" s="267"/>
      <c r="AQ37" s="267"/>
      <c r="AR37" s="267"/>
      <c r="AS37" s="267"/>
    </row>
    <row r="38" spans="1:45">
      <c r="A38" s="268"/>
      <c r="B38" s="293" t="b">
        <v>0</v>
      </c>
      <c r="C38" s="264"/>
      <c r="D38" s="294" t="b">
        <v>0</v>
      </c>
      <c r="E38" s="265" t="s">
        <v>2151</v>
      </c>
      <c r="F38" s="293" t="b">
        <v>0</v>
      </c>
      <c r="G38" s="264"/>
      <c r="H38" s="294" t="b">
        <v>0</v>
      </c>
      <c r="I38" s="265"/>
      <c r="J38" s="264"/>
      <c r="K38" s="265"/>
      <c r="L38" s="264"/>
      <c r="M38" s="265"/>
      <c r="N38" s="264"/>
      <c r="O38" s="265"/>
      <c r="P38" s="264"/>
      <c r="Q38" s="265"/>
      <c r="R38" s="264"/>
      <c r="S38" s="265"/>
      <c r="T38" s="264"/>
      <c r="U38" s="265"/>
      <c r="V38" s="264"/>
      <c r="W38" s="265"/>
      <c r="X38" s="264"/>
      <c r="Y38" s="266"/>
      <c r="Z38" s="267"/>
      <c r="AA38" s="266"/>
      <c r="AB38" s="267"/>
      <c r="AC38" s="266"/>
      <c r="AD38" s="267"/>
      <c r="AE38" s="266"/>
      <c r="AF38" s="267"/>
      <c r="AG38" s="266"/>
      <c r="AH38" s="267"/>
      <c r="AI38" s="266"/>
      <c r="AJ38" s="267"/>
      <c r="AK38" s="266"/>
      <c r="AL38" s="267"/>
      <c r="AM38" s="266"/>
      <c r="AN38" s="267"/>
      <c r="AO38" s="267"/>
      <c r="AP38" s="267"/>
      <c r="AQ38" s="267"/>
      <c r="AR38" s="267"/>
      <c r="AS38" s="267"/>
    </row>
    <row r="39" spans="1:45">
      <c r="A39" s="268"/>
      <c r="B39" s="293" t="b">
        <v>0</v>
      </c>
      <c r="C39" s="264"/>
      <c r="D39" s="294" t="b">
        <v>0</v>
      </c>
      <c r="E39" s="265" t="s">
        <v>2153</v>
      </c>
      <c r="F39" s="293" t="b">
        <v>0</v>
      </c>
      <c r="G39" s="264"/>
      <c r="H39" s="294" t="b">
        <v>0</v>
      </c>
      <c r="I39" s="265"/>
      <c r="J39" s="264"/>
      <c r="K39" s="265"/>
      <c r="L39" s="264" t="s">
        <v>2561</v>
      </c>
      <c r="M39" s="265"/>
      <c r="N39" s="264"/>
      <c r="O39" s="265"/>
      <c r="P39" s="264"/>
      <c r="Q39" s="265"/>
      <c r="R39" s="264"/>
      <c r="S39" s="265"/>
      <c r="T39" s="264"/>
      <c r="U39" s="265"/>
      <c r="V39" s="264"/>
      <c r="W39" s="265"/>
      <c r="X39" s="264"/>
      <c r="Y39" s="266"/>
      <c r="Z39" s="267"/>
      <c r="AA39" s="266"/>
      <c r="AB39" s="267"/>
      <c r="AC39" s="266"/>
      <c r="AD39" s="267"/>
      <c r="AE39" s="266"/>
      <c r="AF39" s="267"/>
      <c r="AG39" s="266"/>
      <c r="AH39" s="267"/>
      <c r="AI39" s="266"/>
      <c r="AJ39" s="267"/>
      <c r="AK39" s="266"/>
      <c r="AL39" s="267"/>
      <c r="AM39" s="266"/>
      <c r="AN39" s="267"/>
      <c r="AO39" s="267"/>
      <c r="AP39" s="267"/>
      <c r="AQ39" s="267"/>
      <c r="AR39" s="267"/>
      <c r="AS39" s="267"/>
    </row>
    <row r="40" spans="1:45">
      <c r="A40" s="268"/>
      <c r="B40" s="293" t="b">
        <v>0</v>
      </c>
      <c r="C40" s="264"/>
      <c r="D40" s="294" t="b">
        <v>0</v>
      </c>
      <c r="E40" s="265" t="s">
        <v>2155</v>
      </c>
      <c r="F40" s="293" t="b">
        <v>0</v>
      </c>
      <c r="G40" s="264"/>
      <c r="H40" s="294" t="b">
        <v>0</v>
      </c>
      <c r="I40" s="265"/>
      <c r="J40" s="264"/>
      <c r="K40" s="265"/>
      <c r="L40" s="264"/>
      <c r="M40" s="265"/>
      <c r="N40" s="264"/>
      <c r="O40" s="265"/>
      <c r="P40" s="264"/>
      <c r="Q40" s="265"/>
      <c r="R40" s="264"/>
      <c r="S40" s="265"/>
      <c r="T40" s="264"/>
      <c r="U40" s="265"/>
      <c r="V40" s="264"/>
      <c r="W40" s="265"/>
      <c r="X40" s="264"/>
      <c r="Y40" s="266"/>
      <c r="Z40" s="267"/>
      <c r="AA40" s="266"/>
      <c r="AB40" s="267"/>
      <c r="AC40" s="266"/>
      <c r="AD40" s="267"/>
      <c r="AE40" s="266"/>
      <c r="AF40" s="267"/>
      <c r="AG40" s="266"/>
      <c r="AH40" s="267"/>
      <c r="AI40" s="266"/>
      <c r="AJ40" s="267"/>
      <c r="AK40" s="266"/>
      <c r="AL40" s="267"/>
      <c r="AM40" s="266"/>
      <c r="AN40" s="267"/>
      <c r="AO40" s="267"/>
      <c r="AP40" s="267"/>
      <c r="AQ40" s="267"/>
      <c r="AR40" s="267"/>
      <c r="AS40" s="267"/>
    </row>
    <row r="41" spans="1:45">
      <c r="A41" s="268"/>
      <c r="B41" s="293" t="b">
        <v>0</v>
      </c>
      <c r="C41" s="264"/>
      <c r="D41" s="294" t="b">
        <v>0</v>
      </c>
      <c r="E41" s="265"/>
      <c r="F41" s="293" t="b">
        <v>0</v>
      </c>
      <c r="G41" s="264" t="s">
        <v>2245</v>
      </c>
      <c r="H41" s="294" t="b">
        <v>0</v>
      </c>
      <c r="I41" s="265" t="s">
        <v>2351</v>
      </c>
      <c r="J41" s="264"/>
      <c r="K41" s="265"/>
      <c r="L41" s="264" t="s">
        <v>2563</v>
      </c>
      <c r="M41" s="265" t="s">
        <v>2612</v>
      </c>
      <c r="N41" s="264"/>
      <c r="O41" s="265"/>
      <c r="P41" s="264" t="s">
        <v>2716</v>
      </c>
      <c r="Q41" s="265"/>
      <c r="R41" s="264" t="s">
        <v>2761</v>
      </c>
      <c r="S41" s="265"/>
      <c r="T41" s="264"/>
      <c r="U41" s="265"/>
      <c r="V41" s="264"/>
      <c r="W41" s="265"/>
      <c r="X41" s="264"/>
      <c r="Y41" s="266"/>
      <c r="Z41" s="267"/>
      <c r="AA41" s="266"/>
      <c r="AB41" s="267"/>
      <c r="AC41" s="266"/>
      <c r="AD41" s="267"/>
      <c r="AE41" s="266"/>
      <c r="AF41" s="267"/>
      <c r="AG41" s="266"/>
      <c r="AH41" s="267"/>
      <c r="AI41" s="266"/>
      <c r="AJ41" s="267"/>
      <c r="AK41" s="266"/>
      <c r="AL41" s="267"/>
      <c r="AM41" s="266"/>
      <c r="AN41" s="267"/>
      <c r="AO41" s="267"/>
      <c r="AP41" s="267"/>
      <c r="AQ41" s="267"/>
      <c r="AR41" s="267"/>
      <c r="AS41" s="267"/>
    </row>
    <row r="42" spans="1:45">
      <c r="A42" s="268"/>
      <c r="B42" s="293" t="b">
        <v>0</v>
      </c>
      <c r="C42" s="264"/>
      <c r="D42" s="294" t="b">
        <v>0</v>
      </c>
      <c r="E42" s="265"/>
      <c r="F42" s="293" t="b">
        <v>0</v>
      </c>
      <c r="G42" s="264" t="s">
        <v>2247</v>
      </c>
      <c r="H42" s="294" t="b">
        <v>0</v>
      </c>
      <c r="I42" s="265" t="s">
        <v>2353</v>
      </c>
      <c r="J42" s="264"/>
      <c r="K42" s="265"/>
      <c r="L42" s="264" t="s">
        <v>2565</v>
      </c>
      <c r="M42" s="265"/>
      <c r="N42" s="264"/>
      <c r="O42" s="265"/>
      <c r="P42" s="264" t="s">
        <v>2718</v>
      </c>
      <c r="Q42" s="265"/>
      <c r="R42" s="264"/>
      <c r="S42" s="265"/>
      <c r="T42" s="264"/>
      <c r="U42" s="265"/>
      <c r="V42" s="264"/>
      <c r="W42" s="265"/>
      <c r="X42" s="264"/>
      <c r="Y42" s="266"/>
      <c r="Z42" s="267"/>
      <c r="AA42" s="266"/>
      <c r="AB42" s="267"/>
      <c r="AC42" s="266"/>
      <c r="AD42" s="267"/>
      <c r="AE42" s="266"/>
      <c r="AF42" s="267"/>
      <c r="AG42" s="266"/>
      <c r="AH42" s="267"/>
      <c r="AI42" s="266"/>
      <c r="AJ42" s="267"/>
      <c r="AK42" s="266"/>
      <c r="AL42" s="267"/>
      <c r="AM42" s="266"/>
      <c r="AN42" s="267"/>
      <c r="AO42" s="267"/>
      <c r="AP42" s="267"/>
      <c r="AQ42" s="267"/>
      <c r="AR42" s="267"/>
      <c r="AS42" s="267"/>
    </row>
    <row r="43" spans="1:45">
      <c r="A43" s="268"/>
      <c r="B43" s="293" t="b">
        <v>0</v>
      </c>
      <c r="C43" s="264"/>
      <c r="D43" s="294" t="b">
        <v>0</v>
      </c>
      <c r="E43" s="265"/>
      <c r="F43" s="293" t="b">
        <v>0</v>
      </c>
      <c r="G43" s="264" t="s">
        <v>2249</v>
      </c>
      <c r="H43" s="294" t="b">
        <v>0</v>
      </c>
      <c r="I43" s="265" t="s">
        <v>2355</v>
      </c>
      <c r="J43" s="264"/>
      <c r="K43" s="265"/>
      <c r="L43" s="264" t="s">
        <v>2567</v>
      </c>
      <c r="M43" s="265"/>
      <c r="N43" s="264"/>
      <c r="O43" s="265"/>
      <c r="P43" s="264"/>
      <c r="Q43" s="265"/>
      <c r="R43" s="264"/>
      <c r="S43" s="265"/>
      <c r="T43" s="264"/>
      <c r="U43" s="265"/>
      <c r="V43" s="264"/>
      <c r="W43" s="265"/>
      <c r="X43" s="264"/>
      <c r="Y43" s="266"/>
      <c r="Z43" s="267"/>
      <c r="AA43" s="266"/>
      <c r="AB43" s="267"/>
      <c r="AC43" s="266"/>
      <c r="AD43" s="267"/>
      <c r="AE43" s="266"/>
      <c r="AF43" s="267"/>
      <c r="AG43" s="266"/>
      <c r="AH43" s="267"/>
      <c r="AI43" s="266"/>
      <c r="AJ43" s="267"/>
      <c r="AK43" s="266"/>
      <c r="AL43" s="267"/>
      <c r="AM43" s="266"/>
      <c r="AN43" s="267"/>
      <c r="AO43" s="267"/>
      <c r="AP43" s="267"/>
      <c r="AQ43" s="267"/>
      <c r="AR43" s="267"/>
      <c r="AS43" s="267"/>
    </row>
    <row r="44" spans="1:45">
      <c r="A44" s="268"/>
      <c r="B44" s="293" t="b">
        <v>0</v>
      </c>
      <c r="C44" s="264"/>
      <c r="D44" s="294" t="b">
        <v>0</v>
      </c>
      <c r="E44" s="265"/>
      <c r="F44" s="293" t="b">
        <v>0</v>
      </c>
      <c r="G44" s="264" t="s">
        <v>2251</v>
      </c>
      <c r="H44" s="294" t="b">
        <v>0</v>
      </c>
      <c r="I44" s="265"/>
      <c r="J44" s="264"/>
      <c r="K44" s="265"/>
      <c r="L44" s="264"/>
      <c r="M44" s="265"/>
      <c r="N44" s="264"/>
      <c r="O44" s="265"/>
      <c r="P44" s="264"/>
      <c r="Q44" s="265"/>
      <c r="R44" s="264"/>
      <c r="S44" s="265"/>
      <c r="T44" s="264"/>
      <c r="U44" s="265"/>
      <c r="V44" s="264"/>
      <c r="W44" s="265"/>
      <c r="X44" s="264"/>
      <c r="Y44" s="266"/>
      <c r="Z44" s="267"/>
      <c r="AA44" s="266"/>
      <c r="AB44" s="267"/>
      <c r="AC44" s="266"/>
      <c r="AD44" s="267"/>
      <c r="AE44" s="266"/>
      <c r="AF44" s="267"/>
      <c r="AG44" s="266"/>
      <c r="AH44" s="267"/>
      <c r="AI44" s="266"/>
      <c r="AJ44" s="267"/>
      <c r="AK44" s="266"/>
      <c r="AL44" s="267"/>
      <c r="AM44" s="266"/>
      <c r="AN44" s="267"/>
      <c r="AO44" s="267"/>
      <c r="AP44" s="267"/>
      <c r="AQ44" s="267"/>
      <c r="AR44" s="267"/>
      <c r="AS44" s="267"/>
    </row>
    <row r="45" spans="1:45">
      <c r="A45" s="268"/>
      <c r="B45" s="293" t="b">
        <v>0</v>
      </c>
      <c r="C45" s="264"/>
      <c r="D45" s="294" t="b">
        <v>0</v>
      </c>
      <c r="E45" s="265"/>
      <c r="F45" s="293" t="b">
        <v>0</v>
      </c>
      <c r="G45" s="264" t="s">
        <v>2253</v>
      </c>
      <c r="H45" s="294" t="b">
        <v>0</v>
      </c>
      <c r="I45" s="265"/>
      <c r="J45" s="264"/>
      <c r="K45" s="265"/>
      <c r="L45" s="264"/>
      <c r="M45" s="265"/>
      <c r="N45" s="264"/>
      <c r="O45" s="265"/>
      <c r="P45" s="264"/>
      <c r="Q45" s="265"/>
      <c r="R45" s="264" t="s">
        <v>2763</v>
      </c>
      <c r="S45" s="265"/>
      <c r="T45" s="264"/>
      <c r="U45" s="265"/>
      <c r="V45" s="264"/>
      <c r="W45" s="265"/>
      <c r="X45" s="264"/>
      <c r="Y45" s="266"/>
      <c r="Z45" s="267"/>
      <c r="AA45" s="266"/>
      <c r="AB45" s="267"/>
      <c r="AC45" s="266"/>
      <c r="AD45" s="267"/>
      <c r="AE45" s="266"/>
      <c r="AF45" s="267"/>
      <c r="AG45" s="266"/>
      <c r="AH45" s="267"/>
      <c r="AI45" s="266"/>
      <c r="AJ45" s="267"/>
      <c r="AK45" s="266"/>
      <c r="AL45" s="267"/>
      <c r="AM45" s="266"/>
      <c r="AN45" s="267"/>
      <c r="AO45" s="267"/>
      <c r="AP45" s="267"/>
      <c r="AQ45" s="267"/>
      <c r="AR45" s="267"/>
      <c r="AS45" s="267"/>
    </row>
    <row r="46" spans="1:45">
      <c r="A46" s="268"/>
      <c r="B46" s="293" t="b">
        <v>0</v>
      </c>
      <c r="C46" s="264"/>
      <c r="D46" s="294" t="b">
        <v>0</v>
      </c>
      <c r="E46" s="265"/>
      <c r="F46" s="293" t="b">
        <v>0</v>
      </c>
      <c r="G46" s="264" t="s">
        <v>2255</v>
      </c>
      <c r="H46" s="294" t="b">
        <v>0</v>
      </c>
      <c r="I46" s="265"/>
      <c r="J46" s="264"/>
      <c r="K46" s="265"/>
      <c r="L46" s="264"/>
      <c r="M46" s="265"/>
      <c r="N46" s="264"/>
      <c r="O46" s="265"/>
      <c r="P46" s="264"/>
      <c r="Q46" s="265"/>
      <c r="R46" s="264"/>
      <c r="S46" s="265"/>
      <c r="T46" s="264"/>
      <c r="U46" s="265"/>
      <c r="V46" s="264"/>
      <c r="W46" s="265"/>
      <c r="X46" s="264"/>
      <c r="Y46" s="266"/>
      <c r="Z46" s="267"/>
      <c r="AA46" s="266"/>
      <c r="AB46" s="267"/>
      <c r="AC46" s="266"/>
      <c r="AD46" s="267"/>
      <c r="AE46" s="266"/>
      <c r="AF46" s="267"/>
      <c r="AG46" s="266"/>
      <c r="AH46" s="267"/>
      <c r="AI46" s="266"/>
      <c r="AJ46" s="267"/>
      <c r="AK46" s="266"/>
      <c r="AL46" s="267"/>
      <c r="AM46" s="266"/>
      <c r="AN46" s="267"/>
      <c r="AO46" s="267"/>
      <c r="AP46" s="267"/>
      <c r="AQ46" s="267"/>
      <c r="AR46" s="267"/>
      <c r="AS46" s="267"/>
    </row>
    <row r="47" spans="1:45">
      <c r="A47" s="268"/>
      <c r="B47" s="293" t="b">
        <v>0</v>
      </c>
      <c r="C47" s="264"/>
      <c r="D47" s="294" t="b">
        <v>0</v>
      </c>
      <c r="E47" s="265"/>
      <c r="F47" s="293" t="b">
        <v>0</v>
      </c>
      <c r="G47" s="264" t="s">
        <v>2257</v>
      </c>
      <c r="H47" s="294" t="b">
        <v>0</v>
      </c>
      <c r="I47" s="265"/>
      <c r="J47" s="264" t="s">
        <v>2436</v>
      </c>
      <c r="K47" s="265" t="s">
        <v>2498</v>
      </c>
      <c r="L47" s="264"/>
      <c r="M47" s="265"/>
      <c r="N47" s="264"/>
      <c r="O47" s="265"/>
      <c r="P47" s="264"/>
      <c r="Q47" s="265"/>
      <c r="R47" s="264"/>
      <c r="S47" s="265"/>
      <c r="T47" s="264"/>
      <c r="U47" s="265"/>
      <c r="V47" s="264"/>
      <c r="W47" s="265"/>
      <c r="X47" s="264"/>
      <c r="Y47" s="266"/>
      <c r="Z47" s="267"/>
      <c r="AA47" s="266"/>
      <c r="AB47" s="267"/>
      <c r="AC47" s="266"/>
      <c r="AD47" s="267"/>
      <c r="AE47" s="266"/>
      <c r="AF47" s="267"/>
      <c r="AG47" s="266"/>
      <c r="AH47" s="267"/>
      <c r="AI47" s="266"/>
      <c r="AJ47" s="267"/>
      <c r="AK47" s="266"/>
      <c r="AL47" s="267"/>
      <c r="AM47" s="266"/>
      <c r="AN47" s="267"/>
      <c r="AO47" s="267"/>
      <c r="AP47" s="267"/>
      <c r="AQ47" s="267"/>
      <c r="AR47" s="267"/>
      <c r="AS47" s="267"/>
    </row>
    <row r="48" spans="1:45">
      <c r="A48" s="268"/>
      <c r="B48" s="293" t="b">
        <v>0</v>
      </c>
      <c r="C48" s="264"/>
      <c r="D48" s="294" t="b">
        <v>0</v>
      </c>
      <c r="E48" s="265"/>
      <c r="F48" s="293" t="b">
        <v>0</v>
      </c>
      <c r="G48" s="264" t="s">
        <v>2259</v>
      </c>
      <c r="H48" s="294" t="b">
        <v>0</v>
      </c>
      <c r="I48" s="265"/>
      <c r="J48" s="264"/>
      <c r="K48" s="265"/>
      <c r="L48" s="264"/>
      <c r="M48" s="265"/>
      <c r="N48" s="264"/>
      <c r="O48" s="265"/>
      <c r="P48" s="264"/>
      <c r="Q48" s="265"/>
      <c r="R48" s="264"/>
      <c r="S48" s="265"/>
      <c r="T48" s="264"/>
      <c r="U48" s="265"/>
      <c r="V48" s="264"/>
      <c r="W48" s="265"/>
      <c r="X48" s="264"/>
      <c r="Y48" s="266"/>
      <c r="Z48" s="267"/>
      <c r="AA48" s="266"/>
      <c r="AB48" s="267"/>
      <c r="AC48" s="266"/>
      <c r="AD48" s="267"/>
      <c r="AE48" s="266"/>
      <c r="AF48" s="267"/>
      <c r="AG48" s="266"/>
      <c r="AH48" s="267"/>
      <c r="AI48" s="266"/>
      <c r="AJ48" s="267"/>
      <c r="AK48" s="266"/>
      <c r="AL48" s="267"/>
      <c r="AM48" s="266"/>
      <c r="AN48" s="267"/>
      <c r="AO48" s="267"/>
      <c r="AP48" s="267"/>
      <c r="AQ48" s="267"/>
      <c r="AR48" s="267"/>
      <c r="AS48" s="267"/>
    </row>
    <row r="49" spans="1:45">
      <c r="A49" s="268"/>
      <c r="B49" s="293" t="b">
        <v>0</v>
      </c>
      <c r="C49" s="264"/>
      <c r="D49" s="294" t="b">
        <v>0</v>
      </c>
      <c r="E49" s="265"/>
      <c r="F49" s="293" t="b">
        <v>0</v>
      </c>
      <c r="G49" s="264" t="s">
        <v>2261</v>
      </c>
      <c r="H49" s="294" t="b">
        <v>0</v>
      </c>
      <c r="I49" s="265"/>
      <c r="J49" s="264"/>
      <c r="K49" s="265" t="s">
        <v>2500</v>
      </c>
      <c r="L49" s="264"/>
      <c r="M49" s="265"/>
      <c r="N49" s="264"/>
      <c r="O49" s="265"/>
      <c r="P49" s="264"/>
      <c r="Q49" s="265" t="s">
        <v>2731</v>
      </c>
      <c r="R49" s="264"/>
      <c r="S49" s="265"/>
      <c r="T49" s="264"/>
      <c r="U49" s="265"/>
      <c r="V49" s="264"/>
      <c r="W49" s="265"/>
      <c r="X49" s="264"/>
      <c r="Y49" s="266"/>
      <c r="Z49" s="267"/>
      <c r="AA49" s="266"/>
      <c r="AB49" s="267"/>
      <c r="AC49" s="266"/>
      <c r="AD49" s="267"/>
      <c r="AE49" s="266"/>
      <c r="AF49" s="267"/>
      <c r="AG49" s="266"/>
      <c r="AH49" s="267"/>
      <c r="AI49" s="266"/>
      <c r="AJ49" s="267"/>
      <c r="AK49" s="266"/>
      <c r="AL49" s="267"/>
      <c r="AM49" s="266"/>
      <c r="AN49" s="267"/>
      <c r="AO49" s="267"/>
      <c r="AP49" s="267"/>
      <c r="AQ49" s="267"/>
      <c r="AR49" s="267"/>
      <c r="AS49" s="267"/>
    </row>
    <row r="50" spans="1:45">
      <c r="A50" s="268"/>
      <c r="B50" s="293" t="b">
        <v>0</v>
      </c>
      <c r="C50" s="264"/>
      <c r="D50" s="294" t="b">
        <v>0</v>
      </c>
      <c r="E50" s="265"/>
      <c r="F50" s="293" t="b">
        <v>0</v>
      </c>
      <c r="G50" s="264" t="s">
        <v>2263</v>
      </c>
      <c r="H50" s="294" t="b">
        <v>0</v>
      </c>
      <c r="I50" s="265"/>
      <c r="J50" s="264"/>
      <c r="K50" s="265"/>
      <c r="L50" s="264"/>
      <c r="M50" s="265"/>
      <c r="N50" s="264"/>
      <c r="O50" s="265"/>
      <c r="P50" s="264"/>
      <c r="Q50" s="265"/>
      <c r="R50" s="264"/>
      <c r="S50" s="265"/>
      <c r="T50" s="264"/>
      <c r="U50" s="265"/>
      <c r="V50" s="264"/>
      <c r="W50" s="265"/>
      <c r="X50" s="264"/>
      <c r="Y50" s="266"/>
      <c r="Z50" s="267"/>
      <c r="AA50" s="266"/>
      <c r="AB50" s="267"/>
      <c r="AC50" s="266"/>
      <c r="AD50" s="267"/>
      <c r="AE50" s="266"/>
      <c r="AF50" s="267"/>
      <c r="AG50" s="266"/>
      <c r="AH50" s="267"/>
      <c r="AI50" s="266"/>
      <c r="AJ50" s="267"/>
      <c r="AK50" s="266"/>
      <c r="AL50" s="267"/>
      <c r="AM50" s="266"/>
      <c r="AN50" s="267"/>
      <c r="AO50" s="267"/>
      <c r="AP50" s="267"/>
      <c r="AQ50" s="267"/>
      <c r="AR50" s="267"/>
      <c r="AS50" s="267"/>
    </row>
    <row r="51" spans="1:45">
      <c r="A51" s="268"/>
      <c r="B51" s="293" t="b">
        <v>0</v>
      </c>
      <c r="C51" s="264"/>
      <c r="D51" s="294" t="b">
        <v>0</v>
      </c>
      <c r="E51" s="265"/>
      <c r="F51" s="293" t="b">
        <v>0</v>
      </c>
      <c r="G51" s="264" t="s">
        <v>2265</v>
      </c>
      <c r="H51" s="294" t="b">
        <v>0</v>
      </c>
      <c r="I51" s="265" t="s">
        <v>2357</v>
      </c>
      <c r="J51" s="264" t="s">
        <v>2442</v>
      </c>
      <c r="K51" s="265"/>
      <c r="L51" s="264"/>
      <c r="M51" s="265"/>
      <c r="N51" s="264"/>
      <c r="O51" s="265"/>
      <c r="P51" s="264"/>
      <c r="Q51" s="265"/>
      <c r="R51" s="264"/>
      <c r="S51" s="265"/>
      <c r="T51" s="264"/>
      <c r="U51" s="265"/>
      <c r="V51" s="264"/>
      <c r="W51" s="265"/>
      <c r="X51" s="264"/>
      <c r="Y51" s="266"/>
      <c r="Z51" s="267"/>
      <c r="AA51" s="266"/>
      <c r="AB51" s="267"/>
      <c r="AC51" s="266"/>
      <c r="AD51" s="267"/>
      <c r="AE51" s="266"/>
      <c r="AF51" s="267"/>
      <c r="AG51" s="266"/>
      <c r="AH51" s="267"/>
      <c r="AI51" s="266"/>
      <c r="AJ51" s="267"/>
      <c r="AK51" s="266"/>
      <c r="AL51" s="267"/>
      <c r="AM51" s="266"/>
      <c r="AN51" s="267"/>
      <c r="AO51" s="267"/>
      <c r="AP51" s="267"/>
      <c r="AQ51" s="267"/>
      <c r="AR51" s="267"/>
      <c r="AS51" s="267"/>
    </row>
    <row r="52" spans="1:45">
      <c r="A52" s="268"/>
      <c r="B52" s="293" t="b">
        <v>0</v>
      </c>
      <c r="C52" s="264"/>
      <c r="D52" s="294" t="b">
        <v>0</v>
      </c>
      <c r="E52" s="269"/>
      <c r="F52" s="295" t="b">
        <v>0</v>
      </c>
      <c r="G52" s="270" t="s">
        <v>2267</v>
      </c>
      <c r="H52" s="152" t="b">
        <v>0</v>
      </c>
      <c r="I52" s="269" t="s">
        <v>2359</v>
      </c>
      <c r="J52" s="270"/>
      <c r="K52" s="269"/>
      <c r="L52" s="270"/>
      <c r="M52" s="269" t="s">
        <v>2614</v>
      </c>
      <c r="N52" s="270" t="s">
        <v>2653</v>
      </c>
      <c r="O52" s="195" t="s">
        <v>2685</v>
      </c>
      <c r="P52" s="270"/>
      <c r="Q52" s="269"/>
      <c r="R52" s="264"/>
      <c r="S52" s="265"/>
      <c r="T52" s="264"/>
      <c r="U52" s="265"/>
      <c r="V52" s="264"/>
      <c r="W52" s="265"/>
      <c r="X52" s="264"/>
      <c r="Y52" s="266"/>
      <c r="Z52" s="267"/>
      <c r="AA52" s="266"/>
      <c r="AB52" s="267"/>
      <c r="AC52" s="266"/>
      <c r="AD52" s="267"/>
      <c r="AE52" s="266"/>
      <c r="AF52" s="267"/>
      <c r="AG52" s="266"/>
      <c r="AH52" s="267"/>
      <c r="AI52" s="266"/>
      <c r="AJ52" s="267"/>
      <c r="AK52" s="266"/>
      <c r="AL52" s="267"/>
      <c r="AM52" s="266"/>
      <c r="AN52" s="267"/>
      <c r="AO52" s="267"/>
      <c r="AP52" s="267"/>
      <c r="AQ52" s="267"/>
      <c r="AR52" s="267"/>
      <c r="AS52" s="267"/>
    </row>
    <row r="53" spans="1:45">
      <c r="A53" s="268"/>
      <c r="B53" s="293" t="b">
        <v>0</v>
      </c>
      <c r="C53" s="264"/>
      <c r="D53" s="294" t="b">
        <v>0</v>
      </c>
      <c r="E53" s="269"/>
      <c r="F53" s="295" t="b">
        <v>0</v>
      </c>
      <c r="G53" s="270"/>
      <c r="H53" s="294" t="b">
        <v>0</v>
      </c>
      <c r="I53" s="265" t="s">
        <v>2361</v>
      </c>
      <c r="J53" s="270"/>
      <c r="K53" s="269"/>
      <c r="L53" s="270"/>
      <c r="M53" s="269"/>
      <c r="N53" s="270"/>
      <c r="O53" s="195" t="s">
        <v>2687</v>
      </c>
      <c r="P53" s="270"/>
      <c r="Q53" s="269"/>
      <c r="R53" s="264"/>
      <c r="S53" s="265"/>
      <c r="T53" s="264"/>
      <c r="U53" s="265"/>
      <c r="V53" s="264"/>
      <c r="W53" s="265"/>
      <c r="X53" s="264"/>
      <c r="Y53" s="266"/>
      <c r="Z53" s="267"/>
      <c r="AA53" s="266"/>
      <c r="AB53" s="267"/>
      <c r="AC53" s="266"/>
      <c r="AD53" s="267"/>
      <c r="AE53" s="266"/>
      <c r="AF53" s="267"/>
      <c r="AG53" s="266"/>
      <c r="AH53" s="267"/>
      <c r="AI53" s="266"/>
      <c r="AJ53" s="267"/>
      <c r="AK53" s="266"/>
      <c r="AL53" s="267"/>
      <c r="AM53" s="266"/>
      <c r="AN53" s="267"/>
      <c r="AO53" s="267"/>
      <c r="AP53" s="267"/>
      <c r="AQ53" s="267"/>
      <c r="AR53" s="267"/>
      <c r="AS53" s="267"/>
    </row>
    <row r="54" spans="1:45">
      <c r="A54" s="268"/>
      <c r="B54" s="293" t="b">
        <v>0</v>
      </c>
      <c r="C54" s="264"/>
      <c r="D54" s="294" t="b">
        <v>0</v>
      </c>
      <c r="E54" s="269"/>
      <c r="F54" s="295" t="b">
        <v>0</v>
      </c>
      <c r="G54" s="270"/>
      <c r="H54" s="152" t="b">
        <v>0</v>
      </c>
      <c r="I54" s="269" t="s">
        <v>2367</v>
      </c>
      <c r="J54" s="270"/>
      <c r="K54" s="269"/>
      <c r="L54" s="270"/>
      <c r="M54" s="269"/>
      <c r="N54" s="270"/>
      <c r="O54" s="269"/>
      <c r="P54" s="270"/>
      <c r="Q54" s="269"/>
      <c r="R54" s="264"/>
      <c r="S54" s="265"/>
      <c r="T54" s="264"/>
      <c r="U54" s="265"/>
      <c r="V54" s="264"/>
      <c r="W54" s="265"/>
      <c r="X54" s="264"/>
      <c r="Y54" s="266"/>
      <c r="Z54" s="267"/>
      <c r="AA54" s="266"/>
      <c r="AB54" s="267"/>
      <c r="AC54" s="266"/>
      <c r="AD54" s="267"/>
      <c r="AE54" s="266"/>
      <c r="AF54" s="267"/>
      <c r="AG54" s="266"/>
      <c r="AH54" s="267"/>
      <c r="AI54" s="266"/>
      <c r="AJ54" s="267"/>
      <c r="AK54" s="266"/>
      <c r="AL54" s="267"/>
      <c r="AM54" s="266"/>
      <c r="AN54" s="267"/>
      <c r="AO54" s="267"/>
      <c r="AP54" s="267"/>
      <c r="AQ54" s="267"/>
      <c r="AR54" s="267"/>
      <c r="AS54" s="267"/>
    </row>
    <row r="55" spans="1:45">
      <c r="A55" s="268"/>
      <c r="B55" s="293" t="b">
        <v>0</v>
      </c>
      <c r="C55" s="264"/>
      <c r="D55" s="294" t="b">
        <v>0</v>
      </c>
      <c r="E55" s="269"/>
      <c r="F55" s="295" t="b">
        <v>0</v>
      </c>
      <c r="G55" s="270"/>
      <c r="H55" s="152" t="b">
        <v>0</v>
      </c>
      <c r="I55" s="269" t="s">
        <v>2369</v>
      </c>
      <c r="J55" s="270"/>
      <c r="K55" s="269"/>
      <c r="L55" s="270"/>
      <c r="M55" s="269"/>
      <c r="N55" s="270"/>
      <c r="O55" s="269"/>
      <c r="P55" s="270"/>
      <c r="Q55" s="269"/>
      <c r="R55" s="264"/>
      <c r="S55" s="265"/>
      <c r="T55" s="264"/>
      <c r="U55" s="265"/>
      <c r="V55" s="264"/>
      <c r="W55" s="265"/>
      <c r="X55" s="264"/>
      <c r="Y55" s="266"/>
      <c r="Z55" s="267"/>
      <c r="AA55" s="266"/>
      <c r="AB55" s="267"/>
      <c r="AC55" s="266"/>
      <c r="AD55" s="267"/>
      <c r="AE55" s="266"/>
      <c r="AF55" s="267"/>
      <c r="AG55" s="266"/>
      <c r="AH55" s="267"/>
      <c r="AI55" s="266"/>
      <c r="AJ55" s="267"/>
      <c r="AK55" s="266"/>
      <c r="AL55" s="267"/>
      <c r="AM55" s="266"/>
      <c r="AN55" s="267"/>
      <c r="AO55" s="267"/>
      <c r="AP55" s="267"/>
      <c r="AQ55" s="267"/>
      <c r="AR55" s="267"/>
      <c r="AS55" s="267"/>
    </row>
    <row r="56" spans="1:45">
      <c r="A56" s="268"/>
      <c r="B56" s="293" t="b">
        <v>0</v>
      </c>
      <c r="C56" s="264"/>
      <c r="D56" s="294" t="b">
        <v>0</v>
      </c>
      <c r="E56" s="269"/>
      <c r="F56" s="295" t="b">
        <v>0</v>
      </c>
      <c r="G56" s="270"/>
      <c r="H56" s="152" t="b">
        <v>0</v>
      </c>
      <c r="I56" s="269" t="s">
        <v>2371</v>
      </c>
      <c r="J56" s="270"/>
      <c r="K56" s="269"/>
      <c r="L56" s="270" t="s">
        <v>2569</v>
      </c>
      <c r="M56" s="269"/>
      <c r="N56" s="270"/>
      <c r="O56" s="41"/>
      <c r="P56" s="270"/>
      <c r="Q56" s="269"/>
      <c r="R56" s="264"/>
      <c r="S56" s="265"/>
      <c r="T56" s="264"/>
      <c r="U56" s="265"/>
      <c r="V56" s="264"/>
      <c r="W56" s="265"/>
      <c r="X56" s="264"/>
      <c r="Y56" s="266"/>
      <c r="Z56" s="267"/>
      <c r="AA56" s="266"/>
      <c r="AB56" s="267"/>
      <c r="AC56" s="266"/>
      <c r="AD56" s="267"/>
      <c r="AE56" s="266"/>
      <c r="AF56" s="267"/>
      <c r="AG56" s="266"/>
      <c r="AH56" s="267"/>
      <c r="AI56" s="266"/>
      <c r="AJ56" s="267"/>
      <c r="AK56" s="266"/>
      <c r="AL56" s="267"/>
      <c r="AM56" s="266"/>
      <c r="AN56" s="267"/>
      <c r="AO56" s="267"/>
      <c r="AP56" s="267"/>
      <c r="AQ56" s="267"/>
      <c r="AR56" s="267"/>
      <c r="AS56" s="267"/>
    </row>
    <row r="57" spans="1:45">
      <c r="A57" s="268"/>
      <c r="B57" s="293" t="b">
        <v>0</v>
      </c>
      <c r="C57" s="264"/>
      <c r="D57" s="294" t="b">
        <v>0</v>
      </c>
      <c r="E57" s="269"/>
      <c r="F57" s="296" t="b">
        <v>0</v>
      </c>
      <c r="G57" s="273"/>
      <c r="H57" s="152" t="b">
        <v>0</v>
      </c>
      <c r="I57" s="269" t="s">
        <v>2373</v>
      </c>
      <c r="J57" s="273"/>
      <c r="K57" s="269"/>
      <c r="L57" s="270"/>
      <c r="M57" s="269"/>
      <c r="N57" s="270"/>
      <c r="O57" s="269" t="s">
        <v>2683</v>
      </c>
      <c r="P57" s="270"/>
      <c r="Q57" s="269"/>
      <c r="R57" s="264"/>
      <c r="S57" s="265"/>
      <c r="T57" s="264"/>
      <c r="U57" s="265"/>
      <c r="V57" s="264"/>
      <c r="W57" s="265"/>
      <c r="X57" s="264"/>
      <c r="Y57" s="266"/>
      <c r="Z57" s="267"/>
      <c r="AA57" s="266"/>
      <c r="AB57" s="267"/>
      <c r="AC57" s="266"/>
      <c r="AD57" s="267"/>
      <c r="AE57" s="266"/>
      <c r="AF57" s="267"/>
      <c r="AG57" s="266"/>
      <c r="AH57" s="267"/>
      <c r="AI57" s="266"/>
      <c r="AJ57" s="267"/>
      <c r="AK57" s="266"/>
      <c r="AL57" s="267"/>
      <c r="AM57" s="266"/>
      <c r="AN57" s="267"/>
      <c r="AO57" s="267"/>
      <c r="AP57" s="267"/>
      <c r="AQ57" s="267"/>
      <c r="AR57" s="267"/>
      <c r="AS57" s="267"/>
    </row>
    <row r="58" spans="1:45">
      <c r="A58" s="268"/>
      <c r="B58" s="293" t="b">
        <v>0</v>
      </c>
      <c r="C58" s="264"/>
      <c r="D58" s="294" t="b">
        <v>0</v>
      </c>
      <c r="E58" s="269"/>
      <c r="F58" s="295" t="b">
        <v>0</v>
      </c>
      <c r="G58" s="270"/>
      <c r="H58" s="152" t="b">
        <v>0</v>
      </c>
      <c r="I58" s="269" t="s">
        <v>2363</v>
      </c>
      <c r="J58" s="270"/>
      <c r="K58" s="269"/>
      <c r="L58" s="270"/>
      <c r="M58" s="269"/>
      <c r="N58" s="270"/>
      <c r="O58" s="269"/>
      <c r="P58" s="270"/>
      <c r="Q58" s="269"/>
      <c r="R58" s="264"/>
      <c r="S58" s="265"/>
      <c r="T58" s="264"/>
      <c r="U58" s="265"/>
      <c r="V58" s="264"/>
      <c r="W58" s="265"/>
      <c r="X58" s="264"/>
      <c r="Y58" s="266"/>
      <c r="Z58" s="267"/>
      <c r="AA58" s="266"/>
      <c r="AB58" s="267"/>
      <c r="AC58" s="266"/>
      <c r="AD58" s="267"/>
      <c r="AE58" s="266"/>
      <c r="AF58" s="267"/>
      <c r="AG58" s="266"/>
      <c r="AH58" s="267"/>
      <c r="AI58" s="266"/>
      <c r="AJ58" s="267"/>
      <c r="AK58" s="266"/>
      <c r="AL58" s="267"/>
      <c r="AM58" s="266"/>
      <c r="AN58" s="267"/>
      <c r="AO58" s="267"/>
      <c r="AP58" s="267"/>
      <c r="AQ58" s="267"/>
      <c r="AR58" s="267"/>
      <c r="AS58" s="267"/>
    </row>
    <row r="59" spans="1:45">
      <c r="A59" s="268"/>
      <c r="B59" s="293" t="b">
        <v>0</v>
      </c>
      <c r="C59" s="264"/>
      <c r="D59" s="294" t="b">
        <v>0</v>
      </c>
      <c r="E59" s="269"/>
      <c r="F59" s="295" t="b">
        <v>0</v>
      </c>
      <c r="G59" s="270"/>
      <c r="H59" s="152" t="b">
        <v>0</v>
      </c>
      <c r="I59" s="269" t="s">
        <v>2365</v>
      </c>
      <c r="J59" s="273"/>
      <c r="K59" s="269"/>
      <c r="L59" s="270"/>
      <c r="M59" s="114"/>
      <c r="N59" s="273"/>
      <c r="O59" s="114"/>
      <c r="P59" s="270"/>
      <c r="Q59" s="269"/>
      <c r="R59" s="264"/>
      <c r="S59" s="265"/>
      <c r="T59" s="264"/>
      <c r="U59" s="265"/>
      <c r="V59" s="264" t="s">
        <v>2830</v>
      </c>
      <c r="W59" s="265"/>
      <c r="X59" s="264"/>
      <c r="Y59" s="266"/>
      <c r="Z59" s="267"/>
      <c r="AA59" s="266"/>
      <c r="AB59" s="267"/>
      <c r="AC59" s="266"/>
      <c r="AD59" s="267"/>
      <c r="AE59" s="266"/>
      <c r="AF59" s="267"/>
      <c r="AG59" s="266"/>
      <c r="AH59" s="267"/>
      <c r="AI59" s="266"/>
      <c r="AJ59" s="267"/>
      <c r="AK59" s="266"/>
      <c r="AL59" s="267"/>
      <c r="AM59" s="266"/>
      <c r="AN59" s="267"/>
      <c r="AO59" s="267"/>
      <c r="AP59" s="267"/>
      <c r="AQ59" s="267"/>
      <c r="AR59" s="267"/>
      <c r="AS59" s="267"/>
    </row>
    <row r="60" spans="1:45">
      <c r="A60" s="268"/>
      <c r="B60" s="293" t="b">
        <v>0</v>
      </c>
      <c r="C60" s="264"/>
      <c r="D60" s="294" t="b">
        <v>0</v>
      </c>
      <c r="E60" s="265"/>
      <c r="F60" s="293" t="b">
        <v>0</v>
      </c>
      <c r="G60" s="264"/>
      <c r="H60" s="294" t="b">
        <v>0</v>
      </c>
      <c r="I60" s="265" t="s">
        <v>2375</v>
      </c>
      <c r="J60" s="264"/>
      <c r="K60" s="265"/>
      <c r="L60" s="264"/>
      <c r="M60" s="265"/>
      <c r="N60" s="264"/>
      <c r="O60" s="265" t="s">
        <v>2689</v>
      </c>
      <c r="P60" s="264"/>
      <c r="Q60" s="265"/>
      <c r="R60" s="264"/>
      <c r="S60" s="265"/>
      <c r="T60" s="264"/>
      <c r="U60" s="265"/>
      <c r="V60" s="264"/>
      <c r="W60" s="265"/>
      <c r="X60" s="264"/>
      <c r="Y60" s="266"/>
      <c r="Z60" s="267"/>
      <c r="AA60" s="266"/>
      <c r="AB60" s="267"/>
      <c r="AC60" s="266"/>
      <c r="AD60" s="267"/>
      <c r="AE60" s="266"/>
      <c r="AF60" s="267"/>
      <c r="AG60" s="266"/>
      <c r="AH60" s="267"/>
      <c r="AI60" s="266"/>
      <c r="AJ60" s="267"/>
      <c r="AK60" s="266"/>
      <c r="AL60" s="267"/>
      <c r="AM60" s="266"/>
      <c r="AN60" s="267"/>
      <c r="AO60" s="267"/>
      <c r="AP60" s="267"/>
      <c r="AQ60" s="267"/>
      <c r="AR60" s="267"/>
      <c r="AS60" s="267"/>
    </row>
    <row r="61" spans="1:45">
      <c r="A61" s="268"/>
      <c r="B61" s="293" t="b">
        <v>0</v>
      </c>
      <c r="C61" s="264"/>
      <c r="D61" s="294" t="b">
        <v>0</v>
      </c>
      <c r="E61" s="265"/>
      <c r="F61" s="293" t="b">
        <v>0</v>
      </c>
      <c r="G61" s="264"/>
      <c r="H61" s="294" t="b">
        <v>0</v>
      </c>
      <c r="I61" s="265" t="s">
        <v>2377</v>
      </c>
      <c r="J61" s="264"/>
      <c r="K61" s="265"/>
      <c r="L61" s="264"/>
      <c r="M61" s="265"/>
      <c r="N61" s="264"/>
      <c r="O61" s="265"/>
      <c r="P61" s="264"/>
      <c r="Q61" s="265"/>
      <c r="R61" s="264"/>
      <c r="S61" s="265"/>
      <c r="T61" s="264"/>
      <c r="U61" s="265"/>
      <c r="V61" s="264"/>
      <c r="W61" s="265"/>
      <c r="X61" s="264"/>
      <c r="Y61" s="266"/>
      <c r="Z61" s="267"/>
      <c r="AA61" s="266"/>
      <c r="AB61" s="267"/>
      <c r="AC61" s="266"/>
      <c r="AD61" s="267"/>
      <c r="AE61" s="266"/>
      <c r="AF61" s="267"/>
      <c r="AG61" s="266"/>
      <c r="AH61" s="267"/>
      <c r="AI61" s="266"/>
      <c r="AJ61" s="267"/>
      <c r="AK61" s="266"/>
      <c r="AL61" s="267"/>
      <c r="AM61" s="266"/>
      <c r="AN61" s="267"/>
      <c r="AO61" s="267"/>
      <c r="AP61" s="267"/>
      <c r="AQ61" s="267"/>
      <c r="AR61" s="267"/>
      <c r="AS61" s="267"/>
    </row>
    <row r="62" spans="1:45">
      <c r="A62" s="268"/>
      <c r="B62" s="293" t="b">
        <v>0</v>
      </c>
      <c r="C62" s="264"/>
      <c r="D62" s="294" t="b">
        <v>0</v>
      </c>
      <c r="E62" s="265"/>
      <c r="F62" s="293" t="b">
        <v>0</v>
      </c>
      <c r="G62" s="264"/>
      <c r="H62" s="294" t="b">
        <v>0</v>
      </c>
      <c r="I62" s="265"/>
      <c r="J62" s="264" t="s">
        <v>2438</v>
      </c>
      <c r="K62" s="265"/>
      <c r="L62" s="264"/>
      <c r="M62" s="265"/>
      <c r="N62" s="264"/>
      <c r="O62" s="265"/>
      <c r="P62" s="264"/>
      <c r="Q62" s="265"/>
      <c r="R62" s="264"/>
      <c r="S62" s="265"/>
      <c r="T62" s="264"/>
      <c r="U62" s="265"/>
      <c r="V62" s="264"/>
      <c r="W62" s="265"/>
      <c r="X62" s="264"/>
      <c r="Y62" s="266"/>
      <c r="Z62" s="267"/>
      <c r="AA62" s="266"/>
      <c r="AB62" s="267"/>
      <c r="AC62" s="266"/>
      <c r="AD62" s="267"/>
      <c r="AE62" s="266"/>
      <c r="AF62" s="267"/>
      <c r="AG62" s="266"/>
      <c r="AH62" s="267"/>
      <c r="AI62" s="266"/>
      <c r="AJ62" s="267"/>
      <c r="AK62" s="266"/>
      <c r="AL62" s="267"/>
      <c r="AM62" s="266"/>
      <c r="AN62" s="267"/>
      <c r="AO62" s="267"/>
      <c r="AP62" s="267"/>
      <c r="AQ62" s="267"/>
      <c r="AR62" s="267"/>
      <c r="AS62" s="267"/>
    </row>
    <row r="63" spans="1:45">
      <c r="A63" s="268"/>
      <c r="B63" s="293" t="b">
        <v>0</v>
      </c>
      <c r="C63" s="264"/>
      <c r="D63" s="294" t="b">
        <v>0</v>
      </c>
      <c r="E63" s="265"/>
      <c r="F63" s="293" t="b">
        <v>0</v>
      </c>
      <c r="G63" s="264"/>
      <c r="H63" s="294" t="b">
        <v>0</v>
      </c>
      <c r="I63" s="265"/>
      <c r="J63" s="264" t="s">
        <v>2440</v>
      </c>
      <c r="K63" s="265"/>
      <c r="L63" s="264"/>
      <c r="M63" s="265"/>
      <c r="N63" s="264"/>
      <c r="O63" s="265"/>
      <c r="P63" s="264"/>
      <c r="Q63" s="265"/>
      <c r="R63" s="264"/>
      <c r="S63" s="265"/>
      <c r="T63" s="264"/>
      <c r="U63" s="265"/>
      <c r="V63" s="264"/>
      <c r="W63" s="265"/>
      <c r="X63" s="264"/>
      <c r="Y63" s="266"/>
      <c r="Z63" s="267"/>
      <c r="AA63" s="266"/>
      <c r="AB63" s="267"/>
      <c r="AC63" s="266"/>
      <c r="AD63" s="267"/>
      <c r="AE63" s="266"/>
      <c r="AF63" s="267"/>
      <c r="AG63" s="266"/>
      <c r="AH63" s="267"/>
      <c r="AI63" s="266"/>
      <c r="AJ63" s="267"/>
      <c r="AK63" s="266"/>
      <c r="AL63" s="267"/>
      <c r="AM63" s="266"/>
      <c r="AN63" s="267"/>
      <c r="AO63" s="267"/>
      <c r="AP63" s="267"/>
      <c r="AQ63" s="267"/>
      <c r="AR63" s="267"/>
      <c r="AS63" s="267"/>
    </row>
    <row r="64" spans="1:45">
      <c r="A64" s="268"/>
      <c r="B64" s="293" t="b">
        <v>0</v>
      </c>
      <c r="C64" s="264"/>
      <c r="D64" s="294" t="b">
        <v>0</v>
      </c>
      <c r="E64" s="265"/>
      <c r="F64" s="293" t="b">
        <v>0</v>
      </c>
      <c r="G64" s="264"/>
      <c r="H64" s="294" t="b">
        <v>0</v>
      </c>
      <c r="I64" s="265"/>
      <c r="J64" s="264" t="s">
        <v>2444</v>
      </c>
      <c r="K64" s="265"/>
      <c r="L64" s="264"/>
      <c r="M64" s="265"/>
      <c r="N64" s="264"/>
      <c r="O64" s="265"/>
      <c r="P64" s="264"/>
      <c r="Q64" s="265"/>
      <c r="R64" s="264"/>
      <c r="S64" s="265"/>
      <c r="T64" s="264"/>
      <c r="U64" s="265"/>
      <c r="V64" s="264"/>
      <c r="W64" s="265"/>
      <c r="X64" s="264"/>
      <c r="Y64" s="266"/>
      <c r="Z64" s="267"/>
      <c r="AA64" s="266"/>
      <c r="AB64" s="267"/>
      <c r="AC64" s="266"/>
      <c r="AD64" s="267"/>
      <c r="AE64" s="266"/>
      <c r="AF64" s="267"/>
      <c r="AG64" s="266"/>
      <c r="AH64" s="267"/>
      <c r="AI64" s="266"/>
      <c r="AJ64" s="267"/>
      <c r="AK64" s="266"/>
      <c r="AL64" s="267"/>
      <c r="AM64" s="266"/>
      <c r="AN64" s="267"/>
      <c r="AO64" s="267"/>
      <c r="AP64" s="267"/>
      <c r="AQ64" s="267"/>
      <c r="AR64" s="267"/>
      <c r="AS64" s="267"/>
    </row>
    <row r="65" spans="1:45">
      <c r="A65" s="268"/>
      <c r="B65" s="293" t="b">
        <v>0</v>
      </c>
      <c r="C65" s="264"/>
      <c r="D65" s="294" t="b">
        <v>0</v>
      </c>
      <c r="E65" s="265"/>
      <c r="F65" s="293" t="b">
        <v>0</v>
      </c>
      <c r="G65" s="264"/>
      <c r="H65" s="294" t="b">
        <v>0</v>
      </c>
      <c r="I65" s="265"/>
      <c r="J65" s="264" t="s">
        <v>2446</v>
      </c>
      <c r="K65" s="265"/>
      <c r="L65" s="264" t="s">
        <v>2573</v>
      </c>
      <c r="M65" s="265"/>
      <c r="N65" s="264" t="s">
        <v>2655</v>
      </c>
      <c r="O65" s="265"/>
      <c r="P65" s="264"/>
      <c r="Q65" s="265" t="s">
        <v>2733</v>
      </c>
      <c r="R65" s="264"/>
      <c r="S65" s="265" t="s">
        <v>2788</v>
      </c>
      <c r="T65" s="264"/>
      <c r="U65" s="265"/>
      <c r="V65" s="264"/>
      <c r="W65" s="265"/>
      <c r="X65" s="264"/>
      <c r="Y65" s="266"/>
      <c r="Z65" s="267"/>
      <c r="AA65" s="266"/>
      <c r="AB65" s="267"/>
      <c r="AC65" s="266"/>
      <c r="AD65" s="267"/>
      <c r="AE65" s="266"/>
      <c r="AF65" s="267"/>
      <c r="AG65" s="266"/>
      <c r="AH65" s="267"/>
      <c r="AI65" s="266"/>
      <c r="AJ65" s="267"/>
      <c r="AK65" s="266"/>
      <c r="AL65" s="267"/>
      <c r="AM65" s="266"/>
      <c r="AN65" s="267"/>
      <c r="AO65" s="267"/>
      <c r="AP65" s="267"/>
      <c r="AQ65" s="267"/>
      <c r="AR65" s="267"/>
      <c r="AS65" s="267"/>
    </row>
    <row r="66" spans="1:45">
      <c r="A66" s="268"/>
      <c r="B66" s="293" t="b">
        <v>0</v>
      </c>
      <c r="C66" s="264"/>
      <c r="D66" s="294" t="b">
        <v>0</v>
      </c>
      <c r="E66" s="265"/>
      <c r="F66" s="293" t="b">
        <v>0</v>
      </c>
      <c r="G66" s="264"/>
      <c r="H66" s="294" t="b">
        <v>0</v>
      </c>
      <c r="I66" s="265"/>
      <c r="J66" s="264"/>
      <c r="K66" s="265"/>
      <c r="L66" s="264"/>
      <c r="M66" s="265"/>
      <c r="N66" s="264" t="s">
        <v>2657</v>
      </c>
      <c r="O66" s="265"/>
      <c r="P66" s="264"/>
      <c r="Q66" s="265"/>
      <c r="R66" s="264"/>
      <c r="S66" s="265"/>
      <c r="T66" s="264"/>
      <c r="U66" s="265"/>
      <c r="V66" s="264"/>
      <c r="W66" s="265"/>
      <c r="X66" s="264"/>
      <c r="Y66" s="266"/>
      <c r="Z66" s="267"/>
      <c r="AA66" s="266"/>
      <c r="AB66" s="267"/>
      <c r="AC66" s="266"/>
      <c r="AD66" s="267"/>
      <c r="AE66" s="266"/>
      <c r="AF66" s="267"/>
      <c r="AG66" s="266"/>
      <c r="AH66" s="267"/>
      <c r="AI66" s="266"/>
      <c r="AJ66" s="267"/>
      <c r="AK66" s="266"/>
      <c r="AL66" s="267"/>
      <c r="AM66" s="266"/>
      <c r="AN66" s="267"/>
      <c r="AO66" s="267"/>
      <c r="AP66" s="267"/>
      <c r="AQ66" s="267"/>
      <c r="AR66" s="267"/>
      <c r="AS66" s="267"/>
    </row>
    <row r="67" spans="1:45">
      <c r="A67" s="268"/>
      <c r="B67" s="293" t="b">
        <v>0</v>
      </c>
      <c r="C67" s="264"/>
      <c r="D67" s="294" t="b">
        <v>0</v>
      </c>
      <c r="E67" s="265"/>
      <c r="F67" s="293" t="b">
        <v>0</v>
      </c>
      <c r="G67" s="264"/>
      <c r="H67" s="294" t="b">
        <v>0</v>
      </c>
      <c r="I67" s="265"/>
      <c r="J67" s="264" t="s">
        <v>2448</v>
      </c>
      <c r="K67" s="265"/>
      <c r="L67" s="264"/>
      <c r="M67" s="265"/>
      <c r="N67" s="264"/>
      <c r="O67" s="265"/>
      <c r="P67" s="264"/>
      <c r="Q67" s="265"/>
      <c r="R67" s="264"/>
      <c r="S67" s="265"/>
      <c r="T67" s="264"/>
      <c r="U67" s="265"/>
      <c r="V67" s="264"/>
      <c r="W67" s="265"/>
      <c r="X67" s="264"/>
      <c r="Y67" s="266"/>
      <c r="Z67" s="267"/>
      <c r="AA67" s="266"/>
      <c r="AB67" s="267"/>
      <c r="AC67" s="266"/>
      <c r="AD67" s="267"/>
      <c r="AE67" s="266"/>
      <c r="AF67" s="267"/>
      <c r="AG67" s="266"/>
      <c r="AH67" s="267"/>
      <c r="AI67" s="266"/>
      <c r="AJ67" s="267"/>
      <c r="AK67" s="266"/>
      <c r="AL67" s="267"/>
      <c r="AM67" s="266"/>
      <c r="AN67" s="267"/>
      <c r="AO67" s="267"/>
      <c r="AP67" s="267"/>
      <c r="AQ67" s="267"/>
      <c r="AR67" s="267"/>
      <c r="AS67" s="267"/>
    </row>
    <row r="68" spans="1:45">
      <c r="A68" s="268"/>
      <c r="B68" s="293" t="b">
        <v>0</v>
      </c>
      <c r="C68" s="264"/>
      <c r="D68" s="294" t="b">
        <v>0</v>
      </c>
      <c r="E68" s="265"/>
      <c r="F68" s="293" t="b">
        <v>0</v>
      </c>
      <c r="G68" s="264"/>
      <c r="H68" s="294" t="b">
        <v>0</v>
      </c>
      <c r="I68" s="265"/>
      <c r="J68" s="264" t="s">
        <v>2450</v>
      </c>
      <c r="K68" s="265"/>
      <c r="L68" s="264"/>
      <c r="M68" s="265"/>
      <c r="N68" s="264"/>
      <c r="O68" s="265" t="s">
        <v>2691</v>
      </c>
      <c r="P68" s="264"/>
      <c r="Q68" s="265" t="s">
        <v>2735</v>
      </c>
      <c r="R68" s="264" t="s">
        <v>2765</v>
      </c>
      <c r="S68" s="265"/>
      <c r="T68" s="264"/>
      <c r="U68" s="265"/>
      <c r="V68" s="264"/>
      <c r="W68" s="265"/>
      <c r="X68" s="264"/>
      <c r="Y68" s="266"/>
      <c r="Z68" s="267"/>
      <c r="AA68" s="266"/>
      <c r="AB68" s="267"/>
      <c r="AC68" s="266"/>
      <c r="AD68" s="267"/>
      <c r="AE68" s="266"/>
      <c r="AF68" s="267"/>
      <c r="AG68" s="266"/>
      <c r="AH68" s="267"/>
      <c r="AI68" s="266"/>
      <c r="AJ68" s="267"/>
      <c r="AK68" s="266"/>
      <c r="AL68" s="267"/>
      <c r="AM68" s="266"/>
      <c r="AN68" s="267"/>
      <c r="AO68" s="267"/>
      <c r="AP68" s="267"/>
      <c r="AQ68" s="267"/>
      <c r="AR68" s="267"/>
      <c r="AS68" s="267"/>
    </row>
    <row r="69" spans="1:45">
      <c r="A69" s="268"/>
      <c r="B69" s="293" t="b">
        <v>0</v>
      </c>
      <c r="C69" s="264"/>
      <c r="D69" s="294" t="b">
        <v>0</v>
      </c>
      <c r="E69" s="265"/>
      <c r="F69" s="293" t="b">
        <v>0</v>
      </c>
      <c r="G69" s="264"/>
      <c r="H69" s="294" t="b">
        <v>0</v>
      </c>
      <c r="I69" s="265"/>
      <c r="J69" s="264"/>
      <c r="K69" s="265" t="s">
        <v>2502</v>
      </c>
      <c r="L69" s="264"/>
      <c r="M69" s="265"/>
      <c r="N69" s="264"/>
      <c r="O69" s="265"/>
      <c r="P69" s="264" t="s">
        <v>2720</v>
      </c>
      <c r="Q69" s="265"/>
      <c r="R69" s="264"/>
      <c r="S69" s="265"/>
      <c r="T69" s="264" t="s">
        <v>2792</v>
      </c>
      <c r="U69" s="265"/>
      <c r="V69" s="264"/>
      <c r="W69" s="265"/>
      <c r="X69" s="264"/>
      <c r="Y69" s="266"/>
      <c r="Z69" s="267"/>
      <c r="AA69" s="266"/>
      <c r="AB69" s="267"/>
      <c r="AC69" s="266"/>
      <c r="AD69" s="267"/>
      <c r="AE69" s="266"/>
      <c r="AF69" s="267"/>
      <c r="AG69" s="266"/>
      <c r="AH69" s="267"/>
      <c r="AI69" s="266"/>
      <c r="AJ69" s="267"/>
      <c r="AK69" s="266"/>
      <c r="AL69" s="267"/>
      <c r="AM69" s="266"/>
      <c r="AN69" s="267"/>
      <c r="AO69" s="267"/>
      <c r="AP69" s="267"/>
      <c r="AQ69" s="267"/>
      <c r="AR69" s="267"/>
      <c r="AS69" s="267"/>
    </row>
    <row r="70" spans="1:45">
      <c r="A70" s="268"/>
      <c r="B70" s="293" t="b">
        <v>0</v>
      </c>
      <c r="C70" s="264"/>
      <c r="D70" s="294" t="b">
        <v>0</v>
      </c>
      <c r="E70" s="265"/>
      <c r="F70" s="293" t="b">
        <v>0</v>
      </c>
      <c r="G70" s="264"/>
      <c r="H70" s="294" t="b">
        <v>0</v>
      </c>
      <c r="I70" s="265"/>
      <c r="J70" s="264"/>
      <c r="K70" s="265" t="s">
        <v>2504</v>
      </c>
      <c r="L70" s="264"/>
      <c r="M70" s="265" t="s">
        <v>2616</v>
      </c>
      <c r="N70" s="264"/>
      <c r="O70" s="265"/>
      <c r="P70" s="264"/>
      <c r="Q70" s="265"/>
      <c r="R70" s="264"/>
      <c r="S70" s="265"/>
      <c r="T70" s="264"/>
      <c r="U70" s="265"/>
      <c r="V70" s="264"/>
      <c r="W70" s="265"/>
      <c r="X70" s="264"/>
      <c r="Y70" s="266"/>
      <c r="Z70" s="267"/>
      <c r="AA70" s="266"/>
      <c r="AB70" s="267"/>
      <c r="AC70" s="266"/>
      <c r="AD70" s="267"/>
      <c r="AE70" s="266"/>
      <c r="AF70" s="267"/>
      <c r="AG70" s="266"/>
      <c r="AH70" s="267"/>
      <c r="AI70" s="266"/>
      <c r="AJ70" s="267"/>
      <c r="AK70" s="266"/>
      <c r="AL70" s="267"/>
      <c r="AM70" s="266"/>
      <c r="AN70" s="267"/>
      <c r="AO70" s="267"/>
      <c r="AP70" s="267"/>
      <c r="AQ70" s="267"/>
      <c r="AR70" s="267"/>
      <c r="AS70" s="267"/>
    </row>
    <row r="71" spans="1:45">
      <c r="A71" s="268"/>
      <c r="B71" s="293" t="b">
        <v>0</v>
      </c>
      <c r="C71" s="264"/>
      <c r="D71" s="294" t="b">
        <v>0</v>
      </c>
      <c r="E71" s="265"/>
      <c r="F71" s="293" t="b">
        <v>0</v>
      </c>
      <c r="G71" s="264"/>
      <c r="H71" s="294" t="b">
        <v>0</v>
      </c>
      <c r="I71" s="265"/>
      <c r="J71" s="264"/>
      <c r="K71" s="265"/>
      <c r="L71" s="264" t="s">
        <v>2575</v>
      </c>
      <c r="M71" s="265"/>
      <c r="N71" s="264"/>
      <c r="O71" s="265"/>
      <c r="P71" s="264"/>
      <c r="Q71" s="265"/>
      <c r="R71" s="264" t="s">
        <v>2767</v>
      </c>
      <c r="S71" s="265"/>
      <c r="T71" s="264"/>
      <c r="U71" s="265"/>
      <c r="V71" s="264"/>
      <c r="W71" s="265"/>
      <c r="X71" s="264"/>
      <c r="Y71" s="266"/>
      <c r="Z71" s="267"/>
      <c r="AA71" s="266"/>
      <c r="AB71" s="267"/>
      <c r="AC71" s="266"/>
      <c r="AD71" s="267"/>
      <c r="AE71" s="266"/>
      <c r="AF71" s="267"/>
      <c r="AG71" s="266"/>
      <c r="AH71" s="267"/>
      <c r="AI71" s="266"/>
      <c r="AJ71" s="267"/>
      <c r="AK71" s="266"/>
      <c r="AL71" s="267"/>
      <c r="AM71" s="266"/>
      <c r="AN71" s="267"/>
      <c r="AO71" s="267"/>
      <c r="AP71" s="267"/>
      <c r="AQ71" s="267"/>
      <c r="AR71" s="267"/>
      <c r="AS71" s="267"/>
    </row>
    <row r="72" spans="1:45">
      <c r="A72" s="268"/>
      <c r="B72" s="293" t="b">
        <v>0</v>
      </c>
      <c r="C72" s="264"/>
      <c r="D72" s="294" t="b">
        <v>0</v>
      </c>
      <c r="E72" s="265"/>
      <c r="F72" s="293" t="b">
        <v>0</v>
      </c>
      <c r="G72" s="264"/>
      <c r="H72" s="294" t="b">
        <v>0</v>
      </c>
      <c r="I72" s="265"/>
      <c r="J72" s="264"/>
      <c r="K72" s="265"/>
      <c r="L72" s="264"/>
      <c r="M72" s="265"/>
      <c r="N72" s="264"/>
      <c r="O72" s="265"/>
      <c r="P72" s="264"/>
      <c r="Q72" s="265"/>
      <c r="R72" s="264"/>
      <c r="S72" s="265"/>
      <c r="T72" s="264"/>
      <c r="U72" s="265" t="s">
        <v>2806</v>
      </c>
      <c r="V72" s="264"/>
      <c r="W72" s="265"/>
      <c r="X72" s="264"/>
      <c r="Y72" s="266"/>
      <c r="Z72" s="267"/>
      <c r="AA72" s="266"/>
      <c r="AB72" s="267"/>
      <c r="AC72" s="266"/>
      <c r="AD72" s="267"/>
      <c r="AE72" s="266"/>
      <c r="AF72" s="267"/>
      <c r="AG72" s="266"/>
      <c r="AH72" s="267"/>
      <c r="AI72" s="266"/>
      <c r="AJ72" s="267"/>
      <c r="AK72" s="266"/>
      <c r="AL72" s="267"/>
      <c r="AM72" s="266"/>
      <c r="AN72" s="267"/>
      <c r="AO72" s="267"/>
      <c r="AP72" s="267"/>
      <c r="AQ72" s="267"/>
      <c r="AR72" s="267"/>
      <c r="AS72" s="267"/>
    </row>
    <row r="73" spans="1:45" ht="23.25" customHeight="1">
      <c r="A73" s="266"/>
      <c r="B73" s="258" t="b">
        <v>0</v>
      </c>
      <c r="C73" s="267"/>
      <c r="D73" s="173" t="b">
        <v>0</v>
      </c>
      <c r="E73" s="266"/>
      <c r="F73" s="258" t="b">
        <v>0</v>
      </c>
      <c r="G73" s="267"/>
      <c r="H73" s="173" t="b">
        <v>0</v>
      </c>
      <c r="I73" s="266"/>
      <c r="J73" s="267"/>
      <c r="K73" s="266"/>
      <c r="L73" s="267"/>
      <c r="M73" s="266"/>
      <c r="N73" s="267"/>
      <c r="O73" s="266"/>
      <c r="P73" s="267"/>
      <c r="Q73" s="266"/>
      <c r="R73" s="267"/>
      <c r="S73" s="266"/>
      <c r="T73" s="267"/>
      <c r="U73" s="266"/>
      <c r="V73" s="267"/>
      <c r="W73" s="266"/>
      <c r="X73" s="267"/>
      <c r="Y73" s="266"/>
      <c r="Z73" s="267"/>
      <c r="AA73" s="266"/>
      <c r="AB73" s="267"/>
      <c r="AC73" s="266"/>
      <c r="AD73" s="267"/>
      <c r="AE73" s="266"/>
      <c r="AF73" s="267"/>
      <c r="AG73" s="266"/>
      <c r="AH73" s="267"/>
      <c r="AI73" s="266"/>
      <c r="AJ73" s="267"/>
      <c r="AK73" s="266"/>
      <c r="AL73" s="267"/>
      <c r="AM73" s="266"/>
      <c r="AN73" s="267"/>
      <c r="AO73" s="267"/>
      <c r="AP73" s="267"/>
      <c r="AQ73" s="267"/>
      <c r="AR73" s="267"/>
      <c r="AS73" s="267"/>
    </row>
    <row r="74" spans="1:45">
      <c r="A74" s="152" t="s">
        <v>3914</v>
      </c>
      <c r="B74" s="250" t="b">
        <v>0</v>
      </c>
      <c r="C74" s="250" t="str">
        <f>"Tier 1 ("&amp;COUNTIF(C75:C94,"&lt;&gt;")&amp;IF(COUNTIF(C75:C98,"&lt;&gt;")=1," curse)"," curses)")</f>
        <v>Tier 1 (16 curses)</v>
      </c>
      <c r="D74" s="251" t="b">
        <v>0</v>
      </c>
      <c r="E74" s="251" t="str">
        <f>"Tier 2 ("&amp;COUNTIF(E75:E94,"&lt;&gt;")&amp;IF(COUNTIF(E75:E98,"&lt;&gt;")=1," curse)"," curses)")</f>
        <v>Tier 2 (20 curses)</v>
      </c>
      <c r="F74" s="250" t="b">
        <v>0</v>
      </c>
      <c r="G74" s="250" t="str">
        <f>"Tier 3 ("&amp;COUNTIF(G75:G94,"&lt;&gt;")&amp;IF(COUNTIF(G75:G98,"&lt;&gt;")=1," curse)"," curses)")</f>
        <v>Tier 3 (19 curses)</v>
      </c>
      <c r="H74" s="251" t="b">
        <v>0</v>
      </c>
      <c r="I74" s="251" t="str">
        <f>"Tier 4 ("&amp;COUNTIF(I75:I94,"&lt;&gt;")&amp;IF(COUNTIF(I75:I98,"&lt;&gt;")=1," curse)"," curses)")</f>
        <v>Tier 4 (19 curses)</v>
      </c>
      <c r="J74" s="250" t="str">
        <f>"Tier 5 ("&amp;COUNTIF(J75:J94,"&lt;&gt;")&amp;IF(COUNTIF(J75:J98,"&lt;&gt;")=1," curse)"," curses)")</f>
        <v>Tier 5 (15 curses)</v>
      </c>
      <c r="K74" s="251" t="str">
        <f>"Tier 6 ("&amp;COUNTIF(K75:K94,"&lt;&gt;")&amp;IF(COUNTIF(K75:K98,"&lt;&gt;")=1," curse)"," curses)")</f>
        <v>Tier 6 (18 curses)</v>
      </c>
      <c r="L74" s="250" t="str">
        <f>"Tier 7 ("&amp;COUNTIF(L75:L94,"&lt;&gt;")&amp;IF(COUNTIF(L75:L98,"&lt;&gt;")=1," curse)"," curses)")</f>
        <v>Tier 7 (12 curses)</v>
      </c>
      <c r="M74" s="251" t="str">
        <f>"Tier 8 ("&amp;COUNTIF(M75:M94,"&lt;&gt;")&amp;IF(COUNTIF(M75:M98,"&lt;&gt;")=1," curse)"," curses)")</f>
        <v>Tier 8 (12 curses)</v>
      </c>
      <c r="N74" s="250" t="str">
        <f>"Tier 9 ("&amp;COUNTIF(N75:N94,"&lt;&gt;")&amp;IF(COUNTIF(N75:N98,"&lt;&gt;")=1," curse)"," curses)")</f>
        <v>Tier 9 (7 curses)</v>
      </c>
      <c r="O74" s="251" t="str">
        <f>"Tier 10 ("&amp;COUNTIF(O75:O94,"&lt;&gt;")&amp;IF(COUNTIF(O75:O98,"&lt;&gt;")=1," curse)"," curses)")</f>
        <v>Tier 10 (7 curses)</v>
      </c>
      <c r="P74" s="250" t="str">
        <f>"Tier 11 ("&amp;COUNTIF(P75:P94,"&lt;&gt;")&amp;IF(COUNTIF(P75:P98,"&lt;&gt;")=1," curse)"," curses)")</f>
        <v>Tier 11 (3 curses)</v>
      </c>
      <c r="Q74" s="251" t="str">
        <f>"Tier 12 ("&amp;COUNTIF(Q75:Q94,"&lt;&gt;")&amp;IF(COUNTIF(Q75:Q98,"&lt;&gt;")=1," curse)"," curses)")</f>
        <v>Tier 12 (3 curses)</v>
      </c>
      <c r="R74" s="250" t="str">
        <f>"Tier 13 ("&amp;COUNTIF(R75:R94,"&lt;&gt;")&amp;IF(COUNTIF(R75:R98,"&lt;&gt;")=1," curse)"," curses)")</f>
        <v>Tier 13 (6 curses)</v>
      </c>
      <c r="S74" s="251" t="str">
        <f>"Tier 14 ("&amp;COUNTIF(S75:S94,"&lt;&gt;")&amp;IF(COUNTIF(S75:S98,"&lt;&gt;")=1," curse)"," curses)")</f>
        <v>Tier 14 (3 curses)</v>
      </c>
      <c r="T74" s="250" t="str">
        <f>"Tier 15 ("&amp;COUNTIF(T75:T94,"&lt;&gt;")&amp;IF(COUNTIF(T75:T98,"&lt;&gt;")=1," curse)"," curses)")</f>
        <v>Tier 15 (5 curses)</v>
      </c>
      <c r="U74" s="251" t="str">
        <f>"Tier 16 ("&amp;COUNTIF(U75:U94,"&lt;&gt;")&amp;IF(COUNTIF(U75:U98,"&lt;&gt;")=1," curse)"," curses)")</f>
        <v>Tier 16 (3 curses)</v>
      </c>
      <c r="V74" s="250" t="str">
        <f>"Tier 17 ("&amp;COUNTIF(V75:V94,"&lt;&gt;")&amp;IF(COUNTIF(V75:V98,"&lt;&gt;")=1," curse)"," curses)")</f>
        <v>Tier 17 (1 curse)</v>
      </c>
      <c r="W74" s="251" t="str">
        <f>"Tier 18 ("&amp;COUNTIF(W75:W94,"&lt;&gt;")&amp;IF(COUNTIF(W75:W98,"&lt;&gt;")=1," curse)"," curses)")</f>
        <v>Tier 18 (2 curses)</v>
      </c>
      <c r="X74" s="250" t="str">
        <f>"Tier 19 ("&amp;COUNTIF(X75:X94,"&lt;&gt;")&amp;IF(COUNTIF(X75:X98,"&lt;&gt;")=1," curse)"," curses)")</f>
        <v>Tier 19 (3 curses)</v>
      </c>
      <c r="Y74" s="251" t="str">
        <f>"Tier 21 ("&amp;COUNTIF(Y75:Y94,"&lt;&gt;")&amp;IF(COUNTIF(Y75:Y98,"&lt;&gt;")=1," curse)"," curses)")</f>
        <v>Tier 21 (2 curses)</v>
      </c>
      <c r="Z74" s="250" t="str">
        <f>"Tier 23 ("&amp;COUNTIF(Z75:Z94,"&lt;&gt;")&amp;IF(COUNTIF(Z75:Z98,"&lt;&gt;")=1," curse)"," curses)")</f>
        <v>Tier 23 (3 curses)</v>
      </c>
      <c r="AA74" s="251" t="str">
        <f>"Tier 24 ("&amp;COUNTIF(AA75:AA94,"&lt;&gt;")&amp;IF(COUNTIF(AA75:AA98,"&lt;&gt;")=1," curse)"," curses)")</f>
        <v>Tier 24 (4 curses)</v>
      </c>
      <c r="AB74" s="250" t="str">
        <f>"Tier 25 ("&amp;COUNTIF(AB75:AB94,"&lt;&gt;")&amp;IF(COUNTIF(AB75:AB98,"&lt;&gt;")=1," curse)"," curses)")</f>
        <v>Tier 25 (4 curses)</v>
      </c>
      <c r="AC74" s="251" t="str">
        <f>"Tier 27 ("&amp;COUNTIF(AC75:AC94,"&lt;&gt;")&amp;IF(COUNTIF(AC75:AC98,"&lt;&gt;")=1," curse)"," curses)")</f>
        <v>Tier 27 (2 curses)</v>
      </c>
      <c r="AD74" s="250" t="str">
        <f>"Tier 30 ("&amp;COUNTIF(AD75:AD94,"&lt;&gt;")&amp;IF(COUNTIF(AD75:AD98,"&lt;&gt;")=1," curse)"," curses)")</f>
        <v>Tier 30 (1 curse)</v>
      </c>
      <c r="AE74" s="251" t="str">
        <f>"Tier 31 ("&amp;COUNTIF(AE75:AE94,"&lt;&gt;")&amp;IF(COUNTIF(AE75:AE98,"&lt;&gt;")=1," curse)"," curses)")</f>
        <v>Tier 31 (1 curse)</v>
      </c>
      <c r="AF74" s="250" t="str">
        <f>"Tier 32 ("&amp;COUNTIF(AF75:AF94,"&lt;&gt;")&amp;IF(COUNTIF(AF75:AF98,"&lt;&gt;")=1," curse)"," curses)")</f>
        <v>Tier 32 (1 curse)</v>
      </c>
      <c r="AG74" s="251" t="str">
        <f>"Tier 33 ("&amp;COUNTIF(AG75:AG94,"&lt;&gt;")&amp;IF(COUNTIF(AG75:AG98,"&lt;&gt;")=1," curse)"," curses)")</f>
        <v>Tier 33 (1 curse)</v>
      </c>
      <c r="AH74" s="250" t="str">
        <f>"Tier 34 ("&amp;COUNTIF(AH75:AH94,"&lt;&gt;")&amp;IF(COUNTIF(AH75:AH98,"&lt;&gt;")=1," curse)"," curses)")</f>
        <v>Tier 34 (1 curse)</v>
      </c>
      <c r="AI74" s="251" t="str">
        <f>"Tier 35 ("&amp;COUNTIF(AI75:AI94,"&lt;&gt;")&amp;IF(COUNTIF(AI75:AI98,"&lt;&gt;")=1," curse)"," curses)")</f>
        <v>Tier 35 (1 curse)</v>
      </c>
      <c r="AJ74" s="250" t="str">
        <f>"Tier 38 ("&amp;COUNTIF(AJ75:AJ94,"&lt;&gt;")&amp;IF(COUNTIF(AJ75:AJ98,"&lt;&gt;")=1," curse)"," curses)")</f>
        <v>Tier 38 (1 curse)</v>
      </c>
      <c r="AK74" s="251" t="str">
        <f>"Tier 40 ("&amp;COUNTIF(AK75:AK94,"&lt;&gt;")&amp;IF(COUNTIF(AK75:AK98,"&lt;&gt;")=1," curse)"," curses)")</f>
        <v>Tier 40 (2 curses)</v>
      </c>
      <c r="AL74" s="250" t="str">
        <f>"Tier 43 ("&amp;COUNTIF(AL75:AL94,"&lt;&gt;")&amp;IF(COUNTIF(AL75:AL98,"&lt;&gt;")=1," curse)"," curses)")</f>
        <v>Tier 43 (1 curse)</v>
      </c>
      <c r="AM74" s="251" t="str">
        <f>"Tier 51 ("&amp;COUNTIF(AM75:AM94,"&lt;&gt;")&amp;IF(COUNTIF(AM75:AM98,"&lt;&gt;")=1," curse)"," curses)")</f>
        <v>Tier 51 (1 curse)</v>
      </c>
      <c r="AN74" s="250" t="str">
        <f>"Tier 56 ("&amp;COUNTIF(AN75:AN94,"&lt;&gt;")&amp;IF(COUNTIF(AN75:AN98,"&lt;&gt;")=1," curse)"," curses)")</f>
        <v>Tier 56 (1 curse)</v>
      </c>
      <c r="AO74" s="258"/>
      <c r="AP74" s="258"/>
      <c r="AQ74" s="258"/>
      <c r="AR74" s="258"/>
      <c r="AS74" s="258"/>
    </row>
    <row r="75" spans="1:45">
      <c r="A75" s="263"/>
      <c r="B75" s="293" t="b">
        <v>0</v>
      </c>
      <c r="C75" s="264" t="s">
        <v>2055</v>
      </c>
      <c r="D75" s="294" t="b">
        <v>0</v>
      </c>
      <c r="E75" s="265" t="s">
        <v>3981</v>
      </c>
      <c r="F75" s="293" t="b">
        <v>0</v>
      </c>
      <c r="G75" s="264" t="s">
        <v>3982</v>
      </c>
      <c r="H75" s="294" t="b">
        <v>0</v>
      </c>
      <c r="I75" s="265" t="s">
        <v>3983</v>
      </c>
      <c r="J75" s="264"/>
      <c r="K75" s="265" t="s">
        <v>2506</v>
      </c>
      <c r="L75" s="264"/>
      <c r="M75" s="265" t="s">
        <v>2618</v>
      </c>
      <c r="N75" s="264"/>
      <c r="O75" s="265"/>
      <c r="P75" s="264"/>
      <c r="Q75" s="265"/>
      <c r="R75" s="264" t="s">
        <v>2737</v>
      </c>
      <c r="S75" s="265"/>
      <c r="T75" s="264"/>
      <c r="U75" s="265"/>
      <c r="V75" s="264"/>
      <c r="W75" s="265"/>
      <c r="X75" s="264"/>
      <c r="Y75" s="265"/>
      <c r="Z75" s="264"/>
      <c r="AA75" s="265"/>
      <c r="AB75" s="264" t="s">
        <v>2832</v>
      </c>
      <c r="AC75" s="265"/>
      <c r="AD75" s="264"/>
      <c r="AE75" s="265"/>
      <c r="AF75" s="264"/>
      <c r="AG75" s="265"/>
      <c r="AH75" s="264"/>
      <c r="AI75" s="265"/>
      <c r="AJ75" s="264"/>
      <c r="AK75" s="265"/>
      <c r="AL75" s="264"/>
      <c r="AM75" s="265"/>
      <c r="AN75" s="264"/>
      <c r="AO75" s="297"/>
      <c r="AP75" s="297"/>
      <c r="AQ75" s="297"/>
      <c r="AR75" s="297"/>
      <c r="AS75" s="297"/>
    </row>
    <row r="76" spans="1:45">
      <c r="A76" s="268"/>
      <c r="B76" s="293" t="b">
        <v>0</v>
      </c>
      <c r="C76" s="264" t="s">
        <v>2058</v>
      </c>
      <c r="D76" s="294" t="b">
        <v>0</v>
      </c>
      <c r="E76" s="265" t="s">
        <v>3984</v>
      </c>
      <c r="F76" s="293" t="b">
        <v>0</v>
      </c>
      <c r="G76" s="264" t="s">
        <v>3985</v>
      </c>
      <c r="H76" s="294" t="b">
        <v>0</v>
      </c>
      <c r="I76" s="265" t="s">
        <v>3986</v>
      </c>
      <c r="J76" s="270" t="s">
        <v>3987</v>
      </c>
      <c r="K76" s="269"/>
      <c r="L76" s="270"/>
      <c r="M76" s="269"/>
      <c r="N76" s="270"/>
      <c r="O76" s="269"/>
      <c r="P76" s="264"/>
      <c r="Q76" s="265"/>
      <c r="R76" s="264"/>
      <c r="S76" s="265"/>
      <c r="T76" s="264"/>
      <c r="U76" s="265"/>
      <c r="V76" s="264"/>
      <c r="W76" s="265"/>
      <c r="X76" s="264"/>
      <c r="Y76" s="265"/>
      <c r="Z76" s="264"/>
      <c r="AA76" s="265"/>
      <c r="AB76" s="264"/>
      <c r="AC76" s="265"/>
      <c r="AD76" s="264"/>
      <c r="AE76" s="265"/>
      <c r="AF76" s="264"/>
      <c r="AG76" s="265"/>
      <c r="AH76" s="264"/>
      <c r="AI76" s="265"/>
      <c r="AJ76" s="264"/>
      <c r="AK76" s="265"/>
      <c r="AL76" s="264"/>
      <c r="AM76" s="265"/>
      <c r="AN76" s="264"/>
      <c r="AO76" s="297"/>
      <c r="AP76" s="297"/>
      <c r="AQ76" s="297"/>
      <c r="AR76" s="297"/>
      <c r="AS76" s="297"/>
    </row>
    <row r="77" spans="1:45">
      <c r="A77" s="268"/>
      <c r="B77" s="293" t="b">
        <v>0</v>
      </c>
      <c r="C77" s="264"/>
      <c r="D77" s="294" t="b">
        <v>0</v>
      </c>
      <c r="E77" s="269" t="s">
        <v>2161</v>
      </c>
      <c r="F77" s="295" t="b">
        <v>0</v>
      </c>
      <c r="G77" s="270" t="s">
        <v>2273</v>
      </c>
      <c r="H77" s="294" t="b">
        <v>0</v>
      </c>
      <c r="I77" s="265" t="s">
        <v>2382</v>
      </c>
      <c r="J77" s="270"/>
      <c r="K77" s="269" t="s">
        <v>2508</v>
      </c>
      <c r="L77" s="270"/>
      <c r="M77" s="269"/>
      <c r="N77" s="270" t="s">
        <v>2659</v>
      </c>
      <c r="O77" s="269"/>
      <c r="P77" s="274"/>
      <c r="Q77" s="114"/>
      <c r="R77" s="264"/>
      <c r="S77" s="265"/>
      <c r="T77" s="273"/>
      <c r="U77" s="269"/>
      <c r="V77" s="264"/>
      <c r="W77" s="265"/>
      <c r="X77" s="264"/>
      <c r="Y77" s="265"/>
      <c r="Z77" s="264"/>
      <c r="AA77" s="265"/>
      <c r="AB77" s="264"/>
      <c r="AC77" s="265"/>
      <c r="AD77" s="264"/>
      <c r="AE77" s="265"/>
      <c r="AF77" s="264"/>
      <c r="AG77" s="265"/>
      <c r="AH77" s="264"/>
      <c r="AI77" s="265"/>
      <c r="AJ77" s="264"/>
      <c r="AK77" s="265"/>
      <c r="AL77" s="264"/>
      <c r="AM77" s="265"/>
      <c r="AN77" s="264"/>
      <c r="AO77" s="297"/>
      <c r="AP77" s="297"/>
      <c r="AQ77" s="297"/>
      <c r="AR77" s="297"/>
      <c r="AS77" s="297"/>
    </row>
    <row r="78" spans="1:45">
      <c r="A78" s="268"/>
      <c r="B78" s="293" t="b">
        <v>0</v>
      </c>
      <c r="C78" s="264" t="s">
        <v>2062</v>
      </c>
      <c r="D78" s="294" t="b">
        <v>0</v>
      </c>
      <c r="E78" s="269" t="s">
        <v>2164</v>
      </c>
      <c r="F78" s="295" t="b">
        <v>0</v>
      </c>
      <c r="G78" s="270" t="s">
        <v>3988</v>
      </c>
      <c r="H78" s="294" t="b">
        <v>0</v>
      </c>
      <c r="I78" s="265" t="s">
        <v>2384</v>
      </c>
      <c r="J78" s="270" t="s">
        <v>2453</v>
      </c>
      <c r="K78" s="269" t="s">
        <v>2510</v>
      </c>
      <c r="L78" s="270" t="s">
        <v>2577</v>
      </c>
      <c r="M78" s="269" t="s">
        <v>2620</v>
      </c>
      <c r="N78" s="270" t="s">
        <v>2661</v>
      </c>
      <c r="O78" s="269" t="s">
        <v>2693</v>
      </c>
      <c r="P78" s="275" t="s">
        <v>2709</v>
      </c>
      <c r="Q78" s="265" t="s">
        <v>2722</v>
      </c>
      <c r="R78" s="264" t="s">
        <v>2739</v>
      </c>
      <c r="S78" s="265" t="s">
        <v>2755</v>
      </c>
      <c r="T78" s="270" t="s">
        <v>2769</v>
      </c>
      <c r="U78" s="265" t="s">
        <v>2780</v>
      </c>
      <c r="V78" s="264" t="s">
        <v>2790</v>
      </c>
      <c r="W78" s="265" t="s">
        <v>2794</v>
      </c>
      <c r="X78" s="264" t="s">
        <v>2798</v>
      </c>
      <c r="Y78" s="265" t="s">
        <v>2808</v>
      </c>
      <c r="Z78" s="264" t="s">
        <v>2813</v>
      </c>
      <c r="AA78" s="265" t="s">
        <v>2819</v>
      </c>
      <c r="AB78" s="264" t="s">
        <v>2834</v>
      </c>
      <c r="AC78" s="265" t="s">
        <v>2841</v>
      </c>
      <c r="AD78" s="264" t="s">
        <v>2845</v>
      </c>
      <c r="AE78" s="265" t="s">
        <v>2847</v>
      </c>
      <c r="AF78" s="264" t="s">
        <v>2849</v>
      </c>
      <c r="AG78" s="265" t="s">
        <v>2851</v>
      </c>
      <c r="AH78" s="264" t="s">
        <v>2853</v>
      </c>
      <c r="AI78" s="265" t="s">
        <v>2855</v>
      </c>
      <c r="AJ78" s="264" t="s">
        <v>2857</v>
      </c>
      <c r="AK78" s="265" t="s">
        <v>2861</v>
      </c>
      <c r="AL78" s="264" t="s">
        <v>2865</v>
      </c>
      <c r="AM78" s="265" t="s">
        <v>2868</v>
      </c>
      <c r="AN78" s="264" t="s">
        <v>2870</v>
      </c>
      <c r="AO78" s="297"/>
      <c r="AP78" s="297"/>
      <c r="AQ78" s="297"/>
      <c r="AR78" s="297"/>
      <c r="AS78" s="297"/>
    </row>
    <row r="79" spans="1:45">
      <c r="A79" s="268"/>
      <c r="B79" s="293" t="b">
        <v>0</v>
      </c>
      <c r="C79" s="264" t="s">
        <v>2067</v>
      </c>
      <c r="D79" s="294" t="b">
        <v>0</v>
      </c>
      <c r="E79" s="269" t="s">
        <v>2168</v>
      </c>
      <c r="F79" s="295" t="b">
        <v>0</v>
      </c>
      <c r="G79" s="270" t="s">
        <v>2278</v>
      </c>
      <c r="H79" s="294" t="b">
        <v>0</v>
      </c>
      <c r="I79" s="265" t="s">
        <v>2387</v>
      </c>
      <c r="J79" s="270" t="s">
        <v>2455</v>
      </c>
      <c r="K79" s="269" t="s">
        <v>2513</v>
      </c>
      <c r="L79" s="270" t="s">
        <v>2580</v>
      </c>
      <c r="M79" s="269" t="s">
        <v>2623</v>
      </c>
      <c r="N79" s="270" t="s">
        <v>2664</v>
      </c>
      <c r="O79" s="269" t="s">
        <v>2695</v>
      </c>
      <c r="P79" s="264" t="s">
        <v>2712</v>
      </c>
      <c r="Q79" s="265" t="s">
        <v>2725</v>
      </c>
      <c r="R79" s="264" t="s">
        <v>2742</v>
      </c>
      <c r="S79" s="265" t="s">
        <v>2757</v>
      </c>
      <c r="T79" s="264" t="s">
        <v>2772</v>
      </c>
      <c r="U79" s="265" t="s">
        <v>2783</v>
      </c>
      <c r="V79" s="264"/>
      <c r="W79" s="265" t="s">
        <v>2796</v>
      </c>
      <c r="X79" s="264" t="s">
        <v>2800</v>
      </c>
      <c r="Y79" s="265" t="s">
        <v>2811</v>
      </c>
      <c r="Z79" s="264" t="s">
        <v>2815</v>
      </c>
      <c r="AA79" s="265" t="s">
        <v>2822</v>
      </c>
      <c r="AB79" s="264" t="s">
        <v>2837</v>
      </c>
      <c r="AC79" s="265" t="s">
        <v>2843</v>
      </c>
      <c r="AD79" s="264"/>
      <c r="AE79" s="265"/>
      <c r="AF79" s="264"/>
      <c r="AG79" s="265"/>
      <c r="AH79" s="264"/>
      <c r="AI79" s="265"/>
      <c r="AJ79" s="264"/>
      <c r="AK79" s="265" t="s">
        <v>2863</v>
      </c>
      <c r="AL79" s="264"/>
      <c r="AM79" s="265"/>
      <c r="AN79" s="264"/>
      <c r="AO79" s="297"/>
      <c r="AP79" s="297"/>
      <c r="AQ79" s="297"/>
      <c r="AR79" s="297"/>
      <c r="AS79" s="297"/>
    </row>
    <row r="80" spans="1:45">
      <c r="A80" s="268"/>
      <c r="B80" s="293" t="b">
        <v>0</v>
      </c>
      <c r="C80" s="264" t="s">
        <v>2070</v>
      </c>
      <c r="D80" s="294" t="b">
        <v>0</v>
      </c>
      <c r="E80" s="269" t="s">
        <v>2171</v>
      </c>
      <c r="F80" s="295" t="b">
        <v>0</v>
      </c>
      <c r="G80" s="270" t="s">
        <v>2281</v>
      </c>
      <c r="H80" s="294" t="b">
        <v>0</v>
      </c>
      <c r="I80" s="265" t="s">
        <v>2390</v>
      </c>
      <c r="J80" s="270" t="s">
        <v>2458</v>
      </c>
      <c r="K80" s="269" t="s">
        <v>2515</v>
      </c>
      <c r="L80" s="270" t="s">
        <v>2583</v>
      </c>
      <c r="M80" s="269" t="s">
        <v>2626</v>
      </c>
      <c r="N80" s="270" t="s">
        <v>2667</v>
      </c>
      <c r="O80" s="269" t="s">
        <v>2698</v>
      </c>
      <c r="P80" s="264" t="s">
        <v>2714</v>
      </c>
      <c r="Q80" s="265" t="s">
        <v>2728</v>
      </c>
      <c r="R80" s="264" t="s">
        <v>2745</v>
      </c>
      <c r="S80" s="265" t="s">
        <v>2752</v>
      </c>
      <c r="T80" s="264" t="s">
        <v>2774</v>
      </c>
      <c r="U80" s="265" t="s">
        <v>2786</v>
      </c>
      <c r="V80" s="264"/>
      <c r="W80" s="265"/>
      <c r="X80" s="264" t="s">
        <v>2802</v>
      </c>
      <c r="Y80" s="265"/>
      <c r="Z80" s="264" t="s">
        <v>2817</v>
      </c>
      <c r="AA80" s="265" t="s">
        <v>2824</v>
      </c>
      <c r="AB80" s="264" t="s">
        <v>2839</v>
      </c>
      <c r="AC80" s="265"/>
      <c r="AD80" s="264"/>
      <c r="AE80" s="265"/>
      <c r="AF80" s="264"/>
      <c r="AG80" s="265"/>
      <c r="AH80" s="264"/>
      <c r="AI80" s="265"/>
      <c r="AJ80" s="264"/>
      <c r="AK80" s="265"/>
      <c r="AL80" s="264"/>
      <c r="AM80" s="265"/>
      <c r="AN80" s="264"/>
      <c r="AO80" s="297"/>
      <c r="AP80" s="297"/>
      <c r="AQ80" s="297"/>
      <c r="AR80" s="297"/>
      <c r="AS80" s="297"/>
    </row>
    <row r="81" spans="1:45">
      <c r="A81" s="276"/>
      <c r="B81" s="293" t="b">
        <v>0</v>
      </c>
      <c r="C81" s="264" t="s">
        <v>2073</v>
      </c>
      <c r="D81" s="294" t="b">
        <v>0</v>
      </c>
      <c r="E81" s="269" t="s">
        <v>2174</v>
      </c>
      <c r="F81" s="295" t="b">
        <v>0</v>
      </c>
      <c r="G81" s="270" t="s">
        <v>2284</v>
      </c>
      <c r="H81" s="294" t="b">
        <v>0</v>
      </c>
      <c r="I81" s="265" t="s">
        <v>2393</v>
      </c>
      <c r="J81" s="270" t="s">
        <v>2461</v>
      </c>
      <c r="K81" s="269" t="s">
        <v>2518</v>
      </c>
      <c r="L81" s="270" t="s">
        <v>2586</v>
      </c>
      <c r="M81" s="269" t="s">
        <v>2629</v>
      </c>
      <c r="N81" s="270" t="s">
        <v>2670</v>
      </c>
      <c r="O81" s="269" t="s">
        <v>2701</v>
      </c>
      <c r="P81" s="264"/>
      <c r="Q81" s="265"/>
      <c r="R81" s="264" t="s">
        <v>2748</v>
      </c>
      <c r="S81" s="265"/>
      <c r="T81" s="264" t="s">
        <v>2776</v>
      </c>
      <c r="U81" s="265"/>
      <c r="V81" s="264"/>
      <c r="W81" s="265"/>
      <c r="X81" s="264"/>
      <c r="Y81" s="265"/>
      <c r="Z81" s="264"/>
      <c r="AA81" s="265" t="s">
        <v>2826</v>
      </c>
      <c r="AB81" s="264"/>
      <c r="AC81" s="265"/>
      <c r="AD81" s="264"/>
      <c r="AE81" s="265"/>
      <c r="AF81" s="264"/>
      <c r="AG81" s="265"/>
      <c r="AH81" s="264"/>
      <c r="AI81" s="265"/>
      <c r="AJ81" s="264"/>
      <c r="AK81" s="265"/>
      <c r="AL81" s="264"/>
      <c r="AM81" s="265"/>
      <c r="AN81" s="264"/>
      <c r="AO81" s="297"/>
      <c r="AP81" s="297"/>
      <c r="AQ81" s="297"/>
      <c r="AR81" s="297"/>
      <c r="AS81" s="297"/>
    </row>
    <row r="82" spans="1:45">
      <c r="A82" s="41"/>
      <c r="B82" s="293" t="b">
        <v>0</v>
      </c>
      <c r="C82" s="264" t="s">
        <v>2076</v>
      </c>
      <c r="D82" s="294" t="b">
        <v>0</v>
      </c>
      <c r="E82" s="269" t="s">
        <v>2177</v>
      </c>
      <c r="F82" s="295" t="b">
        <v>0</v>
      </c>
      <c r="G82" s="270" t="s">
        <v>2287</v>
      </c>
      <c r="H82" s="294" t="b">
        <v>0</v>
      </c>
      <c r="I82" s="265" t="s">
        <v>2396</v>
      </c>
      <c r="J82" s="270" t="s">
        <v>2464</v>
      </c>
      <c r="K82" s="269" t="s">
        <v>2521</v>
      </c>
      <c r="L82" s="270" t="s">
        <v>2589</v>
      </c>
      <c r="M82" s="269" t="s">
        <v>2632</v>
      </c>
      <c r="N82" s="270" t="s">
        <v>2673</v>
      </c>
      <c r="O82" s="269" t="s">
        <v>2703</v>
      </c>
      <c r="P82" s="264"/>
      <c r="Q82" s="265"/>
      <c r="R82" s="264" t="s">
        <v>2750</v>
      </c>
      <c r="S82" s="265"/>
      <c r="T82" s="264" t="s">
        <v>2778</v>
      </c>
      <c r="U82" s="265"/>
      <c r="V82" s="264"/>
      <c r="W82" s="265"/>
      <c r="X82" s="264"/>
      <c r="Y82" s="265"/>
      <c r="Z82" s="264"/>
      <c r="AA82" s="265"/>
      <c r="AB82" s="264"/>
      <c r="AC82" s="265"/>
      <c r="AD82" s="264"/>
      <c r="AE82" s="265"/>
      <c r="AF82" s="264"/>
      <c r="AG82" s="265"/>
      <c r="AH82" s="264"/>
      <c r="AI82" s="265"/>
      <c r="AJ82" s="264"/>
      <c r="AK82" s="265"/>
      <c r="AL82" s="264"/>
      <c r="AM82" s="265"/>
      <c r="AN82" s="264"/>
      <c r="AO82" s="297"/>
      <c r="AP82" s="297"/>
      <c r="AQ82" s="297"/>
      <c r="AR82" s="297"/>
      <c r="AS82" s="297"/>
    </row>
    <row r="83" spans="1:45">
      <c r="A83" s="41"/>
      <c r="B83" s="293" t="b">
        <v>0</v>
      </c>
      <c r="C83" s="264" t="s">
        <v>2079</v>
      </c>
      <c r="D83" s="294" t="b">
        <v>0</v>
      </c>
      <c r="E83" s="269" t="s">
        <v>2180</v>
      </c>
      <c r="F83" s="295" t="b">
        <v>0</v>
      </c>
      <c r="G83" s="270" t="s">
        <v>2290</v>
      </c>
      <c r="H83" s="294" t="b">
        <v>0</v>
      </c>
      <c r="I83" s="265" t="s">
        <v>2399</v>
      </c>
      <c r="J83" s="270" t="s">
        <v>2467</v>
      </c>
      <c r="K83" s="269" t="s">
        <v>2524</v>
      </c>
      <c r="L83" s="270" t="s">
        <v>2592</v>
      </c>
      <c r="M83" s="269" t="s">
        <v>2635</v>
      </c>
      <c r="N83" s="270" t="s">
        <v>2676</v>
      </c>
      <c r="O83" s="269" t="s">
        <v>2705</v>
      </c>
      <c r="P83" s="264"/>
      <c r="Q83" s="265"/>
      <c r="R83" s="264"/>
      <c r="S83" s="265"/>
      <c r="T83" s="264"/>
      <c r="U83" s="265"/>
      <c r="V83" s="264"/>
      <c r="W83" s="265"/>
      <c r="X83" s="264"/>
      <c r="Y83" s="265"/>
      <c r="Z83" s="264"/>
      <c r="AA83" s="265"/>
      <c r="AB83" s="264"/>
      <c r="AC83" s="265"/>
      <c r="AD83" s="264"/>
      <c r="AE83" s="265"/>
      <c r="AF83" s="264"/>
      <c r="AG83" s="265"/>
      <c r="AH83" s="264"/>
      <c r="AI83" s="265"/>
      <c r="AJ83" s="264"/>
      <c r="AK83" s="265"/>
      <c r="AL83" s="264"/>
      <c r="AM83" s="265"/>
      <c r="AN83" s="264"/>
      <c r="AO83" s="297"/>
      <c r="AP83" s="297"/>
      <c r="AQ83" s="297"/>
      <c r="AR83" s="297"/>
      <c r="AS83" s="297"/>
    </row>
    <row r="84" spans="1:45">
      <c r="A84" s="41"/>
      <c r="B84" s="293" t="b">
        <v>0</v>
      </c>
      <c r="C84" s="264" t="s">
        <v>2083</v>
      </c>
      <c r="D84" s="294" t="b">
        <v>0</v>
      </c>
      <c r="E84" s="269" t="s">
        <v>2183</v>
      </c>
      <c r="F84" s="295" t="b">
        <v>0</v>
      </c>
      <c r="G84" s="270" t="s">
        <v>2293</v>
      </c>
      <c r="H84" s="294" t="b">
        <v>0</v>
      </c>
      <c r="I84" s="265" t="s">
        <v>2402</v>
      </c>
      <c r="J84" s="270" t="s">
        <v>2470</v>
      </c>
      <c r="K84" s="269" t="s">
        <v>2527</v>
      </c>
      <c r="L84" s="270" t="s">
        <v>2595</v>
      </c>
      <c r="M84" s="269" t="s">
        <v>2637</v>
      </c>
      <c r="N84" s="270"/>
      <c r="O84" s="269" t="s">
        <v>2707</v>
      </c>
      <c r="P84" s="270"/>
      <c r="Q84" s="265"/>
      <c r="R84" s="264"/>
      <c r="S84" s="265"/>
      <c r="T84" s="264"/>
      <c r="U84" s="265"/>
      <c r="V84" s="264"/>
      <c r="W84" s="265"/>
      <c r="X84" s="264"/>
      <c r="Y84" s="265"/>
      <c r="Z84" s="264"/>
      <c r="AA84" s="265"/>
      <c r="AB84" s="264"/>
      <c r="AC84" s="265"/>
      <c r="AD84" s="264"/>
      <c r="AE84" s="265"/>
      <c r="AF84" s="264"/>
      <c r="AG84" s="265"/>
      <c r="AH84" s="264"/>
      <c r="AI84" s="265"/>
      <c r="AJ84" s="264"/>
      <c r="AK84" s="265"/>
      <c r="AL84" s="264"/>
      <c r="AM84" s="265"/>
      <c r="AN84" s="264"/>
      <c r="AO84" s="297"/>
      <c r="AP84" s="297"/>
      <c r="AQ84" s="297"/>
      <c r="AR84" s="297"/>
      <c r="AS84" s="297"/>
    </row>
    <row r="85" spans="1:45">
      <c r="A85" s="41"/>
      <c r="B85" s="293" t="b">
        <v>0</v>
      </c>
      <c r="C85" s="264" t="s">
        <v>2086</v>
      </c>
      <c r="D85" s="294" t="b">
        <v>0</v>
      </c>
      <c r="E85" s="269" t="s">
        <v>2186</v>
      </c>
      <c r="F85" s="295" t="b">
        <v>0</v>
      </c>
      <c r="G85" s="270" t="s">
        <v>2296</v>
      </c>
      <c r="H85" s="294" t="b">
        <v>0</v>
      </c>
      <c r="I85" s="265" t="s">
        <v>2405</v>
      </c>
      <c r="J85" s="270" t="s">
        <v>2473</v>
      </c>
      <c r="K85" s="269" t="s">
        <v>2530</v>
      </c>
      <c r="L85" s="270" t="s">
        <v>2596</v>
      </c>
      <c r="M85" s="269" t="s">
        <v>2639</v>
      </c>
      <c r="N85" s="270"/>
      <c r="O85" s="269"/>
      <c r="P85" s="270"/>
      <c r="Q85" s="265"/>
      <c r="R85" s="264"/>
      <c r="S85" s="265"/>
      <c r="T85" s="264"/>
      <c r="U85" s="265"/>
      <c r="V85" s="264"/>
      <c r="W85" s="265"/>
      <c r="X85" s="264"/>
      <c r="Y85" s="265"/>
      <c r="Z85" s="264"/>
      <c r="AA85" s="265"/>
      <c r="AB85" s="264"/>
      <c r="AC85" s="265"/>
      <c r="AD85" s="264"/>
      <c r="AE85" s="265"/>
      <c r="AF85" s="264"/>
      <c r="AG85" s="265"/>
      <c r="AH85" s="264"/>
      <c r="AI85" s="265"/>
      <c r="AJ85" s="264"/>
      <c r="AK85" s="265"/>
      <c r="AL85" s="264"/>
      <c r="AM85" s="265"/>
      <c r="AN85" s="264"/>
      <c r="AO85" s="297"/>
      <c r="AP85" s="297"/>
      <c r="AQ85" s="297"/>
      <c r="AR85" s="297"/>
      <c r="AS85" s="297"/>
    </row>
    <row r="86" spans="1:45">
      <c r="A86" s="41"/>
      <c r="B86" s="293" t="b">
        <v>0</v>
      </c>
      <c r="C86" s="264" t="s">
        <v>2089</v>
      </c>
      <c r="D86" s="294" t="b">
        <v>0</v>
      </c>
      <c r="E86" s="269" t="s">
        <v>2189</v>
      </c>
      <c r="F86" s="295" t="b">
        <v>0</v>
      </c>
      <c r="G86" s="270" t="s">
        <v>2299</v>
      </c>
      <c r="H86" s="294" t="b">
        <v>0</v>
      </c>
      <c r="I86" s="265" t="s">
        <v>2408</v>
      </c>
      <c r="J86" s="270" t="s">
        <v>2476</v>
      </c>
      <c r="K86" s="269" t="s">
        <v>2533</v>
      </c>
      <c r="L86" s="270" t="s">
        <v>2597</v>
      </c>
      <c r="M86" s="269" t="s">
        <v>2641</v>
      </c>
      <c r="N86" s="270"/>
      <c r="O86" s="269"/>
      <c r="P86" s="264"/>
      <c r="Q86" s="265"/>
      <c r="R86" s="264"/>
      <c r="S86" s="265"/>
      <c r="T86" s="264"/>
      <c r="U86" s="265"/>
      <c r="V86" s="264"/>
      <c r="W86" s="265"/>
      <c r="X86" s="264"/>
      <c r="Y86" s="265"/>
      <c r="Z86" s="264"/>
      <c r="AA86" s="265"/>
      <c r="AB86" s="264"/>
      <c r="AC86" s="265"/>
      <c r="AD86" s="264"/>
      <c r="AE86" s="265"/>
      <c r="AF86" s="264"/>
      <c r="AG86" s="265"/>
      <c r="AH86" s="264"/>
      <c r="AI86" s="265"/>
      <c r="AJ86" s="264"/>
      <c r="AK86" s="265"/>
      <c r="AL86" s="264"/>
      <c r="AM86" s="265"/>
      <c r="AN86" s="264"/>
      <c r="AO86" s="297"/>
      <c r="AP86" s="297"/>
      <c r="AQ86" s="297"/>
      <c r="AR86" s="297"/>
      <c r="AS86" s="297"/>
    </row>
    <row r="87" spans="1:45">
      <c r="A87" s="41"/>
      <c r="B87" s="293" t="b">
        <v>0</v>
      </c>
      <c r="C87" s="264" t="s">
        <v>2091</v>
      </c>
      <c r="D87" s="294" t="b">
        <v>0</v>
      </c>
      <c r="E87" s="269" t="s">
        <v>2191</v>
      </c>
      <c r="F87" s="295" t="b">
        <v>0</v>
      </c>
      <c r="G87" s="270" t="s">
        <v>2302</v>
      </c>
      <c r="H87" s="294" t="b">
        <v>0</v>
      </c>
      <c r="I87" s="265" t="s">
        <v>2411</v>
      </c>
      <c r="J87" s="270" t="s">
        <v>2479</v>
      </c>
      <c r="K87" s="269" t="s">
        <v>2536</v>
      </c>
      <c r="L87" s="270" t="s">
        <v>2598</v>
      </c>
      <c r="M87" s="269" t="s">
        <v>2643</v>
      </c>
      <c r="N87" s="270"/>
      <c r="O87" s="269"/>
      <c r="P87" s="264"/>
      <c r="Q87" s="265"/>
      <c r="R87" s="264"/>
      <c r="S87" s="265"/>
      <c r="T87" s="264"/>
      <c r="U87" s="265"/>
      <c r="V87" s="264"/>
      <c r="W87" s="265"/>
      <c r="X87" s="264"/>
      <c r="Y87" s="265"/>
      <c r="Z87" s="264"/>
      <c r="AA87" s="265"/>
      <c r="AB87" s="264"/>
      <c r="AC87" s="265"/>
      <c r="AD87" s="264"/>
      <c r="AE87" s="265"/>
      <c r="AF87" s="264"/>
      <c r="AG87" s="265"/>
      <c r="AH87" s="264"/>
      <c r="AI87" s="265"/>
      <c r="AJ87" s="264"/>
      <c r="AK87" s="265"/>
      <c r="AL87" s="264"/>
      <c r="AM87" s="265"/>
      <c r="AN87" s="264"/>
      <c r="AO87" s="297"/>
      <c r="AP87" s="297"/>
      <c r="AQ87" s="297"/>
      <c r="AR87" s="297"/>
      <c r="AS87" s="297"/>
    </row>
    <row r="88" spans="1:45">
      <c r="A88" s="41"/>
      <c r="B88" s="293" t="b">
        <v>0</v>
      </c>
      <c r="C88" s="264" t="s">
        <v>2093</v>
      </c>
      <c r="D88" s="294" t="b">
        <v>0</v>
      </c>
      <c r="E88" s="269" t="s">
        <v>2193</v>
      </c>
      <c r="F88" s="295" t="b">
        <v>0</v>
      </c>
      <c r="G88" s="270" t="s">
        <v>2305</v>
      </c>
      <c r="H88" s="294" t="b">
        <v>0</v>
      </c>
      <c r="I88" s="265" t="s">
        <v>2413</v>
      </c>
      <c r="J88" s="270" t="s">
        <v>2482</v>
      </c>
      <c r="K88" s="269" t="s">
        <v>2538</v>
      </c>
      <c r="L88" s="270" t="s">
        <v>2600</v>
      </c>
      <c r="M88" s="269" t="s">
        <v>2645</v>
      </c>
      <c r="N88" s="270"/>
      <c r="O88" s="269"/>
      <c r="P88" s="264"/>
      <c r="Q88" s="265"/>
      <c r="R88" s="264"/>
      <c r="S88" s="265"/>
      <c r="T88" s="264"/>
      <c r="U88" s="265"/>
      <c r="V88" s="264"/>
      <c r="W88" s="265"/>
      <c r="X88" s="264"/>
      <c r="Y88" s="265"/>
      <c r="Z88" s="264"/>
      <c r="AA88" s="265"/>
      <c r="AB88" s="264"/>
      <c r="AC88" s="265"/>
      <c r="AD88" s="264"/>
      <c r="AE88" s="265"/>
      <c r="AF88" s="264"/>
      <c r="AG88" s="265"/>
      <c r="AH88" s="264"/>
      <c r="AI88" s="265"/>
      <c r="AJ88" s="264"/>
      <c r="AK88" s="265"/>
      <c r="AL88" s="264"/>
      <c r="AM88" s="265"/>
      <c r="AN88" s="264"/>
      <c r="AO88" s="297"/>
      <c r="AP88" s="297"/>
      <c r="AQ88" s="297"/>
      <c r="AR88" s="297"/>
      <c r="AS88" s="297"/>
    </row>
    <row r="89" spans="1:45">
      <c r="A89" s="41"/>
      <c r="B89" s="293" t="b">
        <v>0</v>
      </c>
      <c r="C89" s="264" t="s">
        <v>2095</v>
      </c>
      <c r="D89" s="294" t="b">
        <v>0</v>
      </c>
      <c r="E89" s="269" t="s">
        <v>3989</v>
      </c>
      <c r="F89" s="295" t="b">
        <v>0</v>
      </c>
      <c r="G89" s="270" t="s">
        <v>2308</v>
      </c>
      <c r="H89" s="294" t="b">
        <v>0</v>
      </c>
      <c r="I89" s="265" t="s">
        <v>2415</v>
      </c>
      <c r="J89" s="270" t="s">
        <v>2484</v>
      </c>
      <c r="K89" s="269" t="s">
        <v>2540</v>
      </c>
      <c r="L89" s="270" t="s">
        <v>2602</v>
      </c>
      <c r="M89" s="269"/>
      <c r="N89" s="270"/>
      <c r="O89" s="269"/>
      <c r="P89" s="264"/>
      <c r="Q89" s="265"/>
      <c r="R89" s="264"/>
      <c r="S89" s="265"/>
      <c r="T89" s="264"/>
      <c r="U89" s="265"/>
      <c r="V89" s="264"/>
      <c r="W89" s="265"/>
      <c r="X89" s="264"/>
      <c r="Y89" s="265"/>
      <c r="Z89" s="264"/>
      <c r="AA89" s="265"/>
      <c r="AB89" s="264"/>
      <c r="AC89" s="265"/>
      <c r="AD89" s="264"/>
      <c r="AE89" s="265"/>
      <c r="AF89" s="264"/>
      <c r="AG89" s="265"/>
      <c r="AH89" s="264"/>
      <c r="AI89" s="265"/>
      <c r="AJ89" s="264"/>
      <c r="AK89" s="265"/>
      <c r="AL89" s="264"/>
      <c r="AM89" s="265"/>
      <c r="AN89" s="264"/>
      <c r="AO89" s="297"/>
      <c r="AP89" s="297"/>
      <c r="AQ89" s="297"/>
      <c r="AR89" s="297"/>
      <c r="AS89" s="297"/>
    </row>
    <row r="90" spans="1:45">
      <c r="A90" s="41"/>
      <c r="B90" s="293" t="b">
        <v>0</v>
      </c>
      <c r="C90" s="264" t="s">
        <v>2097</v>
      </c>
      <c r="D90" s="294" t="b">
        <v>0</v>
      </c>
      <c r="E90" s="269" t="s">
        <v>3990</v>
      </c>
      <c r="F90" s="295" t="b">
        <v>0</v>
      </c>
      <c r="G90" s="270" t="s">
        <v>2311</v>
      </c>
      <c r="H90" s="152" t="b">
        <v>0</v>
      </c>
      <c r="I90" s="269" t="s">
        <v>2417</v>
      </c>
      <c r="J90" s="270" t="s">
        <v>2486</v>
      </c>
      <c r="K90" s="269" t="s">
        <v>2542</v>
      </c>
      <c r="L90" s="273"/>
      <c r="M90" s="269"/>
      <c r="N90" s="270"/>
      <c r="O90" s="269"/>
      <c r="P90" s="264"/>
      <c r="Q90" s="265"/>
      <c r="R90" s="264"/>
      <c r="S90" s="265"/>
      <c r="T90" s="264"/>
      <c r="U90" s="265"/>
      <c r="V90" s="264"/>
      <c r="W90" s="265"/>
      <c r="X90" s="264"/>
      <c r="Y90" s="265"/>
      <c r="Z90" s="264"/>
      <c r="AA90" s="265"/>
      <c r="AB90" s="264"/>
      <c r="AC90" s="265"/>
      <c r="AD90" s="264"/>
      <c r="AE90" s="265"/>
      <c r="AF90" s="264"/>
      <c r="AG90" s="265"/>
      <c r="AH90" s="264"/>
      <c r="AI90" s="265"/>
      <c r="AJ90" s="264"/>
      <c r="AK90" s="265"/>
      <c r="AL90" s="264"/>
      <c r="AM90" s="265"/>
      <c r="AN90" s="264"/>
      <c r="AO90" s="297"/>
      <c r="AP90" s="297"/>
      <c r="AQ90" s="297"/>
      <c r="AR90" s="297"/>
      <c r="AS90" s="297"/>
    </row>
    <row r="91" spans="1:45">
      <c r="A91" s="41"/>
      <c r="B91" s="293" t="b">
        <v>0</v>
      </c>
      <c r="C91" s="264" t="s">
        <v>2100</v>
      </c>
      <c r="D91" s="294" t="b">
        <v>0</v>
      </c>
      <c r="E91" s="269" t="s">
        <v>2197</v>
      </c>
      <c r="F91" s="295" t="b">
        <v>0</v>
      </c>
      <c r="G91" s="270" t="s">
        <v>2314</v>
      </c>
      <c r="H91" s="152" t="b">
        <v>0</v>
      </c>
      <c r="I91" s="269" t="s">
        <v>2419</v>
      </c>
      <c r="J91" s="270" t="s">
        <v>2488</v>
      </c>
      <c r="K91" s="269" t="s">
        <v>2544</v>
      </c>
      <c r="L91" s="273"/>
      <c r="M91" s="269"/>
      <c r="N91" s="270"/>
      <c r="O91" s="41"/>
      <c r="P91" s="264"/>
      <c r="Q91" s="265"/>
      <c r="R91" s="264"/>
      <c r="S91" s="265"/>
      <c r="T91" s="264"/>
      <c r="U91" s="265"/>
      <c r="V91" s="264"/>
      <c r="W91" s="265"/>
      <c r="X91" s="264"/>
      <c r="Y91" s="265"/>
      <c r="Z91" s="264"/>
      <c r="AA91" s="265"/>
      <c r="AB91" s="264"/>
      <c r="AC91" s="265"/>
      <c r="AD91" s="264"/>
      <c r="AE91" s="265"/>
      <c r="AF91" s="264"/>
      <c r="AG91" s="265"/>
      <c r="AH91" s="264"/>
      <c r="AI91" s="265"/>
      <c r="AJ91" s="264"/>
      <c r="AK91" s="265"/>
      <c r="AL91" s="264"/>
      <c r="AM91" s="265"/>
      <c r="AN91" s="264"/>
      <c r="AO91" s="297"/>
      <c r="AP91" s="297"/>
      <c r="AQ91" s="297"/>
      <c r="AR91" s="297"/>
      <c r="AS91" s="297"/>
    </row>
    <row r="92" spans="1:45">
      <c r="A92" s="276"/>
      <c r="B92" s="293" t="b">
        <v>0</v>
      </c>
      <c r="C92" s="264"/>
      <c r="D92" s="294" t="b">
        <v>0</v>
      </c>
      <c r="E92" s="269" t="s">
        <v>2199</v>
      </c>
      <c r="F92" s="295" t="b">
        <v>0</v>
      </c>
      <c r="G92" s="270" t="s">
        <v>2319</v>
      </c>
      <c r="H92" s="152" t="b">
        <v>0</v>
      </c>
      <c r="I92" s="269" t="s">
        <v>2421</v>
      </c>
      <c r="J92" s="273"/>
      <c r="K92" s="269" t="s">
        <v>2546</v>
      </c>
      <c r="L92" s="270"/>
      <c r="M92" s="269"/>
      <c r="N92" s="270"/>
      <c r="O92" s="269"/>
      <c r="P92" s="264"/>
      <c r="Q92" s="265"/>
      <c r="R92" s="264"/>
      <c r="S92" s="265"/>
      <c r="T92" s="264"/>
      <c r="U92" s="265"/>
      <c r="V92" s="264"/>
      <c r="W92" s="265"/>
      <c r="X92" s="264"/>
      <c r="Y92" s="265"/>
      <c r="Z92" s="264"/>
      <c r="AA92" s="265"/>
      <c r="AB92" s="264"/>
      <c r="AC92" s="265"/>
      <c r="AD92" s="264"/>
      <c r="AE92" s="265"/>
      <c r="AF92" s="264"/>
      <c r="AG92" s="265"/>
      <c r="AH92" s="264"/>
      <c r="AI92" s="265"/>
      <c r="AJ92" s="264"/>
      <c r="AK92" s="265"/>
      <c r="AL92" s="264"/>
      <c r="AM92" s="265"/>
      <c r="AN92" s="264"/>
      <c r="AO92" s="297"/>
      <c r="AP92" s="297"/>
      <c r="AQ92" s="297"/>
      <c r="AR92" s="297"/>
      <c r="AS92" s="297"/>
    </row>
    <row r="93" spans="1:45">
      <c r="A93" s="276"/>
      <c r="B93" s="293" t="b">
        <v>0</v>
      </c>
      <c r="C93" s="264"/>
      <c r="D93" s="294" t="b">
        <v>0</v>
      </c>
      <c r="E93" s="269" t="s">
        <v>2201</v>
      </c>
      <c r="F93" s="295" t="b">
        <v>0</v>
      </c>
      <c r="G93" s="270" t="s">
        <v>2317</v>
      </c>
      <c r="H93" s="152" t="b">
        <v>0</v>
      </c>
      <c r="I93" s="269" t="s">
        <v>2423</v>
      </c>
      <c r="J93" s="264"/>
      <c r="K93" s="269" t="s">
        <v>2549</v>
      </c>
      <c r="L93" s="270"/>
      <c r="M93" s="269"/>
      <c r="N93" s="264"/>
      <c r="O93" s="265"/>
      <c r="P93" s="264"/>
      <c r="Q93" s="265"/>
      <c r="R93" s="264"/>
      <c r="S93" s="265"/>
      <c r="T93" s="264"/>
      <c r="U93" s="265"/>
      <c r="V93" s="264"/>
      <c r="W93" s="265"/>
      <c r="X93" s="264"/>
      <c r="Y93" s="265"/>
      <c r="Z93" s="264"/>
      <c r="AA93" s="265"/>
      <c r="AB93" s="264"/>
      <c r="AC93" s="265"/>
      <c r="AD93" s="264"/>
      <c r="AE93" s="265"/>
      <c r="AF93" s="264"/>
      <c r="AG93" s="265"/>
      <c r="AH93" s="264"/>
      <c r="AI93" s="265"/>
      <c r="AJ93" s="264"/>
      <c r="AK93" s="265"/>
      <c r="AL93" s="264"/>
      <c r="AM93" s="265"/>
      <c r="AN93" s="264"/>
      <c r="AO93" s="297"/>
      <c r="AP93" s="297"/>
      <c r="AQ93" s="297"/>
      <c r="AR93" s="297"/>
      <c r="AS93" s="297"/>
    </row>
    <row r="94" spans="1:45">
      <c r="A94" s="276"/>
      <c r="B94" s="293" t="b">
        <v>0</v>
      </c>
      <c r="C94" s="264"/>
      <c r="D94" s="294" t="b">
        <v>0</v>
      </c>
      <c r="E94" s="269" t="s">
        <v>2203</v>
      </c>
      <c r="F94" s="296" t="b">
        <v>0</v>
      </c>
      <c r="G94" s="273"/>
      <c r="H94" s="152" t="b">
        <v>0</v>
      </c>
      <c r="I94" s="269"/>
      <c r="J94" s="264"/>
      <c r="K94" s="269"/>
      <c r="L94" s="270"/>
      <c r="M94" s="269"/>
      <c r="N94" s="264"/>
      <c r="O94" s="265"/>
      <c r="P94" s="264"/>
      <c r="Q94" s="265"/>
      <c r="R94" s="264"/>
      <c r="S94" s="265"/>
      <c r="T94" s="264"/>
      <c r="U94" s="265"/>
      <c r="V94" s="264"/>
      <c r="W94" s="265"/>
      <c r="X94" s="264"/>
      <c r="Y94" s="265"/>
      <c r="Z94" s="264"/>
      <c r="AA94" s="265"/>
      <c r="AB94" s="264"/>
      <c r="AC94" s="265"/>
      <c r="AD94" s="264"/>
      <c r="AE94" s="265"/>
      <c r="AF94" s="264"/>
      <c r="AG94" s="265"/>
      <c r="AH94" s="264"/>
      <c r="AI94" s="265"/>
      <c r="AJ94" s="264"/>
      <c r="AK94" s="265"/>
      <c r="AL94" s="264"/>
      <c r="AM94" s="265"/>
      <c r="AN94" s="264"/>
      <c r="AO94" s="297"/>
      <c r="AP94" s="297"/>
      <c r="AQ94" s="297"/>
      <c r="AR94" s="297"/>
      <c r="AS94" s="297"/>
    </row>
    <row r="95" spans="1:45" ht="23.25" customHeight="1">
      <c r="A95" s="277"/>
      <c r="B95" s="298" t="b">
        <v>0</v>
      </c>
      <c r="C95" s="278"/>
      <c r="D95" s="299" t="b">
        <v>0</v>
      </c>
      <c r="E95" s="277"/>
      <c r="F95" s="298" t="b">
        <v>0</v>
      </c>
      <c r="G95" s="278"/>
      <c r="H95" s="299" t="b">
        <v>0</v>
      </c>
      <c r="I95" s="277"/>
      <c r="J95" s="278"/>
      <c r="K95" s="277"/>
      <c r="L95" s="278"/>
      <c r="M95" s="277"/>
      <c r="N95" s="278"/>
      <c r="O95" s="277"/>
      <c r="P95" s="278"/>
      <c r="Q95" s="277"/>
      <c r="R95" s="278"/>
      <c r="S95" s="277"/>
      <c r="T95" s="278"/>
      <c r="U95" s="277"/>
      <c r="V95" s="278"/>
      <c r="W95" s="277"/>
      <c r="X95" s="278"/>
      <c r="Y95" s="277"/>
      <c r="Z95" s="278"/>
      <c r="AA95" s="277"/>
      <c r="AB95" s="278"/>
      <c r="AC95" s="277"/>
      <c r="AD95" s="278"/>
      <c r="AE95" s="277"/>
      <c r="AF95" s="278"/>
      <c r="AG95" s="277"/>
      <c r="AH95" s="278"/>
      <c r="AI95" s="277"/>
      <c r="AJ95" s="278"/>
      <c r="AK95" s="277"/>
      <c r="AL95" s="278"/>
      <c r="AM95" s="277"/>
      <c r="AN95" s="278"/>
      <c r="AO95" s="278"/>
      <c r="AP95" s="278"/>
      <c r="AQ95" s="278"/>
      <c r="AR95" s="278"/>
      <c r="AS95" s="278"/>
    </row>
    <row r="96" spans="1:45">
      <c r="A96" s="152" t="s">
        <v>1579</v>
      </c>
      <c r="B96" s="250" t="b">
        <v>0</v>
      </c>
      <c r="C96" s="250" t="str">
        <f>"Tier 6 ("&amp;COUNTIF(C97,"&lt;&gt;")&amp;IF(COUNTIF(C97:C98,"&lt;&gt;")=1," curse)"," curses)")</f>
        <v>Tier 6 (1 curse)</v>
      </c>
      <c r="D96" s="299" t="b">
        <v>0</v>
      </c>
      <c r="E96" s="277"/>
      <c r="F96" s="298" t="b">
        <v>0</v>
      </c>
      <c r="G96" s="278"/>
      <c r="H96" s="299" t="b">
        <v>0</v>
      </c>
      <c r="I96" s="277"/>
      <c r="J96" s="278"/>
      <c r="K96" s="277"/>
      <c r="L96" s="278"/>
      <c r="M96" s="277"/>
      <c r="N96" s="278"/>
      <c r="O96" s="277"/>
      <c r="P96" s="278"/>
      <c r="Q96" s="277"/>
      <c r="R96" s="278"/>
      <c r="S96" s="277"/>
      <c r="T96" s="278"/>
      <c r="U96" s="277"/>
      <c r="V96" s="278"/>
      <c r="W96" s="277"/>
      <c r="X96" s="278"/>
      <c r="Y96" s="277"/>
      <c r="Z96" s="278"/>
      <c r="AA96" s="277"/>
      <c r="AB96" s="278"/>
      <c r="AC96" s="277"/>
      <c r="AD96" s="278"/>
      <c r="AE96" s="277"/>
      <c r="AF96" s="278"/>
      <c r="AG96" s="277"/>
      <c r="AH96" s="278"/>
      <c r="AI96" s="277"/>
      <c r="AJ96" s="278"/>
      <c r="AK96" s="277"/>
      <c r="AL96" s="278"/>
      <c r="AM96" s="277"/>
      <c r="AN96" s="278"/>
      <c r="AO96" s="278"/>
      <c r="AP96" s="278"/>
      <c r="AQ96" s="278"/>
      <c r="AR96" s="278"/>
      <c r="AS96" s="278"/>
    </row>
    <row r="97" spans="1:45">
      <c r="A97" s="162"/>
      <c r="B97" s="295" t="b">
        <v>0</v>
      </c>
      <c r="C97" s="253" t="s">
        <v>2874</v>
      </c>
      <c r="D97" s="299" t="b">
        <v>0</v>
      </c>
      <c r="E97" s="277"/>
      <c r="F97" s="298" t="b">
        <v>0</v>
      </c>
      <c r="G97" s="278"/>
      <c r="H97" s="299" t="b">
        <v>0</v>
      </c>
      <c r="I97" s="277"/>
      <c r="J97" s="278"/>
      <c r="K97" s="277"/>
      <c r="L97" s="278"/>
      <c r="M97" s="277"/>
      <c r="N97" s="278"/>
      <c r="O97" s="277"/>
      <c r="P97" s="278"/>
      <c r="Q97" s="277"/>
      <c r="R97" s="278"/>
      <c r="S97" s="277"/>
      <c r="T97" s="278"/>
      <c r="U97" s="277"/>
      <c r="V97" s="278"/>
      <c r="W97" s="277"/>
      <c r="X97" s="278"/>
      <c r="Y97" s="277"/>
      <c r="Z97" s="278"/>
      <c r="AA97" s="277"/>
      <c r="AB97" s="278"/>
      <c r="AC97" s="277"/>
      <c r="AD97" s="278"/>
      <c r="AE97" s="277"/>
      <c r="AF97" s="278"/>
      <c r="AG97" s="277"/>
      <c r="AH97" s="278"/>
      <c r="AI97" s="277"/>
      <c r="AJ97" s="278"/>
      <c r="AK97" s="277"/>
      <c r="AL97" s="278"/>
      <c r="AM97" s="277"/>
      <c r="AN97" s="278"/>
      <c r="AO97" s="278"/>
      <c r="AP97" s="278"/>
      <c r="AQ97" s="278"/>
      <c r="AR97" s="278"/>
      <c r="AS97" s="278"/>
    </row>
    <row r="98" spans="1:45">
      <c r="A98" s="277"/>
      <c r="B98" s="298" t="b">
        <v>0</v>
      </c>
      <c r="C98" s="278"/>
      <c r="D98" s="299" t="b">
        <v>0</v>
      </c>
      <c r="E98" s="277"/>
      <c r="F98" s="298" t="b">
        <v>0</v>
      </c>
      <c r="G98" s="278"/>
      <c r="H98" s="299" t="b">
        <v>0</v>
      </c>
      <c r="I98" s="277"/>
      <c r="J98" s="278"/>
      <c r="K98" s="277"/>
      <c r="L98" s="278"/>
      <c r="M98" s="277"/>
      <c r="N98" s="278"/>
      <c r="O98" s="277"/>
      <c r="P98" s="278"/>
      <c r="Q98" s="277"/>
      <c r="R98" s="278"/>
      <c r="S98" s="277"/>
      <c r="T98" s="278"/>
      <c r="U98" s="277"/>
      <c r="V98" s="278"/>
      <c r="W98" s="277"/>
      <c r="X98" s="278"/>
      <c r="Y98" s="277"/>
      <c r="Z98" s="278"/>
      <c r="AA98" s="277"/>
      <c r="AB98" s="278"/>
      <c r="AC98" s="277"/>
      <c r="AD98" s="278"/>
      <c r="AE98" s="277"/>
      <c r="AF98" s="278"/>
      <c r="AG98" s="277"/>
      <c r="AH98" s="278"/>
      <c r="AI98" s="277"/>
      <c r="AJ98" s="278"/>
      <c r="AK98" s="277"/>
      <c r="AL98" s="278"/>
      <c r="AM98" s="277"/>
      <c r="AN98" s="278"/>
      <c r="AO98" s="278"/>
      <c r="AP98" s="278"/>
      <c r="AQ98" s="278"/>
      <c r="AR98" s="278"/>
      <c r="AS98" s="278"/>
    </row>
    <row r="99" spans="1:45">
      <c r="A99" s="249" t="s">
        <v>3906</v>
      </c>
      <c r="B99" s="250" t="b">
        <v>0</v>
      </c>
      <c r="C99" s="250" t="str">
        <f>"Tier 1 ("&amp;COUNTIF(C100:C126,"&lt;&gt;")&amp;IF(COUNTIF(C100:C126,"&lt;&gt;")=1," blessing)"," blessings)")</f>
        <v>Tier 1 (3 blessings)</v>
      </c>
      <c r="D99" s="251" t="b">
        <v>0</v>
      </c>
      <c r="E99" s="251" t="str">
        <f>"Tier 2 ("&amp;COUNTIF(E100:E126,"&lt;&gt;")&amp;IF(COUNTIF(E100:E126,"&lt;&gt;")=1," blessing)"," blessings)")</f>
        <v>Tier 2 (3 blessings)</v>
      </c>
      <c r="F99" s="250" t="b">
        <v>0</v>
      </c>
      <c r="G99" s="250" t="str">
        <f>"Tier 3 ("&amp;COUNTIF(G100:G126,"&lt;&gt;")&amp;IF(COUNTIF(G100:G126,"&lt;&gt;")=1," blessing)"," blessings)")</f>
        <v>Tier 3 (8 blessings)</v>
      </c>
      <c r="H99" s="251" t="b">
        <v>0</v>
      </c>
      <c r="I99" s="251" t="str">
        <f>"Tier 4 ("&amp;COUNTIF(I100:I126,"&lt;&gt;")&amp;IF(COUNTIF(I100:I126,"&lt;&gt;")=1," blessing)"," blessings)")</f>
        <v>Tier 4 (27 blessings)</v>
      </c>
      <c r="J99" s="250" t="str">
        <f>"Tier 5 ("&amp;COUNTIF(J100:J126,"&lt;&gt;")&amp;IF(COUNTIF(J100:J126,"&lt;&gt;")=1," blessing)"," blessings)")</f>
        <v>Tier 5 (5 blessings)</v>
      </c>
      <c r="K99" s="251" t="str">
        <f>"Tier 6 ("&amp;COUNTIF(K100:K126,"&lt;&gt;")&amp;IF(COUNTIF(K100:K126,"&lt;&gt;")=1," blessing)"," blessings)")</f>
        <v>Tier 6 (8 blessings)</v>
      </c>
      <c r="L99" s="250" t="str">
        <f>"Tier 7 ("&amp;COUNTIF(L100:L126,"&lt;&gt;")&amp;IF(COUNTIF(L100:L126,"&lt;&gt;")=1," blessing)"," blessings)")</f>
        <v>Tier 7 (8 blessings)</v>
      </c>
      <c r="M99" s="251" t="str">
        <f>"Tier 8 ("&amp;COUNTIF(M100:M126,"&lt;&gt;")&amp;IF(COUNTIF(M100:M126,"&lt;&gt;")=1," blessing)"," blessings)")</f>
        <v>Tier 8 (12 blessings)</v>
      </c>
      <c r="N99" s="250" t="str">
        <f>"Tier 9 ("&amp;COUNTIF(N100:N126,"&lt;&gt;")&amp;IF(COUNTIF(N100:N126,"&lt;&gt;")=1," blessing)"," blessings)")</f>
        <v>Tier 9 (2 blessings)</v>
      </c>
      <c r="O99" s="251" t="str">
        <f>"Tier 10 ("&amp;COUNTIF(O100:O126,"&lt;&gt;")&amp;IF(COUNTIF(O100:O126,"&lt;&gt;")=1," blessing)"," blessings)")</f>
        <v>Tier 10 (2 blessings)</v>
      </c>
      <c r="P99" s="250" t="str">
        <f>"Tier 11 ("&amp;COUNTIF(P100:P126,"&lt;&gt;")&amp;IF(COUNTIF(P100:P126,"&lt;&gt;")=1," blessing)"," blessings)")</f>
        <v>Tier 11 (1 blessing)</v>
      </c>
      <c r="Q99" s="251" t="str">
        <f>"Tier 12 ("&amp;COUNTIF(Q100:Q126,"&lt;&gt;")&amp;IF(COUNTIF(Q100:Q126,"&lt;&gt;")=1," blessing)"," blessings)")</f>
        <v>Tier 12 (4 blessings)</v>
      </c>
      <c r="R99" s="250" t="str">
        <f>"Tier 13 ("&amp;COUNTIF(R100:R126,"&lt;&gt;")&amp;IF(COUNTIF(R100:R126,"&lt;&gt;")=1," blessing)"," blessings)")</f>
        <v>Tier 13 (3 blessings)</v>
      </c>
      <c r="S99" s="251" t="str">
        <f>"Tier 14 ("&amp;COUNTIF(S100:S126,"&lt;&gt;")&amp;IF(COUNTIF(S100:S126,"&lt;&gt;")=1," blessing)"," blessings)")</f>
        <v>Tier 14 (1 blessing)</v>
      </c>
      <c r="T99" s="250" t="str">
        <f>"Tier 15 ("&amp;COUNTIF(T100:T126,"&lt;&gt;")&amp;IF(COUNTIF(T100:T126,"&lt;&gt;")=1," blessing)"," blessings)")</f>
        <v>Tier 15 (1 blessing)</v>
      </c>
      <c r="U99" s="251" t="str">
        <f>"Tier 16 ("&amp;COUNTIF(U100:U126,"&lt;&gt;")&amp;IF(COUNTIF(U100:U126,"&lt;&gt;")=1," blessing)"," blessings)")</f>
        <v>Tier 16 (1 blessing)</v>
      </c>
      <c r="V99" s="250" t="str">
        <f>"Tier 18 ("&amp;COUNTIF(V100:V126,"&lt;&gt;")&amp;IF(COUNTIF(V100:V126,"&lt;&gt;")=1," blessing)"," blessings)")</f>
        <v>Tier 18 (1 blessing)</v>
      </c>
      <c r="W99" s="251" t="str">
        <f>"Tier 20 ("&amp;COUNTIF(W100:W126,"&lt;&gt;")&amp;IF(COUNTIF(W100:W126,"&lt;&gt;")=1," blessing)"," blessings)")</f>
        <v>Tier 20 (1 blessing)</v>
      </c>
      <c r="X99" s="250" t="str">
        <f>"Tier 21 ("&amp;COUNTIF(X100:X126,"&lt;&gt;")&amp;IF(COUNTIF(X100:X126,"&lt;&gt;")=1," blessing)"," blessings)")</f>
        <v>Tier 21 (2 blessings)</v>
      </c>
      <c r="Y99" s="251" t="str">
        <f>"Tier 22 ("&amp;COUNTIF(Y100:Y126,"&lt;&gt;")&amp;IF(COUNTIF(Y100:Y126,"&lt;&gt;")=1," blessing)"," blessings)")</f>
        <v>Tier 22 (1 blessing)</v>
      </c>
      <c r="Z99" s="250" t="str">
        <f>"Tier 25 ("&amp;COUNTIF(Z100:Z126,"&lt;&gt;")&amp;IF(COUNTIF(Z100:Z126,"&lt;&gt;")=1," blessing)"," blessings)")</f>
        <v>Tier 25 (1 blessing)</v>
      </c>
      <c r="AA99" s="251" t="str">
        <f>"Tier 30 ("&amp;COUNTIF(AA100:AA126,"&lt;&gt;")&amp;IF(COUNTIF(AA100:AA126,"&lt;&gt;")=1," blessing)"," blessings)")</f>
        <v>Tier 30 (2 blessings)</v>
      </c>
      <c r="AB99" s="250" t="str">
        <f>"Tier 200 ("&amp;COUNTIF(AB100:AB126,"&lt;&gt;")&amp;IF(COUNTIF(AB100:AB126,"&lt;&gt;")=1," blessing)"," blessings)")</f>
        <v>Tier 200 (1 blessing)</v>
      </c>
      <c r="AC99" s="278"/>
      <c r="AD99" s="277"/>
      <c r="AE99" s="278"/>
      <c r="AF99" s="277"/>
      <c r="AG99" s="278"/>
      <c r="AH99" s="277"/>
      <c r="AI99" s="278"/>
      <c r="AJ99" s="277"/>
      <c r="AK99" s="278"/>
      <c r="AL99" s="277"/>
      <c r="AM99" s="278"/>
      <c r="AN99" s="277"/>
      <c r="AO99" s="278"/>
      <c r="AP99" s="277"/>
      <c r="AQ99" s="278"/>
      <c r="AR99" s="278"/>
    </row>
    <row r="100" spans="1:45">
      <c r="A100" s="141"/>
      <c r="B100" s="295" t="b">
        <v>0</v>
      </c>
      <c r="C100" s="252" t="s">
        <v>2910</v>
      </c>
      <c r="D100" s="152" t="b">
        <v>0</v>
      </c>
      <c r="E100" s="153" t="s">
        <v>2917</v>
      </c>
      <c r="F100" s="295" t="b">
        <v>0</v>
      </c>
      <c r="G100" s="253" t="s">
        <v>2923</v>
      </c>
      <c r="H100" s="152" t="b">
        <v>0</v>
      </c>
      <c r="I100" s="153" t="s">
        <v>2941</v>
      </c>
      <c r="J100" s="253" t="s">
        <v>2999</v>
      </c>
      <c r="K100" s="153" t="s">
        <v>3008</v>
      </c>
      <c r="L100" s="253" t="s">
        <v>3027</v>
      </c>
      <c r="M100" s="153" t="s">
        <v>3907</v>
      </c>
      <c r="N100" s="253" t="s">
        <v>3063</v>
      </c>
      <c r="O100" s="153" t="s">
        <v>3067</v>
      </c>
      <c r="P100" s="253" t="s">
        <v>3071</v>
      </c>
      <c r="Q100" s="153" t="s">
        <v>3075</v>
      </c>
      <c r="R100" s="253" t="s">
        <v>3081</v>
      </c>
      <c r="S100" s="153" t="s">
        <v>3087</v>
      </c>
      <c r="T100" s="253" t="s">
        <v>3089</v>
      </c>
      <c r="U100" s="153" t="s">
        <v>3091</v>
      </c>
      <c r="V100" s="253" t="s">
        <v>3093</v>
      </c>
      <c r="W100" s="153" t="s">
        <v>3095</v>
      </c>
      <c r="X100" s="253" t="s">
        <v>3097</v>
      </c>
      <c r="Y100" s="153" t="s">
        <v>3101</v>
      </c>
      <c r="Z100" s="253" t="s">
        <v>3103</v>
      </c>
      <c r="AA100" s="153" t="s">
        <v>3105</v>
      </c>
      <c r="AB100" s="253" t="s">
        <v>3109</v>
      </c>
      <c r="AC100" s="278"/>
      <c r="AD100" s="277"/>
      <c r="AE100" s="278"/>
      <c r="AF100" s="277"/>
      <c r="AG100" s="278"/>
      <c r="AH100" s="277"/>
      <c r="AI100" s="278"/>
      <c r="AJ100" s="277"/>
      <c r="AK100" s="278"/>
      <c r="AL100" s="277"/>
      <c r="AM100" s="278"/>
      <c r="AN100" s="277"/>
      <c r="AO100" s="278"/>
      <c r="AP100" s="277"/>
      <c r="AQ100" s="278"/>
      <c r="AR100" s="278"/>
    </row>
    <row r="101" spans="1:45">
      <c r="A101" s="193"/>
      <c r="B101" s="295" t="b">
        <v>0</v>
      </c>
      <c r="C101" s="252" t="s">
        <v>2913</v>
      </c>
      <c r="D101" s="152" t="b">
        <v>0</v>
      </c>
      <c r="E101" s="153" t="s">
        <v>2919</v>
      </c>
      <c r="F101" s="295" t="b">
        <v>0</v>
      </c>
      <c r="G101" s="253" t="s">
        <v>2925</v>
      </c>
      <c r="H101" s="152" t="b">
        <v>0</v>
      </c>
      <c r="I101" s="153" t="s">
        <v>2944</v>
      </c>
      <c r="J101" s="253" t="s">
        <v>3001</v>
      </c>
      <c r="K101" s="153" t="s">
        <v>3010</v>
      </c>
      <c r="L101" s="253" t="s">
        <v>3029</v>
      </c>
      <c r="M101" s="153" t="s">
        <v>3908</v>
      </c>
      <c r="N101" s="253" t="s">
        <v>3065</v>
      </c>
      <c r="O101" s="153" t="s">
        <v>3069</v>
      </c>
      <c r="P101" s="253"/>
      <c r="Q101" s="153" t="s">
        <v>3077</v>
      </c>
      <c r="R101" s="253" t="s">
        <v>3083</v>
      </c>
      <c r="S101" s="153"/>
      <c r="T101" s="253"/>
      <c r="U101" s="153"/>
      <c r="V101" s="253"/>
      <c r="W101" s="153"/>
      <c r="X101" s="253" t="s">
        <v>3099</v>
      </c>
      <c r="Y101" s="153"/>
      <c r="Z101" s="253"/>
      <c r="AA101" s="153" t="s">
        <v>3107</v>
      </c>
      <c r="AB101" s="253"/>
      <c r="AC101" s="278"/>
      <c r="AD101" s="277"/>
      <c r="AE101" s="278"/>
      <c r="AF101" s="277"/>
      <c r="AG101" s="278"/>
      <c r="AH101" s="277"/>
      <c r="AI101" s="278"/>
      <c r="AJ101" s="277"/>
      <c r="AK101" s="278"/>
      <c r="AL101" s="277"/>
      <c r="AM101" s="278"/>
      <c r="AN101" s="277"/>
      <c r="AO101" s="278"/>
      <c r="AP101" s="277"/>
      <c r="AQ101" s="278"/>
      <c r="AR101" s="278"/>
    </row>
    <row r="102" spans="1:45">
      <c r="A102" s="193"/>
      <c r="B102" s="295" t="b">
        <v>0</v>
      </c>
      <c r="C102" s="253" t="s">
        <v>2915</v>
      </c>
      <c r="D102" s="152" t="b">
        <v>0</v>
      </c>
      <c r="E102" s="153" t="s">
        <v>2921</v>
      </c>
      <c r="F102" s="295" t="b">
        <v>0</v>
      </c>
      <c r="G102" s="253" t="s">
        <v>2927</v>
      </c>
      <c r="H102" s="152" t="b">
        <v>0</v>
      </c>
      <c r="I102" s="153" t="s">
        <v>2947</v>
      </c>
      <c r="J102" s="253" t="s">
        <v>236</v>
      </c>
      <c r="K102" s="153" t="s">
        <v>3012</v>
      </c>
      <c r="L102" s="253" t="s">
        <v>3031</v>
      </c>
      <c r="M102" s="153" t="s">
        <v>4352</v>
      </c>
      <c r="N102" s="253"/>
      <c r="O102" s="153"/>
      <c r="P102" s="253"/>
      <c r="Q102" s="153" t="s">
        <v>3073</v>
      </c>
      <c r="R102" s="253" t="s">
        <v>3085</v>
      </c>
      <c r="S102" s="153"/>
      <c r="T102" s="253"/>
      <c r="U102" s="153"/>
      <c r="V102" s="253"/>
      <c r="W102" s="153"/>
      <c r="X102" s="253"/>
      <c r="Y102" s="153"/>
      <c r="Z102" s="253"/>
      <c r="AA102" s="153"/>
      <c r="AB102" s="253"/>
      <c r="AC102" s="278"/>
      <c r="AD102" s="277"/>
      <c r="AE102" s="278"/>
      <c r="AF102" s="277"/>
      <c r="AG102" s="278"/>
      <c r="AH102" s="277"/>
      <c r="AI102" s="278"/>
      <c r="AJ102" s="277"/>
      <c r="AK102" s="278"/>
      <c r="AL102" s="277"/>
      <c r="AM102" s="278"/>
      <c r="AN102" s="277"/>
      <c r="AO102" s="278"/>
      <c r="AP102" s="277"/>
      <c r="AQ102" s="278"/>
      <c r="AR102" s="278"/>
    </row>
    <row r="103" spans="1:45">
      <c r="A103" s="193"/>
      <c r="B103" s="295" t="b">
        <v>0</v>
      </c>
      <c r="C103" s="253"/>
      <c r="D103" s="152" t="b">
        <v>0</v>
      </c>
      <c r="E103" s="153"/>
      <c r="F103" s="295" t="b">
        <v>0</v>
      </c>
      <c r="G103" s="253" t="s">
        <v>2929</v>
      </c>
      <c r="H103" s="152" t="b">
        <v>0</v>
      </c>
      <c r="I103" s="153" t="s">
        <v>2950</v>
      </c>
      <c r="J103" s="253" t="s">
        <v>3004</v>
      </c>
      <c r="K103" s="153" t="s">
        <v>3014</v>
      </c>
      <c r="L103" s="253" t="s">
        <v>3033</v>
      </c>
      <c r="M103" s="153" t="s">
        <v>3910</v>
      </c>
      <c r="N103" s="253"/>
      <c r="O103" s="153"/>
      <c r="P103" s="253"/>
      <c r="Q103" s="153" t="s">
        <v>3079</v>
      </c>
      <c r="R103" s="253"/>
      <c r="S103" s="153"/>
      <c r="T103" s="253"/>
      <c r="U103" s="153"/>
      <c r="V103" s="253"/>
      <c r="W103" s="153"/>
      <c r="X103" s="253"/>
      <c r="Y103" s="153"/>
      <c r="Z103" s="253"/>
      <c r="AA103" s="153"/>
      <c r="AB103" s="253"/>
      <c r="AC103" s="278"/>
      <c r="AD103" s="277"/>
      <c r="AE103" s="278"/>
      <c r="AF103" s="277"/>
      <c r="AG103" s="278"/>
      <c r="AH103" s="277"/>
      <c r="AI103" s="278"/>
      <c r="AJ103" s="277"/>
      <c r="AK103" s="278"/>
      <c r="AL103" s="277"/>
      <c r="AM103" s="278"/>
      <c r="AN103" s="277"/>
      <c r="AO103" s="278"/>
      <c r="AP103" s="277"/>
      <c r="AQ103" s="278"/>
      <c r="AR103" s="278"/>
    </row>
    <row r="104" spans="1:45">
      <c r="A104" s="193"/>
      <c r="B104" s="295" t="b">
        <v>0</v>
      </c>
      <c r="C104" s="253"/>
      <c r="D104" s="152" t="b">
        <v>0</v>
      </c>
      <c r="E104" s="153"/>
      <c r="F104" s="295" t="b">
        <v>0</v>
      </c>
      <c r="G104" s="253" t="s">
        <v>2931</v>
      </c>
      <c r="H104" s="152" t="b">
        <v>0</v>
      </c>
      <c r="I104" s="153" t="s">
        <v>2953</v>
      </c>
      <c r="J104" s="253" t="s">
        <v>3006</v>
      </c>
      <c r="K104" s="153" t="s">
        <v>3016</v>
      </c>
      <c r="L104" s="253" t="s">
        <v>3035</v>
      </c>
      <c r="M104" s="153" t="s">
        <v>3911</v>
      </c>
      <c r="N104" s="253"/>
      <c r="O104" s="153"/>
      <c r="P104" s="253"/>
      <c r="Q104" s="153"/>
      <c r="R104" s="253"/>
      <c r="S104" s="153"/>
      <c r="T104" s="253"/>
      <c r="U104" s="153"/>
      <c r="V104" s="253"/>
      <c r="W104" s="153"/>
      <c r="X104" s="253"/>
      <c r="Y104" s="153"/>
      <c r="Z104" s="253"/>
      <c r="AA104" s="153"/>
      <c r="AB104" s="253"/>
      <c r="AC104" s="278"/>
      <c r="AD104" s="277"/>
      <c r="AE104" s="278"/>
      <c r="AF104" s="277"/>
      <c r="AG104" s="278"/>
      <c r="AH104" s="277"/>
      <c r="AI104" s="278"/>
      <c r="AJ104" s="277"/>
      <c r="AK104" s="278"/>
      <c r="AL104" s="277"/>
      <c r="AM104" s="278"/>
      <c r="AN104" s="277"/>
      <c r="AO104" s="278"/>
      <c r="AP104" s="277"/>
      <c r="AQ104" s="278"/>
      <c r="AR104" s="278"/>
    </row>
    <row r="105" spans="1:45">
      <c r="A105" s="193"/>
      <c r="B105" s="295" t="b">
        <v>0</v>
      </c>
      <c r="C105" s="253"/>
      <c r="D105" s="152" t="b">
        <v>0</v>
      </c>
      <c r="E105" s="153"/>
      <c r="F105" s="295" t="b">
        <v>0</v>
      </c>
      <c r="G105" s="253" t="s">
        <v>2933</v>
      </c>
      <c r="H105" s="152" t="b">
        <v>0</v>
      </c>
      <c r="I105" s="153" t="s">
        <v>2957</v>
      </c>
      <c r="J105" s="253"/>
      <c r="K105" s="153" t="s">
        <v>3021</v>
      </c>
      <c r="L105" s="252" t="s">
        <v>3037</v>
      </c>
      <c r="M105" s="153" t="s">
        <v>3059</v>
      </c>
      <c r="N105" s="253"/>
      <c r="O105" s="153"/>
      <c r="P105" s="253"/>
      <c r="Q105" s="153"/>
      <c r="R105" s="253"/>
      <c r="S105" s="153"/>
      <c r="T105" s="253"/>
      <c r="U105" s="153"/>
      <c r="V105" s="253"/>
      <c r="W105" s="153"/>
      <c r="X105" s="253"/>
      <c r="Y105" s="153"/>
      <c r="Z105" s="253"/>
      <c r="AA105" s="153"/>
      <c r="AB105" s="253"/>
      <c r="AC105" s="278"/>
      <c r="AD105" s="277"/>
      <c r="AE105" s="278"/>
      <c r="AF105" s="277"/>
      <c r="AG105" s="278"/>
      <c r="AH105" s="277"/>
      <c r="AI105" s="278"/>
      <c r="AJ105" s="277"/>
      <c r="AK105" s="278"/>
      <c r="AL105" s="277"/>
      <c r="AM105" s="278"/>
      <c r="AN105" s="277"/>
      <c r="AO105" s="278"/>
      <c r="AP105" s="277"/>
      <c r="AQ105" s="278"/>
      <c r="AR105" s="278"/>
    </row>
    <row r="106" spans="1:45">
      <c r="A106" s="193"/>
      <c r="B106" s="295" t="b">
        <v>0</v>
      </c>
      <c r="C106" s="253"/>
      <c r="D106" s="152" t="b">
        <v>0</v>
      </c>
      <c r="E106" s="153"/>
      <c r="F106" s="295" t="b">
        <v>0</v>
      </c>
      <c r="G106" s="253" t="s">
        <v>2935</v>
      </c>
      <c r="H106" s="152" t="b">
        <v>0</v>
      </c>
      <c r="I106" s="153" t="s">
        <v>2959</v>
      </c>
      <c r="J106" s="253"/>
      <c r="K106" s="153" t="s">
        <v>3023</v>
      </c>
      <c r="L106" s="253" t="s">
        <v>3039</v>
      </c>
      <c r="M106" s="153" t="s">
        <v>3053</v>
      </c>
      <c r="N106" s="253"/>
      <c r="O106" s="153"/>
      <c r="P106" s="253"/>
      <c r="Q106" s="153"/>
      <c r="R106" s="253"/>
      <c r="S106" s="153"/>
      <c r="T106" s="253"/>
      <c r="U106" s="153"/>
      <c r="V106" s="253"/>
      <c r="W106" s="153"/>
      <c r="X106" s="253"/>
      <c r="Y106" s="153"/>
      <c r="Z106" s="253"/>
      <c r="AA106" s="153"/>
      <c r="AB106" s="253"/>
      <c r="AC106" s="278"/>
      <c r="AD106" s="277"/>
      <c r="AE106" s="278"/>
      <c r="AF106" s="277"/>
      <c r="AG106" s="278"/>
      <c r="AH106" s="277"/>
      <c r="AI106" s="278"/>
      <c r="AJ106" s="277"/>
      <c r="AK106" s="278"/>
      <c r="AL106" s="277"/>
      <c r="AM106" s="278"/>
      <c r="AN106" s="277"/>
      <c r="AO106" s="278"/>
      <c r="AP106" s="277"/>
      <c r="AQ106" s="278"/>
      <c r="AR106" s="278"/>
    </row>
    <row r="107" spans="1:45">
      <c r="A107" s="193"/>
      <c r="B107" s="295" t="b">
        <v>0</v>
      </c>
      <c r="C107" s="253"/>
      <c r="D107" s="152" t="b">
        <v>0</v>
      </c>
      <c r="E107" s="153"/>
      <c r="F107" s="295" t="b">
        <v>0</v>
      </c>
      <c r="G107" s="253" t="s">
        <v>2937</v>
      </c>
      <c r="H107" s="152" t="b">
        <v>0</v>
      </c>
      <c r="I107" s="153" t="s">
        <v>2961</v>
      </c>
      <c r="J107" s="253"/>
      <c r="K107" s="153" t="s">
        <v>4353</v>
      </c>
      <c r="L107" s="252" t="s">
        <v>3041</v>
      </c>
      <c r="M107" s="153" t="s">
        <v>3055</v>
      </c>
      <c r="N107" s="253"/>
      <c r="O107" s="153"/>
      <c r="P107" s="253"/>
      <c r="Q107" s="153"/>
      <c r="R107" s="253"/>
      <c r="S107" s="153"/>
      <c r="T107" s="253"/>
      <c r="U107" s="153"/>
      <c r="V107" s="253"/>
      <c r="W107" s="153"/>
      <c r="X107" s="253"/>
      <c r="Y107" s="153"/>
      <c r="Z107" s="253"/>
      <c r="AA107" s="153"/>
      <c r="AB107" s="253"/>
      <c r="AC107" s="278"/>
      <c r="AD107" s="277"/>
      <c r="AE107" s="278"/>
      <c r="AF107" s="277"/>
      <c r="AG107" s="278"/>
      <c r="AH107" s="277"/>
      <c r="AI107" s="278"/>
      <c r="AJ107" s="277"/>
      <c r="AK107" s="278"/>
      <c r="AL107" s="277"/>
      <c r="AM107" s="278"/>
      <c r="AN107" s="277"/>
      <c r="AO107" s="278"/>
      <c r="AP107" s="277"/>
      <c r="AQ107" s="278"/>
      <c r="AR107" s="278"/>
    </row>
    <row r="108" spans="1:45">
      <c r="A108" s="193"/>
      <c r="B108" s="295" t="b">
        <v>0</v>
      </c>
      <c r="C108" s="253"/>
      <c r="D108" s="152" t="b">
        <v>0</v>
      </c>
      <c r="E108" s="153"/>
      <c r="F108" s="295" t="b">
        <v>0</v>
      </c>
      <c r="G108" s="253"/>
      <c r="H108" s="152" t="b">
        <v>0</v>
      </c>
      <c r="I108" s="153" t="s">
        <v>2963</v>
      </c>
      <c r="J108" s="253"/>
      <c r="K108" s="153"/>
      <c r="L108" s="253"/>
      <c r="M108" s="153" t="s">
        <v>3049</v>
      </c>
      <c r="N108" s="253"/>
      <c r="O108" s="153"/>
      <c r="P108" s="253"/>
      <c r="Q108" s="153"/>
      <c r="R108" s="253"/>
      <c r="S108" s="153"/>
      <c r="T108" s="253"/>
      <c r="U108" s="153"/>
      <c r="V108" s="253"/>
      <c r="W108" s="153"/>
      <c r="X108" s="253"/>
      <c r="Y108" s="153"/>
      <c r="Z108" s="253"/>
      <c r="AA108" s="153"/>
      <c r="AB108" s="253"/>
      <c r="AC108" s="278"/>
      <c r="AD108" s="277"/>
      <c r="AE108" s="278"/>
      <c r="AF108" s="277"/>
      <c r="AG108" s="278"/>
      <c r="AH108" s="277"/>
      <c r="AI108" s="278"/>
      <c r="AJ108" s="277"/>
      <c r="AK108" s="278"/>
      <c r="AL108" s="277"/>
      <c r="AM108" s="278"/>
      <c r="AN108" s="277"/>
      <c r="AO108" s="278"/>
      <c r="AP108" s="277"/>
      <c r="AQ108" s="278"/>
      <c r="AR108" s="278"/>
    </row>
    <row r="109" spans="1:45">
      <c r="A109" s="193"/>
      <c r="B109" s="295" t="b">
        <v>0</v>
      </c>
      <c r="C109" s="253"/>
      <c r="D109" s="152" t="b">
        <v>0</v>
      </c>
      <c r="E109" s="153"/>
      <c r="F109" s="295" t="b">
        <v>0</v>
      </c>
      <c r="G109" s="253"/>
      <c r="H109" s="152" t="b">
        <v>0</v>
      </c>
      <c r="I109" s="254" t="s">
        <v>3913</v>
      </c>
      <c r="J109" s="253"/>
      <c r="L109" s="253"/>
      <c r="M109" s="153" t="s">
        <v>3051</v>
      </c>
      <c r="N109" s="253"/>
      <c r="O109" s="153"/>
      <c r="P109" s="253"/>
      <c r="Q109" s="153"/>
      <c r="R109" s="253"/>
      <c r="S109" s="153"/>
      <c r="T109" s="253"/>
      <c r="U109" s="153"/>
      <c r="V109" s="253"/>
      <c r="W109" s="153"/>
      <c r="X109" s="253"/>
      <c r="Y109" s="153"/>
      <c r="Z109" s="253"/>
      <c r="AA109" s="153"/>
      <c r="AB109" s="253"/>
      <c r="AC109" s="278"/>
      <c r="AD109" s="277"/>
      <c r="AE109" s="278"/>
      <c r="AF109" s="277"/>
      <c r="AG109" s="278"/>
      <c r="AH109" s="277"/>
      <c r="AI109" s="278"/>
      <c r="AJ109" s="277"/>
      <c r="AK109" s="278"/>
      <c r="AL109" s="277"/>
      <c r="AM109" s="278"/>
      <c r="AN109" s="277"/>
      <c r="AO109" s="278"/>
      <c r="AP109" s="277"/>
      <c r="AQ109" s="278"/>
      <c r="AR109" s="278"/>
    </row>
    <row r="110" spans="1:45">
      <c r="A110" s="193"/>
      <c r="B110" s="295" t="b">
        <v>0</v>
      </c>
      <c r="C110" s="253"/>
      <c r="D110" s="152" t="b">
        <v>0</v>
      </c>
      <c r="E110" s="153"/>
      <c r="F110" s="295" t="b">
        <v>0</v>
      </c>
      <c r="G110" s="253"/>
      <c r="H110" s="152" t="b">
        <v>0</v>
      </c>
      <c r="I110" s="153" t="s">
        <v>2991</v>
      </c>
      <c r="J110" s="253"/>
      <c r="K110" s="153"/>
      <c r="L110" s="253"/>
      <c r="M110" s="153" t="s">
        <v>3057</v>
      </c>
      <c r="N110" s="253"/>
      <c r="O110" s="153"/>
      <c r="P110" s="253"/>
      <c r="Q110" s="153"/>
      <c r="R110" s="253"/>
      <c r="S110" s="153"/>
      <c r="T110" s="253"/>
      <c r="U110" s="153"/>
      <c r="V110" s="253"/>
      <c r="W110" s="153"/>
      <c r="X110" s="253"/>
      <c r="Y110" s="153"/>
      <c r="Z110" s="253"/>
      <c r="AA110" s="153"/>
      <c r="AB110" s="253"/>
      <c r="AC110" s="278"/>
      <c r="AD110" s="277"/>
      <c r="AE110" s="278"/>
      <c r="AF110" s="277"/>
      <c r="AG110" s="278"/>
      <c r="AH110" s="277"/>
      <c r="AI110" s="278"/>
      <c r="AJ110" s="277"/>
      <c r="AK110" s="278"/>
      <c r="AL110" s="277"/>
      <c r="AM110" s="278"/>
      <c r="AN110" s="277"/>
      <c r="AO110" s="278"/>
      <c r="AP110" s="277"/>
      <c r="AQ110" s="278"/>
      <c r="AR110" s="278"/>
    </row>
    <row r="111" spans="1:45">
      <c r="A111" s="193"/>
      <c r="B111" s="295" t="b">
        <v>0</v>
      </c>
      <c r="C111" s="253"/>
      <c r="D111" s="152" t="b">
        <v>0</v>
      </c>
      <c r="E111" s="153"/>
      <c r="F111" s="295" t="b">
        <v>0</v>
      </c>
      <c r="G111" s="253"/>
      <c r="H111" s="152" t="b">
        <v>0</v>
      </c>
      <c r="I111" s="153" t="s">
        <v>2967</v>
      </c>
      <c r="J111" s="253"/>
      <c r="K111" s="153"/>
      <c r="L111" s="253"/>
      <c r="M111" s="153" t="s">
        <v>3061</v>
      </c>
      <c r="N111" s="253"/>
      <c r="O111" s="153"/>
      <c r="P111" s="253"/>
      <c r="Q111" s="153"/>
      <c r="R111" s="253"/>
      <c r="S111" s="153"/>
      <c r="T111" s="253"/>
      <c r="U111" s="153"/>
      <c r="V111" s="253"/>
      <c r="W111" s="153"/>
      <c r="X111" s="253"/>
      <c r="Y111" s="153"/>
      <c r="Z111" s="253"/>
      <c r="AA111" s="153"/>
      <c r="AB111" s="253"/>
      <c r="AC111" s="278"/>
      <c r="AD111" s="277"/>
      <c r="AE111" s="278"/>
      <c r="AF111" s="277"/>
      <c r="AG111" s="278"/>
      <c r="AH111" s="277"/>
      <c r="AI111" s="278"/>
      <c r="AJ111" s="277"/>
      <c r="AK111" s="278"/>
      <c r="AL111" s="277"/>
      <c r="AM111" s="278"/>
      <c r="AN111" s="277"/>
      <c r="AO111" s="278"/>
      <c r="AP111" s="277"/>
      <c r="AQ111" s="278"/>
      <c r="AR111" s="278"/>
    </row>
    <row r="112" spans="1:45">
      <c r="A112" s="193"/>
      <c r="B112" s="295" t="b">
        <v>0</v>
      </c>
      <c r="C112" s="253"/>
      <c r="D112" s="152" t="b">
        <v>0</v>
      </c>
      <c r="E112" s="153"/>
      <c r="F112" s="295" t="b">
        <v>0</v>
      </c>
      <c r="G112" s="253"/>
      <c r="H112" s="152" t="b">
        <v>0</v>
      </c>
      <c r="I112" s="153" t="s">
        <v>2969</v>
      </c>
      <c r="J112" s="253"/>
      <c r="K112" s="153"/>
      <c r="L112" s="253"/>
      <c r="M112" s="153"/>
      <c r="N112" s="253"/>
      <c r="O112" s="153"/>
      <c r="P112" s="253"/>
      <c r="Q112" s="153"/>
      <c r="R112" s="253"/>
      <c r="S112" s="153"/>
      <c r="T112" s="253"/>
      <c r="U112" s="153"/>
      <c r="V112" s="253"/>
      <c r="W112" s="153"/>
      <c r="X112" s="253"/>
      <c r="Y112" s="153"/>
      <c r="Z112" s="253"/>
      <c r="AA112" s="153"/>
      <c r="AB112" s="253"/>
      <c r="AC112" s="278"/>
      <c r="AD112" s="277"/>
      <c r="AE112" s="278"/>
      <c r="AF112" s="277"/>
      <c r="AG112" s="278"/>
      <c r="AH112" s="277"/>
      <c r="AI112" s="278"/>
      <c r="AJ112" s="277"/>
      <c r="AK112" s="278"/>
      <c r="AL112" s="277"/>
      <c r="AM112" s="278"/>
      <c r="AN112" s="277"/>
      <c r="AO112" s="278"/>
      <c r="AP112" s="277"/>
      <c r="AQ112" s="278"/>
      <c r="AR112" s="278"/>
    </row>
    <row r="113" spans="1:45">
      <c r="A113" s="193"/>
      <c r="B113" s="295" t="b">
        <v>0</v>
      </c>
      <c r="C113" s="253"/>
      <c r="D113" s="152" t="b">
        <v>0</v>
      </c>
      <c r="E113" s="153"/>
      <c r="F113" s="295" t="b">
        <v>0</v>
      </c>
      <c r="G113" s="253"/>
      <c r="H113" s="152" t="b">
        <v>0</v>
      </c>
      <c r="I113" s="153" t="s">
        <v>2971</v>
      </c>
      <c r="J113" s="253"/>
      <c r="K113" s="153"/>
      <c r="L113" s="253"/>
      <c r="N113" s="253"/>
      <c r="O113" s="153"/>
      <c r="P113" s="253"/>
      <c r="Q113" s="153"/>
      <c r="R113" s="253"/>
      <c r="S113" s="153"/>
      <c r="T113" s="253"/>
      <c r="U113" s="153"/>
      <c r="V113" s="253"/>
      <c r="W113" s="153"/>
      <c r="X113" s="253"/>
      <c r="Y113" s="153"/>
      <c r="Z113" s="253"/>
      <c r="AA113" s="153"/>
      <c r="AB113" s="253"/>
      <c r="AC113" s="278"/>
      <c r="AD113" s="277"/>
      <c r="AE113" s="278"/>
      <c r="AF113" s="277"/>
      <c r="AG113" s="278"/>
      <c r="AH113" s="277"/>
      <c r="AI113" s="278"/>
      <c r="AJ113" s="277"/>
      <c r="AK113" s="278"/>
      <c r="AL113" s="277"/>
      <c r="AM113" s="278"/>
      <c r="AN113" s="277"/>
      <c r="AO113" s="278"/>
      <c r="AP113" s="277"/>
      <c r="AQ113" s="278"/>
      <c r="AR113" s="278"/>
    </row>
    <row r="114" spans="1:45">
      <c r="A114" s="193"/>
      <c r="B114" s="295" t="b">
        <v>0</v>
      </c>
      <c r="C114" s="253"/>
      <c r="D114" s="152" t="b">
        <v>0</v>
      </c>
      <c r="E114" s="153"/>
      <c r="F114" s="295" t="b">
        <v>0</v>
      </c>
      <c r="G114" s="253"/>
      <c r="H114" s="152" t="b">
        <v>0</v>
      </c>
      <c r="I114" s="153" t="s">
        <v>2973</v>
      </c>
      <c r="J114" s="253"/>
      <c r="K114" s="153"/>
      <c r="L114" s="253"/>
      <c r="M114" s="153"/>
      <c r="N114" s="253"/>
      <c r="O114" s="153"/>
      <c r="P114" s="253"/>
      <c r="Q114" s="153"/>
      <c r="R114" s="253"/>
      <c r="S114" s="153"/>
      <c r="T114" s="253"/>
      <c r="U114" s="153"/>
      <c r="V114" s="253"/>
      <c r="W114" s="153"/>
      <c r="X114" s="253"/>
      <c r="Y114" s="153"/>
      <c r="Z114" s="253"/>
      <c r="AA114" s="153"/>
      <c r="AB114" s="253"/>
      <c r="AC114" s="278"/>
      <c r="AD114" s="277"/>
      <c r="AE114" s="278"/>
      <c r="AF114" s="277"/>
      <c r="AG114" s="278"/>
      <c r="AH114" s="277"/>
      <c r="AI114" s="278"/>
      <c r="AJ114" s="277"/>
      <c r="AK114" s="278"/>
      <c r="AL114" s="277"/>
      <c r="AM114" s="278"/>
      <c r="AN114" s="277"/>
      <c r="AO114" s="278"/>
      <c r="AP114" s="277"/>
      <c r="AQ114" s="278"/>
      <c r="AR114" s="278"/>
    </row>
    <row r="115" spans="1:45">
      <c r="A115" s="193"/>
      <c r="B115" s="295" t="b">
        <v>0</v>
      </c>
      <c r="C115" s="253"/>
      <c r="D115" s="152" t="b">
        <v>0</v>
      </c>
      <c r="E115" s="153"/>
      <c r="F115" s="295" t="b">
        <v>0</v>
      </c>
      <c r="G115" s="253"/>
      <c r="H115" s="152" t="b">
        <v>0</v>
      </c>
      <c r="I115" s="153" t="s">
        <v>2975</v>
      </c>
      <c r="J115" s="253"/>
      <c r="K115" s="89"/>
      <c r="L115" s="253"/>
      <c r="M115" s="153"/>
      <c r="N115" s="253"/>
      <c r="O115" s="153"/>
      <c r="P115" s="253"/>
      <c r="Q115" s="153"/>
      <c r="R115" s="253"/>
      <c r="S115" s="153"/>
      <c r="T115" s="253"/>
      <c r="U115" s="153"/>
      <c r="V115" s="253"/>
      <c r="W115" s="153"/>
      <c r="X115" s="253"/>
      <c r="Y115" s="153"/>
      <c r="Z115" s="253"/>
      <c r="AA115" s="153"/>
      <c r="AB115" s="253"/>
      <c r="AC115" s="278"/>
      <c r="AD115" s="277"/>
      <c r="AE115" s="278"/>
      <c r="AF115" s="277"/>
      <c r="AG115" s="278"/>
      <c r="AH115" s="277"/>
      <c r="AI115" s="278"/>
      <c r="AJ115" s="277"/>
      <c r="AK115" s="278"/>
      <c r="AL115" s="277"/>
      <c r="AM115" s="278"/>
      <c r="AN115" s="277"/>
      <c r="AO115" s="278"/>
      <c r="AP115" s="277"/>
      <c r="AQ115" s="278"/>
      <c r="AR115" s="278"/>
    </row>
    <row r="116" spans="1:45">
      <c r="A116" s="193"/>
      <c r="B116" s="295" t="b">
        <v>0</v>
      </c>
      <c r="C116" s="253"/>
      <c r="D116" s="152" t="b">
        <v>0</v>
      </c>
      <c r="E116" s="153"/>
      <c r="F116" s="295" t="b">
        <v>0</v>
      </c>
      <c r="G116" s="253"/>
      <c r="H116" s="152" t="b">
        <v>0</v>
      </c>
      <c r="I116" s="153" t="s">
        <v>2977</v>
      </c>
      <c r="J116" s="253"/>
      <c r="K116" s="153"/>
      <c r="L116" s="253"/>
      <c r="M116" s="153"/>
      <c r="N116" s="253"/>
      <c r="O116" s="153"/>
      <c r="P116" s="253"/>
      <c r="Q116" s="153"/>
      <c r="R116" s="253"/>
      <c r="S116" s="153"/>
      <c r="T116" s="253"/>
      <c r="U116" s="153"/>
      <c r="V116" s="253"/>
      <c r="W116" s="153"/>
      <c r="X116" s="253"/>
      <c r="Y116" s="153"/>
      <c r="Z116" s="253"/>
      <c r="AA116" s="153"/>
      <c r="AB116" s="253"/>
      <c r="AC116" s="278"/>
      <c r="AD116" s="277"/>
      <c r="AE116" s="278"/>
      <c r="AF116" s="277"/>
      <c r="AG116" s="278"/>
      <c r="AH116" s="277"/>
      <c r="AI116" s="278"/>
      <c r="AJ116" s="277"/>
      <c r="AK116" s="278"/>
      <c r="AL116" s="277"/>
      <c r="AM116" s="278"/>
      <c r="AN116" s="277"/>
      <c r="AO116" s="278"/>
      <c r="AP116" s="277"/>
      <c r="AQ116" s="278"/>
      <c r="AR116" s="278"/>
    </row>
    <row r="117" spans="1:45">
      <c r="A117" s="193"/>
      <c r="B117" s="295" t="b">
        <v>0</v>
      </c>
      <c r="C117" s="253"/>
      <c r="D117" s="152" t="b">
        <v>0</v>
      </c>
      <c r="E117" s="153"/>
      <c r="F117" s="295" t="b">
        <v>0</v>
      </c>
      <c r="G117" s="253"/>
      <c r="H117" s="152" t="b">
        <v>0</v>
      </c>
      <c r="I117" s="153" t="s">
        <v>2979</v>
      </c>
      <c r="J117" s="253"/>
      <c r="K117" s="153"/>
      <c r="L117" s="253"/>
      <c r="M117" s="153"/>
      <c r="N117" s="253"/>
      <c r="O117" s="153"/>
      <c r="P117" s="253"/>
      <c r="Q117" s="153"/>
      <c r="R117" s="253"/>
      <c r="S117" s="153"/>
      <c r="T117" s="253"/>
      <c r="U117" s="153"/>
      <c r="V117" s="253"/>
      <c r="W117" s="153"/>
      <c r="X117" s="253"/>
      <c r="Y117" s="153"/>
      <c r="Z117" s="253"/>
      <c r="AA117" s="153"/>
      <c r="AB117" s="253"/>
      <c r="AC117" s="278"/>
      <c r="AD117" s="277"/>
      <c r="AE117" s="278"/>
      <c r="AF117" s="277"/>
      <c r="AG117" s="278"/>
      <c r="AH117" s="277"/>
      <c r="AI117" s="278"/>
      <c r="AJ117" s="277"/>
      <c r="AK117" s="278"/>
      <c r="AL117" s="277"/>
      <c r="AM117" s="278"/>
      <c r="AN117" s="277"/>
      <c r="AO117" s="278"/>
      <c r="AP117" s="277"/>
      <c r="AQ117" s="278"/>
      <c r="AR117" s="278"/>
    </row>
    <row r="118" spans="1:45">
      <c r="A118" s="193"/>
      <c r="B118" s="295" t="b">
        <v>0</v>
      </c>
      <c r="C118" s="253"/>
      <c r="D118" s="152" t="b">
        <v>0</v>
      </c>
      <c r="E118" s="153"/>
      <c r="F118" s="295" t="b">
        <v>0</v>
      </c>
      <c r="G118" s="253"/>
      <c r="H118" s="152" t="b">
        <v>0</v>
      </c>
      <c r="I118" s="153" t="s">
        <v>2981</v>
      </c>
      <c r="J118" s="253"/>
      <c r="K118" s="153"/>
      <c r="L118" s="253"/>
      <c r="M118" s="153"/>
      <c r="N118" s="253"/>
      <c r="O118" s="153"/>
      <c r="P118" s="253"/>
      <c r="Q118" s="153"/>
      <c r="R118" s="253"/>
      <c r="S118" s="153"/>
      <c r="T118" s="253"/>
      <c r="U118" s="153"/>
      <c r="V118" s="253"/>
      <c r="W118" s="153"/>
      <c r="X118" s="253"/>
      <c r="Y118" s="153"/>
      <c r="Z118" s="253"/>
      <c r="AA118" s="153"/>
      <c r="AB118" s="253"/>
      <c r="AC118" s="278"/>
      <c r="AD118" s="277"/>
      <c r="AE118" s="278"/>
      <c r="AF118" s="277"/>
      <c r="AG118" s="278"/>
      <c r="AH118" s="277"/>
      <c r="AI118" s="278"/>
      <c r="AJ118" s="277"/>
      <c r="AK118" s="278"/>
      <c r="AL118" s="277"/>
      <c r="AM118" s="278"/>
      <c r="AN118" s="277"/>
      <c r="AO118" s="278"/>
      <c r="AP118" s="277"/>
      <c r="AQ118" s="278"/>
      <c r="AR118" s="278"/>
    </row>
    <row r="119" spans="1:45">
      <c r="A119" s="193"/>
      <c r="B119" s="295" t="b">
        <v>0</v>
      </c>
      <c r="C119" s="253"/>
      <c r="D119" s="152" t="b">
        <v>0</v>
      </c>
      <c r="E119" s="153"/>
      <c r="F119" s="295" t="b">
        <v>0</v>
      </c>
      <c r="G119" s="253"/>
      <c r="H119" s="152" t="b">
        <v>0</v>
      </c>
      <c r="I119" s="153" t="s">
        <v>2983</v>
      </c>
      <c r="J119" s="253"/>
      <c r="K119" s="153"/>
      <c r="L119" s="253"/>
      <c r="M119" s="153"/>
      <c r="N119" s="253"/>
      <c r="O119" s="153"/>
      <c r="P119" s="253"/>
      <c r="Q119" s="153"/>
      <c r="R119" s="253"/>
      <c r="S119" s="153"/>
      <c r="T119" s="253"/>
      <c r="U119" s="153"/>
      <c r="V119" s="253"/>
      <c r="W119" s="153"/>
      <c r="X119" s="253"/>
      <c r="Y119" s="153"/>
      <c r="Z119" s="253"/>
      <c r="AA119" s="153"/>
      <c r="AB119" s="253"/>
      <c r="AC119" s="278"/>
      <c r="AD119" s="277"/>
      <c r="AE119" s="278"/>
      <c r="AF119" s="277"/>
      <c r="AG119" s="278"/>
      <c r="AH119" s="277"/>
      <c r="AI119" s="278"/>
      <c r="AJ119" s="277"/>
      <c r="AK119" s="278"/>
      <c r="AL119" s="277"/>
      <c r="AM119" s="278"/>
      <c r="AN119" s="277"/>
      <c r="AO119" s="278"/>
      <c r="AP119" s="277"/>
      <c r="AQ119" s="278"/>
      <c r="AR119" s="278"/>
    </row>
    <row r="120" spans="1:45">
      <c r="A120" s="193"/>
      <c r="B120" s="295" t="b">
        <v>0</v>
      </c>
      <c r="C120" s="253"/>
      <c r="D120" s="152" t="b">
        <v>0</v>
      </c>
      <c r="E120" s="153"/>
      <c r="F120" s="295" t="b">
        <v>0</v>
      </c>
      <c r="G120" s="253"/>
      <c r="H120" s="152" t="b">
        <v>0</v>
      </c>
      <c r="I120" s="153" t="s">
        <v>2985</v>
      </c>
      <c r="J120" s="253"/>
      <c r="K120" s="153"/>
      <c r="L120" s="253"/>
      <c r="M120" s="153"/>
      <c r="N120" s="253"/>
      <c r="O120" s="153"/>
      <c r="P120" s="253"/>
      <c r="Q120" s="153"/>
      <c r="R120" s="253"/>
      <c r="S120" s="153"/>
      <c r="T120" s="253"/>
      <c r="U120" s="153"/>
      <c r="V120" s="253"/>
      <c r="W120" s="153"/>
      <c r="X120" s="253"/>
      <c r="Y120" s="153"/>
      <c r="Z120" s="253"/>
      <c r="AA120" s="153"/>
      <c r="AB120" s="253"/>
      <c r="AC120" s="278"/>
      <c r="AD120" s="277"/>
      <c r="AE120" s="278"/>
      <c r="AF120" s="277"/>
      <c r="AG120" s="278"/>
      <c r="AH120" s="277"/>
      <c r="AI120" s="278"/>
      <c r="AJ120" s="277"/>
      <c r="AK120" s="278"/>
      <c r="AL120" s="277"/>
      <c r="AM120" s="278"/>
      <c r="AN120" s="277"/>
      <c r="AO120" s="278"/>
      <c r="AP120" s="277"/>
      <c r="AQ120" s="278"/>
      <c r="AR120" s="278"/>
    </row>
    <row r="121" spans="1:45">
      <c r="A121" s="193"/>
      <c r="B121" s="295" t="b">
        <v>0</v>
      </c>
      <c r="C121" s="253"/>
      <c r="D121" s="152" t="b">
        <v>0</v>
      </c>
      <c r="E121" s="153"/>
      <c r="F121" s="295" t="b">
        <v>0</v>
      </c>
      <c r="G121" s="253"/>
      <c r="H121" s="152" t="b">
        <v>0</v>
      </c>
      <c r="I121" s="153" t="s">
        <v>2987</v>
      </c>
      <c r="J121" s="253"/>
      <c r="K121" s="153"/>
      <c r="L121" s="253"/>
      <c r="M121" s="153"/>
      <c r="N121" s="253"/>
      <c r="O121" s="153"/>
      <c r="P121" s="253"/>
      <c r="Q121" s="153"/>
      <c r="R121" s="253"/>
      <c r="S121" s="153"/>
      <c r="T121" s="253"/>
      <c r="U121" s="153"/>
      <c r="V121" s="253"/>
      <c r="W121" s="153"/>
      <c r="X121" s="253"/>
      <c r="Y121" s="153"/>
      <c r="Z121" s="253"/>
      <c r="AA121" s="153"/>
      <c r="AB121" s="253"/>
      <c r="AC121" s="278"/>
      <c r="AD121" s="277"/>
      <c r="AE121" s="278"/>
      <c r="AF121" s="277"/>
      <c r="AG121" s="278"/>
      <c r="AH121" s="277"/>
      <c r="AI121" s="278"/>
      <c r="AJ121" s="277"/>
      <c r="AK121" s="278"/>
      <c r="AL121" s="277"/>
      <c r="AM121" s="278"/>
      <c r="AN121" s="277"/>
      <c r="AO121" s="278"/>
      <c r="AP121" s="277"/>
      <c r="AQ121" s="278"/>
      <c r="AR121" s="278"/>
    </row>
    <row r="122" spans="1:45">
      <c r="A122" s="193"/>
      <c r="B122" s="295" t="b">
        <v>0</v>
      </c>
      <c r="C122" s="253"/>
      <c r="D122" s="152" t="b">
        <v>0</v>
      </c>
      <c r="E122" s="153"/>
      <c r="F122" s="295" t="b">
        <v>0</v>
      </c>
      <c r="G122" s="253"/>
      <c r="H122" s="152" t="b">
        <v>0</v>
      </c>
      <c r="I122" s="153" t="s">
        <v>2989</v>
      </c>
      <c r="J122" s="253"/>
      <c r="K122" s="153"/>
      <c r="L122" s="253"/>
      <c r="M122" s="153"/>
      <c r="N122" s="253"/>
      <c r="O122" s="153"/>
      <c r="P122" s="253"/>
      <c r="Q122" s="153"/>
      <c r="R122" s="253"/>
      <c r="S122" s="153"/>
      <c r="T122" s="253"/>
      <c r="U122" s="153"/>
      <c r="V122" s="253"/>
      <c r="W122" s="153"/>
      <c r="X122" s="253"/>
      <c r="Y122" s="153"/>
      <c r="Z122" s="253"/>
      <c r="AA122" s="153"/>
      <c r="AB122" s="253"/>
      <c r="AC122" s="278"/>
      <c r="AD122" s="277"/>
      <c r="AE122" s="278"/>
      <c r="AF122" s="277"/>
      <c r="AG122" s="278"/>
      <c r="AH122" s="277"/>
      <c r="AI122" s="278"/>
      <c r="AJ122" s="277"/>
      <c r="AK122" s="278"/>
      <c r="AL122" s="277"/>
      <c r="AM122" s="278"/>
      <c r="AN122" s="277"/>
      <c r="AO122" s="278"/>
      <c r="AP122" s="277"/>
      <c r="AQ122" s="278"/>
      <c r="AR122" s="278"/>
    </row>
    <row r="123" spans="1:45">
      <c r="A123" s="193"/>
      <c r="B123" s="295" t="b">
        <v>0</v>
      </c>
      <c r="C123" s="253"/>
      <c r="D123" s="152" t="b">
        <v>0</v>
      </c>
      <c r="E123" s="153"/>
      <c r="F123" s="295" t="b">
        <v>0</v>
      </c>
      <c r="G123" s="253"/>
      <c r="H123" s="152" t="b">
        <v>0</v>
      </c>
      <c r="I123" s="153" t="s">
        <v>2965</v>
      </c>
      <c r="J123" s="253"/>
      <c r="K123" s="153"/>
      <c r="L123" s="253"/>
      <c r="M123" s="153"/>
      <c r="N123" s="253"/>
      <c r="O123" s="153"/>
      <c r="P123" s="253"/>
      <c r="Q123" s="153"/>
      <c r="R123" s="253"/>
      <c r="S123" s="153"/>
      <c r="T123" s="253"/>
      <c r="U123" s="153"/>
      <c r="V123" s="253"/>
      <c r="W123" s="153"/>
      <c r="X123" s="253"/>
      <c r="Y123" s="153"/>
      <c r="Z123" s="253"/>
      <c r="AA123" s="153"/>
      <c r="AB123" s="253"/>
      <c r="AC123" s="278"/>
      <c r="AD123" s="277"/>
      <c r="AE123" s="278"/>
      <c r="AF123" s="277"/>
      <c r="AG123" s="278"/>
      <c r="AH123" s="277"/>
      <c r="AI123" s="278"/>
      <c r="AJ123" s="277"/>
      <c r="AK123" s="278"/>
      <c r="AL123" s="277"/>
      <c r="AM123" s="278"/>
      <c r="AN123" s="277"/>
      <c r="AO123" s="278"/>
      <c r="AP123" s="277"/>
      <c r="AQ123" s="278"/>
      <c r="AR123" s="278"/>
    </row>
    <row r="124" spans="1:45">
      <c r="A124" s="193"/>
      <c r="B124" s="295" t="b">
        <v>0</v>
      </c>
      <c r="C124" s="253"/>
      <c r="D124" s="152" t="b">
        <v>0</v>
      </c>
      <c r="E124" s="153"/>
      <c r="F124" s="295" t="b">
        <v>0</v>
      </c>
      <c r="G124" s="253"/>
      <c r="H124" s="152" t="b">
        <v>0</v>
      </c>
      <c r="I124" s="153" t="s">
        <v>2993</v>
      </c>
      <c r="J124" s="253"/>
      <c r="K124" s="153"/>
      <c r="L124" s="253"/>
      <c r="M124" s="153"/>
      <c r="N124" s="253"/>
      <c r="O124" s="153"/>
      <c r="P124" s="253"/>
      <c r="Q124" s="153"/>
      <c r="R124" s="253"/>
      <c r="S124" s="153"/>
      <c r="T124" s="253"/>
      <c r="U124" s="153"/>
      <c r="V124" s="253"/>
      <c r="W124" s="153"/>
      <c r="X124" s="253"/>
      <c r="Y124" s="153"/>
      <c r="Z124" s="253"/>
      <c r="AA124" s="153"/>
      <c r="AB124" s="253"/>
      <c r="AC124" s="278"/>
      <c r="AD124" s="277"/>
      <c r="AE124" s="278"/>
      <c r="AF124" s="277"/>
      <c r="AG124" s="278"/>
      <c r="AH124" s="277"/>
      <c r="AI124" s="278"/>
      <c r="AJ124" s="277"/>
      <c r="AK124" s="278"/>
      <c r="AL124" s="277"/>
      <c r="AM124" s="278"/>
      <c r="AN124" s="277"/>
      <c r="AO124" s="278"/>
      <c r="AP124" s="277"/>
      <c r="AQ124" s="278"/>
      <c r="AR124" s="278"/>
    </row>
    <row r="125" spans="1:45">
      <c r="A125" s="193"/>
      <c r="B125" s="295" t="b">
        <v>0</v>
      </c>
      <c r="C125" s="253"/>
      <c r="D125" s="152" t="b">
        <v>0</v>
      </c>
      <c r="E125" s="153"/>
      <c r="F125" s="295" t="b">
        <v>0</v>
      </c>
      <c r="G125" s="253"/>
      <c r="H125" s="152" t="b">
        <v>0</v>
      </c>
      <c r="I125" s="153" t="s">
        <v>2995</v>
      </c>
      <c r="J125" s="253"/>
      <c r="K125" s="153"/>
      <c r="L125" s="253"/>
      <c r="M125" s="153"/>
      <c r="N125" s="253"/>
      <c r="O125" s="153"/>
      <c r="P125" s="253"/>
      <c r="Q125" s="153"/>
      <c r="R125" s="253"/>
      <c r="S125" s="153"/>
      <c r="T125" s="253"/>
      <c r="U125" s="153"/>
      <c r="V125" s="253"/>
      <c r="W125" s="153"/>
      <c r="X125" s="253"/>
      <c r="Y125" s="153"/>
      <c r="Z125" s="253"/>
      <c r="AA125" s="153"/>
      <c r="AB125" s="253"/>
      <c r="AC125" s="278"/>
      <c r="AD125" s="277"/>
      <c r="AE125" s="278"/>
      <c r="AF125" s="277"/>
      <c r="AG125" s="278"/>
      <c r="AH125" s="277"/>
      <c r="AI125" s="278"/>
      <c r="AJ125" s="277"/>
      <c r="AK125" s="278"/>
      <c r="AL125" s="277"/>
      <c r="AM125" s="278"/>
      <c r="AN125" s="277"/>
      <c r="AO125" s="278"/>
      <c r="AP125" s="277"/>
      <c r="AQ125" s="278"/>
      <c r="AR125" s="278"/>
    </row>
    <row r="126" spans="1:45">
      <c r="A126" s="193"/>
      <c r="B126" s="295" t="b">
        <v>0</v>
      </c>
      <c r="C126" s="253"/>
      <c r="D126" s="152" t="b">
        <v>0</v>
      </c>
      <c r="E126" s="153"/>
      <c r="F126" s="295" t="b">
        <v>0</v>
      </c>
      <c r="G126" s="253"/>
      <c r="H126" s="152" t="b">
        <v>0</v>
      </c>
      <c r="I126" s="153" t="s">
        <v>2997</v>
      </c>
      <c r="J126" s="253"/>
      <c r="K126" s="153"/>
      <c r="L126" s="253"/>
      <c r="M126" s="153"/>
      <c r="N126" s="253"/>
      <c r="O126" s="153"/>
      <c r="P126" s="253"/>
      <c r="Q126" s="153"/>
      <c r="R126" s="253"/>
      <c r="S126" s="153"/>
      <c r="T126" s="253"/>
      <c r="U126" s="153"/>
      <c r="V126" s="253"/>
      <c r="W126" s="153"/>
      <c r="X126" s="253"/>
      <c r="Y126" s="153"/>
      <c r="Z126" s="253"/>
      <c r="AA126" s="153"/>
      <c r="AB126" s="253"/>
      <c r="AC126" s="278"/>
      <c r="AD126" s="277"/>
      <c r="AE126" s="278"/>
      <c r="AF126" s="277"/>
      <c r="AG126" s="278"/>
      <c r="AH126" s="277"/>
      <c r="AI126" s="278"/>
      <c r="AJ126" s="277"/>
      <c r="AK126" s="278"/>
      <c r="AL126" s="277"/>
      <c r="AM126" s="278"/>
      <c r="AN126" s="277"/>
      <c r="AO126" s="278"/>
      <c r="AP126" s="277"/>
      <c r="AQ126" s="278"/>
      <c r="AR126" s="278"/>
    </row>
    <row r="127" spans="1:45">
      <c r="A127" s="255"/>
      <c r="B127" s="258" t="b">
        <v>0</v>
      </c>
      <c r="C127" s="256"/>
      <c r="D127" s="173" t="b">
        <v>0</v>
      </c>
      <c r="E127" s="257"/>
      <c r="F127" s="258" t="b">
        <v>0</v>
      </c>
      <c r="G127" s="257"/>
      <c r="H127" s="258" t="b">
        <v>0</v>
      </c>
      <c r="I127" s="256"/>
      <c r="J127" s="257"/>
      <c r="K127" s="256"/>
      <c r="L127" s="257"/>
      <c r="M127" s="256"/>
      <c r="N127" s="257"/>
      <c r="O127" s="256"/>
      <c r="P127" s="257"/>
      <c r="Q127" s="256"/>
      <c r="R127" s="257"/>
      <c r="S127" s="256"/>
      <c r="T127" s="257"/>
      <c r="U127" s="256"/>
      <c r="V127" s="257"/>
      <c r="W127" s="256"/>
      <c r="X127" s="257"/>
      <c r="Y127" s="256"/>
      <c r="Z127" s="257"/>
      <c r="AA127" s="256"/>
      <c r="AB127" s="278"/>
      <c r="AC127" s="277"/>
      <c r="AD127" s="278"/>
      <c r="AE127" s="277"/>
      <c r="AF127" s="278"/>
      <c r="AG127" s="277"/>
      <c r="AH127" s="278"/>
      <c r="AI127" s="277"/>
      <c r="AJ127" s="278"/>
      <c r="AK127" s="277"/>
      <c r="AL127" s="278"/>
      <c r="AM127" s="277"/>
      <c r="AN127" s="278"/>
      <c r="AO127" s="277"/>
      <c r="AP127" s="278"/>
      <c r="AQ127" s="278"/>
      <c r="AR127" s="278"/>
      <c r="AS127" s="278"/>
    </row>
    <row r="128" spans="1:45">
      <c r="A128" s="249" t="s">
        <v>3914</v>
      </c>
      <c r="B128" s="250" t="b">
        <v>0</v>
      </c>
      <c r="C128" s="250" t="str">
        <f>"Tier 1 ("&amp;COUNTIF(C129:C201,"&lt;&gt;")&amp;IF(COUNTIF(C129:C201,"&lt;&gt;")=1," blessing)"," blessings)")</f>
        <v>Tier 1 (65 blessings)</v>
      </c>
      <c r="D128" s="251" t="b">
        <v>0</v>
      </c>
      <c r="E128" s="251" t="str">
        <f>"Tier 2 ("&amp;COUNTIF(E129:E201,"&lt;&gt;")&amp;IF(COUNTIF(E129:E201,"&lt;&gt;")=1," blessing)"," blessings)")</f>
        <v>Tier 2 (73 blessings)</v>
      </c>
      <c r="F128" s="250" t="b">
        <v>0</v>
      </c>
      <c r="G128" s="250" t="str">
        <f>"Tier 3 ("&amp;COUNTIF(G130:G201,"&lt;&gt;")&amp;IF(COUNTIF(G130:G201,"&lt;&gt;")=1," blessing)"," blessings)")</f>
        <v>Tier 3 (70 blessings)</v>
      </c>
      <c r="H128" s="251" t="b">
        <v>0</v>
      </c>
      <c r="I128" s="251" t="str">
        <f>"Tier 4 ("&amp;COUNTIF(I129:I201,"&lt;&gt;")&amp;IF(COUNTIF(I129:I201,"&lt;&gt;")=1," blessing)"," blessings)")</f>
        <v>Tier 4 (39 blessings)</v>
      </c>
      <c r="J128" s="250" t="str">
        <f>"Tier 5 ("&amp;COUNTIF(J129:J201,"&lt;&gt;")&amp;IF(COUNTIF(J129:J201,"&lt;&gt;")=1," blessing)"," blessings)")</f>
        <v>Tier 5 (12 blessings)</v>
      </c>
      <c r="K128" s="251" t="str">
        <f>"Tier 6 ("&amp;COUNTIF(K130:K201,"&lt;&gt;")&amp;IF(COUNTIF(K130:K201,"&lt;&gt;")=1," blessing)"," blessings)")</f>
        <v>Tier 6 (9 blessings)</v>
      </c>
      <c r="L128" s="250" t="str">
        <f>"Tier 7 ("&amp;COUNTIF(L129:L201,"&lt;&gt;")&amp;IF(COUNTIF(L129:L201,"&lt;&gt;")=1," blessing)"," blessings)")</f>
        <v>Tier 7 (1 blessing)</v>
      </c>
      <c r="M128" s="251" t="str">
        <f>"Tier 10 ("&amp;COUNTIF(M129:M201,"&lt;&gt;")&amp;IF(COUNTIF(M129:M201,"&lt;&gt;")=1," blessing)"," blessings)")</f>
        <v>Tier 10 (1 blessing)</v>
      </c>
      <c r="N128" s="258"/>
      <c r="O128" s="173"/>
      <c r="P128" s="256"/>
      <c r="Q128" s="257"/>
      <c r="R128" s="256"/>
      <c r="S128" s="257"/>
      <c r="T128" s="256"/>
      <c r="U128" s="257"/>
      <c r="V128" s="256"/>
      <c r="W128" s="257"/>
      <c r="X128" s="256"/>
      <c r="Y128" s="257"/>
      <c r="Z128" s="256"/>
      <c r="AA128" s="257"/>
      <c r="AB128" s="256"/>
      <c r="AC128" s="278"/>
      <c r="AD128" s="277"/>
      <c r="AE128" s="278"/>
      <c r="AF128" s="277"/>
      <c r="AG128" s="278"/>
      <c r="AH128" s="277"/>
      <c r="AI128" s="278"/>
      <c r="AJ128" s="277"/>
      <c r="AK128" s="278"/>
      <c r="AL128" s="277"/>
      <c r="AM128" s="278"/>
      <c r="AN128" s="277"/>
      <c r="AO128" s="278"/>
      <c r="AP128" s="277"/>
      <c r="AQ128" s="278"/>
      <c r="AR128" s="278"/>
      <c r="AS128" s="278"/>
    </row>
    <row r="129" spans="1:45">
      <c r="A129" s="141"/>
      <c r="B129" s="295" t="b">
        <v>0</v>
      </c>
      <c r="C129" s="253" t="s">
        <v>3112</v>
      </c>
      <c r="D129" s="152" t="b">
        <v>0</v>
      </c>
      <c r="E129" s="153" t="s">
        <v>3242</v>
      </c>
      <c r="F129" s="300" t="b">
        <v>0</v>
      </c>
      <c r="G129" s="259" t="s">
        <v>2939</v>
      </c>
      <c r="H129" s="173" t="b">
        <v>0</v>
      </c>
      <c r="I129" s="153" t="s">
        <v>3528</v>
      </c>
      <c r="J129" s="253" t="s">
        <v>3606</v>
      </c>
      <c r="K129" s="5" t="s">
        <v>3025</v>
      </c>
      <c r="L129" s="253" t="s">
        <v>3648</v>
      </c>
      <c r="M129" s="153" t="s">
        <v>3650</v>
      </c>
      <c r="N129" s="256"/>
      <c r="O129" s="257"/>
      <c r="P129" s="256"/>
      <c r="Q129" s="257"/>
      <c r="R129" s="256"/>
      <c r="S129" s="257"/>
      <c r="T129" s="256"/>
      <c r="U129" s="257"/>
      <c r="V129" s="256"/>
      <c r="W129" s="257"/>
      <c r="X129" s="256"/>
      <c r="Y129" s="257"/>
      <c r="Z129" s="256"/>
      <c r="AA129" s="257"/>
      <c r="AB129" s="256"/>
      <c r="AC129" s="278"/>
      <c r="AD129" s="277"/>
      <c r="AE129" s="278"/>
      <c r="AF129" s="277"/>
      <c r="AG129" s="278"/>
      <c r="AH129" s="277"/>
      <c r="AI129" s="278"/>
      <c r="AJ129" s="277"/>
      <c r="AK129" s="278"/>
      <c r="AL129" s="277"/>
      <c r="AM129" s="278"/>
      <c r="AN129" s="277"/>
      <c r="AO129" s="278"/>
      <c r="AP129" s="277"/>
      <c r="AQ129" s="278"/>
      <c r="AR129" s="278"/>
      <c r="AS129" s="278"/>
    </row>
    <row r="130" spans="1:45">
      <c r="A130" s="260"/>
      <c r="B130" s="295" t="b">
        <v>0</v>
      </c>
      <c r="C130" s="253" t="s">
        <v>3114</v>
      </c>
      <c r="D130" s="152" t="b">
        <v>0</v>
      </c>
      <c r="E130" s="153" t="s">
        <v>3244</v>
      </c>
      <c r="F130" s="295" t="b">
        <v>0</v>
      </c>
      <c r="G130" s="253" t="s">
        <v>3388</v>
      </c>
      <c r="H130" s="152" t="b">
        <v>0</v>
      </c>
      <c r="I130" s="153" t="s">
        <v>3530</v>
      </c>
      <c r="J130" s="253" t="s">
        <v>3608</v>
      </c>
      <c r="K130" s="153" t="s">
        <v>3630</v>
      </c>
      <c r="L130" s="253"/>
      <c r="M130" s="153"/>
      <c r="N130" s="256"/>
      <c r="O130" s="257"/>
      <c r="P130" s="256"/>
      <c r="Q130" s="257"/>
      <c r="R130" s="256"/>
      <c r="S130" s="257"/>
      <c r="T130" s="256"/>
      <c r="U130" s="257"/>
      <c r="V130" s="256"/>
      <c r="W130" s="257"/>
      <c r="X130" s="256"/>
      <c r="Y130" s="257"/>
      <c r="Z130" s="256"/>
      <c r="AA130" s="257"/>
      <c r="AB130" s="256"/>
      <c r="AC130" s="278"/>
      <c r="AD130" s="277"/>
      <c r="AE130" s="278"/>
      <c r="AF130" s="277"/>
      <c r="AG130" s="278"/>
      <c r="AH130" s="277"/>
      <c r="AI130" s="278"/>
      <c r="AJ130" s="277"/>
      <c r="AK130" s="278"/>
      <c r="AL130" s="277"/>
      <c r="AM130" s="278"/>
      <c r="AN130" s="277"/>
      <c r="AO130" s="278"/>
      <c r="AP130" s="277"/>
      <c r="AQ130" s="278"/>
      <c r="AR130" s="278"/>
      <c r="AS130" s="278"/>
    </row>
    <row r="131" spans="1:45">
      <c r="A131" s="260"/>
      <c r="B131" s="295" t="b">
        <v>0</v>
      </c>
      <c r="C131" s="253" t="s">
        <v>3116</v>
      </c>
      <c r="D131" s="152" t="b">
        <v>0</v>
      </c>
      <c r="E131" s="153" t="s">
        <v>3246</v>
      </c>
      <c r="F131" s="295" t="b">
        <v>0</v>
      </c>
      <c r="G131" s="253" t="s">
        <v>3390</v>
      </c>
      <c r="H131" s="152" t="b">
        <v>0</v>
      </c>
      <c r="I131" s="153" t="s">
        <v>3532</v>
      </c>
      <c r="J131" s="253" t="s">
        <v>3610</v>
      </c>
      <c r="K131" s="153" t="s">
        <v>3632</v>
      </c>
      <c r="L131" s="253"/>
      <c r="M131" s="153"/>
      <c r="N131" s="256"/>
      <c r="O131" s="257"/>
      <c r="P131" s="256"/>
      <c r="Q131" s="257"/>
      <c r="R131" s="256"/>
      <c r="S131" s="257"/>
      <c r="T131" s="256"/>
      <c r="U131" s="257"/>
      <c r="V131" s="256"/>
      <c r="W131" s="257"/>
      <c r="X131" s="256"/>
      <c r="Y131" s="257"/>
      <c r="Z131" s="256"/>
      <c r="AA131" s="257"/>
      <c r="AB131" s="256"/>
      <c r="AC131" s="278"/>
      <c r="AD131" s="277"/>
      <c r="AE131" s="278"/>
      <c r="AF131" s="277"/>
      <c r="AG131" s="278"/>
      <c r="AH131" s="277"/>
      <c r="AI131" s="278"/>
      <c r="AJ131" s="277"/>
      <c r="AK131" s="278"/>
      <c r="AL131" s="277"/>
      <c r="AM131" s="278"/>
      <c r="AN131" s="277"/>
      <c r="AO131" s="278"/>
      <c r="AP131" s="277"/>
      <c r="AQ131" s="278"/>
      <c r="AR131" s="278"/>
      <c r="AS131" s="278"/>
    </row>
    <row r="132" spans="1:45">
      <c r="A132" s="260"/>
      <c r="B132" s="295" t="b">
        <v>0</v>
      </c>
      <c r="C132" s="253" t="s">
        <v>3118</v>
      </c>
      <c r="D132" s="152" t="b">
        <v>0</v>
      </c>
      <c r="E132" s="153" t="s">
        <v>3248</v>
      </c>
      <c r="F132" s="295" t="b">
        <v>0</v>
      </c>
      <c r="G132" s="253" t="s">
        <v>3392</v>
      </c>
      <c r="H132" s="152" t="b">
        <v>0</v>
      </c>
      <c r="I132" s="153" t="s">
        <v>3534</v>
      </c>
      <c r="J132" s="253" t="s">
        <v>3612</v>
      </c>
      <c r="K132" s="153" t="s">
        <v>3634</v>
      </c>
      <c r="L132" s="253"/>
      <c r="M132" s="153"/>
      <c r="N132" s="256"/>
      <c r="O132" s="257"/>
      <c r="P132" s="256"/>
      <c r="Q132" s="257"/>
      <c r="R132" s="256"/>
      <c r="S132" s="257"/>
      <c r="T132" s="256"/>
      <c r="U132" s="257"/>
      <c r="V132" s="256"/>
      <c r="W132" s="257"/>
      <c r="X132" s="256"/>
      <c r="Y132" s="257"/>
      <c r="Z132" s="256"/>
      <c r="AA132" s="257"/>
      <c r="AB132" s="256"/>
      <c r="AC132" s="278"/>
      <c r="AD132" s="277"/>
      <c r="AE132" s="278"/>
      <c r="AF132" s="277"/>
      <c r="AG132" s="278"/>
      <c r="AH132" s="277"/>
      <c r="AI132" s="278"/>
      <c r="AJ132" s="277"/>
      <c r="AK132" s="278"/>
      <c r="AL132" s="277"/>
      <c r="AM132" s="278"/>
      <c r="AN132" s="277"/>
      <c r="AO132" s="278"/>
      <c r="AP132" s="277"/>
      <c r="AQ132" s="278"/>
      <c r="AR132" s="278"/>
      <c r="AS132" s="278"/>
    </row>
    <row r="133" spans="1:45">
      <c r="A133" s="260"/>
      <c r="B133" s="295" t="b">
        <v>0</v>
      </c>
      <c r="C133" s="253" t="s">
        <v>3120</v>
      </c>
      <c r="D133" s="152" t="b">
        <v>0</v>
      </c>
      <c r="E133" s="153" t="s">
        <v>3250</v>
      </c>
      <c r="F133" s="295" t="b">
        <v>0</v>
      </c>
      <c r="G133" s="253" t="s">
        <v>3394</v>
      </c>
      <c r="H133" s="152" t="b">
        <v>0</v>
      </c>
      <c r="I133" s="153" t="s">
        <v>3536</v>
      </c>
      <c r="J133" s="253" t="s">
        <v>3614</v>
      </c>
      <c r="K133" s="153" t="s">
        <v>3636</v>
      </c>
      <c r="L133" s="253"/>
      <c r="M133" s="153"/>
      <c r="N133" s="256"/>
      <c r="O133" s="257"/>
      <c r="P133" s="256"/>
      <c r="Q133" s="257"/>
      <c r="R133" s="256"/>
      <c r="S133" s="257"/>
      <c r="T133" s="256"/>
      <c r="U133" s="257"/>
      <c r="V133" s="256"/>
      <c r="W133" s="257"/>
      <c r="X133" s="256"/>
      <c r="Y133" s="257"/>
      <c r="Z133" s="256"/>
      <c r="AA133" s="257"/>
      <c r="AB133" s="256"/>
      <c r="AC133" s="278"/>
      <c r="AD133" s="277"/>
      <c r="AE133" s="278"/>
      <c r="AF133" s="277"/>
      <c r="AG133" s="278"/>
      <c r="AH133" s="277"/>
      <c r="AI133" s="278"/>
      <c r="AJ133" s="277"/>
      <c r="AK133" s="278"/>
      <c r="AL133" s="277"/>
      <c r="AM133" s="278"/>
      <c r="AN133" s="277"/>
      <c r="AO133" s="278"/>
      <c r="AP133" s="277"/>
      <c r="AQ133" s="278"/>
      <c r="AR133" s="278"/>
      <c r="AS133" s="278"/>
    </row>
    <row r="134" spans="1:45">
      <c r="A134" s="260"/>
      <c r="B134" s="295" t="b">
        <v>0</v>
      </c>
      <c r="C134" s="253" t="s">
        <v>3122</v>
      </c>
      <c r="D134" s="152" t="b">
        <v>0</v>
      </c>
      <c r="E134" s="153" t="s">
        <v>3252</v>
      </c>
      <c r="F134" s="295" t="b">
        <v>0</v>
      </c>
      <c r="G134" s="253" t="s">
        <v>3396</v>
      </c>
      <c r="H134" s="152" t="b">
        <v>0</v>
      </c>
      <c r="I134" s="153" t="s">
        <v>3538</v>
      </c>
      <c r="J134" s="253" t="s">
        <v>3616</v>
      </c>
      <c r="K134" s="153" t="s">
        <v>3638</v>
      </c>
      <c r="L134" s="253"/>
      <c r="M134" s="153"/>
      <c r="N134" s="256"/>
      <c r="O134" s="257"/>
      <c r="P134" s="256"/>
      <c r="Q134" s="257"/>
      <c r="R134" s="256"/>
      <c r="S134" s="257"/>
      <c r="T134" s="256"/>
      <c r="U134" s="257"/>
      <c r="V134" s="256"/>
      <c r="W134" s="257"/>
      <c r="X134" s="256"/>
      <c r="Y134" s="257"/>
      <c r="Z134" s="256"/>
      <c r="AA134" s="257"/>
      <c r="AB134" s="256"/>
      <c r="AC134" s="278"/>
      <c r="AD134" s="277"/>
      <c r="AE134" s="278"/>
      <c r="AF134" s="277"/>
      <c r="AG134" s="278"/>
      <c r="AH134" s="277"/>
      <c r="AI134" s="278"/>
      <c r="AJ134" s="277"/>
      <c r="AK134" s="278"/>
      <c r="AL134" s="277"/>
      <c r="AM134" s="278"/>
      <c r="AN134" s="277"/>
      <c r="AO134" s="278"/>
      <c r="AP134" s="277"/>
      <c r="AQ134" s="278"/>
      <c r="AR134" s="278"/>
      <c r="AS134" s="278"/>
    </row>
    <row r="135" spans="1:45">
      <c r="A135" s="260"/>
      <c r="B135" s="295" t="b">
        <v>0</v>
      </c>
      <c r="C135" s="253" t="s">
        <v>3124</v>
      </c>
      <c r="D135" s="152" t="b">
        <v>0</v>
      </c>
      <c r="E135" s="153" t="s">
        <v>3254</v>
      </c>
      <c r="F135" s="295" t="b">
        <v>0</v>
      </c>
      <c r="G135" s="253" t="s">
        <v>3398</v>
      </c>
      <c r="H135" s="152" t="b">
        <v>0</v>
      </c>
      <c r="I135" s="153" t="s">
        <v>3540</v>
      </c>
      <c r="J135" s="253" t="s">
        <v>3618</v>
      </c>
      <c r="K135" s="153" t="s">
        <v>3640</v>
      </c>
      <c r="L135" s="253"/>
      <c r="M135" s="153"/>
      <c r="N135" s="256"/>
      <c r="O135" s="257"/>
      <c r="P135" s="256"/>
      <c r="Q135" s="257"/>
      <c r="R135" s="256"/>
      <c r="S135" s="257"/>
      <c r="T135" s="256"/>
      <c r="U135" s="257"/>
      <c r="V135" s="256"/>
      <c r="W135" s="257"/>
      <c r="X135" s="256"/>
      <c r="Y135" s="257"/>
      <c r="Z135" s="256"/>
      <c r="AA135" s="257"/>
      <c r="AB135" s="256"/>
      <c r="AC135" s="278"/>
      <c r="AD135" s="277"/>
      <c r="AE135" s="278"/>
      <c r="AF135" s="277"/>
      <c r="AG135" s="278"/>
      <c r="AH135" s="277"/>
      <c r="AI135" s="278"/>
      <c r="AJ135" s="277"/>
      <c r="AK135" s="278"/>
      <c r="AL135" s="277"/>
      <c r="AM135" s="278"/>
      <c r="AN135" s="277"/>
      <c r="AO135" s="278"/>
      <c r="AP135" s="277"/>
      <c r="AQ135" s="278"/>
      <c r="AR135" s="278"/>
      <c r="AS135" s="278"/>
    </row>
    <row r="136" spans="1:45">
      <c r="A136" s="260"/>
      <c r="B136" s="295" t="b">
        <v>0</v>
      </c>
      <c r="C136" s="253" t="s">
        <v>3126</v>
      </c>
      <c r="D136" s="152" t="b">
        <v>0</v>
      </c>
      <c r="E136" s="153" t="s">
        <v>3256</v>
      </c>
      <c r="F136" s="295" t="b">
        <v>0</v>
      </c>
      <c r="G136" s="253" t="s">
        <v>3400</v>
      </c>
      <c r="H136" s="152" t="b">
        <v>0</v>
      </c>
      <c r="I136" s="153" t="s">
        <v>3542</v>
      </c>
      <c r="J136" s="253" t="s">
        <v>3620</v>
      </c>
      <c r="K136" s="153" t="s">
        <v>3642</v>
      </c>
      <c r="L136" s="253"/>
      <c r="M136" s="153"/>
      <c r="N136" s="256"/>
      <c r="O136" s="257"/>
      <c r="P136" s="256"/>
      <c r="Q136" s="257"/>
      <c r="R136" s="256"/>
      <c r="S136" s="257"/>
      <c r="T136" s="256"/>
      <c r="U136" s="257"/>
      <c r="V136" s="256"/>
      <c r="W136" s="257"/>
      <c r="X136" s="256"/>
      <c r="Y136" s="257"/>
      <c r="Z136" s="256"/>
      <c r="AA136" s="257"/>
      <c r="AB136" s="256"/>
      <c r="AC136" s="278"/>
      <c r="AD136" s="277"/>
      <c r="AE136" s="278"/>
      <c r="AF136" s="277"/>
      <c r="AG136" s="278"/>
      <c r="AH136" s="277"/>
      <c r="AI136" s="278"/>
      <c r="AJ136" s="277"/>
      <c r="AK136" s="278"/>
      <c r="AL136" s="277"/>
      <c r="AM136" s="278"/>
      <c r="AN136" s="277"/>
      <c r="AO136" s="278"/>
      <c r="AP136" s="277"/>
      <c r="AQ136" s="278"/>
      <c r="AR136" s="278"/>
      <c r="AS136" s="278"/>
    </row>
    <row r="137" spans="1:45">
      <c r="A137" s="260"/>
      <c r="B137" s="295" t="b">
        <v>0</v>
      </c>
      <c r="C137" s="253" t="s">
        <v>3128</v>
      </c>
      <c r="D137" s="152" t="b">
        <v>0</v>
      </c>
      <c r="E137" s="153" t="s">
        <v>3258</v>
      </c>
      <c r="F137" s="295" t="b">
        <v>0</v>
      </c>
      <c r="G137" s="253" t="s">
        <v>3402</v>
      </c>
      <c r="H137" s="152" t="b">
        <v>0</v>
      </c>
      <c r="I137" s="153" t="s">
        <v>3544</v>
      </c>
      <c r="J137" s="253" t="s">
        <v>3622</v>
      </c>
      <c r="K137" s="153" t="s">
        <v>3644</v>
      </c>
      <c r="L137" s="253"/>
      <c r="M137" s="153"/>
      <c r="N137" s="256"/>
      <c r="O137" s="257"/>
      <c r="P137" s="256"/>
      <c r="Q137" s="257"/>
      <c r="R137" s="256"/>
      <c r="S137" s="257"/>
      <c r="T137" s="256"/>
      <c r="U137" s="257"/>
      <c r="V137" s="256"/>
      <c r="W137" s="257"/>
      <c r="X137" s="256"/>
      <c r="Y137" s="257"/>
      <c r="Z137" s="256"/>
      <c r="AA137" s="257"/>
      <c r="AB137" s="256"/>
      <c r="AC137" s="278"/>
      <c r="AD137" s="277"/>
      <c r="AE137" s="278"/>
      <c r="AF137" s="277"/>
      <c r="AG137" s="278"/>
      <c r="AH137" s="277"/>
      <c r="AI137" s="278"/>
      <c r="AJ137" s="277"/>
      <c r="AK137" s="278"/>
      <c r="AL137" s="277"/>
      <c r="AM137" s="278"/>
      <c r="AN137" s="277"/>
      <c r="AO137" s="278"/>
      <c r="AP137" s="277"/>
      <c r="AQ137" s="278"/>
      <c r="AR137" s="278"/>
      <c r="AS137" s="278"/>
    </row>
    <row r="138" spans="1:45">
      <c r="A138" s="260"/>
      <c r="B138" s="295" t="b">
        <v>0</v>
      </c>
      <c r="C138" s="253" t="s">
        <v>3130</v>
      </c>
      <c r="D138" s="152" t="b">
        <v>0</v>
      </c>
      <c r="E138" s="153" t="s">
        <v>3260</v>
      </c>
      <c r="F138" s="295" t="b">
        <v>0</v>
      </c>
      <c r="G138" s="253" t="s">
        <v>3404</v>
      </c>
      <c r="H138" s="152" t="b">
        <v>0</v>
      </c>
      <c r="I138" s="153" t="s">
        <v>3546</v>
      </c>
      <c r="J138" s="253" t="s">
        <v>3624</v>
      </c>
      <c r="K138" s="153" t="s">
        <v>3646</v>
      </c>
      <c r="L138" s="253"/>
      <c r="M138" s="153"/>
      <c r="N138" s="256"/>
      <c r="O138" s="257"/>
      <c r="P138" s="256"/>
      <c r="Q138" s="257"/>
      <c r="R138" s="256"/>
      <c r="S138" s="257"/>
      <c r="T138" s="256"/>
      <c r="U138" s="257"/>
      <c r="V138" s="256"/>
      <c r="W138" s="257"/>
      <c r="X138" s="256"/>
      <c r="Y138" s="257"/>
      <c r="Z138" s="256"/>
      <c r="AA138" s="257"/>
      <c r="AB138" s="256"/>
      <c r="AC138" s="278"/>
      <c r="AD138" s="277"/>
      <c r="AE138" s="278"/>
      <c r="AF138" s="277"/>
      <c r="AG138" s="278"/>
      <c r="AH138" s="277"/>
      <c r="AI138" s="278"/>
      <c r="AJ138" s="277"/>
      <c r="AK138" s="278"/>
      <c r="AL138" s="277"/>
      <c r="AM138" s="278"/>
      <c r="AN138" s="277"/>
      <c r="AO138" s="278"/>
      <c r="AP138" s="277"/>
      <c r="AQ138" s="278"/>
      <c r="AR138" s="278"/>
      <c r="AS138" s="278"/>
    </row>
    <row r="139" spans="1:45">
      <c r="A139" s="260"/>
      <c r="B139" s="295" t="b">
        <v>0</v>
      </c>
      <c r="C139" s="253" t="s">
        <v>3132</v>
      </c>
      <c r="D139" s="152" t="b">
        <v>0</v>
      </c>
      <c r="E139" s="153" t="s">
        <v>3262</v>
      </c>
      <c r="F139" s="295" t="b">
        <v>0</v>
      </c>
      <c r="G139" s="253" t="s">
        <v>3406</v>
      </c>
      <c r="H139" s="152" t="b">
        <v>0</v>
      </c>
      <c r="I139" s="153" t="s">
        <v>3548</v>
      </c>
      <c r="J139" s="253" t="s">
        <v>3626</v>
      </c>
      <c r="K139" s="153"/>
      <c r="L139" s="253"/>
      <c r="M139" s="153"/>
      <c r="N139" s="256"/>
      <c r="O139" s="257"/>
      <c r="P139" s="256"/>
      <c r="Q139" s="257"/>
      <c r="R139" s="256"/>
      <c r="S139" s="257"/>
      <c r="T139" s="256"/>
      <c r="U139" s="257"/>
      <c r="V139" s="256"/>
      <c r="W139" s="257"/>
      <c r="X139" s="256"/>
      <c r="Y139" s="257"/>
      <c r="Z139" s="256"/>
      <c r="AA139" s="257"/>
      <c r="AB139" s="256"/>
      <c r="AC139" s="278"/>
      <c r="AD139" s="277"/>
      <c r="AE139" s="278"/>
      <c r="AF139" s="277"/>
      <c r="AG139" s="278"/>
      <c r="AH139" s="277"/>
      <c r="AI139" s="278"/>
      <c r="AJ139" s="277"/>
      <c r="AK139" s="278"/>
      <c r="AL139" s="277"/>
      <c r="AM139" s="278"/>
      <c r="AN139" s="277"/>
      <c r="AO139" s="278"/>
      <c r="AP139" s="277"/>
      <c r="AQ139" s="278"/>
      <c r="AR139" s="278"/>
      <c r="AS139" s="278"/>
    </row>
    <row r="140" spans="1:45">
      <c r="A140" s="260"/>
      <c r="B140" s="295" t="b">
        <v>0</v>
      </c>
      <c r="C140" s="253" t="s">
        <v>3134</v>
      </c>
      <c r="D140" s="152" t="b">
        <v>0</v>
      </c>
      <c r="E140" s="153" t="s">
        <v>3264</v>
      </c>
      <c r="F140" s="295" t="b">
        <v>0</v>
      </c>
      <c r="G140" s="253" t="s">
        <v>3408</v>
      </c>
      <c r="H140" s="152" t="b">
        <v>0</v>
      </c>
      <c r="I140" s="153" t="s">
        <v>3550</v>
      </c>
      <c r="J140" s="253" t="s">
        <v>3628</v>
      </c>
      <c r="K140" s="153"/>
      <c r="L140" s="253"/>
      <c r="M140" s="153"/>
      <c r="N140" s="256"/>
      <c r="O140" s="257"/>
      <c r="P140" s="256"/>
      <c r="Q140" s="257"/>
      <c r="R140" s="256"/>
      <c r="S140" s="257"/>
      <c r="T140" s="256"/>
      <c r="U140" s="257"/>
      <c r="V140" s="256"/>
      <c r="W140" s="257"/>
      <c r="X140" s="256"/>
      <c r="Y140" s="257"/>
      <c r="Z140" s="256"/>
      <c r="AA140" s="257"/>
      <c r="AB140" s="256"/>
      <c r="AC140" s="278"/>
      <c r="AD140" s="277"/>
      <c r="AE140" s="278"/>
      <c r="AF140" s="277"/>
      <c r="AG140" s="278"/>
      <c r="AH140" s="277"/>
      <c r="AI140" s="278"/>
      <c r="AJ140" s="277"/>
      <c r="AK140" s="278"/>
      <c r="AL140" s="277"/>
      <c r="AM140" s="278"/>
      <c r="AN140" s="277"/>
      <c r="AO140" s="278"/>
      <c r="AP140" s="277"/>
      <c r="AQ140" s="278"/>
      <c r="AR140" s="278"/>
      <c r="AS140" s="278"/>
    </row>
    <row r="141" spans="1:45">
      <c r="A141" s="260"/>
      <c r="B141" s="295" t="b">
        <v>0</v>
      </c>
      <c r="C141" s="253" t="s">
        <v>3136</v>
      </c>
      <c r="D141" s="152" t="b">
        <v>0</v>
      </c>
      <c r="E141" s="153" t="s">
        <v>3266</v>
      </c>
      <c r="F141" s="295" t="b">
        <v>0</v>
      </c>
      <c r="G141" s="253" t="s">
        <v>3410</v>
      </c>
      <c r="H141" s="152" t="b">
        <v>0</v>
      </c>
      <c r="I141" s="153" t="s">
        <v>3552</v>
      </c>
      <c r="J141" s="253"/>
      <c r="K141" s="153"/>
      <c r="L141" s="253"/>
      <c r="M141" s="153"/>
      <c r="N141" s="256"/>
      <c r="O141" s="257"/>
      <c r="P141" s="256"/>
      <c r="Q141" s="257"/>
      <c r="R141" s="256"/>
      <c r="S141" s="257"/>
      <c r="T141" s="256"/>
      <c r="U141" s="257"/>
      <c r="V141" s="256"/>
      <c r="W141" s="257"/>
      <c r="X141" s="256"/>
      <c r="Y141" s="257"/>
      <c r="Z141" s="256"/>
      <c r="AA141" s="257"/>
      <c r="AB141" s="256"/>
      <c r="AC141" s="278"/>
      <c r="AD141" s="277"/>
      <c r="AE141" s="278"/>
      <c r="AF141" s="277"/>
      <c r="AG141" s="278"/>
      <c r="AH141" s="277"/>
      <c r="AI141" s="278"/>
      <c r="AJ141" s="277"/>
      <c r="AK141" s="278"/>
      <c r="AL141" s="277"/>
      <c r="AM141" s="278"/>
      <c r="AN141" s="277"/>
      <c r="AO141" s="278"/>
      <c r="AP141" s="277"/>
      <c r="AQ141" s="278"/>
      <c r="AR141" s="278"/>
      <c r="AS141" s="278"/>
    </row>
    <row r="142" spans="1:45">
      <c r="A142" s="260"/>
      <c r="B142" s="295" t="b">
        <v>0</v>
      </c>
      <c r="C142" s="253" t="s">
        <v>3138</v>
      </c>
      <c r="D142" s="152" t="b">
        <v>0</v>
      </c>
      <c r="E142" s="153" t="s">
        <v>3268</v>
      </c>
      <c r="F142" s="295" t="b">
        <v>0</v>
      </c>
      <c r="G142" s="253" t="s">
        <v>3412</v>
      </c>
      <c r="H142" s="152" t="b">
        <v>0</v>
      </c>
      <c r="I142" s="153" t="s">
        <v>3554</v>
      </c>
      <c r="J142" s="253"/>
      <c r="K142" s="153"/>
      <c r="L142" s="253"/>
      <c r="M142" s="153"/>
      <c r="N142" s="256"/>
      <c r="O142" s="257"/>
      <c r="P142" s="256"/>
      <c r="Q142" s="257"/>
      <c r="R142" s="256"/>
      <c r="S142" s="257"/>
      <c r="T142" s="256"/>
      <c r="U142" s="257"/>
      <c r="V142" s="256"/>
      <c r="W142" s="257"/>
      <c r="X142" s="256"/>
      <c r="Y142" s="257"/>
      <c r="Z142" s="256"/>
      <c r="AA142" s="257"/>
      <c r="AB142" s="256"/>
      <c r="AC142" s="278"/>
      <c r="AD142" s="277"/>
      <c r="AE142" s="278"/>
      <c r="AF142" s="277"/>
      <c r="AG142" s="278"/>
      <c r="AH142" s="277"/>
      <c r="AI142" s="278"/>
      <c r="AJ142" s="277"/>
      <c r="AK142" s="278"/>
      <c r="AL142" s="277"/>
      <c r="AM142" s="278"/>
      <c r="AN142" s="277"/>
      <c r="AO142" s="278"/>
      <c r="AP142" s="277"/>
      <c r="AQ142" s="278"/>
      <c r="AR142" s="278"/>
      <c r="AS142" s="278"/>
    </row>
    <row r="143" spans="1:45">
      <c r="A143" s="260"/>
      <c r="B143" s="295" t="b">
        <v>0</v>
      </c>
      <c r="C143" s="253" t="s">
        <v>3140</v>
      </c>
      <c r="D143" s="152" t="b">
        <v>0</v>
      </c>
      <c r="E143" s="153" t="s">
        <v>3270</v>
      </c>
      <c r="F143" s="295" t="b">
        <v>0</v>
      </c>
      <c r="G143" s="253" t="s">
        <v>3414</v>
      </c>
      <c r="H143" s="152" t="b">
        <v>0</v>
      </c>
      <c r="I143" s="153" t="s">
        <v>3556</v>
      </c>
      <c r="J143" s="253"/>
      <c r="K143" s="153"/>
      <c r="L143" s="253"/>
      <c r="M143" s="153"/>
      <c r="N143" s="256"/>
      <c r="O143" s="257"/>
      <c r="P143" s="256"/>
      <c r="Q143" s="257"/>
      <c r="R143" s="256"/>
      <c r="S143" s="257"/>
      <c r="T143" s="256"/>
      <c r="U143" s="257"/>
      <c r="V143" s="256"/>
      <c r="W143" s="257"/>
      <c r="X143" s="256"/>
      <c r="Y143" s="257"/>
      <c r="Z143" s="256"/>
      <c r="AA143" s="257"/>
      <c r="AB143" s="256"/>
      <c r="AC143" s="278"/>
      <c r="AD143" s="277"/>
      <c r="AE143" s="278"/>
      <c r="AF143" s="277"/>
      <c r="AG143" s="278"/>
      <c r="AH143" s="277"/>
      <c r="AI143" s="278"/>
      <c r="AJ143" s="277"/>
      <c r="AK143" s="278"/>
      <c r="AL143" s="277"/>
      <c r="AM143" s="278"/>
      <c r="AN143" s="277"/>
      <c r="AO143" s="278"/>
      <c r="AP143" s="277"/>
      <c r="AQ143" s="278"/>
      <c r="AR143" s="278"/>
      <c r="AS143" s="278"/>
    </row>
    <row r="144" spans="1:45">
      <c r="A144" s="260"/>
      <c r="B144" s="295" t="b">
        <v>0</v>
      </c>
      <c r="C144" s="253" t="s">
        <v>3142</v>
      </c>
      <c r="D144" s="152" t="b">
        <v>0</v>
      </c>
      <c r="E144" s="153" t="s">
        <v>3272</v>
      </c>
      <c r="F144" s="295" t="b">
        <v>0</v>
      </c>
      <c r="G144" s="253" t="s">
        <v>3416</v>
      </c>
      <c r="H144" s="152" t="b">
        <v>0</v>
      </c>
      <c r="I144" s="153" t="s">
        <v>3558</v>
      </c>
      <c r="J144" s="253"/>
      <c r="K144" s="153"/>
      <c r="L144" s="253"/>
      <c r="M144" s="153"/>
      <c r="N144" s="256"/>
      <c r="O144" s="257"/>
      <c r="P144" s="256"/>
      <c r="Q144" s="257"/>
      <c r="R144" s="256"/>
      <c r="S144" s="257"/>
      <c r="T144" s="256"/>
      <c r="U144" s="257"/>
      <c r="V144" s="256"/>
      <c r="W144" s="257"/>
      <c r="X144" s="256"/>
      <c r="Y144" s="257"/>
      <c r="Z144" s="256"/>
      <c r="AA144" s="257"/>
      <c r="AB144" s="256"/>
      <c r="AC144" s="278"/>
      <c r="AD144" s="277"/>
      <c r="AE144" s="278"/>
      <c r="AF144" s="277"/>
      <c r="AG144" s="278"/>
      <c r="AH144" s="277"/>
      <c r="AI144" s="278"/>
      <c r="AJ144" s="277"/>
      <c r="AK144" s="278"/>
      <c r="AL144" s="277"/>
      <c r="AM144" s="278"/>
      <c r="AN144" s="277"/>
      <c r="AO144" s="278"/>
      <c r="AP144" s="277"/>
      <c r="AQ144" s="278"/>
      <c r="AR144" s="278"/>
      <c r="AS144" s="278"/>
    </row>
    <row r="145" spans="1:45">
      <c r="A145" s="260"/>
      <c r="B145" s="295" t="b">
        <v>0</v>
      </c>
      <c r="C145" s="253" t="s">
        <v>3144</v>
      </c>
      <c r="D145" s="152" t="b">
        <v>0</v>
      </c>
      <c r="E145" s="153" t="s">
        <v>3274</v>
      </c>
      <c r="F145" s="295" t="b">
        <v>0</v>
      </c>
      <c r="G145" s="253" t="s">
        <v>3418</v>
      </c>
      <c r="H145" s="152" t="b">
        <v>0</v>
      </c>
      <c r="I145" s="153" t="s">
        <v>3560</v>
      </c>
      <c r="J145" s="253"/>
      <c r="K145" s="153"/>
      <c r="L145" s="253"/>
      <c r="M145" s="153"/>
      <c r="N145" s="256"/>
      <c r="O145" s="257"/>
      <c r="P145" s="256"/>
      <c r="Q145" s="257"/>
      <c r="R145" s="256"/>
      <c r="S145" s="257"/>
      <c r="T145" s="256"/>
      <c r="U145" s="257"/>
      <c r="V145" s="256"/>
      <c r="W145" s="257"/>
      <c r="X145" s="256"/>
      <c r="Y145" s="257"/>
      <c r="Z145" s="256"/>
      <c r="AA145" s="257"/>
      <c r="AB145" s="256"/>
      <c r="AC145" s="278"/>
      <c r="AD145" s="277"/>
      <c r="AE145" s="278"/>
      <c r="AF145" s="277"/>
      <c r="AG145" s="278"/>
      <c r="AH145" s="277"/>
      <c r="AI145" s="278"/>
      <c r="AJ145" s="277"/>
      <c r="AK145" s="278"/>
      <c r="AL145" s="277"/>
      <c r="AM145" s="278"/>
      <c r="AN145" s="277"/>
      <c r="AO145" s="278"/>
      <c r="AP145" s="277"/>
      <c r="AQ145" s="278"/>
      <c r="AR145" s="278"/>
      <c r="AS145" s="278"/>
    </row>
    <row r="146" spans="1:45">
      <c r="A146" s="260"/>
      <c r="B146" s="295" t="b">
        <v>0</v>
      </c>
      <c r="C146" s="253" t="s">
        <v>3146</v>
      </c>
      <c r="D146" s="152" t="b">
        <v>0</v>
      </c>
      <c r="E146" s="153" t="s">
        <v>3276</v>
      </c>
      <c r="F146" s="295" t="b">
        <v>0</v>
      </c>
      <c r="G146" s="253" t="s">
        <v>3420</v>
      </c>
      <c r="H146" s="152" t="b">
        <v>0</v>
      </c>
      <c r="I146" s="153" t="s">
        <v>3562</v>
      </c>
      <c r="J146" s="253"/>
      <c r="K146" s="153"/>
      <c r="L146" s="253"/>
      <c r="M146" s="153"/>
      <c r="N146" s="256"/>
      <c r="O146" s="257"/>
      <c r="P146" s="256"/>
      <c r="Q146" s="257"/>
      <c r="R146" s="256"/>
      <c r="S146" s="257"/>
      <c r="T146" s="256"/>
      <c r="U146" s="257"/>
      <c r="V146" s="256"/>
      <c r="W146" s="257"/>
      <c r="X146" s="256"/>
      <c r="Y146" s="257"/>
      <c r="Z146" s="256"/>
      <c r="AA146" s="257"/>
      <c r="AB146" s="256"/>
      <c r="AC146" s="278"/>
      <c r="AD146" s="277"/>
      <c r="AE146" s="278"/>
      <c r="AF146" s="277"/>
      <c r="AG146" s="278"/>
      <c r="AH146" s="277"/>
      <c r="AI146" s="278"/>
      <c r="AJ146" s="277"/>
      <c r="AK146" s="278"/>
      <c r="AL146" s="277"/>
      <c r="AM146" s="278"/>
      <c r="AN146" s="277"/>
      <c r="AO146" s="278"/>
      <c r="AP146" s="277"/>
      <c r="AQ146" s="278"/>
      <c r="AR146" s="278"/>
      <c r="AS146" s="278"/>
    </row>
    <row r="147" spans="1:45">
      <c r="A147" s="260"/>
      <c r="B147" s="295" t="b">
        <v>0</v>
      </c>
      <c r="C147" s="253" t="s">
        <v>3148</v>
      </c>
      <c r="D147" s="152" t="b">
        <v>0</v>
      </c>
      <c r="E147" s="153" t="s">
        <v>3278</v>
      </c>
      <c r="F147" s="295" t="b">
        <v>0</v>
      </c>
      <c r="G147" s="253" t="s">
        <v>3422</v>
      </c>
      <c r="H147" s="152" t="b">
        <v>0</v>
      </c>
      <c r="I147" s="153" t="s">
        <v>3564</v>
      </c>
      <c r="J147" s="253"/>
      <c r="K147" s="153"/>
      <c r="L147" s="253"/>
      <c r="M147" s="153"/>
      <c r="N147" s="256"/>
      <c r="O147" s="257"/>
      <c r="P147" s="256"/>
      <c r="Q147" s="257"/>
      <c r="R147" s="256"/>
      <c r="S147" s="257"/>
      <c r="T147" s="256"/>
      <c r="U147" s="257"/>
      <c r="V147" s="256"/>
      <c r="W147" s="257"/>
      <c r="X147" s="256"/>
      <c r="Y147" s="257"/>
      <c r="Z147" s="256"/>
      <c r="AA147" s="257"/>
      <c r="AB147" s="256"/>
      <c r="AC147" s="278"/>
      <c r="AD147" s="277"/>
      <c r="AE147" s="278"/>
      <c r="AF147" s="277"/>
      <c r="AG147" s="278"/>
      <c r="AH147" s="277"/>
      <c r="AI147" s="278"/>
      <c r="AJ147" s="277"/>
      <c r="AK147" s="278"/>
      <c r="AL147" s="277"/>
      <c r="AM147" s="278"/>
      <c r="AN147" s="277"/>
      <c r="AO147" s="278"/>
      <c r="AP147" s="277"/>
      <c r="AQ147" s="278"/>
      <c r="AR147" s="278"/>
      <c r="AS147" s="278"/>
    </row>
    <row r="148" spans="1:45">
      <c r="A148" s="260"/>
      <c r="B148" s="295" t="b">
        <v>0</v>
      </c>
      <c r="C148" s="253" t="s">
        <v>3150</v>
      </c>
      <c r="D148" s="152" t="b">
        <v>0</v>
      </c>
      <c r="E148" s="153" t="s">
        <v>3280</v>
      </c>
      <c r="F148" s="295" t="b">
        <v>0</v>
      </c>
      <c r="G148" s="253" t="s">
        <v>3424</v>
      </c>
      <c r="H148" s="152" t="b">
        <v>0</v>
      </c>
      <c r="I148" s="153" t="s">
        <v>3566</v>
      </c>
      <c r="J148" s="253"/>
      <c r="K148" s="153"/>
      <c r="L148" s="253"/>
      <c r="M148" s="153"/>
      <c r="N148" s="256"/>
      <c r="O148" s="257"/>
      <c r="P148" s="256"/>
      <c r="Q148" s="257"/>
      <c r="R148" s="256"/>
      <c r="S148" s="257"/>
      <c r="T148" s="256"/>
      <c r="U148" s="257"/>
      <c r="V148" s="256"/>
      <c r="W148" s="257"/>
      <c r="X148" s="256"/>
      <c r="Y148" s="257"/>
      <c r="Z148" s="256"/>
      <c r="AA148" s="257"/>
      <c r="AB148" s="256"/>
      <c r="AC148" s="278"/>
      <c r="AD148" s="277"/>
      <c r="AE148" s="278"/>
      <c r="AF148" s="277"/>
      <c r="AG148" s="278"/>
      <c r="AH148" s="277"/>
      <c r="AI148" s="278"/>
      <c r="AJ148" s="277"/>
      <c r="AK148" s="278"/>
      <c r="AL148" s="277"/>
      <c r="AM148" s="278"/>
      <c r="AN148" s="277"/>
      <c r="AO148" s="278"/>
      <c r="AP148" s="277"/>
      <c r="AQ148" s="278"/>
      <c r="AR148" s="278"/>
      <c r="AS148" s="278"/>
    </row>
    <row r="149" spans="1:45">
      <c r="A149" s="260"/>
      <c r="B149" s="295" t="b">
        <v>0</v>
      </c>
      <c r="C149" s="253" t="s">
        <v>3152</v>
      </c>
      <c r="D149" s="152" t="b">
        <v>0</v>
      </c>
      <c r="E149" s="153" t="s">
        <v>3282</v>
      </c>
      <c r="F149" s="295" t="b">
        <v>0</v>
      </c>
      <c r="G149" s="253" t="s">
        <v>3426</v>
      </c>
      <c r="H149" s="152" t="b">
        <v>0</v>
      </c>
      <c r="I149" s="153" t="s">
        <v>3568</v>
      </c>
      <c r="J149" s="253"/>
      <c r="K149" s="153"/>
      <c r="L149" s="253"/>
      <c r="M149" s="153"/>
      <c r="N149" s="256"/>
      <c r="O149" s="257"/>
      <c r="P149" s="256"/>
      <c r="Q149" s="257"/>
      <c r="R149" s="256"/>
      <c r="S149" s="257"/>
      <c r="T149" s="256"/>
      <c r="U149" s="257"/>
      <c r="V149" s="256"/>
      <c r="W149" s="257"/>
      <c r="X149" s="256"/>
      <c r="Y149" s="257"/>
      <c r="Z149" s="256"/>
      <c r="AA149" s="257"/>
      <c r="AB149" s="256"/>
      <c r="AC149" s="278"/>
      <c r="AD149" s="277"/>
      <c r="AE149" s="278"/>
      <c r="AF149" s="277"/>
      <c r="AG149" s="278"/>
      <c r="AH149" s="277"/>
      <c r="AI149" s="278"/>
      <c r="AJ149" s="277"/>
      <c r="AK149" s="278"/>
      <c r="AL149" s="277"/>
      <c r="AM149" s="278"/>
      <c r="AN149" s="277"/>
      <c r="AO149" s="278"/>
      <c r="AP149" s="277"/>
      <c r="AQ149" s="278"/>
      <c r="AR149" s="278"/>
      <c r="AS149" s="278"/>
    </row>
    <row r="150" spans="1:45">
      <c r="A150" s="260"/>
      <c r="B150" s="295" t="b">
        <v>0</v>
      </c>
      <c r="C150" s="253" t="s">
        <v>3154</v>
      </c>
      <c r="D150" s="152" t="b">
        <v>0</v>
      </c>
      <c r="E150" s="153" t="s">
        <v>3284</v>
      </c>
      <c r="F150" s="295" t="b">
        <v>0</v>
      </c>
      <c r="G150" s="253" t="s">
        <v>3428</v>
      </c>
      <c r="H150" s="152" t="b">
        <v>0</v>
      </c>
      <c r="I150" s="153" t="s">
        <v>3570</v>
      </c>
      <c r="J150" s="253"/>
      <c r="K150" s="153"/>
      <c r="L150" s="253"/>
      <c r="M150" s="153"/>
      <c r="N150" s="256"/>
      <c r="O150" s="257"/>
      <c r="P150" s="256"/>
      <c r="Q150" s="257"/>
      <c r="R150" s="256"/>
      <c r="S150" s="257"/>
      <c r="T150" s="256"/>
      <c r="U150" s="257"/>
      <c r="V150" s="256"/>
      <c r="W150" s="257"/>
      <c r="X150" s="256"/>
      <c r="Y150" s="257"/>
      <c r="Z150" s="256"/>
      <c r="AA150" s="257"/>
      <c r="AB150" s="256"/>
      <c r="AC150" s="278"/>
      <c r="AD150" s="277"/>
      <c r="AE150" s="278"/>
      <c r="AF150" s="277"/>
      <c r="AG150" s="278"/>
      <c r="AH150" s="277"/>
      <c r="AI150" s="278"/>
      <c r="AJ150" s="277"/>
      <c r="AK150" s="278"/>
      <c r="AL150" s="277"/>
      <c r="AM150" s="278"/>
      <c r="AN150" s="277"/>
      <c r="AO150" s="278"/>
      <c r="AP150" s="277"/>
      <c r="AQ150" s="278"/>
      <c r="AR150" s="278"/>
      <c r="AS150" s="278"/>
    </row>
    <row r="151" spans="1:45">
      <c r="A151" s="260"/>
      <c r="B151" s="295" t="b">
        <v>0</v>
      </c>
      <c r="C151" s="253" t="s">
        <v>3156</v>
      </c>
      <c r="D151" s="152" t="b">
        <v>0</v>
      </c>
      <c r="E151" s="153" t="s">
        <v>3286</v>
      </c>
      <c r="F151" s="295" t="b">
        <v>0</v>
      </c>
      <c r="G151" s="253" t="s">
        <v>3430</v>
      </c>
      <c r="H151" s="152" t="b">
        <v>0</v>
      </c>
      <c r="I151" s="153" t="s">
        <v>3572</v>
      </c>
      <c r="J151" s="253"/>
      <c r="K151" s="153"/>
      <c r="L151" s="253"/>
      <c r="M151" s="153"/>
      <c r="N151" s="256"/>
      <c r="O151" s="257"/>
      <c r="P151" s="256"/>
      <c r="Q151" s="257"/>
      <c r="R151" s="256"/>
      <c r="S151" s="257"/>
      <c r="T151" s="256"/>
      <c r="U151" s="257"/>
      <c r="V151" s="256"/>
      <c r="W151" s="257"/>
      <c r="X151" s="256"/>
      <c r="Y151" s="257"/>
      <c r="Z151" s="256"/>
      <c r="AA151" s="257"/>
      <c r="AB151" s="256"/>
      <c r="AC151" s="278"/>
      <c r="AD151" s="277"/>
      <c r="AE151" s="278"/>
      <c r="AF151" s="277"/>
      <c r="AG151" s="278"/>
      <c r="AH151" s="277"/>
      <c r="AI151" s="278"/>
      <c r="AJ151" s="277"/>
      <c r="AK151" s="278"/>
      <c r="AL151" s="277"/>
      <c r="AM151" s="278"/>
      <c r="AN151" s="277"/>
      <c r="AO151" s="278"/>
      <c r="AP151" s="277"/>
      <c r="AQ151" s="278"/>
      <c r="AR151" s="278"/>
      <c r="AS151" s="278"/>
    </row>
    <row r="152" spans="1:45">
      <c r="A152" s="260"/>
      <c r="B152" s="295" t="b">
        <v>0</v>
      </c>
      <c r="C152" s="253" t="s">
        <v>3158</v>
      </c>
      <c r="D152" s="152" t="b">
        <v>0</v>
      </c>
      <c r="E152" s="153" t="s">
        <v>3288</v>
      </c>
      <c r="F152" s="295" t="b">
        <v>0</v>
      </c>
      <c r="G152" s="253" t="s">
        <v>3432</v>
      </c>
      <c r="H152" s="152" t="b">
        <v>0</v>
      </c>
      <c r="I152" s="153" t="s">
        <v>3574</v>
      </c>
      <c r="J152" s="253"/>
      <c r="K152" s="153"/>
      <c r="L152" s="253"/>
      <c r="M152" s="153"/>
      <c r="N152" s="256"/>
      <c r="O152" s="257"/>
      <c r="P152" s="256"/>
      <c r="Q152" s="257"/>
      <c r="R152" s="256"/>
      <c r="S152" s="257"/>
      <c r="T152" s="256"/>
      <c r="U152" s="257"/>
      <c r="V152" s="256"/>
      <c r="W152" s="257"/>
      <c r="X152" s="256"/>
      <c r="Y152" s="257"/>
      <c r="Z152" s="256"/>
      <c r="AA152" s="257"/>
      <c r="AB152" s="256"/>
      <c r="AC152" s="278"/>
      <c r="AD152" s="277"/>
      <c r="AE152" s="278"/>
      <c r="AF152" s="277"/>
      <c r="AG152" s="278"/>
      <c r="AH152" s="277"/>
      <c r="AI152" s="278"/>
      <c r="AJ152" s="277"/>
      <c r="AK152" s="278"/>
      <c r="AL152" s="277"/>
      <c r="AM152" s="278"/>
      <c r="AN152" s="277"/>
      <c r="AO152" s="278"/>
      <c r="AP152" s="277"/>
      <c r="AQ152" s="278"/>
      <c r="AR152" s="278"/>
      <c r="AS152" s="278"/>
    </row>
    <row r="153" spans="1:45">
      <c r="A153" s="260"/>
      <c r="B153" s="295" t="b">
        <v>0</v>
      </c>
      <c r="C153" s="253" t="s">
        <v>3160</v>
      </c>
      <c r="D153" s="152" t="b">
        <v>0</v>
      </c>
      <c r="E153" s="153" t="s">
        <v>3290</v>
      </c>
      <c r="F153" s="295" t="b">
        <v>0</v>
      </c>
      <c r="G153" s="253" t="s">
        <v>3434</v>
      </c>
      <c r="H153" s="152" t="b">
        <v>0</v>
      </c>
      <c r="I153" s="153" t="s">
        <v>3576</v>
      </c>
      <c r="J153" s="253"/>
      <c r="K153" s="153"/>
      <c r="L153" s="253"/>
      <c r="M153" s="153"/>
      <c r="N153" s="256"/>
      <c r="O153" s="257"/>
      <c r="P153" s="256"/>
      <c r="Q153" s="257"/>
      <c r="R153" s="256"/>
      <c r="S153" s="257"/>
      <c r="T153" s="256"/>
      <c r="U153" s="257"/>
      <c r="V153" s="256"/>
      <c r="W153" s="257"/>
      <c r="X153" s="256"/>
      <c r="Y153" s="257"/>
      <c r="Z153" s="256"/>
      <c r="AA153" s="257"/>
      <c r="AB153" s="256"/>
      <c r="AC153" s="278"/>
      <c r="AD153" s="277"/>
      <c r="AE153" s="278"/>
      <c r="AF153" s="277"/>
      <c r="AG153" s="278"/>
      <c r="AH153" s="277"/>
      <c r="AI153" s="278"/>
      <c r="AJ153" s="277"/>
      <c r="AK153" s="278"/>
      <c r="AL153" s="277"/>
      <c r="AM153" s="278"/>
      <c r="AN153" s="277"/>
      <c r="AO153" s="278"/>
      <c r="AP153" s="277"/>
      <c r="AQ153" s="278"/>
      <c r="AR153" s="278"/>
      <c r="AS153" s="278"/>
    </row>
    <row r="154" spans="1:45">
      <c r="A154" s="260"/>
      <c r="B154" s="295" t="b">
        <v>0</v>
      </c>
      <c r="C154" s="253" t="s">
        <v>3162</v>
      </c>
      <c r="D154" s="152" t="b">
        <v>0</v>
      </c>
      <c r="E154" s="153" t="s">
        <v>3292</v>
      </c>
      <c r="F154" s="295" t="b">
        <v>0</v>
      </c>
      <c r="G154" s="253" t="s">
        <v>3436</v>
      </c>
      <c r="H154" s="152" t="b">
        <v>0</v>
      </c>
      <c r="I154" s="153" t="s">
        <v>3578</v>
      </c>
      <c r="J154" s="253"/>
      <c r="K154" s="153"/>
      <c r="L154" s="253"/>
      <c r="M154" s="153"/>
      <c r="N154" s="256"/>
      <c r="O154" s="257"/>
      <c r="P154" s="256"/>
      <c r="Q154" s="257"/>
      <c r="R154" s="256"/>
      <c r="S154" s="257"/>
      <c r="T154" s="256"/>
      <c r="U154" s="257"/>
      <c r="V154" s="256"/>
      <c r="W154" s="257"/>
      <c r="X154" s="256"/>
      <c r="Y154" s="257"/>
      <c r="Z154" s="256"/>
      <c r="AA154" s="257"/>
      <c r="AB154" s="256"/>
      <c r="AC154" s="278"/>
      <c r="AD154" s="277"/>
      <c r="AE154" s="278"/>
      <c r="AF154" s="277"/>
      <c r="AG154" s="278"/>
      <c r="AH154" s="277"/>
      <c r="AI154" s="278"/>
      <c r="AJ154" s="277"/>
      <c r="AK154" s="278"/>
      <c r="AL154" s="277"/>
      <c r="AM154" s="278"/>
      <c r="AN154" s="277"/>
      <c r="AO154" s="278"/>
      <c r="AP154" s="277"/>
      <c r="AQ154" s="278"/>
      <c r="AR154" s="278"/>
      <c r="AS154" s="278"/>
    </row>
    <row r="155" spans="1:45">
      <c r="A155" s="260"/>
      <c r="B155" s="295" t="b">
        <v>0</v>
      </c>
      <c r="C155" s="253" t="s">
        <v>3164</v>
      </c>
      <c r="D155" s="152" t="b">
        <v>0</v>
      </c>
      <c r="E155" s="153" t="s">
        <v>3294</v>
      </c>
      <c r="F155" s="295" t="b">
        <v>0</v>
      </c>
      <c r="G155" s="253" t="s">
        <v>3438</v>
      </c>
      <c r="H155" s="152" t="b">
        <v>0</v>
      </c>
      <c r="I155" s="153" t="s">
        <v>3580</v>
      </c>
      <c r="J155" s="253"/>
      <c r="K155" s="153"/>
      <c r="L155" s="253"/>
      <c r="M155" s="153"/>
      <c r="N155" s="256"/>
      <c r="O155" s="257"/>
      <c r="P155" s="256"/>
      <c r="Q155" s="257"/>
      <c r="R155" s="256"/>
      <c r="S155" s="257"/>
      <c r="T155" s="256"/>
      <c r="U155" s="257"/>
      <c r="V155" s="256"/>
      <c r="W155" s="257"/>
      <c r="X155" s="256"/>
      <c r="Y155" s="257"/>
      <c r="Z155" s="256"/>
      <c r="AA155" s="257"/>
      <c r="AB155" s="256"/>
      <c r="AC155" s="278"/>
      <c r="AD155" s="277"/>
      <c r="AE155" s="278"/>
      <c r="AF155" s="277"/>
      <c r="AG155" s="278"/>
      <c r="AH155" s="277"/>
      <c r="AI155" s="278"/>
      <c r="AJ155" s="277"/>
      <c r="AK155" s="278"/>
      <c r="AL155" s="277"/>
      <c r="AM155" s="278"/>
      <c r="AN155" s="277"/>
      <c r="AO155" s="278"/>
      <c r="AP155" s="277"/>
      <c r="AQ155" s="278"/>
      <c r="AR155" s="278"/>
      <c r="AS155" s="278"/>
    </row>
    <row r="156" spans="1:45">
      <c r="A156" s="260"/>
      <c r="B156" s="295" t="b">
        <v>0</v>
      </c>
      <c r="C156" s="253" t="s">
        <v>3166</v>
      </c>
      <c r="D156" s="152" t="b">
        <v>0</v>
      </c>
      <c r="E156" s="153" t="s">
        <v>3296</v>
      </c>
      <c r="F156" s="295" t="b">
        <v>0</v>
      </c>
      <c r="G156" s="253" t="s">
        <v>3440</v>
      </c>
      <c r="H156" s="152" t="b">
        <v>0</v>
      </c>
      <c r="I156" s="153" t="s">
        <v>3582</v>
      </c>
      <c r="J156" s="253"/>
      <c r="K156" s="153"/>
      <c r="L156" s="253"/>
      <c r="M156" s="153"/>
      <c r="N156" s="256"/>
      <c r="O156" s="257"/>
      <c r="P156" s="256"/>
      <c r="Q156" s="257"/>
      <c r="R156" s="256"/>
      <c r="S156" s="257"/>
      <c r="T156" s="256"/>
      <c r="U156" s="257"/>
      <c r="V156" s="256"/>
      <c r="W156" s="257"/>
      <c r="X156" s="256"/>
      <c r="Y156" s="257"/>
      <c r="Z156" s="256"/>
      <c r="AA156" s="257"/>
      <c r="AB156" s="256"/>
      <c r="AC156" s="278"/>
      <c r="AD156" s="277"/>
      <c r="AE156" s="278"/>
      <c r="AF156" s="277"/>
      <c r="AG156" s="278"/>
      <c r="AH156" s="277"/>
      <c r="AI156" s="278"/>
      <c r="AJ156" s="277"/>
      <c r="AK156" s="278"/>
      <c r="AL156" s="277"/>
      <c r="AM156" s="278"/>
      <c r="AN156" s="277"/>
      <c r="AO156" s="278"/>
      <c r="AP156" s="277"/>
      <c r="AQ156" s="278"/>
      <c r="AR156" s="278"/>
      <c r="AS156" s="278"/>
    </row>
    <row r="157" spans="1:45">
      <c r="A157" s="260"/>
      <c r="B157" s="295" t="b">
        <v>0</v>
      </c>
      <c r="C157" s="253" t="s">
        <v>3168</v>
      </c>
      <c r="D157" s="152" t="b">
        <v>0</v>
      </c>
      <c r="E157" s="153" t="s">
        <v>3298</v>
      </c>
      <c r="F157" s="295" t="b">
        <v>0</v>
      </c>
      <c r="G157" s="253" t="s">
        <v>3442</v>
      </c>
      <c r="H157" s="152" t="b">
        <v>0</v>
      </c>
      <c r="I157" s="153" t="s">
        <v>3584</v>
      </c>
      <c r="J157" s="253"/>
      <c r="K157" s="153"/>
      <c r="L157" s="253"/>
      <c r="M157" s="153"/>
      <c r="N157" s="256"/>
      <c r="O157" s="257"/>
      <c r="P157" s="256"/>
      <c r="Q157" s="257"/>
      <c r="R157" s="256"/>
      <c r="S157" s="257"/>
      <c r="T157" s="256"/>
      <c r="U157" s="257"/>
      <c r="V157" s="256"/>
      <c r="W157" s="257"/>
      <c r="X157" s="256"/>
      <c r="Y157" s="257"/>
      <c r="Z157" s="256"/>
      <c r="AA157" s="257"/>
      <c r="AB157" s="256"/>
      <c r="AC157" s="278"/>
      <c r="AD157" s="277"/>
      <c r="AE157" s="278"/>
      <c r="AF157" s="277"/>
      <c r="AG157" s="278"/>
      <c r="AH157" s="277"/>
      <c r="AI157" s="278"/>
      <c r="AJ157" s="277"/>
      <c r="AK157" s="278"/>
      <c r="AL157" s="277"/>
      <c r="AM157" s="278"/>
      <c r="AN157" s="277"/>
      <c r="AO157" s="278"/>
      <c r="AP157" s="277"/>
      <c r="AQ157" s="278"/>
      <c r="AR157" s="278"/>
      <c r="AS157" s="278"/>
    </row>
    <row r="158" spans="1:45">
      <c r="A158" s="260"/>
      <c r="B158" s="295" t="b">
        <v>0</v>
      </c>
      <c r="C158" s="253" t="s">
        <v>3170</v>
      </c>
      <c r="D158" s="152" t="b">
        <v>0</v>
      </c>
      <c r="E158" s="153" t="s">
        <v>3300</v>
      </c>
      <c r="F158" s="295" t="b">
        <v>0</v>
      </c>
      <c r="G158" s="253" t="s">
        <v>3444</v>
      </c>
      <c r="H158" s="152" t="b">
        <v>0</v>
      </c>
      <c r="I158" s="153" t="s">
        <v>3586</v>
      </c>
      <c r="J158" s="253"/>
      <c r="K158" s="153"/>
      <c r="L158" s="253"/>
      <c r="M158" s="153"/>
      <c r="N158" s="256"/>
      <c r="O158" s="257"/>
      <c r="P158" s="256"/>
      <c r="Q158" s="257"/>
      <c r="R158" s="256"/>
      <c r="S158" s="257"/>
      <c r="T158" s="256"/>
      <c r="U158" s="257"/>
      <c r="V158" s="256"/>
      <c r="W158" s="257"/>
      <c r="X158" s="256"/>
      <c r="Y158" s="257"/>
      <c r="Z158" s="256"/>
      <c r="AA158" s="257"/>
      <c r="AB158" s="256"/>
      <c r="AC158" s="278"/>
      <c r="AD158" s="277"/>
      <c r="AE158" s="278"/>
      <c r="AF158" s="277"/>
      <c r="AG158" s="278"/>
      <c r="AH158" s="277"/>
      <c r="AI158" s="278"/>
      <c r="AJ158" s="277"/>
      <c r="AK158" s="278"/>
      <c r="AL158" s="277"/>
      <c r="AM158" s="278"/>
      <c r="AN158" s="277"/>
      <c r="AO158" s="278"/>
      <c r="AP158" s="277"/>
      <c r="AQ158" s="278"/>
      <c r="AR158" s="278"/>
      <c r="AS158" s="278"/>
    </row>
    <row r="159" spans="1:45">
      <c r="A159" s="260"/>
      <c r="B159" s="295" t="b">
        <v>0</v>
      </c>
      <c r="C159" s="253" t="s">
        <v>3172</v>
      </c>
      <c r="D159" s="152" t="b">
        <v>0</v>
      </c>
      <c r="E159" s="153" t="s">
        <v>3302</v>
      </c>
      <c r="F159" s="295" t="b">
        <v>0</v>
      </c>
      <c r="G159" s="253" t="s">
        <v>3446</v>
      </c>
      <c r="H159" s="152" t="b">
        <v>0</v>
      </c>
      <c r="I159" s="153" t="s">
        <v>3588</v>
      </c>
      <c r="J159" s="253"/>
      <c r="K159" s="153"/>
      <c r="L159" s="253"/>
      <c r="M159" s="153"/>
      <c r="N159" s="256"/>
      <c r="O159" s="257"/>
      <c r="P159" s="256"/>
      <c r="Q159" s="257"/>
      <c r="R159" s="256"/>
      <c r="S159" s="257"/>
      <c r="T159" s="256"/>
      <c r="U159" s="257"/>
      <c r="V159" s="256"/>
      <c r="W159" s="257"/>
      <c r="X159" s="256"/>
      <c r="Y159" s="257"/>
      <c r="Z159" s="256"/>
      <c r="AA159" s="257"/>
      <c r="AB159" s="256"/>
      <c r="AC159" s="278"/>
      <c r="AD159" s="277"/>
      <c r="AE159" s="278"/>
      <c r="AF159" s="277"/>
      <c r="AG159" s="278"/>
      <c r="AH159" s="277"/>
      <c r="AI159" s="278"/>
      <c r="AJ159" s="277"/>
      <c r="AK159" s="278"/>
      <c r="AL159" s="277"/>
      <c r="AM159" s="278"/>
      <c r="AN159" s="277"/>
      <c r="AO159" s="278"/>
      <c r="AP159" s="277"/>
      <c r="AQ159" s="278"/>
      <c r="AR159" s="278"/>
      <c r="AS159" s="278"/>
    </row>
    <row r="160" spans="1:45">
      <c r="A160" s="260"/>
      <c r="B160" s="295" t="b">
        <v>0</v>
      </c>
      <c r="C160" s="253" t="s">
        <v>3174</v>
      </c>
      <c r="D160" s="152" t="b">
        <v>0</v>
      </c>
      <c r="E160" s="153" t="s">
        <v>3304</v>
      </c>
      <c r="F160" s="295" t="b">
        <v>0</v>
      </c>
      <c r="G160" s="253" t="s">
        <v>3448</v>
      </c>
      <c r="H160" s="152" t="b">
        <v>0</v>
      </c>
      <c r="I160" s="153" t="s">
        <v>3590</v>
      </c>
      <c r="J160" s="253"/>
      <c r="K160" s="153"/>
      <c r="L160" s="253"/>
      <c r="M160" s="153"/>
      <c r="N160" s="256"/>
      <c r="O160" s="257"/>
      <c r="P160" s="256"/>
      <c r="Q160" s="257"/>
      <c r="R160" s="256"/>
      <c r="S160" s="257"/>
      <c r="T160" s="256"/>
      <c r="U160" s="257"/>
      <c r="V160" s="256"/>
      <c r="W160" s="257"/>
      <c r="X160" s="256"/>
      <c r="Y160" s="257"/>
      <c r="Z160" s="256"/>
      <c r="AA160" s="257"/>
      <c r="AB160" s="256"/>
      <c r="AC160" s="278"/>
      <c r="AD160" s="277"/>
      <c r="AE160" s="278"/>
      <c r="AF160" s="277"/>
      <c r="AG160" s="278"/>
      <c r="AH160" s="277"/>
      <c r="AI160" s="278"/>
      <c r="AJ160" s="277"/>
      <c r="AK160" s="278"/>
      <c r="AL160" s="277"/>
      <c r="AM160" s="278"/>
      <c r="AN160" s="277"/>
      <c r="AO160" s="278"/>
      <c r="AP160" s="277"/>
      <c r="AQ160" s="278"/>
      <c r="AR160" s="278"/>
      <c r="AS160" s="278"/>
    </row>
    <row r="161" spans="1:45">
      <c r="A161" s="260"/>
      <c r="B161" s="295" t="b">
        <v>0</v>
      </c>
      <c r="C161" s="253" t="s">
        <v>3176</v>
      </c>
      <c r="D161" s="152" t="b">
        <v>0</v>
      </c>
      <c r="E161" s="153" t="s">
        <v>3306</v>
      </c>
      <c r="F161" s="295" t="b">
        <v>0</v>
      </c>
      <c r="G161" s="253" t="s">
        <v>3450</v>
      </c>
      <c r="H161" s="152" t="b">
        <v>0</v>
      </c>
      <c r="I161" s="153" t="s">
        <v>3592</v>
      </c>
      <c r="J161" s="253"/>
      <c r="K161" s="153"/>
      <c r="L161" s="253"/>
      <c r="M161" s="153"/>
      <c r="N161" s="256"/>
      <c r="O161" s="257"/>
      <c r="P161" s="256"/>
      <c r="Q161" s="257"/>
      <c r="R161" s="256"/>
      <c r="S161" s="257"/>
      <c r="T161" s="256"/>
      <c r="U161" s="257"/>
      <c r="V161" s="256"/>
      <c r="W161" s="257"/>
      <c r="X161" s="256"/>
      <c r="Y161" s="257"/>
      <c r="Z161" s="256"/>
      <c r="AA161" s="257"/>
      <c r="AB161" s="256"/>
      <c r="AC161" s="278"/>
      <c r="AD161" s="277"/>
      <c r="AE161" s="278"/>
      <c r="AF161" s="277"/>
      <c r="AG161" s="278"/>
      <c r="AH161" s="277"/>
      <c r="AI161" s="278"/>
      <c r="AJ161" s="277"/>
      <c r="AK161" s="278"/>
      <c r="AL161" s="277"/>
      <c r="AM161" s="278"/>
      <c r="AN161" s="277"/>
      <c r="AO161" s="278"/>
      <c r="AP161" s="277"/>
      <c r="AQ161" s="278"/>
      <c r="AR161" s="278"/>
      <c r="AS161" s="278"/>
    </row>
    <row r="162" spans="1:45">
      <c r="A162" s="260"/>
      <c r="B162" s="295" t="b">
        <v>0</v>
      </c>
      <c r="C162" s="253" t="s">
        <v>3178</v>
      </c>
      <c r="D162" s="152" t="b">
        <v>0</v>
      </c>
      <c r="E162" s="153" t="s">
        <v>3308</v>
      </c>
      <c r="F162" s="295" t="b">
        <v>0</v>
      </c>
      <c r="G162" s="253" t="s">
        <v>3452</v>
      </c>
      <c r="H162" s="152" t="b">
        <v>0</v>
      </c>
      <c r="I162" s="153" t="s">
        <v>3594</v>
      </c>
      <c r="J162" s="253"/>
      <c r="K162" s="153"/>
      <c r="L162" s="253"/>
      <c r="M162" s="153"/>
      <c r="N162" s="256"/>
      <c r="O162" s="257"/>
      <c r="P162" s="256"/>
      <c r="Q162" s="257"/>
      <c r="R162" s="256"/>
      <c r="S162" s="257"/>
      <c r="T162" s="256"/>
      <c r="U162" s="257"/>
      <c r="V162" s="256"/>
      <c r="W162" s="257"/>
      <c r="X162" s="256"/>
      <c r="Y162" s="257"/>
      <c r="Z162" s="256"/>
      <c r="AA162" s="257"/>
      <c r="AB162" s="256"/>
      <c r="AC162" s="278"/>
      <c r="AD162" s="277"/>
      <c r="AE162" s="278"/>
      <c r="AF162" s="277"/>
      <c r="AG162" s="278"/>
      <c r="AH162" s="277"/>
      <c r="AI162" s="278"/>
      <c r="AJ162" s="277"/>
      <c r="AK162" s="278"/>
      <c r="AL162" s="277"/>
      <c r="AM162" s="278"/>
      <c r="AN162" s="277"/>
      <c r="AO162" s="278"/>
      <c r="AP162" s="277"/>
      <c r="AQ162" s="278"/>
      <c r="AR162" s="278"/>
      <c r="AS162" s="278"/>
    </row>
    <row r="163" spans="1:45">
      <c r="A163" s="260"/>
      <c r="B163" s="295" t="b">
        <v>0</v>
      </c>
      <c r="C163" s="253" t="s">
        <v>3180</v>
      </c>
      <c r="D163" s="152" t="b">
        <v>0</v>
      </c>
      <c r="E163" s="153" t="s">
        <v>3310</v>
      </c>
      <c r="F163" s="295" t="b">
        <v>0</v>
      </c>
      <c r="G163" s="253" t="s">
        <v>3454</v>
      </c>
      <c r="H163" s="152" t="b">
        <v>0</v>
      </c>
      <c r="I163" s="153" t="s">
        <v>3596</v>
      </c>
      <c r="J163" s="253"/>
      <c r="K163" s="153"/>
      <c r="L163" s="253"/>
      <c r="M163" s="153"/>
      <c r="N163" s="256"/>
      <c r="O163" s="257"/>
      <c r="P163" s="256"/>
      <c r="Q163" s="257"/>
      <c r="R163" s="256"/>
      <c r="S163" s="257"/>
      <c r="T163" s="256"/>
      <c r="U163" s="257"/>
      <c r="V163" s="256"/>
      <c r="W163" s="257"/>
      <c r="X163" s="256"/>
      <c r="Y163" s="257"/>
      <c r="Z163" s="256"/>
      <c r="AA163" s="257"/>
      <c r="AB163" s="256"/>
      <c r="AC163" s="278"/>
      <c r="AD163" s="277"/>
      <c r="AE163" s="278"/>
      <c r="AF163" s="277"/>
      <c r="AG163" s="278"/>
      <c r="AH163" s="277"/>
      <c r="AI163" s="278"/>
      <c r="AJ163" s="277"/>
      <c r="AK163" s="278"/>
      <c r="AL163" s="277"/>
      <c r="AM163" s="278"/>
      <c r="AN163" s="277"/>
      <c r="AO163" s="278"/>
      <c r="AP163" s="277"/>
      <c r="AQ163" s="278"/>
      <c r="AR163" s="278"/>
      <c r="AS163" s="278"/>
    </row>
    <row r="164" spans="1:45">
      <c r="A164" s="260"/>
      <c r="B164" s="295" t="b">
        <v>0</v>
      </c>
      <c r="C164" s="253" t="s">
        <v>3182</v>
      </c>
      <c r="D164" s="152" t="b">
        <v>0</v>
      </c>
      <c r="E164" s="153" t="s">
        <v>3312</v>
      </c>
      <c r="F164" s="295" t="b">
        <v>0</v>
      </c>
      <c r="G164" s="253" t="s">
        <v>3456</v>
      </c>
      <c r="H164" s="152" t="b">
        <v>0</v>
      </c>
      <c r="I164" s="153" t="s">
        <v>3598</v>
      </c>
      <c r="J164" s="253"/>
      <c r="K164" s="153"/>
      <c r="L164" s="253"/>
      <c r="M164" s="153"/>
      <c r="N164" s="256"/>
      <c r="O164" s="257"/>
      <c r="P164" s="256"/>
      <c r="Q164" s="257"/>
      <c r="R164" s="256"/>
      <c r="S164" s="257"/>
      <c r="T164" s="256"/>
      <c r="U164" s="257"/>
      <c r="V164" s="256"/>
      <c r="W164" s="257"/>
      <c r="X164" s="256"/>
      <c r="Y164" s="257"/>
      <c r="Z164" s="256"/>
      <c r="AA164" s="257"/>
      <c r="AB164" s="256"/>
      <c r="AC164" s="278"/>
      <c r="AD164" s="277"/>
      <c r="AE164" s="278"/>
      <c r="AF164" s="277"/>
      <c r="AG164" s="278"/>
      <c r="AH164" s="277"/>
      <c r="AI164" s="278"/>
      <c r="AJ164" s="277"/>
      <c r="AK164" s="278"/>
      <c r="AL164" s="277"/>
      <c r="AM164" s="278"/>
      <c r="AN164" s="277"/>
      <c r="AO164" s="278"/>
      <c r="AP164" s="277"/>
      <c r="AQ164" s="278"/>
      <c r="AR164" s="278"/>
      <c r="AS164" s="278"/>
    </row>
    <row r="165" spans="1:45">
      <c r="A165" s="260"/>
      <c r="B165" s="295" t="b">
        <v>0</v>
      </c>
      <c r="C165" s="253" t="s">
        <v>3184</v>
      </c>
      <c r="D165" s="152" t="b">
        <v>0</v>
      </c>
      <c r="E165" s="153" t="s">
        <v>3314</v>
      </c>
      <c r="F165" s="295" t="b">
        <v>0</v>
      </c>
      <c r="G165" s="253" t="s">
        <v>3458</v>
      </c>
      <c r="H165" s="152" t="b">
        <v>0</v>
      </c>
      <c r="I165" s="153" t="s">
        <v>3600</v>
      </c>
      <c r="J165" s="253"/>
      <c r="K165" s="153"/>
      <c r="L165" s="253"/>
      <c r="M165" s="153"/>
      <c r="N165" s="256"/>
      <c r="O165" s="257"/>
      <c r="P165" s="256"/>
      <c r="Q165" s="257"/>
      <c r="R165" s="256"/>
      <c r="S165" s="257"/>
      <c r="T165" s="256"/>
      <c r="U165" s="257"/>
      <c r="V165" s="256"/>
      <c r="W165" s="257"/>
      <c r="X165" s="256"/>
      <c r="Y165" s="257"/>
      <c r="Z165" s="256"/>
      <c r="AA165" s="257"/>
      <c r="AB165" s="256"/>
      <c r="AC165" s="278"/>
      <c r="AD165" s="277"/>
      <c r="AE165" s="278"/>
      <c r="AF165" s="277"/>
      <c r="AG165" s="278"/>
      <c r="AH165" s="277"/>
      <c r="AI165" s="278"/>
      <c r="AJ165" s="277"/>
      <c r="AK165" s="278"/>
      <c r="AL165" s="277"/>
      <c r="AM165" s="278"/>
      <c r="AN165" s="277"/>
      <c r="AO165" s="278"/>
      <c r="AP165" s="277"/>
      <c r="AQ165" s="278"/>
      <c r="AR165" s="278"/>
      <c r="AS165" s="278"/>
    </row>
    <row r="166" spans="1:45">
      <c r="A166" s="260"/>
      <c r="B166" s="295" t="b">
        <v>0</v>
      </c>
      <c r="C166" s="253" t="s">
        <v>3186</v>
      </c>
      <c r="D166" s="152" t="b">
        <v>0</v>
      </c>
      <c r="E166" s="153" t="s">
        <v>3316</v>
      </c>
      <c r="F166" s="295" t="b">
        <v>0</v>
      </c>
      <c r="G166" s="253" t="s">
        <v>3460</v>
      </c>
      <c r="H166" s="152" t="b">
        <v>0</v>
      </c>
      <c r="I166" s="153" t="s">
        <v>3602</v>
      </c>
      <c r="J166" s="253"/>
      <c r="K166" s="153"/>
      <c r="L166" s="253"/>
      <c r="M166" s="153"/>
      <c r="N166" s="256"/>
      <c r="O166" s="257"/>
      <c r="P166" s="256"/>
      <c r="Q166" s="257"/>
      <c r="R166" s="256"/>
      <c r="S166" s="257"/>
      <c r="T166" s="256"/>
      <c r="U166" s="257"/>
      <c r="V166" s="256"/>
      <c r="W166" s="257"/>
      <c r="X166" s="256"/>
      <c r="Y166" s="257"/>
      <c r="Z166" s="256"/>
      <c r="AA166" s="257"/>
      <c r="AB166" s="256"/>
      <c r="AC166" s="278"/>
      <c r="AD166" s="277"/>
      <c r="AE166" s="278"/>
      <c r="AF166" s="277"/>
      <c r="AG166" s="278"/>
      <c r="AH166" s="277"/>
      <c r="AI166" s="278"/>
      <c r="AJ166" s="277"/>
      <c r="AK166" s="278"/>
      <c r="AL166" s="277"/>
      <c r="AM166" s="278"/>
      <c r="AN166" s="277"/>
      <c r="AO166" s="278"/>
      <c r="AP166" s="277"/>
      <c r="AQ166" s="278"/>
      <c r="AR166" s="278"/>
      <c r="AS166" s="278"/>
    </row>
    <row r="167" spans="1:45">
      <c r="A167" s="260"/>
      <c r="B167" s="295" t="b">
        <v>0</v>
      </c>
      <c r="C167" s="253" t="s">
        <v>3188</v>
      </c>
      <c r="D167" s="152" t="b">
        <v>0</v>
      </c>
      <c r="E167" s="153" t="s">
        <v>3318</v>
      </c>
      <c r="F167" s="295" t="b">
        <v>0</v>
      </c>
      <c r="G167" s="253" t="s">
        <v>3462</v>
      </c>
      <c r="H167" s="152" t="b">
        <v>0</v>
      </c>
      <c r="I167" s="153" t="s">
        <v>3604</v>
      </c>
      <c r="J167" s="253"/>
      <c r="K167" s="153"/>
      <c r="L167" s="253"/>
      <c r="M167" s="153"/>
      <c r="N167" s="256"/>
      <c r="O167" s="257"/>
      <c r="P167" s="256"/>
      <c r="Q167" s="257"/>
      <c r="R167" s="256"/>
      <c r="S167" s="257"/>
      <c r="T167" s="256"/>
      <c r="U167" s="257"/>
      <c r="V167" s="256"/>
      <c r="W167" s="257"/>
      <c r="X167" s="256"/>
      <c r="Y167" s="257"/>
      <c r="Z167" s="256"/>
      <c r="AA167" s="257"/>
      <c r="AB167" s="256"/>
      <c r="AC167" s="278"/>
      <c r="AD167" s="277"/>
      <c r="AE167" s="278"/>
      <c r="AF167" s="277"/>
      <c r="AG167" s="278"/>
      <c r="AH167" s="277"/>
      <c r="AI167" s="278"/>
      <c r="AJ167" s="277"/>
      <c r="AK167" s="278"/>
      <c r="AL167" s="277"/>
      <c r="AM167" s="278"/>
      <c r="AN167" s="277"/>
      <c r="AO167" s="278"/>
      <c r="AP167" s="277"/>
      <c r="AQ167" s="278"/>
      <c r="AR167" s="278"/>
      <c r="AS167" s="278"/>
    </row>
    <row r="168" spans="1:45">
      <c r="A168" s="260"/>
      <c r="B168" s="295" t="b">
        <v>0</v>
      </c>
      <c r="C168" s="253" t="s">
        <v>3190</v>
      </c>
      <c r="D168" s="152" t="b">
        <v>0</v>
      </c>
      <c r="E168" s="153" t="s">
        <v>3320</v>
      </c>
      <c r="F168" s="295" t="b">
        <v>0</v>
      </c>
      <c r="G168" s="253" t="s">
        <v>3464</v>
      </c>
      <c r="H168" s="152" t="b">
        <v>0</v>
      </c>
      <c r="I168" s="153"/>
      <c r="J168" s="253"/>
      <c r="K168" s="153"/>
      <c r="L168" s="253"/>
      <c r="M168" s="153"/>
      <c r="N168" s="256"/>
      <c r="O168" s="257"/>
      <c r="P168" s="256"/>
      <c r="Q168" s="257"/>
      <c r="R168" s="256"/>
      <c r="S168" s="257"/>
      <c r="T168" s="256"/>
      <c r="U168" s="257"/>
      <c r="V168" s="256"/>
      <c r="W168" s="257"/>
      <c r="X168" s="256"/>
      <c r="Y168" s="257"/>
      <c r="Z168" s="256"/>
      <c r="AA168" s="257"/>
      <c r="AB168" s="256"/>
      <c r="AC168" s="278"/>
      <c r="AD168" s="277"/>
      <c r="AE168" s="278"/>
      <c r="AF168" s="277"/>
      <c r="AG168" s="278"/>
      <c r="AH168" s="277"/>
      <c r="AI168" s="278"/>
      <c r="AJ168" s="277"/>
      <c r="AK168" s="278"/>
      <c r="AL168" s="277"/>
      <c r="AM168" s="278"/>
      <c r="AN168" s="277"/>
      <c r="AO168" s="278"/>
      <c r="AP168" s="277"/>
      <c r="AQ168" s="278"/>
      <c r="AR168" s="278"/>
      <c r="AS168" s="278"/>
    </row>
    <row r="169" spans="1:45">
      <c r="A169" s="260"/>
      <c r="B169" s="295" t="b">
        <v>0</v>
      </c>
      <c r="C169" s="253" t="s">
        <v>3192</v>
      </c>
      <c r="D169" s="152" t="b">
        <v>0</v>
      </c>
      <c r="E169" s="153" t="s">
        <v>3322</v>
      </c>
      <c r="F169" s="295" t="b">
        <v>0</v>
      </c>
      <c r="G169" s="253" t="s">
        <v>3466</v>
      </c>
      <c r="H169" s="152" t="b">
        <v>0</v>
      </c>
      <c r="I169" s="153"/>
      <c r="J169" s="253"/>
      <c r="K169" s="153"/>
      <c r="L169" s="253"/>
      <c r="M169" s="153"/>
      <c r="N169" s="256"/>
      <c r="O169" s="257"/>
      <c r="P169" s="256"/>
      <c r="Q169" s="257"/>
      <c r="R169" s="256"/>
      <c r="S169" s="257"/>
      <c r="T169" s="256"/>
      <c r="U169" s="257"/>
      <c r="V169" s="256"/>
      <c r="W169" s="257"/>
      <c r="X169" s="256"/>
      <c r="Y169" s="257"/>
      <c r="Z169" s="256"/>
      <c r="AA169" s="257"/>
      <c r="AB169" s="256"/>
      <c r="AC169" s="278"/>
      <c r="AD169" s="277"/>
      <c r="AE169" s="278"/>
      <c r="AF169" s="277"/>
      <c r="AG169" s="278"/>
      <c r="AH169" s="277"/>
      <c r="AI169" s="278"/>
      <c r="AJ169" s="277"/>
      <c r="AK169" s="278"/>
      <c r="AL169" s="277"/>
      <c r="AM169" s="278"/>
      <c r="AN169" s="277"/>
      <c r="AO169" s="278"/>
      <c r="AP169" s="277"/>
      <c r="AQ169" s="278"/>
      <c r="AR169" s="278"/>
      <c r="AS169" s="278"/>
    </row>
    <row r="170" spans="1:45">
      <c r="A170" s="260"/>
      <c r="B170" s="295" t="b">
        <v>0</v>
      </c>
      <c r="C170" s="253" t="s">
        <v>3194</v>
      </c>
      <c r="D170" s="152" t="b">
        <v>0</v>
      </c>
      <c r="E170" s="153" t="s">
        <v>3324</v>
      </c>
      <c r="F170" s="295" t="b">
        <v>0</v>
      </c>
      <c r="G170" s="253" t="s">
        <v>3468</v>
      </c>
      <c r="H170" s="152" t="b">
        <v>0</v>
      </c>
      <c r="I170" s="153"/>
      <c r="J170" s="253"/>
      <c r="K170" s="153"/>
      <c r="L170" s="253"/>
      <c r="M170" s="153"/>
      <c r="N170" s="256"/>
      <c r="O170" s="257"/>
      <c r="P170" s="256"/>
      <c r="Q170" s="257"/>
      <c r="R170" s="256"/>
      <c r="S170" s="257"/>
      <c r="T170" s="256"/>
      <c r="U170" s="257"/>
      <c r="V170" s="256"/>
      <c r="W170" s="257"/>
      <c r="X170" s="256"/>
      <c r="Y170" s="257"/>
      <c r="Z170" s="256"/>
      <c r="AA170" s="257"/>
      <c r="AB170" s="256"/>
      <c r="AC170" s="278"/>
      <c r="AD170" s="277"/>
      <c r="AE170" s="278"/>
      <c r="AF170" s="277"/>
      <c r="AG170" s="278"/>
      <c r="AH170" s="277"/>
      <c r="AI170" s="278"/>
      <c r="AJ170" s="277"/>
      <c r="AK170" s="278"/>
      <c r="AL170" s="277"/>
      <c r="AM170" s="278"/>
      <c r="AN170" s="277"/>
      <c r="AO170" s="278"/>
      <c r="AP170" s="277"/>
      <c r="AQ170" s="278"/>
      <c r="AR170" s="278"/>
      <c r="AS170" s="278"/>
    </row>
    <row r="171" spans="1:45">
      <c r="A171" s="260"/>
      <c r="B171" s="295" t="b">
        <v>0</v>
      </c>
      <c r="C171" s="253" t="s">
        <v>3196</v>
      </c>
      <c r="D171" s="152" t="b">
        <v>0</v>
      </c>
      <c r="E171" s="153" t="s">
        <v>3326</v>
      </c>
      <c r="F171" s="295" t="b">
        <v>0</v>
      </c>
      <c r="G171" s="253" t="s">
        <v>3470</v>
      </c>
      <c r="H171" s="152" t="b">
        <v>0</v>
      </c>
      <c r="I171" s="153"/>
      <c r="J171" s="253"/>
      <c r="K171" s="153"/>
      <c r="L171" s="253"/>
      <c r="M171" s="153"/>
      <c r="N171" s="256"/>
      <c r="O171" s="257"/>
      <c r="P171" s="256"/>
      <c r="Q171" s="257"/>
      <c r="R171" s="256"/>
      <c r="S171" s="257"/>
      <c r="T171" s="256"/>
      <c r="U171" s="257"/>
      <c r="V171" s="256"/>
      <c r="W171" s="257"/>
      <c r="X171" s="256"/>
      <c r="Y171" s="257"/>
      <c r="Z171" s="256"/>
      <c r="AA171" s="257"/>
      <c r="AB171" s="256"/>
      <c r="AC171" s="278"/>
      <c r="AD171" s="277"/>
      <c r="AE171" s="278"/>
      <c r="AF171" s="277"/>
      <c r="AG171" s="278"/>
      <c r="AH171" s="277"/>
      <c r="AI171" s="278"/>
      <c r="AJ171" s="277"/>
      <c r="AK171" s="278"/>
      <c r="AL171" s="277"/>
      <c r="AM171" s="278"/>
      <c r="AN171" s="277"/>
      <c r="AO171" s="278"/>
      <c r="AP171" s="277"/>
      <c r="AQ171" s="278"/>
      <c r="AR171" s="278"/>
      <c r="AS171" s="278"/>
    </row>
    <row r="172" spans="1:45">
      <c r="A172" s="260"/>
      <c r="B172" s="295" t="b">
        <v>0</v>
      </c>
      <c r="C172" s="253" t="s">
        <v>3198</v>
      </c>
      <c r="D172" s="152" t="b">
        <v>0</v>
      </c>
      <c r="E172" s="153" t="s">
        <v>3328</v>
      </c>
      <c r="F172" s="295" t="b">
        <v>0</v>
      </c>
      <c r="G172" s="253" t="s">
        <v>3472</v>
      </c>
      <c r="H172" s="152" t="b">
        <v>0</v>
      </c>
      <c r="I172" s="153"/>
      <c r="J172" s="253"/>
      <c r="K172" s="153"/>
      <c r="L172" s="253"/>
      <c r="M172" s="153"/>
      <c r="N172" s="256"/>
      <c r="O172" s="257"/>
      <c r="P172" s="256"/>
      <c r="Q172" s="257"/>
      <c r="R172" s="256"/>
      <c r="S172" s="257"/>
      <c r="T172" s="256"/>
      <c r="U172" s="257"/>
      <c r="V172" s="256"/>
      <c r="W172" s="257"/>
      <c r="X172" s="256"/>
      <c r="Y172" s="257"/>
      <c r="Z172" s="256"/>
      <c r="AA172" s="257"/>
      <c r="AB172" s="256"/>
      <c r="AC172" s="278"/>
      <c r="AD172" s="277"/>
      <c r="AE172" s="278"/>
      <c r="AF172" s="277"/>
      <c r="AG172" s="278"/>
      <c r="AH172" s="277"/>
      <c r="AI172" s="278"/>
      <c r="AJ172" s="277"/>
      <c r="AK172" s="278"/>
      <c r="AL172" s="277"/>
      <c r="AM172" s="278"/>
      <c r="AN172" s="277"/>
      <c r="AO172" s="278"/>
      <c r="AP172" s="277"/>
      <c r="AQ172" s="278"/>
      <c r="AR172" s="278"/>
      <c r="AS172" s="278"/>
    </row>
    <row r="173" spans="1:45">
      <c r="A173" s="260"/>
      <c r="B173" s="295" t="b">
        <v>0</v>
      </c>
      <c r="C173" s="253" t="s">
        <v>3200</v>
      </c>
      <c r="D173" s="152" t="b">
        <v>0</v>
      </c>
      <c r="E173" s="153" t="s">
        <v>3330</v>
      </c>
      <c r="F173" s="295" t="b">
        <v>0</v>
      </c>
      <c r="G173" s="253" t="s">
        <v>3474</v>
      </c>
      <c r="H173" s="152" t="b">
        <v>0</v>
      </c>
      <c r="I173" s="153"/>
      <c r="J173" s="253"/>
      <c r="K173" s="153"/>
      <c r="L173" s="253"/>
      <c r="M173" s="153"/>
      <c r="N173" s="256"/>
      <c r="O173" s="257"/>
      <c r="P173" s="256"/>
      <c r="Q173" s="257"/>
      <c r="R173" s="256"/>
      <c r="S173" s="257"/>
      <c r="T173" s="256"/>
      <c r="U173" s="257"/>
      <c r="V173" s="256"/>
      <c r="W173" s="257"/>
      <c r="X173" s="256"/>
      <c r="Y173" s="257"/>
      <c r="Z173" s="256"/>
      <c r="AA173" s="257"/>
      <c r="AB173" s="256"/>
      <c r="AC173" s="278"/>
      <c r="AD173" s="277"/>
      <c r="AE173" s="278"/>
      <c r="AF173" s="277"/>
      <c r="AG173" s="278"/>
      <c r="AH173" s="277"/>
      <c r="AI173" s="278"/>
      <c r="AJ173" s="277"/>
      <c r="AK173" s="278"/>
      <c r="AL173" s="277"/>
      <c r="AM173" s="278"/>
      <c r="AN173" s="277"/>
      <c r="AO173" s="278"/>
      <c r="AP173" s="277"/>
      <c r="AQ173" s="278"/>
      <c r="AR173" s="278"/>
      <c r="AS173" s="278"/>
    </row>
    <row r="174" spans="1:45">
      <c r="A174" s="260"/>
      <c r="B174" s="295" t="b">
        <v>0</v>
      </c>
      <c r="C174" s="253" t="s">
        <v>3202</v>
      </c>
      <c r="D174" s="152" t="b">
        <v>0</v>
      </c>
      <c r="E174" s="153" t="s">
        <v>3332</v>
      </c>
      <c r="F174" s="295" t="b">
        <v>0</v>
      </c>
      <c r="G174" s="253" t="s">
        <v>3476</v>
      </c>
      <c r="H174" s="152" t="b">
        <v>0</v>
      </c>
      <c r="I174" s="153"/>
      <c r="J174" s="253"/>
      <c r="K174" s="153"/>
      <c r="L174" s="253"/>
      <c r="M174" s="153"/>
      <c r="N174" s="256"/>
      <c r="O174" s="257"/>
      <c r="P174" s="256"/>
      <c r="Q174" s="257"/>
      <c r="R174" s="256"/>
      <c r="S174" s="257"/>
      <c r="T174" s="256"/>
      <c r="U174" s="257"/>
      <c r="V174" s="256"/>
      <c r="W174" s="257"/>
      <c r="X174" s="256"/>
      <c r="Y174" s="257"/>
      <c r="Z174" s="256"/>
      <c r="AA174" s="257"/>
      <c r="AB174" s="256"/>
      <c r="AC174" s="278"/>
      <c r="AD174" s="277"/>
      <c r="AE174" s="278"/>
      <c r="AF174" s="277"/>
      <c r="AG174" s="278"/>
      <c r="AH174" s="277"/>
      <c r="AI174" s="278"/>
      <c r="AJ174" s="277"/>
      <c r="AK174" s="278"/>
      <c r="AL174" s="277"/>
      <c r="AM174" s="278"/>
      <c r="AN174" s="277"/>
      <c r="AO174" s="278"/>
      <c r="AP174" s="277"/>
      <c r="AQ174" s="278"/>
      <c r="AR174" s="278"/>
      <c r="AS174" s="278"/>
    </row>
    <row r="175" spans="1:45">
      <c r="A175" s="260"/>
      <c r="B175" s="295" t="b">
        <v>0</v>
      </c>
      <c r="C175" s="253" t="s">
        <v>3204</v>
      </c>
      <c r="D175" s="152" t="b">
        <v>0</v>
      </c>
      <c r="E175" s="153" t="s">
        <v>3334</v>
      </c>
      <c r="F175" s="295" t="b">
        <v>0</v>
      </c>
      <c r="G175" s="253" t="s">
        <v>3478</v>
      </c>
      <c r="H175" s="152" t="b">
        <v>0</v>
      </c>
      <c r="I175" s="153"/>
      <c r="J175" s="253"/>
      <c r="K175" s="153"/>
      <c r="L175" s="253"/>
      <c r="M175" s="153"/>
      <c r="N175" s="256"/>
      <c r="O175" s="257"/>
      <c r="P175" s="256"/>
      <c r="Q175" s="257"/>
      <c r="R175" s="256"/>
      <c r="S175" s="257"/>
      <c r="T175" s="256"/>
      <c r="U175" s="257"/>
      <c r="V175" s="256"/>
      <c r="W175" s="257"/>
      <c r="X175" s="256"/>
      <c r="Y175" s="257"/>
      <c r="Z175" s="256"/>
      <c r="AA175" s="257"/>
      <c r="AB175" s="256"/>
      <c r="AC175" s="278"/>
      <c r="AD175" s="277"/>
      <c r="AE175" s="278"/>
      <c r="AF175" s="277"/>
      <c r="AG175" s="278"/>
      <c r="AH175" s="277"/>
      <c r="AI175" s="278"/>
      <c r="AJ175" s="277"/>
      <c r="AK175" s="278"/>
      <c r="AL175" s="277"/>
      <c r="AM175" s="278"/>
      <c r="AN175" s="277"/>
      <c r="AO175" s="278"/>
      <c r="AP175" s="277"/>
      <c r="AQ175" s="278"/>
      <c r="AR175" s="278"/>
      <c r="AS175" s="278"/>
    </row>
    <row r="176" spans="1:45">
      <c r="A176" s="260"/>
      <c r="B176" s="295" t="b">
        <v>0</v>
      </c>
      <c r="C176" s="253" t="s">
        <v>3206</v>
      </c>
      <c r="D176" s="152" t="b">
        <v>0</v>
      </c>
      <c r="E176" s="153" t="s">
        <v>3336</v>
      </c>
      <c r="F176" s="295" t="b">
        <v>0</v>
      </c>
      <c r="G176" s="253" t="s">
        <v>3480</v>
      </c>
      <c r="H176" s="152" t="b">
        <v>0</v>
      </c>
      <c r="I176" s="153"/>
      <c r="J176" s="253"/>
      <c r="K176" s="153"/>
      <c r="L176" s="253"/>
      <c r="M176" s="153"/>
      <c r="N176" s="256"/>
      <c r="O176" s="257"/>
      <c r="P176" s="256"/>
      <c r="Q176" s="257"/>
      <c r="R176" s="256"/>
      <c r="S176" s="257"/>
      <c r="T176" s="256"/>
      <c r="U176" s="257"/>
      <c r="V176" s="256"/>
      <c r="W176" s="257"/>
      <c r="X176" s="256"/>
      <c r="Y176" s="257"/>
      <c r="Z176" s="256"/>
      <c r="AA176" s="257"/>
      <c r="AB176" s="256"/>
      <c r="AC176" s="278"/>
      <c r="AD176" s="277"/>
      <c r="AE176" s="278"/>
      <c r="AF176" s="277"/>
      <c r="AG176" s="278"/>
      <c r="AH176" s="277"/>
      <c r="AI176" s="278"/>
      <c r="AJ176" s="277"/>
      <c r="AK176" s="278"/>
      <c r="AL176" s="277"/>
      <c r="AM176" s="278"/>
      <c r="AN176" s="277"/>
      <c r="AO176" s="278"/>
      <c r="AP176" s="277"/>
      <c r="AQ176" s="278"/>
      <c r="AR176" s="278"/>
      <c r="AS176" s="278"/>
    </row>
    <row r="177" spans="1:45">
      <c r="A177" s="260"/>
      <c r="B177" s="295" t="b">
        <v>0</v>
      </c>
      <c r="C177" s="253" t="s">
        <v>3208</v>
      </c>
      <c r="D177" s="152" t="b">
        <v>0</v>
      </c>
      <c r="E177" s="153" t="s">
        <v>3338</v>
      </c>
      <c r="F177" s="295" t="b">
        <v>0</v>
      </c>
      <c r="G177" s="253" t="s">
        <v>3482</v>
      </c>
      <c r="H177" s="152" t="b">
        <v>0</v>
      </c>
      <c r="I177" s="153"/>
      <c r="J177" s="253"/>
      <c r="K177" s="153"/>
      <c r="L177" s="253"/>
      <c r="M177" s="153"/>
      <c r="N177" s="256"/>
      <c r="O177" s="257"/>
      <c r="P177" s="256"/>
      <c r="Q177" s="257"/>
      <c r="R177" s="256"/>
      <c r="S177" s="257"/>
      <c r="T177" s="256"/>
      <c r="U177" s="257"/>
      <c r="V177" s="256"/>
      <c r="W177" s="257"/>
      <c r="X177" s="256"/>
      <c r="Y177" s="257"/>
      <c r="Z177" s="256"/>
      <c r="AA177" s="257"/>
      <c r="AB177" s="256"/>
      <c r="AC177" s="278"/>
      <c r="AD177" s="277"/>
      <c r="AE177" s="278"/>
      <c r="AF177" s="277"/>
      <c r="AG177" s="278"/>
      <c r="AH177" s="277"/>
      <c r="AI177" s="278"/>
      <c r="AJ177" s="277"/>
      <c r="AK177" s="278"/>
      <c r="AL177" s="277"/>
      <c r="AM177" s="278"/>
      <c r="AN177" s="277"/>
      <c r="AO177" s="278"/>
      <c r="AP177" s="277"/>
      <c r="AQ177" s="278"/>
      <c r="AR177" s="278"/>
      <c r="AS177" s="278"/>
    </row>
    <row r="178" spans="1:45">
      <c r="A178" s="260"/>
      <c r="B178" s="295" t="b">
        <v>0</v>
      </c>
      <c r="C178" s="253" t="s">
        <v>3210</v>
      </c>
      <c r="D178" s="152" t="b">
        <v>0</v>
      </c>
      <c r="E178" s="153" t="s">
        <v>3340</v>
      </c>
      <c r="F178" s="295" t="b">
        <v>0</v>
      </c>
      <c r="G178" s="253" t="s">
        <v>3484</v>
      </c>
      <c r="H178" s="152" t="b">
        <v>0</v>
      </c>
      <c r="I178" s="153"/>
      <c r="J178" s="253"/>
      <c r="K178" s="153"/>
      <c r="L178" s="253"/>
      <c r="M178" s="153"/>
      <c r="N178" s="256"/>
      <c r="O178" s="257"/>
      <c r="P178" s="256"/>
      <c r="Q178" s="257"/>
      <c r="R178" s="256"/>
      <c r="S178" s="257"/>
      <c r="T178" s="256"/>
      <c r="U178" s="257"/>
      <c r="V178" s="256"/>
      <c r="W178" s="257"/>
      <c r="X178" s="256"/>
      <c r="Y178" s="257"/>
      <c r="Z178" s="256"/>
      <c r="AA178" s="257"/>
      <c r="AB178" s="256"/>
      <c r="AC178" s="278"/>
      <c r="AD178" s="277"/>
      <c r="AE178" s="278"/>
      <c r="AF178" s="277"/>
      <c r="AG178" s="278"/>
      <c r="AH178" s="277"/>
      <c r="AI178" s="278"/>
      <c r="AJ178" s="277"/>
      <c r="AK178" s="278"/>
      <c r="AL178" s="277"/>
      <c r="AM178" s="278"/>
      <c r="AN178" s="277"/>
      <c r="AO178" s="278"/>
      <c r="AP178" s="277"/>
      <c r="AQ178" s="278"/>
      <c r="AR178" s="278"/>
      <c r="AS178" s="278"/>
    </row>
    <row r="179" spans="1:45">
      <c r="A179" s="260"/>
      <c r="B179" s="295" t="b">
        <v>0</v>
      </c>
      <c r="C179" s="253" t="s">
        <v>3212</v>
      </c>
      <c r="D179" s="152" t="b">
        <v>0</v>
      </c>
      <c r="E179" s="153" t="s">
        <v>3342</v>
      </c>
      <c r="F179" s="295" t="b">
        <v>0</v>
      </c>
      <c r="G179" s="253" t="s">
        <v>3486</v>
      </c>
      <c r="H179" s="152" t="b">
        <v>0</v>
      </c>
      <c r="I179" s="153"/>
      <c r="J179" s="253"/>
      <c r="K179" s="153"/>
      <c r="L179" s="253"/>
      <c r="M179" s="153"/>
      <c r="N179" s="256"/>
      <c r="O179" s="257"/>
      <c r="P179" s="256"/>
      <c r="Q179" s="257"/>
      <c r="R179" s="256"/>
      <c r="S179" s="257"/>
      <c r="T179" s="256"/>
      <c r="U179" s="257"/>
      <c r="V179" s="256"/>
      <c r="W179" s="257"/>
      <c r="X179" s="256"/>
      <c r="Y179" s="257"/>
      <c r="Z179" s="256"/>
      <c r="AA179" s="257"/>
      <c r="AB179" s="256"/>
      <c r="AC179" s="278"/>
      <c r="AD179" s="277"/>
      <c r="AE179" s="278"/>
      <c r="AF179" s="277"/>
      <c r="AG179" s="278"/>
      <c r="AH179" s="277"/>
      <c r="AI179" s="278"/>
      <c r="AJ179" s="277"/>
      <c r="AK179" s="278"/>
      <c r="AL179" s="277"/>
      <c r="AM179" s="278"/>
      <c r="AN179" s="277"/>
      <c r="AO179" s="278"/>
      <c r="AP179" s="277"/>
      <c r="AQ179" s="278"/>
      <c r="AR179" s="278"/>
      <c r="AS179" s="278"/>
    </row>
    <row r="180" spans="1:45">
      <c r="A180" s="260"/>
      <c r="B180" s="295" t="b">
        <v>0</v>
      </c>
      <c r="C180" s="253" t="s">
        <v>3214</v>
      </c>
      <c r="D180" s="152" t="b">
        <v>0</v>
      </c>
      <c r="E180" s="153" t="s">
        <v>3344</v>
      </c>
      <c r="F180" s="295" t="b">
        <v>0</v>
      </c>
      <c r="G180" s="253" t="s">
        <v>3488</v>
      </c>
      <c r="H180" s="152" t="b">
        <v>0</v>
      </c>
      <c r="I180" s="153"/>
      <c r="J180" s="253"/>
      <c r="K180" s="153"/>
      <c r="L180" s="253"/>
      <c r="M180" s="153"/>
      <c r="N180" s="256"/>
      <c r="O180" s="257"/>
      <c r="P180" s="256"/>
      <c r="Q180" s="257"/>
      <c r="R180" s="256"/>
      <c r="S180" s="257"/>
      <c r="T180" s="256"/>
      <c r="U180" s="257"/>
      <c r="V180" s="256"/>
      <c r="W180" s="257"/>
      <c r="X180" s="256"/>
      <c r="Y180" s="257"/>
      <c r="Z180" s="256"/>
      <c r="AA180" s="257"/>
      <c r="AB180" s="256"/>
      <c r="AC180" s="278"/>
      <c r="AD180" s="277"/>
      <c r="AE180" s="278"/>
      <c r="AF180" s="277"/>
      <c r="AG180" s="278"/>
      <c r="AH180" s="277"/>
      <c r="AI180" s="278"/>
      <c r="AJ180" s="277"/>
      <c r="AK180" s="278"/>
      <c r="AL180" s="277"/>
      <c r="AM180" s="278"/>
      <c r="AN180" s="277"/>
      <c r="AO180" s="278"/>
      <c r="AP180" s="277"/>
      <c r="AQ180" s="278"/>
      <c r="AR180" s="278"/>
      <c r="AS180" s="278"/>
    </row>
    <row r="181" spans="1:45">
      <c r="A181" s="260"/>
      <c r="B181" s="295" t="b">
        <v>0</v>
      </c>
      <c r="C181" s="253" t="s">
        <v>3216</v>
      </c>
      <c r="D181" s="152" t="b">
        <v>0</v>
      </c>
      <c r="E181" s="153" t="s">
        <v>3346</v>
      </c>
      <c r="F181" s="295" t="b">
        <v>0</v>
      </c>
      <c r="G181" s="253" t="s">
        <v>3490</v>
      </c>
      <c r="H181" s="152" t="b">
        <v>0</v>
      </c>
      <c r="I181" s="153"/>
      <c r="J181" s="253"/>
      <c r="K181" s="153"/>
      <c r="L181" s="253"/>
      <c r="M181" s="153"/>
      <c r="N181" s="256"/>
      <c r="O181" s="257"/>
      <c r="P181" s="256"/>
      <c r="Q181" s="257"/>
      <c r="R181" s="256"/>
      <c r="S181" s="257"/>
      <c r="T181" s="256"/>
      <c r="U181" s="257"/>
      <c r="V181" s="256"/>
      <c r="W181" s="257"/>
      <c r="X181" s="256"/>
      <c r="Y181" s="257"/>
      <c r="Z181" s="256"/>
      <c r="AA181" s="257"/>
      <c r="AB181" s="256"/>
      <c r="AC181" s="278"/>
      <c r="AD181" s="277"/>
      <c r="AE181" s="278"/>
      <c r="AF181" s="277"/>
      <c r="AG181" s="278"/>
      <c r="AH181" s="277"/>
      <c r="AI181" s="278"/>
      <c r="AJ181" s="277"/>
      <c r="AK181" s="278"/>
      <c r="AL181" s="277"/>
      <c r="AM181" s="278"/>
      <c r="AN181" s="277"/>
      <c r="AO181" s="278"/>
      <c r="AP181" s="277"/>
      <c r="AQ181" s="278"/>
      <c r="AR181" s="278"/>
      <c r="AS181" s="278"/>
    </row>
    <row r="182" spans="1:45">
      <c r="A182" s="260"/>
      <c r="B182" s="295" t="b">
        <v>0</v>
      </c>
      <c r="C182" s="253" t="s">
        <v>3218</v>
      </c>
      <c r="D182" s="152" t="b">
        <v>0</v>
      </c>
      <c r="E182" s="153" t="s">
        <v>3348</v>
      </c>
      <c r="F182" s="295" t="b">
        <v>0</v>
      </c>
      <c r="G182" s="253" t="s">
        <v>3492</v>
      </c>
      <c r="H182" s="152" t="b">
        <v>0</v>
      </c>
      <c r="I182" s="153"/>
      <c r="J182" s="253"/>
      <c r="K182" s="153"/>
      <c r="L182" s="253"/>
      <c r="M182" s="153"/>
      <c r="N182" s="256"/>
      <c r="O182" s="257"/>
      <c r="P182" s="256"/>
      <c r="Q182" s="257"/>
      <c r="R182" s="256"/>
      <c r="S182" s="257"/>
      <c r="T182" s="256"/>
      <c r="U182" s="257"/>
      <c r="V182" s="256"/>
      <c r="W182" s="257"/>
      <c r="X182" s="256"/>
      <c r="Y182" s="257"/>
      <c r="Z182" s="256"/>
      <c r="AA182" s="257"/>
      <c r="AB182" s="256"/>
      <c r="AC182" s="278"/>
      <c r="AD182" s="277"/>
      <c r="AE182" s="278"/>
      <c r="AF182" s="277"/>
      <c r="AG182" s="278"/>
      <c r="AH182" s="277"/>
      <c r="AI182" s="278"/>
      <c r="AJ182" s="277"/>
      <c r="AK182" s="278"/>
      <c r="AL182" s="277"/>
      <c r="AM182" s="278"/>
      <c r="AN182" s="277"/>
      <c r="AO182" s="278"/>
      <c r="AP182" s="277"/>
      <c r="AQ182" s="278"/>
      <c r="AR182" s="278"/>
      <c r="AS182" s="278"/>
    </row>
    <row r="183" spans="1:45">
      <c r="A183" s="260"/>
      <c r="B183" s="295" t="b">
        <v>0</v>
      </c>
      <c r="C183" s="253" t="s">
        <v>3220</v>
      </c>
      <c r="D183" s="152" t="b">
        <v>0</v>
      </c>
      <c r="E183" s="153" t="s">
        <v>3350</v>
      </c>
      <c r="F183" s="295" t="b">
        <v>0</v>
      </c>
      <c r="G183" s="253" t="s">
        <v>3494</v>
      </c>
      <c r="H183" s="152" t="b">
        <v>0</v>
      </c>
      <c r="I183" s="153"/>
      <c r="J183" s="253"/>
      <c r="K183" s="153"/>
      <c r="L183" s="253"/>
      <c r="M183" s="153"/>
      <c r="N183" s="256"/>
      <c r="O183" s="257"/>
      <c r="P183" s="256"/>
      <c r="Q183" s="257"/>
      <c r="R183" s="256"/>
      <c r="S183" s="257"/>
      <c r="T183" s="256"/>
      <c r="U183" s="257"/>
      <c r="V183" s="256"/>
      <c r="W183" s="257"/>
      <c r="X183" s="256"/>
      <c r="Y183" s="257"/>
      <c r="Z183" s="256"/>
      <c r="AA183" s="257"/>
      <c r="AB183" s="256"/>
      <c r="AC183" s="278"/>
      <c r="AD183" s="277"/>
      <c r="AE183" s="278"/>
      <c r="AF183" s="277"/>
      <c r="AG183" s="278"/>
      <c r="AH183" s="277"/>
      <c r="AI183" s="278"/>
      <c r="AJ183" s="277"/>
      <c r="AK183" s="278"/>
      <c r="AL183" s="277"/>
      <c r="AM183" s="278"/>
      <c r="AN183" s="277"/>
      <c r="AO183" s="278"/>
      <c r="AP183" s="277"/>
      <c r="AQ183" s="278"/>
      <c r="AR183" s="278"/>
      <c r="AS183" s="278"/>
    </row>
    <row r="184" spans="1:45">
      <c r="A184" s="260"/>
      <c r="B184" s="295" t="b">
        <v>0</v>
      </c>
      <c r="C184" s="253" t="s">
        <v>3222</v>
      </c>
      <c r="D184" s="152" t="b">
        <v>0</v>
      </c>
      <c r="E184" s="153" t="s">
        <v>3352</v>
      </c>
      <c r="F184" s="295" t="b">
        <v>0</v>
      </c>
      <c r="G184" s="253" t="s">
        <v>3496</v>
      </c>
      <c r="H184" s="152" t="b">
        <v>0</v>
      </c>
      <c r="I184" s="153"/>
      <c r="J184" s="253"/>
      <c r="K184" s="153"/>
      <c r="L184" s="253"/>
      <c r="M184" s="153"/>
      <c r="N184" s="256"/>
      <c r="O184" s="257"/>
      <c r="P184" s="256"/>
      <c r="Q184" s="257"/>
      <c r="R184" s="256"/>
      <c r="S184" s="257"/>
      <c r="T184" s="256"/>
      <c r="U184" s="257"/>
      <c r="V184" s="256"/>
      <c r="W184" s="257"/>
      <c r="X184" s="256"/>
      <c r="Y184" s="257"/>
      <c r="Z184" s="256"/>
      <c r="AA184" s="257"/>
      <c r="AB184" s="256"/>
      <c r="AC184" s="278"/>
      <c r="AD184" s="277"/>
      <c r="AE184" s="278"/>
      <c r="AF184" s="277"/>
      <c r="AG184" s="278"/>
      <c r="AH184" s="277"/>
      <c r="AI184" s="278"/>
      <c r="AJ184" s="277"/>
      <c r="AK184" s="278"/>
      <c r="AL184" s="277"/>
      <c r="AM184" s="278"/>
      <c r="AN184" s="277"/>
      <c r="AO184" s="278"/>
      <c r="AP184" s="277"/>
      <c r="AQ184" s="278"/>
      <c r="AR184" s="278"/>
      <c r="AS184" s="278"/>
    </row>
    <row r="185" spans="1:45">
      <c r="A185" s="260"/>
      <c r="B185" s="295" t="b">
        <v>0</v>
      </c>
      <c r="C185" s="253" t="s">
        <v>3224</v>
      </c>
      <c r="D185" s="152" t="b">
        <v>0</v>
      </c>
      <c r="E185" s="153" t="s">
        <v>3354</v>
      </c>
      <c r="F185" s="295" t="b">
        <v>0</v>
      </c>
      <c r="G185" s="253" t="s">
        <v>3498</v>
      </c>
      <c r="H185" s="152" t="b">
        <v>0</v>
      </c>
      <c r="I185" s="153"/>
      <c r="J185" s="253"/>
      <c r="K185" s="153"/>
      <c r="L185" s="253"/>
      <c r="M185" s="153"/>
      <c r="N185" s="256"/>
      <c r="O185" s="257"/>
      <c r="P185" s="256"/>
      <c r="Q185" s="257"/>
      <c r="R185" s="256"/>
      <c r="S185" s="257"/>
      <c r="T185" s="256"/>
      <c r="U185" s="257"/>
      <c r="V185" s="256"/>
      <c r="W185" s="257"/>
      <c r="X185" s="256"/>
      <c r="Y185" s="257"/>
      <c r="Z185" s="256"/>
      <c r="AA185" s="257"/>
      <c r="AB185" s="256"/>
      <c r="AC185" s="278"/>
      <c r="AD185" s="277"/>
      <c r="AE185" s="278"/>
      <c r="AF185" s="277"/>
      <c r="AG185" s="278"/>
      <c r="AH185" s="277"/>
      <c r="AI185" s="278"/>
      <c r="AJ185" s="277"/>
      <c r="AK185" s="278"/>
      <c r="AL185" s="277"/>
      <c r="AM185" s="278"/>
      <c r="AN185" s="277"/>
      <c r="AO185" s="278"/>
      <c r="AP185" s="277"/>
      <c r="AQ185" s="278"/>
      <c r="AR185" s="278"/>
      <c r="AS185" s="278"/>
    </row>
    <row r="186" spans="1:45">
      <c r="A186" s="260"/>
      <c r="B186" s="295" t="b">
        <v>0</v>
      </c>
      <c r="C186" s="253" t="s">
        <v>3226</v>
      </c>
      <c r="D186" s="152" t="b">
        <v>0</v>
      </c>
      <c r="E186" s="153" t="s">
        <v>3356</v>
      </c>
      <c r="F186" s="295" t="b">
        <v>0</v>
      </c>
      <c r="G186" s="253" t="s">
        <v>3500</v>
      </c>
      <c r="H186" s="152" t="b">
        <v>0</v>
      </c>
      <c r="I186" s="153"/>
      <c r="J186" s="253"/>
      <c r="K186" s="153"/>
      <c r="L186" s="253"/>
      <c r="M186" s="153"/>
      <c r="N186" s="256"/>
      <c r="O186" s="257"/>
      <c r="P186" s="256"/>
      <c r="Q186" s="257"/>
      <c r="R186" s="256"/>
      <c r="S186" s="257"/>
      <c r="T186" s="256"/>
      <c r="U186" s="257"/>
      <c r="V186" s="256"/>
      <c r="W186" s="257"/>
      <c r="X186" s="256"/>
      <c r="Y186" s="257"/>
      <c r="Z186" s="256"/>
      <c r="AA186" s="257"/>
      <c r="AB186" s="256"/>
      <c r="AC186" s="278"/>
      <c r="AD186" s="277"/>
      <c r="AE186" s="278"/>
      <c r="AF186" s="277"/>
      <c r="AG186" s="278"/>
      <c r="AH186" s="277"/>
      <c r="AI186" s="278"/>
      <c r="AJ186" s="277"/>
      <c r="AK186" s="278"/>
      <c r="AL186" s="277"/>
      <c r="AM186" s="278"/>
      <c r="AN186" s="277"/>
      <c r="AO186" s="278"/>
      <c r="AP186" s="277"/>
      <c r="AQ186" s="278"/>
      <c r="AR186" s="278"/>
      <c r="AS186" s="278"/>
    </row>
    <row r="187" spans="1:45">
      <c r="A187" s="260"/>
      <c r="B187" s="295" t="b">
        <v>0</v>
      </c>
      <c r="C187" s="253" t="s">
        <v>3228</v>
      </c>
      <c r="D187" s="152" t="b">
        <v>0</v>
      </c>
      <c r="E187" s="153" t="s">
        <v>3358</v>
      </c>
      <c r="F187" s="295" t="b">
        <v>0</v>
      </c>
      <c r="G187" s="253" t="s">
        <v>3502</v>
      </c>
      <c r="H187" s="152" t="b">
        <v>0</v>
      </c>
      <c r="I187" s="153"/>
      <c r="J187" s="253"/>
      <c r="K187" s="153"/>
      <c r="L187" s="253"/>
      <c r="M187" s="153"/>
      <c r="N187" s="256"/>
      <c r="O187" s="257"/>
      <c r="P187" s="256"/>
      <c r="Q187" s="257"/>
      <c r="R187" s="256"/>
      <c r="S187" s="257"/>
      <c r="T187" s="256"/>
      <c r="U187" s="257"/>
      <c r="V187" s="256"/>
      <c r="W187" s="257"/>
      <c r="X187" s="256"/>
      <c r="Y187" s="257"/>
      <c r="Z187" s="256"/>
      <c r="AA187" s="257"/>
      <c r="AB187" s="256"/>
      <c r="AC187" s="278"/>
      <c r="AD187" s="277"/>
      <c r="AE187" s="278"/>
      <c r="AF187" s="277"/>
      <c r="AG187" s="278"/>
      <c r="AH187" s="277"/>
      <c r="AI187" s="278"/>
      <c r="AJ187" s="277"/>
      <c r="AK187" s="278"/>
      <c r="AL187" s="277"/>
      <c r="AM187" s="278"/>
      <c r="AN187" s="277"/>
      <c r="AO187" s="278"/>
      <c r="AP187" s="277"/>
      <c r="AQ187" s="278"/>
      <c r="AR187" s="278"/>
      <c r="AS187" s="278"/>
    </row>
    <row r="188" spans="1:45">
      <c r="A188" s="260"/>
      <c r="B188" s="295" t="b">
        <v>0</v>
      </c>
      <c r="C188" s="253" t="s">
        <v>3230</v>
      </c>
      <c r="D188" s="152" t="b">
        <v>0</v>
      </c>
      <c r="E188" s="153" t="s">
        <v>3360</v>
      </c>
      <c r="F188" s="295" t="b">
        <v>0</v>
      </c>
      <c r="G188" s="253" t="s">
        <v>3504</v>
      </c>
      <c r="H188" s="152" t="b">
        <v>0</v>
      </c>
      <c r="I188" s="153"/>
      <c r="J188" s="253"/>
      <c r="K188" s="153"/>
      <c r="L188" s="253"/>
      <c r="M188" s="153"/>
      <c r="N188" s="256"/>
      <c r="O188" s="257"/>
      <c r="P188" s="256"/>
      <c r="Q188" s="257"/>
      <c r="R188" s="256"/>
      <c r="S188" s="257"/>
      <c r="T188" s="256"/>
      <c r="U188" s="257"/>
      <c r="V188" s="256"/>
      <c r="W188" s="257"/>
      <c r="X188" s="256"/>
      <c r="Y188" s="257"/>
      <c r="Z188" s="256"/>
      <c r="AA188" s="257"/>
      <c r="AB188" s="256"/>
      <c r="AC188" s="278"/>
      <c r="AD188" s="277"/>
      <c r="AE188" s="278"/>
      <c r="AF188" s="277"/>
      <c r="AG188" s="278"/>
      <c r="AH188" s="277"/>
      <c r="AI188" s="278"/>
      <c r="AJ188" s="277"/>
      <c r="AK188" s="278"/>
      <c r="AL188" s="277"/>
      <c r="AM188" s="278"/>
      <c r="AN188" s="277"/>
      <c r="AO188" s="278"/>
      <c r="AP188" s="277"/>
      <c r="AQ188" s="278"/>
      <c r="AR188" s="278"/>
      <c r="AS188" s="278"/>
    </row>
    <row r="189" spans="1:45">
      <c r="A189" s="260"/>
      <c r="B189" s="295" t="b">
        <v>0</v>
      </c>
      <c r="C189" s="253" t="s">
        <v>3232</v>
      </c>
      <c r="D189" s="152" t="b">
        <v>0</v>
      </c>
      <c r="E189" s="153" t="s">
        <v>3362</v>
      </c>
      <c r="F189" s="295" t="b">
        <v>0</v>
      </c>
      <c r="G189" s="253" t="s">
        <v>3506</v>
      </c>
      <c r="H189" s="152" t="b">
        <v>0</v>
      </c>
      <c r="I189" s="153"/>
      <c r="J189" s="253"/>
      <c r="K189" s="153"/>
      <c r="L189" s="253"/>
      <c r="M189" s="153"/>
      <c r="N189" s="256"/>
      <c r="O189" s="257"/>
      <c r="P189" s="256"/>
      <c r="Q189" s="257"/>
      <c r="R189" s="256"/>
      <c r="S189" s="257"/>
      <c r="T189" s="256"/>
      <c r="U189" s="257"/>
      <c r="V189" s="256"/>
      <c r="W189" s="257"/>
      <c r="X189" s="256"/>
      <c r="Y189" s="257"/>
      <c r="Z189" s="256"/>
      <c r="AA189" s="257"/>
      <c r="AB189" s="256"/>
      <c r="AC189" s="278"/>
      <c r="AD189" s="277"/>
      <c r="AE189" s="278"/>
      <c r="AF189" s="277"/>
      <c r="AG189" s="278"/>
      <c r="AH189" s="277"/>
      <c r="AI189" s="278"/>
      <c r="AJ189" s="277"/>
      <c r="AK189" s="278"/>
      <c r="AL189" s="277"/>
      <c r="AM189" s="278"/>
      <c r="AN189" s="277"/>
      <c r="AO189" s="278"/>
      <c r="AP189" s="277"/>
      <c r="AQ189" s="278"/>
      <c r="AR189" s="278"/>
      <c r="AS189" s="278"/>
    </row>
    <row r="190" spans="1:45">
      <c r="A190" s="260"/>
      <c r="B190" s="295" t="b">
        <v>0</v>
      </c>
      <c r="C190" s="253" t="s">
        <v>3234</v>
      </c>
      <c r="D190" s="152" t="b">
        <v>0</v>
      </c>
      <c r="E190" s="153" t="s">
        <v>3364</v>
      </c>
      <c r="F190" s="295" t="b">
        <v>0</v>
      </c>
      <c r="G190" s="253" t="s">
        <v>3508</v>
      </c>
      <c r="H190" s="152" t="b">
        <v>0</v>
      </c>
      <c r="I190" s="153"/>
      <c r="J190" s="253"/>
      <c r="K190" s="153"/>
      <c r="L190" s="253"/>
      <c r="M190" s="153"/>
      <c r="N190" s="256"/>
      <c r="O190" s="257"/>
      <c r="P190" s="256"/>
      <c r="Q190" s="257"/>
      <c r="R190" s="256"/>
      <c r="S190" s="257"/>
      <c r="T190" s="256"/>
      <c r="U190" s="257"/>
      <c r="V190" s="256"/>
      <c r="W190" s="257"/>
      <c r="X190" s="256"/>
      <c r="Y190" s="257"/>
      <c r="Z190" s="256"/>
      <c r="AA190" s="257"/>
      <c r="AB190" s="256"/>
      <c r="AC190" s="278"/>
      <c r="AD190" s="277"/>
      <c r="AE190" s="278"/>
      <c r="AF190" s="277"/>
      <c r="AG190" s="278"/>
      <c r="AH190" s="277"/>
      <c r="AI190" s="278"/>
      <c r="AJ190" s="277"/>
      <c r="AK190" s="278"/>
      <c r="AL190" s="277"/>
      <c r="AM190" s="278"/>
      <c r="AN190" s="277"/>
      <c r="AO190" s="278"/>
      <c r="AP190" s="277"/>
      <c r="AQ190" s="278"/>
      <c r="AR190" s="278"/>
      <c r="AS190" s="278"/>
    </row>
    <row r="191" spans="1:45">
      <c r="A191" s="260"/>
      <c r="B191" s="295" t="b">
        <v>0</v>
      </c>
      <c r="C191" s="253" t="s">
        <v>3236</v>
      </c>
      <c r="D191" s="152" t="b">
        <v>0</v>
      </c>
      <c r="E191" s="153" t="s">
        <v>3366</v>
      </c>
      <c r="F191" s="295" t="b">
        <v>0</v>
      </c>
      <c r="G191" s="253" t="s">
        <v>3510</v>
      </c>
      <c r="H191" s="152" t="b">
        <v>0</v>
      </c>
      <c r="I191" s="153"/>
      <c r="J191" s="253"/>
      <c r="K191" s="153"/>
      <c r="L191" s="253"/>
      <c r="M191" s="153"/>
      <c r="N191" s="256"/>
      <c r="O191" s="257"/>
      <c r="P191" s="256"/>
      <c r="Q191" s="257"/>
      <c r="R191" s="256"/>
      <c r="S191" s="257"/>
      <c r="T191" s="256"/>
      <c r="U191" s="257"/>
      <c r="V191" s="256"/>
      <c r="W191" s="257"/>
      <c r="X191" s="256"/>
      <c r="Y191" s="257"/>
      <c r="Z191" s="256"/>
      <c r="AA191" s="257"/>
      <c r="AB191" s="256"/>
      <c r="AC191" s="278"/>
      <c r="AD191" s="277"/>
      <c r="AE191" s="278"/>
      <c r="AF191" s="277"/>
      <c r="AG191" s="278"/>
      <c r="AH191" s="277"/>
      <c r="AI191" s="278"/>
      <c r="AJ191" s="277"/>
      <c r="AK191" s="278"/>
      <c r="AL191" s="277"/>
      <c r="AM191" s="278"/>
      <c r="AN191" s="277"/>
      <c r="AO191" s="278"/>
      <c r="AP191" s="277"/>
      <c r="AQ191" s="278"/>
      <c r="AR191" s="278"/>
      <c r="AS191" s="278"/>
    </row>
    <row r="192" spans="1:45">
      <c r="A192" s="260"/>
      <c r="B192" s="295" t="b">
        <v>0</v>
      </c>
      <c r="C192" s="253" t="s">
        <v>3238</v>
      </c>
      <c r="D192" s="152" t="b">
        <v>0</v>
      </c>
      <c r="E192" s="153" t="s">
        <v>3368</v>
      </c>
      <c r="F192" s="295" t="b">
        <v>0</v>
      </c>
      <c r="G192" s="253" t="s">
        <v>3512</v>
      </c>
      <c r="H192" s="152" t="b">
        <v>0</v>
      </c>
      <c r="I192" s="153"/>
      <c r="J192" s="253"/>
      <c r="K192" s="153"/>
      <c r="L192" s="253"/>
      <c r="M192" s="153"/>
      <c r="N192" s="256"/>
      <c r="O192" s="257"/>
      <c r="P192" s="256"/>
      <c r="Q192" s="257"/>
      <c r="R192" s="256"/>
      <c r="S192" s="257"/>
      <c r="T192" s="256"/>
      <c r="U192" s="257"/>
      <c r="V192" s="256"/>
      <c r="W192" s="257"/>
      <c r="X192" s="256"/>
      <c r="Y192" s="257"/>
      <c r="Z192" s="256"/>
      <c r="AA192" s="257"/>
      <c r="AB192" s="256"/>
      <c r="AC192" s="278"/>
      <c r="AD192" s="277"/>
      <c r="AE192" s="278"/>
      <c r="AF192" s="277"/>
      <c r="AG192" s="278"/>
      <c r="AH192" s="277"/>
      <c r="AI192" s="278"/>
      <c r="AJ192" s="277"/>
      <c r="AK192" s="278"/>
      <c r="AL192" s="277"/>
      <c r="AM192" s="278"/>
      <c r="AN192" s="277"/>
      <c r="AO192" s="278"/>
      <c r="AP192" s="277"/>
      <c r="AQ192" s="278"/>
      <c r="AR192" s="278"/>
      <c r="AS192" s="278"/>
    </row>
    <row r="193" spans="1:45">
      <c r="A193" s="260"/>
      <c r="B193" s="295" t="b">
        <v>0</v>
      </c>
      <c r="C193" s="253" t="s">
        <v>3240</v>
      </c>
      <c r="D193" s="152" t="b">
        <v>0</v>
      </c>
      <c r="E193" s="153" t="s">
        <v>3370</v>
      </c>
      <c r="F193" s="295" t="b">
        <v>0</v>
      </c>
      <c r="G193" s="253" t="s">
        <v>3514</v>
      </c>
      <c r="H193" s="152" t="b">
        <v>0</v>
      </c>
      <c r="I193" s="153"/>
      <c r="J193" s="253"/>
      <c r="K193" s="153"/>
      <c r="L193" s="253"/>
      <c r="M193" s="153"/>
      <c r="N193" s="256"/>
      <c r="O193" s="257"/>
      <c r="P193" s="256"/>
      <c r="Q193" s="257"/>
      <c r="R193" s="256"/>
      <c r="S193" s="257"/>
      <c r="T193" s="256"/>
      <c r="U193" s="257"/>
      <c r="V193" s="256"/>
      <c r="W193" s="257"/>
      <c r="X193" s="256"/>
      <c r="Y193" s="257"/>
      <c r="Z193" s="256"/>
      <c r="AA193" s="257"/>
      <c r="AB193" s="256"/>
      <c r="AC193" s="278"/>
      <c r="AD193" s="277"/>
      <c r="AE193" s="278"/>
      <c r="AF193" s="277"/>
      <c r="AG193" s="278"/>
      <c r="AH193" s="277"/>
      <c r="AI193" s="278"/>
      <c r="AJ193" s="277"/>
      <c r="AK193" s="278"/>
      <c r="AL193" s="277"/>
      <c r="AM193" s="278"/>
      <c r="AN193" s="277"/>
      <c r="AO193" s="278"/>
      <c r="AP193" s="277"/>
      <c r="AQ193" s="278"/>
      <c r="AR193" s="278"/>
      <c r="AS193" s="278"/>
    </row>
    <row r="194" spans="1:45">
      <c r="A194" s="260"/>
      <c r="B194" s="295" t="b">
        <v>0</v>
      </c>
      <c r="C194" s="253"/>
      <c r="D194" s="152" t="b">
        <v>0</v>
      </c>
      <c r="E194" s="153" t="s">
        <v>3372</v>
      </c>
      <c r="F194" s="295" t="b">
        <v>0</v>
      </c>
      <c r="G194" s="253" t="s">
        <v>3516</v>
      </c>
      <c r="H194" s="152" t="b">
        <v>0</v>
      </c>
      <c r="I194" s="153"/>
      <c r="J194" s="253"/>
      <c r="K194" s="153"/>
      <c r="L194" s="253"/>
      <c r="M194" s="153"/>
      <c r="N194" s="256"/>
      <c r="O194" s="257"/>
      <c r="P194" s="256"/>
      <c r="Q194" s="257"/>
      <c r="R194" s="256"/>
      <c r="S194" s="257"/>
      <c r="T194" s="256"/>
      <c r="U194" s="257"/>
      <c r="V194" s="256"/>
      <c r="W194" s="257"/>
      <c r="X194" s="256"/>
      <c r="Y194" s="257"/>
      <c r="Z194" s="256"/>
      <c r="AA194" s="257"/>
      <c r="AB194" s="256"/>
      <c r="AC194" s="278"/>
      <c r="AD194" s="277"/>
      <c r="AE194" s="278"/>
      <c r="AF194" s="277"/>
      <c r="AG194" s="278"/>
      <c r="AH194" s="277"/>
      <c r="AI194" s="278"/>
      <c r="AJ194" s="277"/>
      <c r="AK194" s="278"/>
      <c r="AL194" s="277"/>
      <c r="AM194" s="278"/>
      <c r="AN194" s="277"/>
      <c r="AO194" s="278"/>
      <c r="AP194" s="277"/>
      <c r="AQ194" s="278"/>
      <c r="AR194" s="278"/>
      <c r="AS194" s="278"/>
    </row>
    <row r="195" spans="1:45">
      <c r="A195" s="260"/>
      <c r="B195" s="295" t="b">
        <v>0</v>
      </c>
      <c r="C195" s="253"/>
      <c r="D195" s="152" t="b">
        <v>0</v>
      </c>
      <c r="E195" s="153" t="s">
        <v>3374</v>
      </c>
      <c r="F195" s="295" t="b">
        <v>0</v>
      </c>
      <c r="G195" s="253" t="s">
        <v>3518</v>
      </c>
      <c r="H195" s="152" t="b">
        <v>0</v>
      </c>
      <c r="I195" s="153"/>
      <c r="J195" s="253"/>
      <c r="K195" s="153"/>
      <c r="L195" s="253"/>
      <c r="M195" s="153"/>
      <c r="N195" s="256"/>
      <c r="O195" s="257"/>
      <c r="P195" s="256"/>
      <c r="Q195" s="257"/>
      <c r="R195" s="256"/>
      <c r="S195" s="257"/>
      <c r="T195" s="256"/>
      <c r="U195" s="257"/>
      <c r="V195" s="256"/>
      <c r="W195" s="257"/>
      <c r="X195" s="256"/>
      <c r="Y195" s="257"/>
      <c r="Z195" s="256"/>
      <c r="AA195" s="257"/>
      <c r="AB195" s="256"/>
      <c r="AC195" s="278"/>
      <c r="AD195" s="277"/>
      <c r="AE195" s="278"/>
      <c r="AF195" s="277"/>
      <c r="AG195" s="278"/>
      <c r="AH195" s="277"/>
      <c r="AI195" s="278"/>
      <c r="AJ195" s="277"/>
      <c r="AK195" s="278"/>
      <c r="AL195" s="277"/>
      <c r="AM195" s="278"/>
      <c r="AN195" s="277"/>
      <c r="AO195" s="278"/>
      <c r="AP195" s="277"/>
      <c r="AQ195" s="278"/>
      <c r="AR195" s="278"/>
      <c r="AS195" s="278"/>
    </row>
    <row r="196" spans="1:45">
      <c r="A196" s="260"/>
      <c r="B196" s="295" t="b">
        <v>0</v>
      </c>
      <c r="C196" s="253"/>
      <c r="D196" s="152" t="b">
        <v>0</v>
      </c>
      <c r="E196" s="153" t="s">
        <v>3376</v>
      </c>
      <c r="F196" s="295" t="b">
        <v>0</v>
      </c>
      <c r="G196" s="253" t="s">
        <v>3520</v>
      </c>
      <c r="H196" s="152" t="b">
        <v>0</v>
      </c>
      <c r="I196" s="153"/>
      <c r="J196" s="253"/>
      <c r="K196" s="153"/>
      <c r="L196" s="253"/>
      <c r="M196" s="153"/>
      <c r="N196" s="256"/>
      <c r="O196" s="257"/>
      <c r="P196" s="256"/>
      <c r="Q196" s="257"/>
      <c r="R196" s="256"/>
      <c r="S196" s="257"/>
      <c r="T196" s="256"/>
      <c r="U196" s="257"/>
      <c r="V196" s="256"/>
      <c r="W196" s="257"/>
      <c r="X196" s="256"/>
      <c r="Y196" s="257"/>
      <c r="Z196" s="256"/>
      <c r="AA196" s="257"/>
      <c r="AB196" s="256"/>
      <c r="AC196" s="278"/>
      <c r="AD196" s="277"/>
      <c r="AE196" s="278"/>
      <c r="AF196" s="277"/>
      <c r="AG196" s="278"/>
      <c r="AH196" s="277"/>
      <c r="AI196" s="278"/>
      <c r="AJ196" s="277"/>
      <c r="AK196" s="278"/>
      <c r="AL196" s="277"/>
      <c r="AM196" s="278"/>
      <c r="AN196" s="277"/>
      <c r="AO196" s="278"/>
      <c r="AP196" s="277"/>
      <c r="AQ196" s="278"/>
      <c r="AR196" s="278"/>
      <c r="AS196" s="278"/>
    </row>
    <row r="197" spans="1:45">
      <c r="A197" s="260"/>
      <c r="B197" s="295" t="b">
        <v>0</v>
      </c>
      <c r="C197" s="253"/>
      <c r="D197" s="152" t="b">
        <v>0</v>
      </c>
      <c r="E197" s="153" t="s">
        <v>3378</v>
      </c>
      <c r="F197" s="295" t="b">
        <v>0</v>
      </c>
      <c r="G197" s="253" t="s">
        <v>3522</v>
      </c>
      <c r="H197" s="152" t="b">
        <v>0</v>
      </c>
      <c r="I197" s="153"/>
      <c r="J197" s="253"/>
      <c r="K197" s="153"/>
      <c r="L197" s="253"/>
      <c r="M197" s="153"/>
      <c r="N197" s="256"/>
      <c r="O197" s="257"/>
      <c r="P197" s="256"/>
      <c r="Q197" s="257"/>
      <c r="R197" s="256"/>
      <c r="S197" s="257"/>
      <c r="T197" s="256"/>
      <c r="U197" s="257"/>
      <c r="V197" s="256"/>
      <c r="W197" s="257"/>
      <c r="X197" s="256"/>
      <c r="Y197" s="257"/>
      <c r="Z197" s="256"/>
      <c r="AA197" s="257"/>
      <c r="AB197" s="256"/>
      <c r="AC197" s="278"/>
      <c r="AD197" s="277"/>
      <c r="AE197" s="278"/>
      <c r="AF197" s="277"/>
      <c r="AG197" s="278"/>
      <c r="AH197" s="277"/>
      <c r="AI197" s="278"/>
      <c r="AJ197" s="277"/>
      <c r="AK197" s="278"/>
      <c r="AL197" s="277"/>
      <c r="AM197" s="278"/>
      <c r="AN197" s="277"/>
      <c r="AO197" s="278"/>
      <c r="AP197" s="277"/>
      <c r="AQ197" s="278"/>
      <c r="AR197" s="278"/>
      <c r="AS197" s="278"/>
    </row>
    <row r="198" spans="1:45">
      <c r="A198" s="260"/>
      <c r="B198" s="295" t="b">
        <v>0</v>
      </c>
      <c r="C198" s="253"/>
      <c r="D198" s="152" t="b">
        <v>0</v>
      </c>
      <c r="E198" s="153" t="s">
        <v>3380</v>
      </c>
      <c r="F198" s="295" t="b">
        <v>0</v>
      </c>
      <c r="G198" s="253" t="s">
        <v>3524</v>
      </c>
      <c r="H198" s="152" t="b">
        <v>0</v>
      </c>
      <c r="I198" s="153"/>
      <c r="J198" s="253"/>
      <c r="K198" s="153"/>
      <c r="L198" s="253"/>
      <c r="M198" s="153"/>
      <c r="N198" s="256"/>
      <c r="O198" s="257"/>
      <c r="P198" s="256"/>
      <c r="Q198" s="257"/>
      <c r="R198" s="256"/>
      <c r="S198" s="257"/>
      <c r="T198" s="256"/>
      <c r="U198" s="257"/>
      <c r="V198" s="256"/>
      <c r="W198" s="257"/>
      <c r="X198" s="256"/>
      <c r="Y198" s="257"/>
      <c r="Z198" s="256"/>
      <c r="AA198" s="257"/>
      <c r="AB198" s="256"/>
      <c r="AC198" s="278"/>
      <c r="AD198" s="277"/>
      <c r="AE198" s="278"/>
      <c r="AF198" s="277"/>
      <c r="AG198" s="278"/>
      <c r="AH198" s="277"/>
      <c r="AI198" s="278"/>
      <c r="AJ198" s="277"/>
      <c r="AK198" s="278"/>
      <c r="AL198" s="277"/>
      <c r="AM198" s="278"/>
      <c r="AN198" s="277"/>
      <c r="AO198" s="278"/>
      <c r="AP198" s="277"/>
      <c r="AQ198" s="278"/>
      <c r="AR198" s="278"/>
      <c r="AS198" s="278"/>
    </row>
    <row r="199" spans="1:45">
      <c r="A199" s="260"/>
      <c r="B199" s="295" t="b">
        <v>0</v>
      </c>
      <c r="C199" s="253"/>
      <c r="D199" s="152" t="b">
        <v>0</v>
      </c>
      <c r="E199" s="153" t="s">
        <v>3382</v>
      </c>
      <c r="F199" s="295" t="b">
        <v>0</v>
      </c>
      <c r="G199" s="253" t="s">
        <v>3526</v>
      </c>
      <c r="H199" s="152" t="b">
        <v>0</v>
      </c>
      <c r="I199" s="153"/>
      <c r="J199" s="253"/>
      <c r="K199" s="153"/>
      <c r="L199" s="253"/>
      <c r="M199" s="153"/>
      <c r="N199" s="256"/>
      <c r="O199" s="257"/>
      <c r="P199" s="256"/>
      <c r="Q199" s="257"/>
      <c r="R199" s="256"/>
      <c r="S199" s="257"/>
      <c r="T199" s="256"/>
      <c r="U199" s="257"/>
      <c r="V199" s="256"/>
      <c r="W199" s="257"/>
      <c r="X199" s="256"/>
      <c r="Y199" s="257"/>
      <c r="Z199" s="256"/>
      <c r="AA199" s="257"/>
      <c r="AB199" s="256"/>
      <c r="AC199" s="278"/>
      <c r="AD199" s="277"/>
      <c r="AE199" s="278"/>
      <c r="AF199" s="277"/>
      <c r="AG199" s="278"/>
      <c r="AH199" s="277"/>
      <c r="AI199" s="278"/>
      <c r="AJ199" s="277"/>
      <c r="AK199" s="278"/>
      <c r="AL199" s="277"/>
      <c r="AM199" s="278"/>
      <c r="AN199" s="277"/>
      <c r="AO199" s="278"/>
      <c r="AP199" s="277"/>
      <c r="AQ199" s="278"/>
      <c r="AR199" s="278"/>
      <c r="AS199" s="278"/>
    </row>
    <row r="200" spans="1:45">
      <c r="A200" s="260"/>
      <c r="B200" s="295" t="b">
        <v>0</v>
      </c>
      <c r="C200" s="253"/>
      <c r="D200" s="152" t="b">
        <v>0</v>
      </c>
      <c r="E200" s="153" t="s">
        <v>3384</v>
      </c>
      <c r="F200" s="295" t="b">
        <v>0</v>
      </c>
      <c r="G200" s="253"/>
      <c r="H200" s="152" t="b">
        <v>0</v>
      </c>
      <c r="I200" s="153"/>
      <c r="J200" s="253"/>
      <c r="K200" s="153"/>
      <c r="L200" s="253"/>
      <c r="M200" s="153"/>
      <c r="N200" s="256"/>
      <c r="O200" s="257"/>
      <c r="P200" s="256"/>
      <c r="Q200" s="257"/>
      <c r="R200" s="256"/>
      <c r="S200" s="257"/>
      <c r="T200" s="256"/>
      <c r="U200" s="257"/>
      <c r="V200" s="256"/>
      <c r="W200" s="257"/>
      <c r="X200" s="256"/>
      <c r="Y200" s="257"/>
      <c r="Z200" s="256"/>
      <c r="AA200" s="257"/>
      <c r="AB200" s="256"/>
      <c r="AC200" s="278"/>
      <c r="AD200" s="277"/>
      <c r="AE200" s="278"/>
      <c r="AF200" s="277"/>
      <c r="AG200" s="278"/>
      <c r="AH200" s="277"/>
      <c r="AI200" s="278"/>
      <c r="AJ200" s="277"/>
      <c r="AK200" s="278"/>
      <c r="AL200" s="277"/>
      <c r="AM200" s="278"/>
      <c r="AN200" s="277"/>
      <c r="AO200" s="278"/>
      <c r="AP200" s="277"/>
      <c r="AQ200" s="278"/>
      <c r="AR200" s="278"/>
      <c r="AS200" s="278"/>
    </row>
    <row r="201" spans="1:45">
      <c r="A201" s="260"/>
      <c r="B201" s="295" t="b">
        <v>0</v>
      </c>
      <c r="C201" s="253"/>
      <c r="D201" s="152" t="b">
        <v>0</v>
      </c>
      <c r="E201" s="153" t="s">
        <v>3386</v>
      </c>
      <c r="F201" s="295" t="b">
        <v>0</v>
      </c>
      <c r="G201" s="253"/>
      <c r="H201" s="152" t="b">
        <v>0</v>
      </c>
      <c r="I201" s="153"/>
      <c r="J201" s="253"/>
      <c r="K201" s="153"/>
      <c r="L201" s="253"/>
      <c r="M201" s="153"/>
      <c r="N201" s="256"/>
      <c r="O201" s="257"/>
      <c r="P201" s="256"/>
      <c r="Q201" s="257"/>
      <c r="R201" s="256"/>
      <c r="S201" s="257"/>
      <c r="T201" s="256"/>
      <c r="U201" s="257"/>
      <c r="V201" s="256"/>
      <c r="W201" s="257"/>
      <c r="X201" s="256"/>
      <c r="Y201" s="257"/>
      <c r="Z201" s="256"/>
      <c r="AA201" s="257"/>
      <c r="AB201" s="256"/>
      <c r="AC201" s="278"/>
      <c r="AD201" s="277"/>
      <c r="AE201" s="278"/>
      <c r="AF201" s="277"/>
      <c r="AG201" s="278"/>
      <c r="AH201" s="277"/>
      <c r="AI201" s="278"/>
      <c r="AJ201" s="277"/>
      <c r="AK201" s="278"/>
      <c r="AL201" s="277"/>
      <c r="AM201" s="278"/>
      <c r="AN201" s="277"/>
      <c r="AO201" s="278"/>
      <c r="AP201" s="277"/>
      <c r="AQ201" s="278"/>
      <c r="AR201" s="278"/>
      <c r="AS201" s="278"/>
    </row>
    <row r="202" spans="1:45">
      <c r="A202" s="277"/>
      <c r="B202" s="298" t="b">
        <v>0</v>
      </c>
      <c r="C202" s="278"/>
      <c r="D202" s="299" t="b">
        <v>0</v>
      </c>
      <c r="E202" s="277"/>
      <c r="F202" s="298" t="b">
        <v>0</v>
      </c>
      <c r="G202" s="278"/>
      <c r="H202" s="299" t="b">
        <v>0</v>
      </c>
      <c r="I202" s="277"/>
      <c r="J202" s="278"/>
      <c r="K202" s="277"/>
      <c r="L202" s="278"/>
      <c r="M202" s="277"/>
      <c r="N202" s="278"/>
      <c r="O202" s="277"/>
      <c r="P202" s="278"/>
      <c r="Q202" s="277"/>
      <c r="R202" s="278"/>
      <c r="S202" s="277"/>
      <c r="T202" s="278"/>
      <c r="U202" s="277"/>
      <c r="V202" s="278"/>
      <c r="W202" s="277"/>
      <c r="X202" s="278"/>
      <c r="Y202" s="277"/>
      <c r="Z202" s="278"/>
      <c r="AA202" s="277"/>
      <c r="AB202" s="278"/>
      <c r="AC202" s="277"/>
      <c r="AD202" s="278"/>
      <c r="AE202" s="277"/>
      <c r="AF202" s="278"/>
      <c r="AG202" s="277"/>
      <c r="AH202" s="278"/>
      <c r="AI202" s="277"/>
      <c r="AJ202" s="278"/>
      <c r="AK202" s="277"/>
      <c r="AL202" s="278"/>
      <c r="AM202" s="277"/>
      <c r="AN202" s="278"/>
      <c r="AO202" s="278"/>
      <c r="AP202" s="278"/>
      <c r="AQ202" s="278"/>
      <c r="AR202" s="278"/>
      <c r="AS202" s="278"/>
    </row>
    <row r="203" spans="1:45">
      <c r="A203" s="277"/>
      <c r="B203" s="298" t="b">
        <v>0</v>
      </c>
      <c r="C203" s="278"/>
      <c r="D203" s="299" t="b">
        <v>0</v>
      </c>
      <c r="E203" s="277"/>
      <c r="F203" s="298" t="b">
        <v>0</v>
      </c>
      <c r="G203" s="278"/>
      <c r="H203" s="299" t="b">
        <v>0</v>
      </c>
      <c r="I203" s="277"/>
      <c r="J203" s="278"/>
      <c r="K203" s="277"/>
      <c r="L203" s="278"/>
      <c r="M203" s="277"/>
      <c r="N203" s="278"/>
      <c r="O203" s="277"/>
      <c r="P203" s="278"/>
      <c r="Q203" s="277"/>
      <c r="R203" s="278"/>
      <c r="S203" s="277"/>
      <c r="T203" s="278"/>
      <c r="U203" s="277"/>
      <c r="V203" s="278"/>
      <c r="W203" s="277"/>
      <c r="X203" s="278"/>
      <c r="Y203" s="277"/>
      <c r="Z203" s="278"/>
      <c r="AA203" s="277"/>
      <c r="AB203" s="278"/>
      <c r="AC203" s="277"/>
      <c r="AD203" s="278"/>
      <c r="AE203" s="277"/>
      <c r="AF203" s="278"/>
      <c r="AG203" s="277"/>
      <c r="AH203" s="278"/>
      <c r="AI203" s="277"/>
      <c r="AJ203" s="278"/>
      <c r="AK203" s="277"/>
      <c r="AL203" s="278"/>
      <c r="AM203" s="277"/>
      <c r="AN203" s="278"/>
      <c r="AO203" s="278"/>
      <c r="AP203" s="278"/>
      <c r="AQ203" s="278"/>
      <c r="AR203" s="278"/>
      <c r="AS203" s="278"/>
    </row>
    <row r="204" spans="1:45">
      <c r="A204" s="277"/>
      <c r="B204" s="298" t="b">
        <v>0</v>
      </c>
      <c r="C204" s="278"/>
      <c r="D204" s="299" t="b">
        <v>0</v>
      </c>
      <c r="E204" s="277"/>
      <c r="F204" s="298" t="b">
        <v>0</v>
      </c>
      <c r="G204" s="278"/>
      <c r="H204" s="299" t="b">
        <v>0</v>
      </c>
      <c r="I204" s="277"/>
      <c r="J204" s="278"/>
      <c r="K204" s="277"/>
      <c r="L204" s="278"/>
      <c r="M204" s="277"/>
      <c r="N204" s="278"/>
      <c r="O204" s="277"/>
      <c r="P204" s="278"/>
      <c r="Q204" s="277"/>
      <c r="R204" s="278"/>
      <c r="S204" s="277"/>
      <c r="T204" s="278"/>
      <c r="U204" s="277"/>
      <c r="V204" s="278"/>
      <c r="W204" s="277"/>
      <c r="X204" s="278"/>
      <c r="Y204" s="277"/>
      <c r="Z204" s="278"/>
      <c r="AA204" s="277"/>
      <c r="AB204" s="278"/>
      <c r="AC204" s="277"/>
      <c r="AD204" s="278"/>
      <c r="AE204" s="277"/>
      <c r="AF204" s="278"/>
      <c r="AG204" s="277"/>
      <c r="AH204" s="278"/>
      <c r="AI204" s="277"/>
      <c r="AJ204" s="278"/>
      <c r="AK204" s="277"/>
      <c r="AL204" s="278"/>
      <c r="AM204" s="277"/>
      <c r="AN204" s="278"/>
      <c r="AO204" s="278"/>
      <c r="AP204" s="278"/>
      <c r="AQ204" s="278"/>
      <c r="AR204" s="278"/>
      <c r="AS204" s="278"/>
    </row>
    <row r="205" spans="1:45">
      <c r="A205" s="277"/>
      <c r="B205" s="298" t="b">
        <v>0</v>
      </c>
      <c r="C205" s="278"/>
      <c r="D205" s="299" t="b">
        <v>0</v>
      </c>
      <c r="E205" s="277"/>
      <c r="F205" s="298" t="b">
        <v>0</v>
      </c>
      <c r="G205" s="278"/>
      <c r="H205" s="299" t="b">
        <v>0</v>
      </c>
      <c r="I205" s="277"/>
      <c r="J205" s="278"/>
      <c r="K205" s="277"/>
      <c r="L205" s="278"/>
      <c r="M205" s="277"/>
      <c r="N205" s="278"/>
      <c r="O205" s="277"/>
      <c r="P205" s="278"/>
      <c r="Q205" s="277"/>
      <c r="R205" s="278"/>
      <c r="S205" s="277"/>
      <c r="T205" s="278"/>
      <c r="U205" s="277"/>
      <c r="V205" s="278"/>
      <c r="W205" s="277"/>
      <c r="X205" s="278"/>
      <c r="Y205" s="277"/>
      <c r="Z205" s="278"/>
      <c r="AA205" s="277"/>
      <c r="AB205" s="278"/>
      <c r="AC205" s="277"/>
      <c r="AD205" s="278"/>
      <c r="AE205" s="277"/>
      <c r="AF205" s="278"/>
      <c r="AG205" s="277"/>
      <c r="AH205" s="278"/>
      <c r="AI205" s="277"/>
      <c r="AJ205" s="278"/>
      <c r="AK205" s="277"/>
      <c r="AL205" s="278"/>
      <c r="AM205" s="277"/>
      <c r="AN205" s="278"/>
      <c r="AO205" s="278"/>
      <c r="AP205" s="278"/>
      <c r="AQ205" s="278"/>
      <c r="AR205" s="278"/>
      <c r="AS205" s="278"/>
    </row>
    <row r="206" spans="1:45">
      <c r="A206" s="277"/>
      <c r="B206" s="298" t="b">
        <v>0</v>
      </c>
      <c r="C206" s="278"/>
      <c r="D206" s="299" t="b">
        <v>0</v>
      </c>
      <c r="E206" s="277"/>
      <c r="F206" s="298" t="b">
        <v>0</v>
      </c>
      <c r="G206" s="278"/>
      <c r="H206" s="299" t="b">
        <v>0</v>
      </c>
      <c r="I206" s="277"/>
      <c r="J206" s="278"/>
      <c r="K206" s="277"/>
      <c r="L206" s="278"/>
      <c r="M206" s="277"/>
      <c r="N206" s="278"/>
      <c r="O206" s="277"/>
      <c r="P206" s="278"/>
      <c r="Q206" s="277"/>
      <c r="R206" s="278"/>
      <c r="S206" s="277"/>
      <c r="T206" s="278"/>
      <c r="U206" s="277"/>
      <c r="V206" s="278"/>
      <c r="W206" s="277"/>
      <c r="X206" s="278"/>
      <c r="Y206" s="277"/>
      <c r="Z206" s="278"/>
      <c r="AA206" s="277"/>
      <c r="AB206" s="278"/>
      <c r="AC206" s="277"/>
      <c r="AD206" s="278"/>
      <c r="AE206" s="277"/>
      <c r="AF206" s="278"/>
      <c r="AG206" s="277"/>
      <c r="AH206" s="278"/>
      <c r="AI206" s="277"/>
      <c r="AJ206" s="278"/>
      <c r="AK206" s="277"/>
      <c r="AL206" s="278"/>
      <c r="AM206" s="277"/>
      <c r="AN206" s="278"/>
      <c r="AO206" s="278"/>
      <c r="AP206" s="278"/>
      <c r="AQ206" s="278"/>
      <c r="AR206" s="278"/>
      <c r="AS206" s="278"/>
    </row>
    <row r="207" spans="1:45">
      <c r="A207" s="277"/>
      <c r="B207" s="298" t="b">
        <v>0</v>
      </c>
      <c r="C207" s="278"/>
      <c r="D207" s="299" t="b">
        <v>0</v>
      </c>
      <c r="E207" s="277"/>
      <c r="F207" s="298" t="b">
        <v>0</v>
      </c>
      <c r="G207" s="278"/>
      <c r="H207" s="299" t="b">
        <v>0</v>
      </c>
      <c r="I207" s="277"/>
      <c r="J207" s="278"/>
      <c r="K207" s="277"/>
      <c r="L207" s="278"/>
      <c r="M207" s="277"/>
      <c r="N207" s="278"/>
      <c r="O207" s="277"/>
      <c r="P207" s="278"/>
      <c r="Q207" s="277"/>
      <c r="R207" s="278"/>
      <c r="S207" s="277"/>
      <c r="T207" s="278"/>
      <c r="U207" s="277"/>
      <c r="V207" s="278"/>
      <c r="W207" s="277"/>
      <c r="X207" s="278"/>
      <c r="Y207" s="277"/>
      <c r="Z207" s="278"/>
      <c r="AA207" s="277"/>
      <c r="AB207" s="278"/>
      <c r="AC207" s="277"/>
      <c r="AD207" s="278"/>
      <c r="AE207" s="277"/>
      <c r="AF207" s="278"/>
      <c r="AG207" s="277"/>
      <c r="AH207" s="278"/>
      <c r="AI207" s="277"/>
      <c r="AJ207" s="278"/>
      <c r="AK207" s="277"/>
      <c r="AL207" s="278"/>
      <c r="AM207" s="277"/>
      <c r="AN207" s="278"/>
      <c r="AO207" s="278"/>
      <c r="AP207" s="278"/>
      <c r="AQ207" s="278"/>
      <c r="AR207" s="278"/>
      <c r="AS207" s="278"/>
    </row>
    <row r="208" spans="1:45">
      <c r="A208" s="277"/>
      <c r="B208" s="298" t="b">
        <v>0</v>
      </c>
      <c r="C208" s="278"/>
      <c r="D208" s="299" t="b">
        <v>0</v>
      </c>
      <c r="E208" s="277"/>
      <c r="F208" s="298" t="b">
        <v>0</v>
      </c>
      <c r="G208" s="278"/>
      <c r="H208" s="299" t="b">
        <v>0</v>
      </c>
      <c r="I208" s="277"/>
      <c r="J208" s="278"/>
      <c r="K208" s="277"/>
      <c r="L208" s="278"/>
      <c r="M208" s="277"/>
      <c r="N208" s="278"/>
      <c r="O208" s="277"/>
      <c r="P208" s="278"/>
      <c r="Q208" s="277"/>
      <c r="R208" s="278"/>
      <c r="S208" s="277"/>
      <c r="T208" s="278"/>
      <c r="U208" s="277"/>
      <c r="V208" s="278"/>
      <c r="W208" s="277"/>
      <c r="X208" s="278"/>
      <c r="Y208" s="277"/>
      <c r="Z208" s="278"/>
      <c r="AA208" s="277"/>
      <c r="AB208" s="278"/>
      <c r="AC208" s="277"/>
      <c r="AD208" s="278"/>
      <c r="AE208" s="277"/>
      <c r="AF208" s="278"/>
      <c r="AG208" s="277"/>
      <c r="AH208" s="278"/>
      <c r="AI208" s="277"/>
      <c r="AJ208" s="278"/>
      <c r="AK208" s="277"/>
      <c r="AL208" s="278"/>
      <c r="AM208" s="277"/>
      <c r="AN208" s="278"/>
      <c r="AO208" s="278"/>
      <c r="AP208" s="278"/>
      <c r="AQ208" s="278"/>
      <c r="AR208" s="278"/>
      <c r="AS208" s="278"/>
    </row>
    <row r="209" spans="1:45">
      <c r="A209" s="277"/>
      <c r="B209" s="298" t="b">
        <v>0</v>
      </c>
      <c r="C209" s="278"/>
      <c r="D209" s="299" t="b">
        <v>0</v>
      </c>
      <c r="E209" s="277"/>
      <c r="F209" s="298" t="b">
        <v>0</v>
      </c>
      <c r="G209" s="278"/>
      <c r="H209" s="299" t="b">
        <v>0</v>
      </c>
      <c r="I209" s="277"/>
      <c r="J209" s="278"/>
      <c r="K209" s="277"/>
      <c r="L209" s="278"/>
      <c r="M209" s="277"/>
      <c r="N209" s="278"/>
      <c r="O209" s="277"/>
      <c r="P209" s="278"/>
      <c r="Q209" s="277"/>
      <c r="R209" s="278"/>
      <c r="S209" s="277"/>
      <c r="T209" s="278"/>
      <c r="U209" s="277"/>
      <c r="V209" s="278"/>
      <c r="W209" s="277"/>
      <c r="X209" s="278"/>
      <c r="Y209" s="277"/>
      <c r="Z209" s="278"/>
      <c r="AA209" s="277"/>
      <c r="AB209" s="278"/>
      <c r="AC209" s="277"/>
      <c r="AD209" s="278"/>
      <c r="AE209" s="277"/>
      <c r="AF209" s="278"/>
      <c r="AG209" s="277"/>
      <c r="AH209" s="278"/>
      <c r="AI209" s="277"/>
      <c r="AJ209" s="278"/>
      <c r="AK209" s="277"/>
      <c r="AL209" s="278"/>
      <c r="AM209" s="277"/>
      <c r="AN209" s="278"/>
      <c r="AO209" s="278"/>
      <c r="AP209" s="278"/>
      <c r="AQ209" s="278"/>
      <c r="AR209" s="278"/>
      <c r="AS209" s="278"/>
    </row>
    <row r="210" spans="1:45">
      <c r="A210" s="277"/>
      <c r="B210" s="298" t="b">
        <v>0</v>
      </c>
      <c r="C210" s="278"/>
      <c r="D210" s="299" t="b">
        <v>0</v>
      </c>
      <c r="E210" s="277"/>
      <c r="F210" s="298" t="b">
        <v>0</v>
      </c>
      <c r="G210" s="278"/>
      <c r="H210" s="299" t="b">
        <v>0</v>
      </c>
      <c r="I210" s="277"/>
      <c r="J210" s="278"/>
      <c r="K210" s="277"/>
      <c r="L210" s="278"/>
      <c r="M210" s="277"/>
      <c r="N210" s="278"/>
      <c r="O210" s="277"/>
      <c r="P210" s="278"/>
      <c r="Q210" s="277"/>
      <c r="R210" s="278"/>
      <c r="S210" s="277"/>
      <c r="T210" s="278"/>
      <c r="U210" s="277"/>
      <c r="V210" s="278"/>
      <c r="W210" s="277"/>
      <c r="X210" s="278"/>
      <c r="Y210" s="277"/>
      <c r="Z210" s="278"/>
      <c r="AA210" s="277"/>
      <c r="AB210" s="278"/>
      <c r="AC210" s="277"/>
      <c r="AD210" s="278"/>
      <c r="AE210" s="277"/>
      <c r="AF210" s="278"/>
      <c r="AG210" s="277"/>
      <c r="AH210" s="278"/>
      <c r="AI210" s="277"/>
      <c r="AJ210" s="278"/>
      <c r="AK210" s="277"/>
      <c r="AL210" s="278"/>
      <c r="AM210" s="277"/>
      <c r="AN210" s="278"/>
      <c r="AO210" s="278"/>
      <c r="AP210" s="278"/>
      <c r="AQ210" s="278"/>
      <c r="AR210" s="278"/>
      <c r="AS210" s="278"/>
    </row>
    <row r="211" spans="1:45">
      <c r="A211" s="277"/>
      <c r="B211" s="298" t="b">
        <v>0</v>
      </c>
      <c r="C211" s="278"/>
      <c r="D211" s="299" t="b">
        <v>0</v>
      </c>
      <c r="E211" s="277"/>
      <c r="F211" s="298" t="b">
        <v>0</v>
      </c>
      <c r="G211" s="278"/>
      <c r="H211" s="299" t="b">
        <v>0</v>
      </c>
      <c r="I211" s="277"/>
      <c r="J211" s="278"/>
      <c r="K211" s="277"/>
      <c r="L211" s="278"/>
      <c r="M211" s="277"/>
      <c r="N211" s="278"/>
      <c r="O211" s="277"/>
      <c r="P211" s="278"/>
      <c r="Q211" s="277"/>
      <c r="R211" s="278"/>
      <c r="S211" s="277"/>
      <c r="T211" s="278"/>
      <c r="U211" s="277"/>
      <c r="V211" s="278"/>
      <c r="W211" s="277"/>
      <c r="X211" s="278"/>
      <c r="Y211" s="277"/>
      <c r="Z211" s="278"/>
      <c r="AA211" s="277"/>
      <c r="AB211" s="278"/>
      <c r="AC211" s="277"/>
      <c r="AD211" s="278"/>
      <c r="AE211" s="277"/>
      <c r="AF211" s="278"/>
      <c r="AG211" s="277"/>
      <c r="AH211" s="278"/>
      <c r="AI211" s="277"/>
      <c r="AJ211" s="278"/>
      <c r="AK211" s="277"/>
      <c r="AL211" s="278"/>
      <c r="AM211" s="277"/>
      <c r="AN211" s="278"/>
      <c r="AO211" s="278"/>
      <c r="AP211" s="278"/>
      <c r="AQ211" s="278"/>
      <c r="AR211" s="278"/>
      <c r="AS211" s="278"/>
    </row>
    <row r="212" spans="1:45">
      <c r="A212" s="277"/>
      <c r="B212" s="298" t="b">
        <v>0</v>
      </c>
      <c r="C212" s="278"/>
      <c r="D212" s="299" t="b">
        <v>0</v>
      </c>
      <c r="E212" s="277"/>
      <c r="F212" s="298" t="b">
        <v>0</v>
      </c>
      <c r="G212" s="278"/>
      <c r="H212" s="299" t="b">
        <v>0</v>
      </c>
      <c r="I212" s="277"/>
      <c r="J212" s="278"/>
      <c r="K212" s="277"/>
      <c r="L212" s="278"/>
      <c r="M212" s="277"/>
      <c r="N212" s="278"/>
      <c r="O212" s="277"/>
      <c r="P212" s="278"/>
      <c r="Q212" s="277"/>
      <c r="R212" s="278"/>
      <c r="S212" s="277"/>
      <c r="T212" s="278"/>
      <c r="U212" s="277"/>
      <c r="V212" s="278"/>
      <c r="W212" s="277"/>
      <c r="X212" s="278"/>
      <c r="Y212" s="277"/>
      <c r="Z212" s="278"/>
      <c r="AA212" s="277"/>
      <c r="AB212" s="278"/>
      <c r="AC212" s="277"/>
      <c r="AD212" s="278"/>
      <c r="AE212" s="277"/>
      <c r="AF212" s="278"/>
      <c r="AG212" s="277"/>
      <c r="AH212" s="278"/>
      <c r="AI212" s="277"/>
      <c r="AJ212" s="278"/>
      <c r="AK212" s="277"/>
      <c r="AL212" s="278"/>
      <c r="AM212" s="277"/>
      <c r="AN212" s="278"/>
      <c r="AO212" s="278"/>
      <c r="AP212" s="278"/>
      <c r="AQ212" s="278"/>
      <c r="AR212" s="278"/>
      <c r="AS212" s="278"/>
    </row>
    <row r="213" spans="1:45">
      <c r="A213" s="277"/>
      <c r="B213" s="298" t="b">
        <v>0</v>
      </c>
      <c r="C213" s="278"/>
      <c r="D213" s="299" t="b">
        <v>0</v>
      </c>
      <c r="E213" s="277"/>
      <c r="F213" s="298" t="b">
        <v>0</v>
      </c>
      <c r="G213" s="278"/>
      <c r="H213" s="299" t="b">
        <v>0</v>
      </c>
      <c r="I213" s="277"/>
      <c r="J213" s="278"/>
      <c r="K213" s="277"/>
      <c r="L213" s="278"/>
      <c r="M213" s="277"/>
      <c r="N213" s="278"/>
      <c r="O213" s="277"/>
      <c r="P213" s="278"/>
      <c r="Q213" s="277"/>
      <c r="R213" s="278"/>
      <c r="S213" s="277"/>
      <c r="T213" s="278"/>
      <c r="U213" s="277"/>
      <c r="V213" s="278"/>
      <c r="W213" s="277"/>
      <c r="X213" s="278"/>
      <c r="Y213" s="277"/>
      <c r="Z213" s="278"/>
      <c r="AA213" s="277"/>
      <c r="AB213" s="278"/>
      <c r="AC213" s="277"/>
      <c r="AD213" s="278"/>
      <c r="AE213" s="277"/>
      <c r="AF213" s="278"/>
      <c r="AG213" s="277"/>
      <c r="AH213" s="278"/>
      <c r="AI213" s="277"/>
      <c r="AJ213" s="278"/>
      <c r="AK213" s="277"/>
      <c r="AL213" s="278"/>
      <c r="AM213" s="277"/>
      <c r="AN213" s="278"/>
      <c r="AO213" s="278"/>
      <c r="AP213" s="278"/>
      <c r="AQ213" s="278"/>
      <c r="AR213" s="278"/>
      <c r="AS213" s="278"/>
    </row>
    <row r="214" spans="1:45">
      <c r="A214" s="277"/>
      <c r="B214" s="298" t="b">
        <v>0</v>
      </c>
      <c r="C214" s="278"/>
      <c r="D214" s="299" t="b">
        <v>0</v>
      </c>
      <c r="E214" s="277"/>
      <c r="F214" s="298" t="b">
        <v>0</v>
      </c>
      <c r="G214" s="278"/>
      <c r="H214" s="299" t="b">
        <v>0</v>
      </c>
      <c r="I214" s="277"/>
      <c r="J214" s="278"/>
      <c r="K214" s="277"/>
      <c r="L214" s="278"/>
      <c r="M214" s="277"/>
      <c r="N214" s="278"/>
      <c r="O214" s="277"/>
      <c r="P214" s="278"/>
      <c r="Q214" s="277"/>
      <c r="R214" s="278"/>
      <c r="S214" s="277"/>
      <c r="T214" s="278"/>
      <c r="U214" s="277"/>
      <c r="V214" s="278"/>
      <c r="W214" s="277"/>
      <c r="X214" s="278"/>
      <c r="Y214" s="277"/>
      <c r="Z214" s="278"/>
      <c r="AA214" s="277"/>
      <c r="AB214" s="278"/>
      <c r="AC214" s="277"/>
      <c r="AD214" s="278"/>
      <c r="AE214" s="277"/>
      <c r="AF214" s="278"/>
      <c r="AG214" s="277"/>
      <c r="AH214" s="278"/>
      <c r="AI214" s="277"/>
      <c r="AJ214" s="278"/>
      <c r="AK214" s="277"/>
      <c r="AL214" s="278"/>
      <c r="AM214" s="277"/>
      <c r="AN214" s="278"/>
      <c r="AO214" s="278"/>
      <c r="AP214" s="278"/>
      <c r="AQ214" s="278"/>
      <c r="AR214" s="278"/>
      <c r="AS214" s="278"/>
    </row>
    <row r="215" spans="1:45">
      <c r="A215" s="277"/>
      <c r="B215" s="298" t="b">
        <v>0</v>
      </c>
      <c r="C215" s="278"/>
      <c r="D215" s="299" t="b">
        <v>0</v>
      </c>
      <c r="E215" s="277"/>
      <c r="F215" s="298" t="b">
        <v>0</v>
      </c>
      <c r="G215" s="278"/>
      <c r="H215" s="299" t="b">
        <v>0</v>
      </c>
      <c r="I215" s="277"/>
      <c r="J215" s="278"/>
      <c r="K215" s="277"/>
      <c r="L215" s="278"/>
      <c r="M215" s="277"/>
      <c r="N215" s="278"/>
      <c r="O215" s="277"/>
      <c r="P215" s="278"/>
      <c r="Q215" s="277"/>
      <c r="R215" s="278"/>
      <c r="S215" s="277"/>
      <c r="T215" s="278"/>
      <c r="U215" s="277"/>
      <c r="V215" s="278"/>
      <c r="W215" s="277"/>
      <c r="X215" s="278"/>
      <c r="Y215" s="277"/>
      <c r="Z215" s="278"/>
      <c r="AA215" s="277"/>
      <c r="AB215" s="278"/>
      <c r="AC215" s="277"/>
      <c r="AD215" s="278"/>
      <c r="AE215" s="277"/>
      <c r="AF215" s="278"/>
      <c r="AG215" s="277"/>
      <c r="AH215" s="278"/>
      <c r="AI215" s="277"/>
      <c r="AJ215" s="278"/>
      <c r="AK215" s="277"/>
      <c r="AL215" s="278"/>
      <c r="AM215" s="277"/>
      <c r="AN215" s="278"/>
      <c r="AO215" s="278"/>
      <c r="AP215" s="278"/>
      <c r="AQ215" s="278"/>
      <c r="AR215" s="278"/>
      <c r="AS215" s="278"/>
    </row>
    <row r="216" spans="1:45">
      <c r="A216" s="277"/>
      <c r="B216" s="298" t="b">
        <v>0</v>
      </c>
      <c r="C216" s="278"/>
      <c r="D216" s="299" t="b">
        <v>0</v>
      </c>
      <c r="E216" s="277"/>
      <c r="F216" s="298" t="b">
        <v>0</v>
      </c>
      <c r="G216" s="278"/>
      <c r="H216" s="299" t="b">
        <v>0</v>
      </c>
      <c r="I216" s="277"/>
      <c r="J216" s="278"/>
      <c r="K216" s="277"/>
      <c r="L216" s="278"/>
      <c r="M216" s="277"/>
      <c r="N216" s="278"/>
      <c r="O216" s="277"/>
      <c r="P216" s="278"/>
      <c r="Q216" s="277"/>
      <c r="R216" s="278"/>
      <c r="S216" s="277"/>
      <c r="T216" s="278"/>
      <c r="U216" s="277"/>
      <c r="V216" s="278"/>
      <c r="W216" s="277"/>
      <c r="X216" s="278"/>
      <c r="Y216" s="277"/>
      <c r="Z216" s="278"/>
      <c r="AA216" s="277"/>
      <c r="AB216" s="278"/>
      <c r="AC216" s="277"/>
      <c r="AD216" s="278"/>
      <c r="AE216" s="277"/>
      <c r="AF216" s="278"/>
      <c r="AG216" s="277"/>
      <c r="AH216" s="278"/>
      <c r="AI216" s="277"/>
      <c r="AJ216" s="278"/>
      <c r="AK216" s="277"/>
      <c r="AL216" s="278"/>
      <c r="AM216" s="277"/>
      <c r="AN216" s="278"/>
      <c r="AO216" s="278"/>
      <c r="AP216" s="278"/>
      <c r="AQ216" s="278"/>
      <c r="AR216" s="278"/>
      <c r="AS216" s="278"/>
    </row>
    <row r="217" spans="1:45">
      <c r="A217" s="277"/>
      <c r="B217" s="298" t="b">
        <v>0</v>
      </c>
      <c r="C217" s="278"/>
      <c r="D217" s="299" t="b">
        <v>0</v>
      </c>
      <c r="E217" s="277"/>
      <c r="F217" s="298" t="b">
        <v>0</v>
      </c>
      <c r="G217" s="278"/>
      <c r="H217" s="299" t="b">
        <v>0</v>
      </c>
      <c r="I217" s="277"/>
      <c r="J217" s="278"/>
      <c r="K217" s="277"/>
      <c r="L217" s="278"/>
      <c r="M217" s="277"/>
      <c r="N217" s="278"/>
      <c r="O217" s="277"/>
      <c r="P217" s="278"/>
      <c r="Q217" s="277"/>
      <c r="R217" s="278"/>
      <c r="S217" s="277"/>
      <c r="T217" s="278"/>
      <c r="U217" s="277"/>
      <c r="V217" s="278"/>
      <c r="W217" s="277"/>
      <c r="X217" s="278"/>
      <c r="Y217" s="277"/>
      <c r="Z217" s="278"/>
      <c r="AA217" s="277"/>
      <c r="AB217" s="278"/>
      <c r="AC217" s="277"/>
      <c r="AD217" s="278"/>
      <c r="AE217" s="277"/>
      <c r="AF217" s="278"/>
      <c r="AG217" s="277"/>
      <c r="AH217" s="278"/>
      <c r="AI217" s="277"/>
      <c r="AJ217" s="278"/>
      <c r="AK217" s="277"/>
      <c r="AL217" s="278"/>
      <c r="AM217" s="277"/>
      <c r="AN217" s="278"/>
      <c r="AO217" s="278"/>
      <c r="AP217" s="278"/>
      <c r="AQ217" s="278"/>
      <c r="AR217" s="278"/>
      <c r="AS217" s="278"/>
    </row>
    <row r="218" spans="1:45">
      <c r="A218" s="277"/>
      <c r="B218" s="298" t="b">
        <v>0</v>
      </c>
      <c r="C218" s="278"/>
      <c r="D218" s="299" t="b">
        <v>0</v>
      </c>
      <c r="E218" s="277"/>
      <c r="F218" s="298" t="b">
        <v>0</v>
      </c>
      <c r="G218" s="278"/>
      <c r="H218" s="299" t="b">
        <v>0</v>
      </c>
      <c r="I218" s="277"/>
      <c r="J218" s="278"/>
      <c r="K218" s="277"/>
      <c r="L218" s="278"/>
      <c r="M218" s="277"/>
      <c r="N218" s="278"/>
      <c r="O218" s="277"/>
      <c r="P218" s="278"/>
      <c r="Q218" s="277"/>
      <c r="R218" s="278"/>
      <c r="S218" s="277"/>
      <c r="T218" s="278"/>
      <c r="U218" s="277"/>
      <c r="V218" s="278"/>
      <c r="W218" s="277"/>
      <c r="X218" s="278"/>
      <c r="Y218" s="277"/>
      <c r="Z218" s="278"/>
      <c r="AA218" s="277"/>
      <c r="AB218" s="278"/>
      <c r="AC218" s="277"/>
      <c r="AD218" s="278"/>
      <c r="AE218" s="277"/>
      <c r="AF218" s="278"/>
      <c r="AG218" s="277"/>
      <c r="AH218" s="278"/>
      <c r="AI218" s="277"/>
      <c r="AJ218" s="278"/>
      <c r="AK218" s="277"/>
      <c r="AL218" s="278"/>
      <c r="AM218" s="277"/>
      <c r="AN218" s="278"/>
      <c r="AO218" s="278"/>
      <c r="AP218" s="278"/>
      <c r="AQ218" s="278"/>
      <c r="AR218" s="278"/>
      <c r="AS218" s="278"/>
    </row>
    <row r="219" spans="1:45">
      <c r="A219" s="277"/>
      <c r="B219" s="298" t="b">
        <v>0</v>
      </c>
      <c r="C219" s="278"/>
      <c r="D219" s="299" t="b">
        <v>0</v>
      </c>
      <c r="E219" s="277"/>
      <c r="F219" s="298" t="b">
        <v>0</v>
      </c>
      <c r="G219" s="278"/>
      <c r="H219" s="299" t="b">
        <v>0</v>
      </c>
      <c r="I219" s="277"/>
      <c r="J219" s="278"/>
      <c r="K219" s="277"/>
      <c r="L219" s="278"/>
      <c r="M219" s="277"/>
      <c r="N219" s="278"/>
      <c r="O219" s="277"/>
      <c r="P219" s="278"/>
      <c r="Q219" s="277"/>
      <c r="R219" s="278"/>
      <c r="S219" s="277"/>
      <c r="T219" s="278"/>
      <c r="U219" s="277"/>
      <c r="V219" s="278"/>
      <c r="W219" s="277"/>
      <c r="X219" s="278"/>
      <c r="Y219" s="277"/>
      <c r="Z219" s="278"/>
      <c r="AA219" s="277"/>
      <c r="AB219" s="278"/>
      <c r="AC219" s="277"/>
      <c r="AD219" s="278"/>
      <c r="AE219" s="277"/>
      <c r="AF219" s="278"/>
      <c r="AG219" s="277"/>
      <c r="AH219" s="278"/>
      <c r="AI219" s="277"/>
      <c r="AJ219" s="278"/>
      <c r="AK219" s="277"/>
      <c r="AL219" s="278"/>
      <c r="AM219" s="277"/>
      <c r="AN219" s="278"/>
      <c r="AO219" s="278"/>
      <c r="AP219" s="278"/>
      <c r="AQ219" s="278"/>
      <c r="AR219" s="278"/>
      <c r="AS219" s="278"/>
    </row>
    <row r="220" spans="1:45">
      <c r="A220" s="277"/>
      <c r="B220" s="298" t="b">
        <v>0</v>
      </c>
      <c r="C220" s="278"/>
      <c r="D220" s="299" t="b">
        <v>0</v>
      </c>
      <c r="E220" s="277"/>
      <c r="F220" s="298" t="b">
        <v>0</v>
      </c>
      <c r="G220" s="278"/>
      <c r="H220" s="299" t="b">
        <v>0</v>
      </c>
      <c r="I220" s="277"/>
      <c r="J220" s="278"/>
      <c r="K220" s="277"/>
      <c r="L220" s="278"/>
      <c r="M220" s="277"/>
      <c r="N220" s="278"/>
      <c r="O220" s="277"/>
      <c r="P220" s="278"/>
      <c r="Q220" s="277"/>
      <c r="R220" s="278"/>
      <c r="S220" s="277"/>
      <c r="T220" s="278"/>
      <c r="U220" s="277"/>
      <c r="V220" s="278"/>
      <c r="W220" s="277"/>
      <c r="X220" s="278"/>
      <c r="Y220" s="277"/>
      <c r="Z220" s="278"/>
      <c r="AA220" s="277"/>
      <c r="AB220" s="278"/>
      <c r="AC220" s="277"/>
      <c r="AD220" s="278"/>
      <c r="AE220" s="277"/>
      <c r="AF220" s="278"/>
      <c r="AG220" s="277"/>
      <c r="AH220" s="278"/>
      <c r="AI220" s="277"/>
      <c r="AJ220" s="278"/>
      <c r="AK220" s="277"/>
      <c r="AL220" s="278"/>
      <c r="AM220" s="277"/>
      <c r="AN220" s="278"/>
      <c r="AO220" s="278"/>
      <c r="AP220" s="278"/>
      <c r="AQ220" s="278"/>
      <c r="AR220" s="278"/>
      <c r="AS220" s="278"/>
    </row>
    <row r="221" spans="1:45">
      <c r="A221" s="277"/>
      <c r="B221" s="298" t="b">
        <v>0</v>
      </c>
      <c r="C221" s="278"/>
      <c r="D221" s="299" t="b">
        <v>0</v>
      </c>
      <c r="E221" s="277"/>
      <c r="F221" s="298" t="b">
        <v>0</v>
      </c>
      <c r="G221" s="278"/>
      <c r="H221" s="299" t="b">
        <v>0</v>
      </c>
      <c r="I221" s="277"/>
      <c r="J221" s="278"/>
      <c r="K221" s="277"/>
      <c r="L221" s="278"/>
      <c r="M221" s="277"/>
      <c r="N221" s="278"/>
      <c r="O221" s="277"/>
      <c r="P221" s="278"/>
      <c r="Q221" s="277"/>
      <c r="R221" s="278"/>
      <c r="S221" s="277"/>
      <c r="T221" s="278"/>
      <c r="U221" s="277"/>
      <c r="V221" s="278"/>
      <c r="W221" s="277"/>
      <c r="X221" s="278"/>
      <c r="Y221" s="277"/>
      <c r="Z221" s="278"/>
      <c r="AA221" s="277"/>
      <c r="AB221" s="278"/>
      <c r="AC221" s="277"/>
      <c r="AD221" s="278"/>
      <c r="AE221" s="277"/>
      <c r="AF221" s="278"/>
      <c r="AG221" s="277"/>
      <c r="AH221" s="278"/>
      <c r="AI221" s="277"/>
      <c r="AJ221" s="278"/>
      <c r="AK221" s="277"/>
      <c r="AL221" s="278"/>
      <c r="AM221" s="277"/>
      <c r="AN221" s="278"/>
      <c r="AO221" s="278"/>
      <c r="AP221" s="278"/>
      <c r="AQ221" s="278"/>
      <c r="AR221" s="278"/>
      <c r="AS221" s="278"/>
    </row>
    <row r="222" spans="1:45">
      <c r="A222" s="277"/>
      <c r="B222" s="298" t="b">
        <v>0</v>
      </c>
      <c r="C222" s="278"/>
      <c r="D222" s="299" t="b">
        <v>0</v>
      </c>
      <c r="E222" s="277"/>
      <c r="F222" s="298" t="b">
        <v>0</v>
      </c>
      <c r="G222" s="278"/>
      <c r="H222" s="299" t="b">
        <v>0</v>
      </c>
      <c r="I222" s="277"/>
      <c r="J222" s="278"/>
      <c r="K222" s="277"/>
      <c r="L222" s="278"/>
      <c r="M222" s="277"/>
      <c r="N222" s="278"/>
      <c r="O222" s="277"/>
      <c r="P222" s="278"/>
      <c r="Q222" s="277"/>
      <c r="R222" s="278"/>
      <c r="S222" s="277"/>
      <c r="T222" s="278"/>
      <c r="U222" s="277"/>
      <c r="V222" s="278"/>
      <c r="W222" s="277"/>
      <c r="X222" s="278"/>
      <c r="Y222" s="277"/>
      <c r="Z222" s="278"/>
      <c r="AA222" s="277"/>
      <c r="AB222" s="278"/>
      <c r="AC222" s="277"/>
      <c r="AD222" s="278"/>
      <c r="AE222" s="277"/>
      <c r="AF222" s="278"/>
      <c r="AG222" s="277"/>
      <c r="AH222" s="278"/>
      <c r="AI222" s="277"/>
      <c r="AJ222" s="278"/>
      <c r="AK222" s="277"/>
      <c r="AL222" s="278"/>
      <c r="AM222" s="277"/>
      <c r="AN222" s="278"/>
      <c r="AO222" s="278"/>
      <c r="AP222" s="278"/>
      <c r="AQ222" s="278"/>
      <c r="AR222" s="278"/>
      <c r="AS222" s="278"/>
    </row>
    <row r="223" spans="1:45">
      <c r="A223" s="277"/>
      <c r="B223" s="298" t="b">
        <v>0</v>
      </c>
      <c r="C223" s="278"/>
      <c r="D223" s="299" t="b">
        <v>0</v>
      </c>
      <c r="E223" s="277"/>
      <c r="F223" s="298" t="b">
        <v>0</v>
      </c>
      <c r="G223" s="278"/>
      <c r="H223" s="299" t="b">
        <v>0</v>
      </c>
      <c r="I223" s="277"/>
      <c r="J223" s="278"/>
      <c r="K223" s="277"/>
      <c r="L223" s="278"/>
      <c r="M223" s="277"/>
      <c r="N223" s="278"/>
      <c r="O223" s="277"/>
      <c r="P223" s="278"/>
      <c r="Q223" s="277"/>
      <c r="R223" s="278"/>
      <c r="S223" s="277"/>
      <c r="T223" s="278"/>
      <c r="U223" s="277"/>
      <c r="V223" s="278"/>
      <c r="W223" s="277"/>
      <c r="X223" s="278"/>
      <c r="Y223" s="277"/>
      <c r="Z223" s="278"/>
      <c r="AA223" s="277"/>
      <c r="AB223" s="278"/>
      <c r="AC223" s="277"/>
      <c r="AD223" s="278"/>
      <c r="AE223" s="277"/>
      <c r="AF223" s="278"/>
      <c r="AG223" s="277"/>
      <c r="AH223" s="278"/>
      <c r="AI223" s="277"/>
      <c r="AJ223" s="278"/>
      <c r="AK223" s="277"/>
      <c r="AL223" s="278"/>
      <c r="AM223" s="277"/>
      <c r="AN223" s="278"/>
      <c r="AO223" s="278"/>
      <c r="AP223" s="278"/>
      <c r="AQ223" s="278"/>
      <c r="AR223" s="278"/>
      <c r="AS223" s="278"/>
    </row>
    <row r="224" spans="1:45">
      <c r="A224" s="277"/>
      <c r="B224" s="298" t="b">
        <v>0</v>
      </c>
      <c r="C224" s="278"/>
      <c r="D224" s="299" t="b">
        <v>0</v>
      </c>
      <c r="E224" s="277"/>
      <c r="F224" s="298" t="b">
        <v>0</v>
      </c>
      <c r="G224" s="278"/>
      <c r="H224" s="299" t="b">
        <v>0</v>
      </c>
      <c r="I224" s="277"/>
      <c r="J224" s="278"/>
      <c r="K224" s="277"/>
      <c r="L224" s="278"/>
      <c r="M224" s="277"/>
      <c r="N224" s="278"/>
      <c r="O224" s="277"/>
      <c r="P224" s="278"/>
      <c r="Q224" s="277"/>
      <c r="R224" s="278"/>
      <c r="S224" s="277"/>
      <c r="T224" s="278"/>
      <c r="U224" s="277"/>
      <c r="V224" s="278"/>
      <c r="W224" s="277"/>
      <c r="X224" s="278"/>
      <c r="Y224" s="277"/>
      <c r="Z224" s="278"/>
      <c r="AA224" s="277"/>
      <c r="AB224" s="278"/>
      <c r="AC224" s="277"/>
      <c r="AD224" s="278"/>
      <c r="AE224" s="277"/>
      <c r="AF224" s="278"/>
      <c r="AG224" s="277"/>
      <c r="AH224" s="278"/>
      <c r="AI224" s="277"/>
      <c r="AJ224" s="278"/>
      <c r="AK224" s="277"/>
      <c r="AL224" s="278"/>
      <c r="AM224" s="277"/>
      <c r="AN224" s="278"/>
      <c r="AO224" s="278"/>
      <c r="AP224" s="278"/>
      <c r="AQ224" s="278"/>
      <c r="AR224" s="278"/>
      <c r="AS224" s="278"/>
    </row>
    <row r="225" spans="1:45">
      <c r="A225" s="277"/>
      <c r="B225" s="298" t="b">
        <v>0</v>
      </c>
      <c r="C225" s="278"/>
      <c r="D225" s="299" t="b">
        <v>0</v>
      </c>
      <c r="E225" s="277"/>
      <c r="F225" s="298" t="b">
        <v>0</v>
      </c>
      <c r="G225" s="278"/>
      <c r="H225" s="299" t="b">
        <v>0</v>
      </c>
      <c r="I225" s="277"/>
      <c r="J225" s="278"/>
      <c r="K225" s="277"/>
      <c r="L225" s="278"/>
      <c r="M225" s="277"/>
      <c r="N225" s="278"/>
      <c r="O225" s="277"/>
      <c r="P225" s="278"/>
      <c r="Q225" s="277"/>
      <c r="R225" s="278"/>
      <c r="S225" s="277"/>
      <c r="T225" s="278"/>
      <c r="U225" s="277"/>
      <c r="V225" s="278"/>
      <c r="W225" s="277"/>
      <c r="X225" s="278"/>
      <c r="Y225" s="277"/>
      <c r="Z225" s="278"/>
      <c r="AA225" s="277"/>
      <c r="AB225" s="278"/>
      <c r="AC225" s="277"/>
      <c r="AD225" s="278"/>
      <c r="AE225" s="277"/>
      <c r="AF225" s="278"/>
      <c r="AG225" s="277"/>
      <c r="AH225" s="278"/>
      <c r="AI225" s="277"/>
      <c r="AJ225" s="278"/>
      <c r="AK225" s="277"/>
      <c r="AL225" s="278"/>
      <c r="AM225" s="277"/>
      <c r="AN225" s="278"/>
      <c r="AO225" s="278"/>
      <c r="AP225" s="278"/>
      <c r="AQ225" s="278"/>
      <c r="AR225" s="278"/>
      <c r="AS225" s="278"/>
    </row>
    <row r="226" spans="1:45">
      <c r="A226" s="277"/>
      <c r="B226" s="298" t="b">
        <v>0</v>
      </c>
      <c r="C226" s="278"/>
      <c r="D226" s="299" t="b">
        <v>0</v>
      </c>
      <c r="E226" s="277"/>
      <c r="F226" s="298" t="b">
        <v>0</v>
      </c>
      <c r="G226" s="278"/>
      <c r="H226" s="299" t="b">
        <v>0</v>
      </c>
      <c r="I226" s="277"/>
      <c r="J226" s="278"/>
      <c r="K226" s="277"/>
      <c r="L226" s="278"/>
      <c r="M226" s="277"/>
      <c r="N226" s="278"/>
      <c r="O226" s="277"/>
      <c r="P226" s="278"/>
      <c r="Q226" s="277"/>
      <c r="R226" s="278"/>
      <c r="S226" s="277"/>
      <c r="T226" s="278"/>
      <c r="U226" s="277"/>
      <c r="V226" s="278"/>
      <c r="W226" s="277"/>
      <c r="X226" s="278"/>
      <c r="Y226" s="277"/>
      <c r="Z226" s="278"/>
      <c r="AA226" s="277"/>
      <c r="AB226" s="278"/>
      <c r="AC226" s="277"/>
      <c r="AD226" s="278"/>
      <c r="AE226" s="277"/>
      <c r="AF226" s="278"/>
      <c r="AG226" s="277"/>
      <c r="AH226" s="278"/>
      <c r="AI226" s="277"/>
      <c r="AJ226" s="278"/>
      <c r="AK226" s="277"/>
      <c r="AL226" s="278"/>
      <c r="AM226" s="277"/>
      <c r="AN226" s="278"/>
      <c r="AO226" s="278"/>
      <c r="AP226" s="278"/>
      <c r="AQ226" s="278"/>
      <c r="AR226" s="278"/>
      <c r="AS226" s="278"/>
    </row>
    <row r="227" spans="1:45">
      <c r="A227" s="277"/>
      <c r="B227" s="298" t="b">
        <v>0</v>
      </c>
      <c r="C227" s="278"/>
      <c r="D227" s="299" t="b">
        <v>0</v>
      </c>
      <c r="E227" s="277"/>
      <c r="F227" s="298" t="b">
        <v>0</v>
      </c>
      <c r="G227" s="278"/>
      <c r="H227" s="299" t="b">
        <v>0</v>
      </c>
      <c r="I227" s="277"/>
      <c r="J227" s="278"/>
      <c r="K227" s="277"/>
      <c r="L227" s="278"/>
      <c r="M227" s="277"/>
      <c r="N227" s="278"/>
      <c r="O227" s="277"/>
      <c r="P227" s="278"/>
      <c r="Q227" s="277"/>
      <c r="R227" s="278"/>
      <c r="S227" s="277"/>
      <c r="T227" s="278"/>
      <c r="U227" s="277"/>
      <c r="V227" s="278"/>
      <c r="W227" s="277"/>
      <c r="X227" s="278"/>
      <c r="Y227" s="277"/>
      <c r="Z227" s="278"/>
      <c r="AA227" s="277"/>
      <c r="AB227" s="278"/>
      <c r="AC227" s="277"/>
      <c r="AD227" s="278"/>
      <c r="AE227" s="277"/>
      <c r="AF227" s="278"/>
      <c r="AG227" s="277"/>
      <c r="AH227" s="278"/>
      <c r="AI227" s="277"/>
      <c r="AJ227" s="278"/>
      <c r="AK227" s="277"/>
      <c r="AL227" s="278"/>
      <c r="AM227" s="277"/>
      <c r="AN227" s="278"/>
      <c r="AO227" s="278"/>
      <c r="AP227" s="278"/>
      <c r="AQ227" s="278"/>
      <c r="AR227" s="278"/>
      <c r="AS227" s="278"/>
    </row>
    <row r="228" spans="1:45">
      <c r="A228" s="277"/>
      <c r="B228" s="298" t="b">
        <v>0</v>
      </c>
      <c r="C228" s="278"/>
      <c r="D228" s="299" t="b">
        <v>0</v>
      </c>
      <c r="E228" s="277"/>
      <c r="F228" s="298" t="b">
        <v>0</v>
      </c>
      <c r="G228" s="278"/>
      <c r="H228" s="299" t="b">
        <v>0</v>
      </c>
      <c r="I228" s="277"/>
      <c r="J228" s="278"/>
      <c r="K228" s="277"/>
      <c r="L228" s="278"/>
      <c r="M228" s="277"/>
      <c r="N228" s="278"/>
      <c r="O228" s="277"/>
      <c r="P228" s="278"/>
      <c r="Q228" s="277"/>
      <c r="R228" s="278"/>
      <c r="S228" s="277"/>
      <c r="T228" s="278"/>
      <c r="U228" s="277"/>
      <c r="V228" s="278"/>
      <c r="W228" s="277"/>
      <c r="X228" s="278"/>
      <c r="Y228" s="277"/>
      <c r="Z228" s="278"/>
      <c r="AA228" s="277"/>
      <c r="AB228" s="278"/>
      <c r="AC228" s="277"/>
      <c r="AD228" s="278"/>
      <c r="AE228" s="277"/>
      <c r="AF228" s="278"/>
      <c r="AG228" s="277"/>
      <c r="AH228" s="278"/>
      <c r="AI228" s="277"/>
      <c r="AJ228" s="278"/>
      <c r="AK228" s="277"/>
      <c r="AL228" s="278"/>
      <c r="AM228" s="277"/>
      <c r="AN228" s="278"/>
      <c r="AO228" s="278"/>
      <c r="AP228" s="278"/>
      <c r="AQ228" s="278"/>
      <c r="AR228" s="278"/>
      <c r="AS228" s="278"/>
    </row>
    <row r="229" spans="1:45">
      <c r="A229" s="277"/>
      <c r="B229" s="298" t="b">
        <v>0</v>
      </c>
      <c r="C229" s="278"/>
      <c r="D229" s="299" t="b">
        <v>0</v>
      </c>
      <c r="E229" s="277"/>
      <c r="F229" s="298" t="b">
        <v>0</v>
      </c>
      <c r="G229" s="278"/>
      <c r="H229" s="299" t="b">
        <v>0</v>
      </c>
      <c r="I229" s="277"/>
      <c r="J229" s="278"/>
      <c r="K229" s="277"/>
      <c r="L229" s="278"/>
      <c r="M229" s="277"/>
      <c r="N229" s="278"/>
      <c r="O229" s="277"/>
      <c r="P229" s="278"/>
      <c r="Q229" s="277"/>
      <c r="R229" s="278"/>
      <c r="S229" s="277"/>
      <c r="T229" s="278"/>
      <c r="U229" s="277"/>
      <c r="V229" s="278"/>
      <c r="W229" s="277"/>
      <c r="X229" s="278"/>
      <c r="Y229" s="277"/>
      <c r="Z229" s="278"/>
      <c r="AA229" s="277"/>
      <c r="AB229" s="278"/>
      <c r="AC229" s="277"/>
      <c r="AD229" s="278"/>
      <c r="AE229" s="277"/>
      <c r="AF229" s="278"/>
      <c r="AG229" s="277"/>
      <c r="AH229" s="278"/>
      <c r="AI229" s="277"/>
      <c r="AJ229" s="278"/>
      <c r="AK229" s="277"/>
      <c r="AL229" s="278"/>
      <c r="AM229" s="277"/>
      <c r="AN229" s="278"/>
      <c r="AO229" s="278"/>
      <c r="AP229" s="278"/>
      <c r="AQ229" s="278"/>
      <c r="AR229" s="278"/>
      <c r="AS229" s="278"/>
    </row>
    <row r="230" spans="1:45">
      <c r="A230" s="277"/>
      <c r="B230" s="298" t="b">
        <v>0</v>
      </c>
      <c r="C230" s="278"/>
      <c r="D230" s="299" t="b">
        <v>0</v>
      </c>
      <c r="E230" s="277"/>
      <c r="F230" s="298" t="b">
        <v>0</v>
      </c>
      <c r="G230" s="278"/>
      <c r="H230" s="299" t="b">
        <v>0</v>
      </c>
      <c r="I230" s="277"/>
      <c r="J230" s="278"/>
      <c r="K230" s="277"/>
      <c r="L230" s="278"/>
      <c r="M230" s="277"/>
      <c r="N230" s="278"/>
      <c r="O230" s="277"/>
      <c r="P230" s="278"/>
      <c r="Q230" s="277"/>
      <c r="R230" s="278"/>
      <c r="S230" s="277"/>
      <c r="T230" s="278"/>
      <c r="U230" s="277"/>
      <c r="V230" s="278"/>
      <c r="W230" s="277"/>
      <c r="X230" s="278"/>
      <c r="Y230" s="277"/>
      <c r="Z230" s="278"/>
      <c r="AA230" s="277"/>
      <c r="AB230" s="278"/>
      <c r="AC230" s="277"/>
      <c r="AD230" s="278"/>
      <c r="AE230" s="277"/>
      <c r="AF230" s="278"/>
      <c r="AG230" s="277"/>
      <c r="AH230" s="278"/>
      <c r="AI230" s="277"/>
      <c r="AJ230" s="278"/>
      <c r="AK230" s="277"/>
      <c r="AL230" s="278"/>
      <c r="AM230" s="277"/>
      <c r="AN230" s="278"/>
      <c r="AO230" s="278"/>
      <c r="AP230" s="278"/>
      <c r="AQ230" s="278"/>
      <c r="AR230" s="278"/>
      <c r="AS230" s="278"/>
    </row>
    <row r="231" spans="1:45">
      <c r="A231" s="277"/>
      <c r="B231" s="298" t="b">
        <v>0</v>
      </c>
      <c r="C231" s="278"/>
      <c r="D231" s="299" t="b">
        <v>0</v>
      </c>
      <c r="E231" s="277"/>
      <c r="F231" s="298" t="b">
        <v>0</v>
      </c>
      <c r="G231" s="278"/>
      <c r="H231" s="299" t="b">
        <v>0</v>
      </c>
      <c r="I231" s="277"/>
      <c r="J231" s="278"/>
      <c r="K231" s="277"/>
      <c r="L231" s="278"/>
      <c r="M231" s="277"/>
      <c r="N231" s="278"/>
      <c r="O231" s="277"/>
      <c r="P231" s="278"/>
      <c r="Q231" s="277"/>
      <c r="R231" s="278"/>
      <c r="S231" s="277"/>
      <c r="T231" s="278"/>
      <c r="U231" s="277"/>
      <c r="V231" s="278"/>
      <c r="W231" s="277"/>
      <c r="X231" s="278"/>
      <c r="Y231" s="277"/>
      <c r="Z231" s="278"/>
      <c r="AA231" s="277"/>
      <c r="AB231" s="278"/>
      <c r="AC231" s="277"/>
      <c r="AD231" s="278"/>
      <c r="AE231" s="277"/>
      <c r="AF231" s="278"/>
      <c r="AG231" s="277"/>
      <c r="AH231" s="278"/>
      <c r="AI231" s="277"/>
      <c r="AJ231" s="278"/>
      <c r="AK231" s="277"/>
      <c r="AL231" s="278"/>
      <c r="AM231" s="277"/>
      <c r="AN231" s="278"/>
      <c r="AO231" s="278"/>
      <c r="AP231" s="278"/>
      <c r="AQ231" s="278"/>
      <c r="AR231" s="278"/>
      <c r="AS231" s="278"/>
    </row>
    <row r="232" spans="1:45">
      <c r="A232" s="277"/>
      <c r="B232" s="298" t="b">
        <v>0</v>
      </c>
      <c r="C232" s="278"/>
      <c r="D232" s="299" t="b">
        <v>0</v>
      </c>
      <c r="E232" s="277"/>
      <c r="F232" s="298" t="b">
        <v>0</v>
      </c>
      <c r="G232" s="278"/>
      <c r="H232" s="299" t="b">
        <v>0</v>
      </c>
      <c r="I232" s="277"/>
      <c r="J232" s="278"/>
      <c r="K232" s="277"/>
      <c r="L232" s="278"/>
      <c r="M232" s="277"/>
      <c r="N232" s="278"/>
      <c r="O232" s="277"/>
      <c r="P232" s="278"/>
      <c r="Q232" s="277"/>
      <c r="R232" s="278"/>
      <c r="S232" s="277"/>
      <c r="T232" s="278"/>
      <c r="U232" s="277"/>
      <c r="V232" s="278"/>
      <c r="W232" s="277"/>
      <c r="X232" s="278"/>
      <c r="Y232" s="277"/>
      <c r="Z232" s="278"/>
      <c r="AA232" s="277"/>
      <c r="AB232" s="278"/>
      <c r="AC232" s="277"/>
      <c r="AD232" s="278"/>
      <c r="AE232" s="277"/>
      <c r="AF232" s="278"/>
      <c r="AG232" s="277"/>
      <c r="AH232" s="278"/>
      <c r="AI232" s="277"/>
      <c r="AJ232" s="278"/>
      <c r="AK232" s="277"/>
      <c r="AL232" s="278"/>
      <c r="AM232" s="277"/>
      <c r="AN232" s="278"/>
      <c r="AO232" s="278"/>
      <c r="AP232" s="278"/>
      <c r="AQ232" s="278"/>
      <c r="AR232" s="278"/>
      <c r="AS232" s="278"/>
    </row>
    <row r="233" spans="1:45">
      <c r="A233" s="277"/>
      <c r="B233" s="298" t="b">
        <v>0</v>
      </c>
      <c r="C233" s="278"/>
      <c r="D233" s="299" t="b">
        <v>0</v>
      </c>
      <c r="E233" s="277"/>
      <c r="F233" s="298" t="b">
        <v>0</v>
      </c>
      <c r="G233" s="278"/>
      <c r="H233" s="299" t="b">
        <v>0</v>
      </c>
      <c r="I233" s="277"/>
      <c r="J233" s="278"/>
      <c r="K233" s="277"/>
      <c r="L233" s="278"/>
      <c r="M233" s="277"/>
      <c r="N233" s="278"/>
      <c r="O233" s="277"/>
      <c r="P233" s="278"/>
      <c r="Q233" s="277"/>
      <c r="R233" s="278"/>
      <c r="S233" s="277"/>
      <c r="T233" s="278"/>
      <c r="U233" s="277"/>
      <c r="V233" s="278"/>
      <c r="W233" s="277"/>
      <c r="X233" s="278"/>
      <c r="Y233" s="277"/>
      <c r="Z233" s="278"/>
      <c r="AA233" s="277"/>
      <c r="AB233" s="278"/>
      <c r="AC233" s="277"/>
      <c r="AD233" s="278"/>
      <c r="AE233" s="277"/>
      <c r="AF233" s="278"/>
      <c r="AG233" s="277"/>
      <c r="AH233" s="278"/>
      <c r="AI233" s="277"/>
      <c r="AJ233" s="278"/>
      <c r="AK233" s="277"/>
      <c r="AL233" s="278"/>
      <c r="AM233" s="277"/>
      <c r="AN233" s="278"/>
      <c r="AO233" s="278"/>
      <c r="AP233" s="278"/>
      <c r="AQ233" s="278"/>
      <c r="AR233" s="278"/>
      <c r="AS233" s="278"/>
    </row>
    <row r="234" spans="1:45">
      <c r="A234" s="277"/>
      <c r="B234" s="298" t="b">
        <v>0</v>
      </c>
      <c r="C234" s="278"/>
      <c r="D234" s="299" t="b">
        <v>0</v>
      </c>
      <c r="E234" s="277"/>
      <c r="F234" s="298" t="b">
        <v>0</v>
      </c>
      <c r="G234" s="278"/>
      <c r="H234" s="299" t="b">
        <v>0</v>
      </c>
      <c r="I234" s="277"/>
      <c r="J234" s="278"/>
      <c r="K234" s="277"/>
      <c r="L234" s="278"/>
      <c r="M234" s="277"/>
      <c r="N234" s="278"/>
      <c r="O234" s="277"/>
      <c r="P234" s="278"/>
      <c r="Q234" s="277"/>
      <c r="R234" s="278"/>
      <c r="S234" s="277"/>
      <c r="T234" s="278"/>
      <c r="U234" s="277"/>
      <c r="V234" s="278"/>
      <c r="W234" s="277"/>
      <c r="X234" s="278"/>
      <c r="Y234" s="277"/>
      <c r="Z234" s="278"/>
      <c r="AA234" s="277"/>
      <c r="AB234" s="278"/>
      <c r="AC234" s="277"/>
      <c r="AD234" s="278"/>
      <c r="AE234" s="277"/>
      <c r="AF234" s="278"/>
      <c r="AG234" s="277"/>
      <c r="AH234" s="278"/>
      <c r="AI234" s="277"/>
      <c r="AJ234" s="278"/>
      <c r="AK234" s="277"/>
      <c r="AL234" s="278"/>
      <c r="AM234" s="277"/>
      <c r="AN234" s="278"/>
      <c r="AO234" s="278"/>
      <c r="AP234" s="278"/>
      <c r="AQ234" s="278"/>
      <c r="AR234" s="278"/>
      <c r="AS234" s="278"/>
    </row>
    <row r="235" spans="1:45">
      <c r="A235" s="277"/>
      <c r="B235" s="298" t="b">
        <v>0</v>
      </c>
      <c r="C235" s="278"/>
      <c r="D235" s="299" t="b">
        <v>0</v>
      </c>
      <c r="E235" s="277"/>
      <c r="F235" s="298" t="b">
        <v>0</v>
      </c>
      <c r="G235" s="278"/>
      <c r="H235" s="299" t="b">
        <v>0</v>
      </c>
      <c r="I235" s="277"/>
      <c r="J235" s="278"/>
      <c r="K235" s="277"/>
      <c r="L235" s="278"/>
      <c r="M235" s="277"/>
      <c r="N235" s="278"/>
      <c r="O235" s="277"/>
      <c r="P235" s="278"/>
      <c r="Q235" s="277"/>
      <c r="R235" s="278"/>
      <c r="S235" s="277"/>
      <c r="T235" s="278"/>
      <c r="U235" s="277"/>
      <c r="V235" s="278"/>
      <c r="W235" s="277"/>
      <c r="X235" s="278"/>
      <c r="Y235" s="277"/>
      <c r="Z235" s="278"/>
      <c r="AA235" s="277"/>
      <c r="AB235" s="278"/>
      <c r="AC235" s="277"/>
      <c r="AD235" s="278"/>
      <c r="AE235" s="277"/>
      <c r="AF235" s="278"/>
      <c r="AG235" s="277"/>
      <c r="AH235" s="278"/>
      <c r="AI235" s="277"/>
      <c r="AJ235" s="278"/>
      <c r="AK235" s="277"/>
      <c r="AL235" s="278"/>
      <c r="AM235" s="277"/>
      <c r="AN235" s="278"/>
      <c r="AO235" s="278"/>
      <c r="AP235" s="278"/>
      <c r="AQ235" s="278"/>
      <c r="AR235" s="278"/>
      <c r="AS235" s="278"/>
    </row>
    <row r="236" spans="1:45">
      <c r="A236" s="277"/>
      <c r="B236" s="298" t="b">
        <v>0</v>
      </c>
      <c r="C236" s="278"/>
      <c r="D236" s="299" t="b">
        <v>0</v>
      </c>
      <c r="E236" s="277"/>
      <c r="F236" s="298" t="b">
        <v>0</v>
      </c>
      <c r="G236" s="278"/>
      <c r="H236" s="299" t="b">
        <v>0</v>
      </c>
      <c r="I236" s="277"/>
      <c r="J236" s="278"/>
      <c r="K236" s="277"/>
      <c r="L236" s="278"/>
      <c r="M236" s="277"/>
      <c r="N236" s="278"/>
      <c r="O236" s="277"/>
      <c r="P236" s="278"/>
      <c r="Q236" s="277"/>
      <c r="R236" s="278"/>
      <c r="S236" s="277"/>
      <c r="T236" s="278"/>
      <c r="U236" s="277"/>
      <c r="V236" s="278"/>
      <c r="W236" s="277"/>
      <c r="X236" s="278"/>
      <c r="Y236" s="277"/>
      <c r="Z236" s="278"/>
      <c r="AA236" s="277"/>
      <c r="AB236" s="278"/>
      <c r="AC236" s="277"/>
      <c r="AD236" s="278"/>
      <c r="AE236" s="277"/>
      <c r="AF236" s="278"/>
      <c r="AG236" s="277"/>
      <c r="AH236" s="278"/>
      <c r="AI236" s="277"/>
      <c r="AJ236" s="278"/>
      <c r="AK236" s="277"/>
      <c r="AL236" s="278"/>
      <c r="AM236" s="277"/>
      <c r="AN236" s="278"/>
      <c r="AO236" s="278"/>
      <c r="AP236" s="278"/>
      <c r="AQ236" s="278"/>
      <c r="AR236" s="278"/>
      <c r="AS236" s="278"/>
    </row>
    <row r="237" spans="1:45">
      <c r="A237" s="277"/>
      <c r="B237" s="298" t="b">
        <v>0</v>
      </c>
      <c r="C237" s="278"/>
      <c r="D237" s="299" t="b">
        <v>0</v>
      </c>
      <c r="E237" s="277"/>
      <c r="F237" s="298" t="b">
        <v>0</v>
      </c>
      <c r="G237" s="278"/>
      <c r="H237" s="299" t="b">
        <v>0</v>
      </c>
      <c r="I237" s="277"/>
      <c r="J237" s="278"/>
      <c r="K237" s="277"/>
      <c r="L237" s="278"/>
      <c r="M237" s="277"/>
      <c r="N237" s="278"/>
      <c r="O237" s="277"/>
      <c r="P237" s="278"/>
      <c r="Q237" s="277"/>
      <c r="R237" s="278"/>
      <c r="S237" s="277"/>
      <c r="T237" s="278"/>
      <c r="U237" s="277"/>
      <c r="V237" s="278"/>
      <c r="W237" s="277"/>
      <c r="X237" s="278"/>
      <c r="Y237" s="277"/>
      <c r="Z237" s="278"/>
      <c r="AA237" s="277"/>
      <c r="AB237" s="278"/>
      <c r="AC237" s="277"/>
      <c r="AD237" s="278"/>
      <c r="AE237" s="277"/>
      <c r="AF237" s="278"/>
      <c r="AG237" s="277"/>
      <c r="AH237" s="278"/>
      <c r="AI237" s="277"/>
      <c r="AJ237" s="278"/>
      <c r="AK237" s="277"/>
      <c r="AL237" s="278"/>
      <c r="AM237" s="277"/>
      <c r="AN237" s="278"/>
      <c r="AO237" s="278"/>
      <c r="AP237" s="278"/>
      <c r="AQ237" s="278"/>
      <c r="AR237" s="278"/>
      <c r="AS237" s="278"/>
    </row>
    <row r="238" spans="1:45">
      <c r="A238" s="277"/>
      <c r="B238" s="298" t="b">
        <v>0</v>
      </c>
      <c r="C238" s="278"/>
      <c r="D238" s="299" t="b">
        <v>0</v>
      </c>
      <c r="E238" s="277"/>
      <c r="F238" s="298" t="b">
        <v>0</v>
      </c>
      <c r="G238" s="278"/>
      <c r="H238" s="299" t="b">
        <v>0</v>
      </c>
      <c r="I238" s="277"/>
      <c r="J238" s="278"/>
      <c r="K238" s="277"/>
      <c r="L238" s="278"/>
      <c r="M238" s="277"/>
      <c r="N238" s="278"/>
      <c r="O238" s="277"/>
      <c r="P238" s="278"/>
      <c r="Q238" s="277"/>
      <c r="R238" s="278"/>
      <c r="S238" s="277"/>
      <c r="T238" s="278"/>
      <c r="U238" s="277"/>
      <c r="V238" s="278"/>
      <c r="W238" s="277"/>
      <c r="X238" s="278"/>
      <c r="Y238" s="277"/>
      <c r="Z238" s="278"/>
      <c r="AA238" s="277"/>
      <c r="AB238" s="278"/>
      <c r="AC238" s="277"/>
      <c r="AD238" s="278"/>
      <c r="AE238" s="277"/>
      <c r="AF238" s="278"/>
      <c r="AG238" s="277"/>
      <c r="AH238" s="278"/>
      <c r="AI238" s="277"/>
      <c r="AJ238" s="278"/>
      <c r="AK238" s="277"/>
      <c r="AL238" s="278"/>
      <c r="AM238" s="277"/>
      <c r="AN238" s="278"/>
      <c r="AO238" s="278"/>
      <c r="AP238" s="278"/>
      <c r="AQ238" s="278"/>
      <c r="AR238" s="278"/>
      <c r="AS238" s="278"/>
    </row>
    <row r="239" spans="1:45">
      <c r="A239" s="277"/>
      <c r="B239" s="298" t="b">
        <v>0</v>
      </c>
      <c r="C239" s="278"/>
      <c r="D239" s="299" t="b">
        <v>0</v>
      </c>
      <c r="E239" s="277"/>
      <c r="F239" s="298" t="b">
        <v>0</v>
      </c>
      <c r="G239" s="278"/>
      <c r="H239" s="299" t="b">
        <v>0</v>
      </c>
      <c r="I239" s="277"/>
      <c r="J239" s="278"/>
      <c r="K239" s="277"/>
      <c r="L239" s="278"/>
      <c r="M239" s="277"/>
      <c r="N239" s="278"/>
      <c r="O239" s="277"/>
      <c r="P239" s="278"/>
      <c r="Q239" s="277"/>
      <c r="R239" s="278"/>
      <c r="S239" s="277"/>
      <c r="T239" s="278"/>
      <c r="U239" s="277"/>
      <c r="V239" s="278"/>
      <c r="W239" s="277"/>
      <c r="X239" s="278"/>
      <c r="Y239" s="277"/>
      <c r="Z239" s="278"/>
      <c r="AA239" s="277"/>
      <c r="AB239" s="278"/>
      <c r="AC239" s="277"/>
      <c r="AD239" s="278"/>
      <c r="AE239" s="277"/>
      <c r="AF239" s="278"/>
      <c r="AG239" s="277"/>
      <c r="AH239" s="278"/>
      <c r="AI239" s="277"/>
      <c r="AJ239" s="278"/>
      <c r="AK239" s="277"/>
      <c r="AL239" s="278"/>
      <c r="AM239" s="277"/>
      <c r="AN239" s="278"/>
      <c r="AO239" s="278"/>
      <c r="AP239" s="278"/>
      <c r="AQ239" s="278"/>
      <c r="AR239" s="278"/>
      <c r="AS239" s="278"/>
    </row>
    <row r="240" spans="1:45">
      <c r="A240" s="277"/>
      <c r="B240" s="298" t="b">
        <v>0</v>
      </c>
      <c r="C240" s="278"/>
      <c r="D240" s="299" t="b">
        <v>0</v>
      </c>
      <c r="E240" s="277"/>
      <c r="F240" s="298" t="b">
        <v>0</v>
      </c>
      <c r="G240" s="278"/>
      <c r="H240" s="299" t="b">
        <v>0</v>
      </c>
      <c r="I240" s="277"/>
      <c r="J240" s="278"/>
      <c r="K240" s="277"/>
      <c r="L240" s="278"/>
      <c r="M240" s="277"/>
      <c r="N240" s="278"/>
      <c r="O240" s="277"/>
      <c r="P240" s="278"/>
      <c r="Q240" s="277"/>
      <c r="R240" s="278"/>
      <c r="S240" s="277"/>
      <c r="T240" s="278"/>
      <c r="U240" s="277"/>
      <c r="V240" s="278"/>
      <c r="W240" s="277"/>
      <c r="X240" s="278"/>
      <c r="Y240" s="277"/>
      <c r="Z240" s="278"/>
      <c r="AA240" s="277"/>
      <c r="AB240" s="278"/>
      <c r="AC240" s="277"/>
      <c r="AD240" s="278"/>
      <c r="AE240" s="277"/>
      <c r="AF240" s="278"/>
      <c r="AG240" s="277"/>
      <c r="AH240" s="278"/>
      <c r="AI240" s="277"/>
      <c r="AJ240" s="278"/>
      <c r="AK240" s="277"/>
      <c r="AL240" s="278"/>
      <c r="AM240" s="277"/>
      <c r="AN240" s="278"/>
      <c r="AO240" s="278"/>
      <c r="AP240" s="278"/>
      <c r="AQ240" s="278"/>
      <c r="AR240" s="278"/>
      <c r="AS240" s="278"/>
    </row>
    <row r="241" spans="1:45">
      <c r="A241" s="277"/>
      <c r="B241" s="298" t="b">
        <v>0</v>
      </c>
      <c r="C241" s="278"/>
      <c r="D241" s="299" t="b">
        <v>0</v>
      </c>
      <c r="E241" s="277"/>
      <c r="F241" s="298" t="b">
        <v>0</v>
      </c>
      <c r="G241" s="278"/>
      <c r="H241" s="299" t="b">
        <v>0</v>
      </c>
      <c r="I241" s="277"/>
      <c r="J241" s="278"/>
      <c r="K241" s="277"/>
      <c r="L241" s="278"/>
      <c r="M241" s="277"/>
      <c r="N241" s="278"/>
      <c r="O241" s="277"/>
      <c r="P241" s="278"/>
      <c r="Q241" s="277"/>
      <c r="R241" s="278"/>
      <c r="S241" s="277"/>
      <c r="T241" s="278"/>
      <c r="U241" s="277"/>
      <c r="V241" s="278"/>
      <c r="W241" s="277"/>
      <c r="X241" s="278"/>
      <c r="Y241" s="277"/>
      <c r="Z241" s="278"/>
      <c r="AA241" s="277"/>
      <c r="AB241" s="278"/>
      <c r="AC241" s="277"/>
      <c r="AD241" s="278"/>
      <c r="AE241" s="277"/>
      <c r="AF241" s="278"/>
      <c r="AG241" s="277"/>
      <c r="AH241" s="278"/>
      <c r="AI241" s="277"/>
      <c r="AJ241" s="278"/>
      <c r="AK241" s="277"/>
      <c r="AL241" s="278"/>
      <c r="AM241" s="277"/>
      <c r="AN241" s="278"/>
      <c r="AO241" s="278"/>
      <c r="AP241" s="278"/>
      <c r="AQ241" s="278"/>
      <c r="AR241" s="278"/>
      <c r="AS241" s="278"/>
    </row>
    <row r="242" spans="1:45">
      <c r="A242" s="277"/>
      <c r="B242" s="298" t="b">
        <v>0</v>
      </c>
      <c r="C242" s="278"/>
      <c r="D242" s="299" t="b">
        <v>0</v>
      </c>
      <c r="E242" s="277"/>
      <c r="F242" s="298" t="b">
        <v>0</v>
      </c>
      <c r="G242" s="278"/>
      <c r="H242" s="299" t="b">
        <v>0</v>
      </c>
      <c r="I242" s="277"/>
      <c r="J242" s="278"/>
      <c r="K242" s="277"/>
      <c r="L242" s="278"/>
      <c r="M242" s="277"/>
      <c r="N242" s="278"/>
      <c r="O242" s="277"/>
      <c r="P242" s="278"/>
      <c r="Q242" s="277"/>
      <c r="R242" s="278"/>
      <c r="S242" s="277"/>
      <c r="T242" s="278"/>
      <c r="U242" s="277"/>
      <c r="V242" s="278"/>
      <c r="W242" s="277"/>
      <c r="X242" s="278"/>
      <c r="Y242" s="277"/>
      <c r="Z242" s="278"/>
      <c r="AA242" s="277"/>
      <c r="AB242" s="278"/>
      <c r="AC242" s="277"/>
      <c r="AD242" s="278"/>
      <c r="AE242" s="277"/>
      <c r="AF242" s="278"/>
      <c r="AG242" s="277"/>
      <c r="AH242" s="278"/>
      <c r="AI242" s="277"/>
      <c r="AJ242" s="278"/>
      <c r="AK242" s="277"/>
      <c r="AL242" s="278"/>
      <c r="AM242" s="277"/>
      <c r="AN242" s="278"/>
      <c r="AO242" s="278"/>
      <c r="AP242" s="278"/>
      <c r="AQ242" s="278"/>
      <c r="AR242" s="278"/>
      <c r="AS242" s="278"/>
    </row>
    <row r="243" spans="1:45">
      <c r="A243" s="277"/>
      <c r="B243" s="298" t="b">
        <v>0</v>
      </c>
      <c r="C243" s="278"/>
      <c r="D243" s="299" t="b">
        <v>0</v>
      </c>
      <c r="E243" s="277"/>
      <c r="F243" s="298" t="b">
        <v>0</v>
      </c>
      <c r="G243" s="278"/>
      <c r="H243" s="299" t="b">
        <v>0</v>
      </c>
      <c r="I243" s="277"/>
      <c r="J243" s="278"/>
      <c r="K243" s="277"/>
      <c r="L243" s="278"/>
      <c r="M243" s="277"/>
      <c r="N243" s="278"/>
      <c r="O243" s="277"/>
      <c r="P243" s="278"/>
      <c r="Q243" s="277"/>
      <c r="R243" s="278"/>
      <c r="S243" s="277"/>
      <c r="T243" s="278"/>
      <c r="U243" s="277"/>
      <c r="V243" s="278"/>
      <c r="W243" s="277"/>
      <c r="X243" s="278"/>
      <c r="Y243" s="277"/>
      <c r="Z243" s="278"/>
      <c r="AA243" s="277"/>
      <c r="AB243" s="278"/>
      <c r="AC243" s="277"/>
      <c r="AD243" s="278"/>
      <c r="AE243" s="277"/>
      <c r="AF243" s="278"/>
      <c r="AG243" s="277"/>
      <c r="AH243" s="278"/>
      <c r="AI243" s="277"/>
      <c r="AJ243" s="278"/>
      <c r="AK243" s="277"/>
      <c r="AL243" s="278"/>
      <c r="AM243" s="277"/>
      <c r="AN243" s="278"/>
      <c r="AO243" s="278"/>
      <c r="AP243" s="278"/>
      <c r="AQ243" s="278"/>
      <c r="AR243" s="278"/>
      <c r="AS243" s="278"/>
    </row>
    <row r="244" spans="1:45">
      <c r="A244" s="277"/>
      <c r="B244" s="298" t="b">
        <v>0</v>
      </c>
      <c r="C244" s="278"/>
      <c r="D244" s="299" t="b">
        <v>0</v>
      </c>
      <c r="E244" s="277"/>
      <c r="F244" s="298" t="b">
        <v>0</v>
      </c>
      <c r="G244" s="278"/>
      <c r="H244" s="299" t="b">
        <v>0</v>
      </c>
      <c r="I244" s="277"/>
      <c r="J244" s="278"/>
      <c r="K244" s="277"/>
      <c r="L244" s="278"/>
      <c r="M244" s="277"/>
      <c r="N244" s="278"/>
      <c r="O244" s="277"/>
      <c r="P244" s="278"/>
      <c r="Q244" s="277"/>
      <c r="R244" s="278"/>
      <c r="S244" s="277"/>
      <c r="T244" s="278"/>
      <c r="U244" s="277"/>
      <c r="V244" s="278"/>
      <c r="W244" s="277"/>
      <c r="X244" s="278"/>
      <c r="Y244" s="277"/>
      <c r="Z244" s="278"/>
      <c r="AA244" s="277"/>
      <c r="AB244" s="278"/>
      <c r="AC244" s="277"/>
      <c r="AD244" s="278"/>
      <c r="AE244" s="277"/>
      <c r="AF244" s="278"/>
      <c r="AG244" s="277"/>
      <c r="AH244" s="278"/>
      <c r="AI244" s="277"/>
      <c r="AJ244" s="278"/>
      <c r="AK244" s="277"/>
      <c r="AL244" s="278"/>
      <c r="AM244" s="277"/>
      <c r="AN244" s="278"/>
      <c r="AO244" s="278"/>
      <c r="AP244" s="278"/>
      <c r="AQ244" s="278"/>
      <c r="AR244" s="278"/>
      <c r="AS244" s="278"/>
    </row>
    <row r="245" spans="1:45">
      <c r="A245" s="277"/>
      <c r="B245" s="298" t="b">
        <v>0</v>
      </c>
      <c r="C245" s="278"/>
      <c r="D245" s="299" t="b">
        <v>0</v>
      </c>
      <c r="E245" s="277"/>
      <c r="F245" s="298" t="b">
        <v>0</v>
      </c>
      <c r="G245" s="278"/>
      <c r="H245" s="299" t="b">
        <v>0</v>
      </c>
      <c r="I245" s="277"/>
      <c r="J245" s="278"/>
      <c r="K245" s="277"/>
      <c r="L245" s="278"/>
      <c r="M245" s="277"/>
      <c r="N245" s="278"/>
      <c r="O245" s="277"/>
      <c r="P245" s="278"/>
      <c r="Q245" s="277"/>
      <c r="R245" s="278"/>
      <c r="S245" s="277"/>
      <c r="T245" s="278"/>
      <c r="U245" s="277"/>
      <c r="V245" s="278"/>
      <c r="W245" s="277"/>
      <c r="X245" s="278"/>
      <c r="Y245" s="277"/>
      <c r="Z245" s="278"/>
      <c r="AA245" s="277"/>
      <c r="AB245" s="278"/>
      <c r="AC245" s="277"/>
      <c r="AD245" s="278"/>
      <c r="AE245" s="277"/>
      <c r="AF245" s="278"/>
      <c r="AG245" s="277"/>
      <c r="AH245" s="278"/>
      <c r="AI245" s="277"/>
      <c r="AJ245" s="278"/>
      <c r="AK245" s="277"/>
      <c r="AL245" s="278"/>
      <c r="AM245" s="277"/>
      <c r="AN245" s="278"/>
      <c r="AO245" s="278"/>
      <c r="AP245" s="278"/>
      <c r="AQ245" s="278"/>
      <c r="AR245" s="278"/>
      <c r="AS245" s="278"/>
    </row>
    <row r="246" spans="1:45">
      <c r="A246" s="277"/>
      <c r="B246" s="298" t="b">
        <v>0</v>
      </c>
      <c r="C246" s="278"/>
      <c r="D246" s="299" t="b">
        <v>0</v>
      </c>
      <c r="E246" s="277"/>
      <c r="F246" s="298" t="b">
        <v>0</v>
      </c>
      <c r="G246" s="278"/>
      <c r="H246" s="299" t="b">
        <v>0</v>
      </c>
      <c r="I246" s="277"/>
      <c r="J246" s="278"/>
      <c r="K246" s="277"/>
      <c r="L246" s="278"/>
      <c r="M246" s="277"/>
      <c r="N246" s="278"/>
      <c r="O246" s="277"/>
      <c r="P246" s="278"/>
      <c r="Q246" s="277"/>
      <c r="R246" s="278"/>
      <c r="S246" s="277"/>
      <c r="T246" s="278"/>
      <c r="U246" s="277"/>
      <c r="V246" s="278"/>
      <c r="W246" s="277"/>
      <c r="X246" s="278"/>
      <c r="Y246" s="277"/>
      <c r="Z246" s="278"/>
      <c r="AA246" s="277"/>
      <c r="AB246" s="278"/>
      <c r="AC246" s="277"/>
      <c r="AD246" s="278"/>
      <c r="AE246" s="277"/>
      <c r="AF246" s="278"/>
      <c r="AG246" s="277"/>
      <c r="AH246" s="278"/>
      <c r="AI246" s="277"/>
      <c r="AJ246" s="278"/>
      <c r="AK246" s="277"/>
      <c r="AL246" s="278"/>
      <c r="AM246" s="277"/>
      <c r="AN246" s="278"/>
      <c r="AO246" s="278"/>
      <c r="AP246" s="278"/>
      <c r="AQ246" s="278"/>
      <c r="AR246" s="278"/>
      <c r="AS246" s="278"/>
    </row>
    <row r="247" spans="1:45">
      <c r="A247" s="277"/>
      <c r="B247" s="298" t="b">
        <v>0</v>
      </c>
      <c r="C247" s="278"/>
      <c r="D247" s="299" t="b">
        <v>0</v>
      </c>
      <c r="E247" s="277"/>
      <c r="F247" s="298" t="b">
        <v>0</v>
      </c>
      <c r="G247" s="278"/>
      <c r="H247" s="299" t="b">
        <v>0</v>
      </c>
      <c r="I247" s="277"/>
      <c r="J247" s="278"/>
      <c r="K247" s="277"/>
      <c r="L247" s="278"/>
      <c r="M247" s="277"/>
      <c r="N247" s="278"/>
      <c r="O247" s="277"/>
      <c r="P247" s="278"/>
      <c r="Q247" s="277"/>
      <c r="R247" s="278"/>
      <c r="S247" s="277"/>
      <c r="T247" s="278"/>
      <c r="U247" s="277"/>
      <c r="V247" s="278"/>
      <c r="W247" s="277"/>
      <c r="X247" s="278"/>
      <c r="Y247" s="277"/>
      <c r="Z247" s="278"/>
      <c r="AA247" s="277"/>
      <c r="AB247" s="278"/>
      <c r="AC247" s="277"/>
      <c r="AD247" s="278"/>
      <c r="AE247" s="277"/>
      <c r="AF247" s="278"/>
      <c r="AG247" s="277"/>
      <c r="AH247" s="278"/>
      <c r="AI247" s="277"/>
      <c r="AJ247" s="278"/>
      <c r="AK247" s="277"/>
      <c r="AL247" s="278"/>
      <c r="AM247" s="277"/>
      <c r="AN247" s="278"/>
      <c r="AO247" s="278"/>
      <c r="AP247" s="278"/>
      <c r="AQ247" s="278"/>
      <c r="AR247" s="278"/>
      <c r="AS247" s="278"/>
    </row>
    <row r="248" spans="1:45">
      <c r="A248" s="277"/>
      <c r="B248" s="298" t="b">
        <v>0</v>
      </c>
      <c r="C248" s="278"/>
      <c r="D248" s="299" t="b">
        <v>0</v>
      </c>
      <c r="E248" s="277"/>
      <c r="F248" s="298" t="b">
        <v>0</v>
      </c>
      <c r="G248" s="278"/>
      <c r="H248" s="299" t="b">
        <v>0</v>
      </c>
      <c r="I248" s="277"/>
      <c r="J248" s="278"/>
      <c r="K248" s="277"/>
      <c r="L248" s="278"/>
      <c r="M248" s="277"/>
      <c r="N248" s="278"/>
      <c r="O248" s="277"/>
      <c r="P248" s="278"/>
      <c r="Q248" s="277"/>
      <c r="R248" s="278"/>
      <c r="S248" s="277"/>
      <c r="T248" s="278"/>
      <c r="U248" s="277"/>
      <c r="V248" s="278"/>
      <c r="W248" s="277"/>
      <c r="X248" s="278"/>
      <c r="Y248" s="277"/>
      <c r="Z248" s="278"/>
      <c r="AA248" s="277"/>
      <c r="AB248" s="278"/>
      <c r="AC248" s="277"/>
      <c r="AD248" s="278"/>
      <c r="AE248" s="277"/>
      <c r="AF248" s="278"/>
      <c r="AG248" s="277"/>
      <c r="AH248" s="278"/>
      <c r="AI248" s="277"/>
      <c r="AJ248" s="278"/>
      <c r="AK248" s="277"/>
      <c r="AL248" s="278"/>
      <c r="AM248" s="277"/>
      <c r="AN248" s="278"/>
      <c r="AO248" s="278"/>
      <c r="AP248" s="278"/>
      <c r="AQ248" s="278"/>
      <c r="AR248" s="278"/>
      <c r="AS248" s="278"/>
    </row>
    <row r="249" spans="1:45">
      <c r="A249" s="277"/>
      <c r="B249" s="298" t="b">
        <v>0</v>
      </c>
      <c r="C249" s="278"/>
      <c r="D249" s="299" t="b">
        <v>0</v>
      </c>
      <c r="E249" s="277"/>
      <c r="F249" s="298" t="b">
        <v>0</v>
      </c>
      <c r="G249" s="278"/>
      <c r="H249" s="299" t="b">
        <v>0</v>
      </c>
      <c r="I249" s="277"/>
      <c r="J249" s="278"/>
      <c r="K249" s="277"/>
      <c r="L249" s="278"/>
      <c r="M249" s="277"/>
      <c r="N249" s="278"/>
      <c r="O249" s="277"/>
      <c r="P249" s="278"/>
      <c r="Q249" s="277"/>
      <c r="R249" s="278"/>
      <c r="S249" s="277"/>
      <c r="T249" s="278"/>
      <c r="U249" s="277"/>
      <c r="V249" s="278"/>
      <c r="W249" s="277"/>
      <c r="X249" s="278"/>
      <c r="Y249" s="277"/>
      <c r="Z249" s="278"/>
      <c r="AA249" s="277"/>
      <c r="AB249" s="278"/>
      <c r="AC249" s="277"/>
      <c r="AD249" s="278"/>
      <c r="AE249" s="277"/>
      <c r="AF249" s="278"/>
      <c r="AG249" s="277"/>
      <c r="AH249" s="278"/>
      <c r="AI249" s="277"/>
      <c r="AJ249" s="278"/>
      <c r="AK249" s="277"/>
      <c r="AL249" s="278"/>
      <c r="AM249" s="277"/>
      <c r="AN249" s="278"/>
      <c r="AO249" s="278"/>
      <c r="AP249" s="278"/>
      <c r="AQ249" s="278"/>
      <c r="AR249" s="278"/>
      <c r="AS249" s="278"/>
    </row>
    <row r="250" spans="1:45">
      <c r="A250" s="277"/>
      <c r="B250" s="298" t="b">
        <v>0</v>
      </c>
      <c r="C250" s="278"/>
      <c r="D250" s="299" t="b">
        <v>0</v>
      </c>
      <c r="E250" s="277"/>
      <c r="F250" s="298" t="b">
        <v>0</v>
      </c>
      <c r="G250" s="278"/>
      <c r="H250" s="299" t="b">
        <v>0</v>
      </c>
      <c r="I250" s="277"/>
      <c r="J250" s="278"/>
      <c r="K250" s="277"/>
      <c r="L250" s="278"/>
      <c r="M250" s="277"/>
      <c r="N250" s="278"/>
      <c r="O250" s="277"/>
      <c r="P250" s="278"/>
      <c r="Q250" s="277"/>
      <c r="R250" s="278"/>
      <c r="S250" s="277"/>
      <c r="T250" s="278"/>
      <c r="U250" s="277"/>
      <c r="V250" s="278"/>
      <c r="W250" s="277"/>
      <c r="X250" s="278"/>
      <c r="Y250" s="277"/>
      <c r="Z250" s="278"/>
      <c r="AA250" s="277"/>
      <c r="AB250" s="278"/>
      <c r="AC250" s="277"/>
      <c r="AD250" s="278"/>
      <c r="AE250" s="277"/>
      <c r="AF250" s="278"/>
      <c r="AG250" s="277"/>
      <c r="AH250" s="278"/>
      <c r="AI250" s="277"/>
      <c r="AJ250" s="278"/>
      <c r="AK250" s="277"/>
      <c r="AL250" s="278"/>
      <c r="AM250" s="277"/>
      <c r="AN250" s="278"/>
      <c r="AO250" s="278"/>
      <c r="AP250" s="278"/>
      <c r="AQ250" s="278"/>
      <c r="AR250" s="278"/>
      <c r="AS250" s="278"/>
    </row>
    <row r="251" spans="1:45">
      <c r="A251" s="277"/>
      <c r="B251" s="298" t="b">
        <v>0</v>
      </c>
      <c r="C251" s="278"/>
      <c r="D251" s="299" t="b">
        <v>0</v>
      </c>
      <c r="E251" s="277"/>
      <c r="F251" s="298" t="b">
        <v>0</v>
      </c>
      <c r="G251" s="278"/>
      <c r="H251" s="299" t="b">
        <v>0</v>
      </c>
      <c r="I251" s="277"/>
      <c r="J251" s="278"/>
      <c r="K251" s="277"/>
      <c r="L251" s="278"/>
      <c r="M251" s="277"/>
      <c r="N251" s="278"/>
      <c r="O251" s="277"/>
      <c r="P251" s="278"/>
      <c r="Q251" s="277"/>
      <c r="R251" s="278"/>
      <c r="S251" s="277"/>
      <c r="T251" s="278"/>
      <c r="U251" s="277"/>
      <c r="V251" s="278"/>
      <c r="W251" s="277"/>
      <c r="X251" s="278"/>
      <c r="Y251" s="277"/>
      <c r="Z251" s="278"/>
      <c r="AA251" s="277"/>
      <c r="AB251" s="278"/>
      <c r="AC251" s="277"/>
      <c r="AD251" s="278"/>
      <c r="AE251" s="277"/>
      <c r="AF251" s="278"/>
      <c r="AG251" s="277"/>
      <c r="AH251" s="278"/>
      <c r="AI251" s="277"/>
      <c r="AJ251" s="278"/>
      <c r="AK251" s="277"/>
      <c r="AL251" s="278"/>
      <c r="AM251" s="277"/>
      <c r="AN251" s="278"/>
      <c r="AO251" s="278"/>
      <c r="AP251" s="278"/>
      <c r="AQ251" s="278"/>
      <c r="AR251" s="278"/>
      <c r="AS251" s="278"/>
    </row>
    <row r="252" spans="1:45">
      <c r="A252" s="277"/>
      <c r="B252" s="298" t="b">
        <v>0</v>
      </c>
      <c r="C252" s="278"/>
      <c r="D252" s="299" t="b">
        <v>0</v>
      </c>
      <c r="E252" s="277"/>
      <c r="F252" s="298" t="b">
        <v>0</v>
      </c>
      <c r="G252" s="278"/>
      <c r="H252" s="299" t="b">
        <v>0</v>
      </c>
      <c r="I252" s="277"/>
      <c r="J252" s="278"/>
      <c r="K252" s="277"/>
      <c r="L252" s="278"/>
      <c r="M252" s="277"/>
      <c r="N252" s="278"/>
      <c r="O252" s="277"/>
      <c r="P252" s="278"/>
      <c r="Q252" s="277"/>
      <c r="R252" s="278"/>
      <c r="S252" s="277"/>
      <c r="T252" s="278"/>
      <c r="U252" s="277"/>
      <c r="V252" s="278"/>
      <c r="W252" s="277"/>
      <c r="X252" s="278"/>
      <c r="Y252" s="277"/>
      <c r="Z252" s="278"/>
      <c r="AA252" s="277"/>
      <c r="AB252" s="278"/>
      <c r="AC252" s="277"/>
      <c r="AD252" s="278"/>
      <c r="AE252" s="277"/>
      <c r="AF252" s="278"/>
      <c r="AG252" s="277"/>
      <c r="AH252" s="278"/>
      <c r="AI252" s="277"/>
      <c r="AJ252" s="278"/>
      <c r="AK252" s="277"/>
      <c r="AL252" s="278"/>
      <c r="AM252" s="277"/>
      <c r="AN252" s="278"/>
      <c r="AO252" s="278"/>
      <c r="AP252" s="278"/>
      <c r="AQ252" s="278"/>
      <c r="AR252" s="278"/>
      <c r="AS252" s="278"/>
    </row>
    <row r="253" spans="1:45">
      <c r="A253" s="277"/>
      <c r="B253" s="298" t="b">
        <v>0</v>
      </c>
      <c r="C253" s="278"/>
      <c r="D253" s="299" t="b">
        <v>0</v>
      </c>
      <c r="E253" s="277"/>
      <c r="F253" s="298" t="b">
        <v>0</v>
      </c>
      <c r="G253" s="278"/>
      <c r="H253" s="299" t="b">
        <v>0</v>
      </c>
      <c r="I253" s="277"/>
      <c r="J253" s="278"/>
      <c r="K253" s="277"/>
      <c r="L253" s="278"/>
      <c r="M253" s="277"/>
      <c r="N253" s="278"/>
      <c r="O253" s="277"/>
      <c r="P253" s="278"/>
      <c r="Q253" s="277"/>
      <c r="R253" s="278"/>
      <c r="S253" s="277"/>
      <c r="T253" s="278"/>
      <c r="U253" s="277"/>
      <c r="V253" s="278"/>
      <c r="W253" s="277"/>
      <c r="X253" s="278"/>
      <c r="Y253" s="277"/>
      <c r="Z253" s="278"/>
      <c r="AA253" s="277"/>
      <c r="AB253" s="278"/>
      <c r="AC253" s="277"/>
      <c r="AD253" s="278"/>
      <c r="AE253" s="277"/>
      <c r="AF253" s="278"/>
      <c r="AG253" s="277"/>
      <c r="AH253" s="278"/>
      <c r="AI253" s="277"/>
      <c r="AJ253" s="278"/>
      <c r="AK253" s="277"/>
      <c r="AL253" s="278"/>
      <c r="AM253" s="277"/>
      <c r="AN253" s="278"/>
      <c r="AO253" s="278"/>
      <c r="AP253" s="278"/>
      <c r="AQ253" s="278"/>
      <c r="AR253" s="278"/>
      <c r="AS253" s="278"/>
    </row>
    <row r="254" spans="1:45">
      <c r="A254" s="277"/>
      <c r="B254" s="298" t="b">
        <v>0</v>
      </c>
      <c r="C254" s="278"/>
      <c r="D254" s="299" t="b">
        <v>0</v>
      </c>
      <c r="E254" s="277"/>
      <c r="F254" s="298" t="b">
        <v>0</v>
      </c>
      <c r="G254" s="278"/>
      <c r="H254" s="299" t="b">
        <v>0</v>
      </c>
      <c r="I254" s="277"/>
      <c r="J254" s="278"/>
      <c r="K254" s="277"/>
      <c r="L254" s="278"/>
      <c r="M254" s="277"/>
      <c r="N254" s="278"/>
      <c r="O254" s="277"/>
      <c r="P254" s="278"/>
      <c r="Q254" s="277"/>
      <c r="R254" s="278"/>
      <c r="S254" s="277"/>
      <c r="T254" s="278"/>
      <c r="U254" s="277"/>
      <c r="V254" s="278"/>
      <c r="W254" s="277"/>
      <c r="X254" s="278"/>
      <c r="Y254" s="277"/>
      <c r="Z254" s="278"/>
      <c r="AA254" s="277"/>
      <c r="AB254" s="278"/>
      <c r="AC254" s="277"/>
      <c r="AD254" s="278"/>
      <c r="AE254" s="277"/>
      <c r="AF254" s="278"/>
      <c r="AG254" s="277"/>
      <c r="AH254" s="278"/>
      <c r="AI254" s="277"/>
      <c r="AJ254" s="278"/>
      <c r="AK254" s="277"/>
      <c r="AL254" s="278"/>
      <c r="AM254" s="277"/>
      <c r="AN254" s="278"/>
      <c r="AO254" s="278"/>
      <c r="AP254" s="278"/>
      <c r="AQ254" s="278"/>
      <c r="AR254" s="278"/>
      <c r="AS254" s="278"/>
    </row>
    <row r="255" spans="1:45">
      <c r="A255" s="277"/>
      <c r="B255" s="298" t="b">
        <v>0</v>
      </c>
      <c r="C255" s="278"/>
      <c r="D255" s="299" t="b">
        <v>0</v>
      </c>
      <c r="E255" s="277"/>
      <c r="F255" s="298" t="b">
        <v>0</v>
      </c>
      <c r="G255" s="278"/>
      <c r="H255" s="299" t="b">
        <v>0</v>
      </c>
      <c r="I255" s="277"/>
      <c r="J255" s="278"/>
      <c r="K255" s="277"/>
      <c r="L255" s="278"/>
      <c r="M255" s="277"/>
      <c r="N255" s="278"/>
      <c r="O255" s="277"/>
      <c r="P255" s="278"/>
      <c r="Q255" s="277"/>
      <c r="R255" s="278"/>
      <c r="S255" s="277"/>
      <c r="T255" s="278"/>
      <c r="U255" s="277"/>
      <c r="V255" s="278"/>
      <c r="W255" s="277"/>
      <c r="X255" s="278"/>
      <c r="Y255" s="277"/>
      <c r="Z255" s="278"/>
      <c r="AA255" s="277"/>
      <c r="AB255" s="278"/>
      <c r="AC255" s="277"/>
      <c r="AD255" s="278"/>
      <c r="AE255" s="277"/>
      <c r="AF255" s="278"/>
      <c r="AG255" s="277"/>
      <c r="AH255" s="278"/>
      <c r="AI255" s="277"/>
      <c r="AJ255" s="278"/>
      <c r="AK255" s="277"/>
      <c r="AL255" s="278"/>
      <c r="AM255" s="277"/>
      <c r="AN255" s="278"/>
      <c r="AO255" s="278"/>
      <c r="AP255" s="278"/>
      <c r="AQ255" s="278"/>
      <c r="AR255" s="278"/>
      <c r="AS255" s="278"/>
    </row>
    <row r="256" spans="1:45">
      <c r="A256" s="277"/>
      <c r="B256" s="298" t="b">
        <v>0</v>
      </c>
      <c r="C256" s="278"/>
      <c r="D256" s="299" t="b">
        <v>0</v>
      </c>
      <c r="E256" s="277"/>
      <c r="F256" s="298" t="b">
        <v>0</v>
      </c>
      <c r="G256" s="278"/>
      <c r="H256" s="299" t="b">
        <v>0</v>
      </c>
      <c r="I256" s="277"/>
      <c r="J256" s="278"/>
      <c r="K256" s="277"/>
      <c r="L256" s="278"/>
      <c r="M256" s="277"/>
      <c r="N256" s="278"/>
      <c r="O256" s="277"/>
      <c r="P256" s="278"/>
      <c r="Q256" s="277"/>
      <c r="R256" s="278"/>
      <c r="S256" s="277"/>
      <c r="T256" s="278"/>
      <c r="U256" s="277"/>
      <c r="V256" s="278"/>
      <c r="W256" s="277"/>
      <c r="X256" s="278"/>
      <c r="Y256" s="277"/>
      <c r="Z256" s="278"/>
      <c r="AA256" s="277"/>
      <c r="AB256" s="278"/>
      <c r="AC256" s="277"/>
      <c r="AD256" s="278"/>
      <c r="AE256" s="277"/>
      <c r="AF256" s="278"/>
      <c r="AG256" s="277"/>
      <c r="AH256" s="278"/>
      <c r="AI256" s="277"/>
      <c r="AJ256" s="278"/>
      <c r="AK256" s="277"/>
      <c r="AL256" s="278"/>
      <c r="AM256" s="277"/>
      <c r="AN256" s="278"/>
      <c r="AO256" s="278"/>
      <c r="AP256" s="278"/>
      <c r="AQ256" s="278"/>
      <c r="AR256" s="278"/>
      <c r="AS256" s="278"/>
    </row>
    <row r="257" spans="1:45">
      <c r="A257" s="277"/>
      <c r="B257" s="298" t="b">
        <v>0</v>
      </c>
      <c r="C257" s="278"/>
      <c r="D257" s="299" t="b">
        <v>0</v>
      </c>
      <c r="E257" s="277"/>
      <c r="F257" s="298" t="b">
        <v>0</v>
      </c>
      <c r="G257" s="278"/>
      <c r="H257" s="299" t="b">
        <v>0</v>
      </c>
      <c r="I257" s="277"/>
      <c r="J257" s="278"/>
      <c r="K257" s="277"/>
      <c r="L257" s="278"/>
      <c r="M257" s="277"/>
      <c r="N257" s="278"/>
      <c r="O257" s="277"/>
      <c r="P257" s="278"/>
      <c r="Q257" s="277"/>
      <c r="R257" s="278"/>
      <c r="S257" s="277"/>
      <c r="T257" s="278"/>
      <c r="U257" s="277"/>
      <c r="V257" s="278"/>
      <c r="W257" s="277"/>
      <c r="X257" s="278"/>
      <c r="Y257" s="277"/>
      <c r="Z257" s="278"/>
      <c r="AA257" s="277"/>
      <c r="AB257" s="278"/>
      <c r="AC257" s="277"/>
      <c r="AD257" s="278"/>
      <c r="AE257" s="277"/>
      <c r="AF257" s="278"/>
      <c r="AG257" s="277"/>
      <c r="AH257" s="278"/>
      <c r="AI257" s="277"/>
      <c r="AJ257" s="278"/>
      <c r="AK257" s="277"/>
      <c r="AL257" s="278"/>
      <c r="AM257" s="277"/>
      <c r="AN257" s="278"/>
      <c r="AO257" s="278"/>
      <c r="AP257" s="278"/>
      <c r="AQ257" s="278"/>
      <c r="AR257" s="278"/>
      <c r="AS257" s="278"/>
    </row>
    <row r="258" spans="1:45">
      <c r="A258" s="277"/>
      <c r="B258" s="298" t="b">
        <v>0</v>
      </c>
      <c r="C258" s="278"/>
      <c r="D258" s="299" t="b">
        <v>0</v>
      </c>
      <c r="E258" s="277"/>
      <c r="F258" s="298" t="b">
        <v>0</v>
      </c>
      <c r="G258" s="278"/>
      <c r="H258" s="299" t="b">
        <v>0</v>
      </c>
      <c r="I258" s="277"/>
      <c r="J258" s="278"/>
      <c r="K258" s="277"/>
      <c r="L258" s="278"/>
      <c r="M258" s="277"/>
      <c r="N258" s="278"/>
      <c r="O258" s="277"/>
      <c r="P258" s="278"/>
      <c r="Q258" s="277"/>
      <c r="R258" s="278"/>
      <c r="S258" s="277"/>
      <c r="T258" s="278"/>
      <c r="U258" s="277"/>
      <c r="V258" s="278"/>
      <c r="W258" s="277"/>
      <c r="X258" s="278"/>
      <c r="Y258" s="277"/>
      <c r="Z258" s="278"/>
      <c r="AA258" s="277"/>
      <c r="AB258" s="278"/>
      <c r="AC258" s="277"/>
      <c r="AD258" s="278"/>
      <c r="AE258" s="277"/>
      <c r="AF258" s="278"/>
      <c r="AG258" s="277"/>
      <c r="AH258" s="278"/>
      <c r="AI258" s="277"/>
      <c r="AJ258" s="278"/>
      <c r="AK258" s="277"/>
      <c r="AL258" s="278"/>
      <c r="AM258" s="277"/>
      <c r="AN258" s="278"/>
      <c r="AO258" s="278"/>
      <c r="AP258" s="278"/>
      <c r="AQ258" s="278"/>
      <c r="AR258" s="278"/>
      <c r="AS258" s="278"/>
    </row>
    <row r="259" spans="1:45">
      <c r="A259" s="277"/>
      <c r="B259" s="298" t="b">
        <v>0</v>
      </c>
      <c r="C259" s="278"/>
      <c r="D259" s="299" t="b">
        <v>0</v>
      </c>
      <c r="E259" s="277"/>
      <c r="F259" s="298" t="b">
        <v>0</v>
      </c>
      <c r="G259" s="278"/>
      <c r="H259" s="299" t="b">
        <v>0</v>
      </c>
      <c r="I259" s="277"/>
      <c r="J259" s="278"/>
      <c r="K259" s="277"/>
      <c r="L259" s="278"/>
      <c r="M259" s="277"/>
      <c r="N259" s="278"/>
      <c r="O259" s="277"/>
      <c r="P259" s="278"/>
      <c r="Q259" s="277"/>
      <c r="R259" s="278"/>
      <c r="S259" s="277"/>
      <c r="T259" s="278"/>
      <c r="U259" s="277"/>
      <c r="V259" s="278"/>
      <c r="W259" s="277"/>
      <c r="X259" s="278"/>
      <c r="Y259" s="277"/>
      <c r="Z259" s="278"/>
      <c r="AA259" s="277"/>
      <c r="AB259" s="278"/>
      <c r="AC259" s="277"/>
      <c r="AD259" s="278"/>
      <c r="AE259" s="277"/>
      <c r="AF259" s="278"/>
      <c r="AG259" s="277"/>
      <c r="AH259" s="278"/>
      <c r="AI259" s="277"/>
      <c r="AJ259" s="278"/>
      <c r="AK259" s="277"/>
      <c r="AL259" s="278"/>
      <c r="AM259" s="277"/>
      <c r="AN259" s="278"/>
      <c r="AO259" s="278"/>
      <c r="AP259" s="278"/>
      <c r="AQ259" s="278"/>
      <c r="AR259" s="278"/>
      <c r="AS259" s="278"/>
    </row>
    <row r="260" spans="1:45">
      <c r="A260" s="277"/>
      <c r="B260" s="298" t="b">
        <v>0</v>
      </c>
      <c r="C260" s="278"/>
      <c r="D260" s="299" t="b">
        <v>0</v>
      </c>
      <c r="E260" s="277"/>
      <c r="F260" s="298" t="b">
        <v>0</v>
      </c>
      <c r="G260" s="278"/>
      <c r="H260" s="299" t="b">
        <v>0</v>
      </c>
      <c r="I260" s="277"/>
      <c r="J260" s="278"/>
      <c r="K260" s="277"/>
      <c r="L260" s="278"/>
      <c r="M260" s="277"/>
      <c r="N260" s="278"/>
      <c r="O260" s="277"/>
      <c r="P260" s="278"/>
      <c r="Q260" s="277"/>
      <c r="R260" s="278"/>
      <c r="S260" s="277"/>
      <c r="T260" s="278"/>
      <c r="U260" s="277"/>
      <c r="V260" s="278"/>
      <c r="W260" s="277"/>
      <c r="X260" s="278"/>
      <c r="Y260" s="277"/>
      <c r="Z260" s="278"/>
      <c r="AA260" s="277"/>
      <c r="AB260" s="278"/>
      <c r="AC260" s="277"/>
      <c r="AD260" s="278"/>
      <c r="AE260" s="277"/>
      <c r="AF260" s="278"/>
      <c r="AG260" s="277"/>
      <c r="AH260" s="278"/>
      <c r="AI260" s="277"/>
      <c r="AJ260" s="278"/>
      <c r="AK260" s="277"/>
      <c r="AL260" s="278"/>
      <c r="AM260" s="277"/>
      <c r="AN260" s="278"/>
      <c r="AO260" s="278"/>
      <c r="AP260" s="278"/>
      <c r="AQ260" s="278"/>
      <c r="AR260" s="278"/>
      <c r="AS260" s="278"/>
    </row>
    <row r="261" spans="1:45">
      <c r="A261" s="277"/>
      <c r="B261" s="298" t="b">
        <v>0</v>
      </c>
      <c r="C261" s="278"/>
      <c r="D261" s="299" t="b">
        <v>0</v>
      </c>
      <c r="E261" s="277"/>
      <c r="F261" s="298" t="b">
        <v>0</v>
      </c>
      <c r="G261" s="278"/>
      <c r="H261" s="299" t="b">
        <v>0</v>
      </c>
      <c r="I261" s="277"/>
      <c r="J261" s="278"/>
      <c r="K261" s="277"/>
      <c r="L261" s="278"/>
      <c r="M261" s="277"/>
      <c r="N261" s="278"/>
      <c r="O261" s="277"/>
      <c r="P261" s="278"/>
      <c r="Q261" s="277"/>
      <c r="R261" s="278"/>
      <c r="S261" s="277"/>
      <c r="T261" s="278"/>
      <c r="U261" s="277"/>
      <c r="V261" s="278"/>
      <c r="W261" s="277"/>
      <c r="X261" s="278"/>
      <c r="Y261" s="277"/>
      <c r="Z261" s="278"/>
      <c r="AA261" s="277"/>
      <c r="AB261" s="278"/>
      <c r="AC261" s="277"/>
      <c r="AD261" s="278"/>
      <c r="AE261" s="277"/>
      <c r="AF261" s="278"/>
      <c r="AG261" s="277"/>
      <c r="AH261" s="278"/>
      <c r="AI261" s="277"/>
      <c r="AJ261" s="278"/>
      <c r="AK261" s="277"/>
      <c r="AL261" s="278"/>
      <c r="AM261" s="277"/>
      <c r="AN261" s="278"/>
      <c r="AO261" s="278"/>
      <c r="AP261" s="278"/>
      <c r="AQ261" s="278"/>
      <c r="AR261" s="278"/>
      <c r="AS261" s="278"/>
    </row>
    <row r="262" spans="1:45">
      <c r="A262" s="277"/>
      <c r="B262" s="298" t="b">
        <v>0</v>
      </c>
      <c r="C262" s="278"/>
      <c r="D262" s="299" t="b">
        <v>0</v>
      </c>
      <c r="E262" s="277"/>
      <c r="F262" s="298" t="b">
        <v>0</v>
      </c>
      <c r="G262" s="278"/>
      <c r="H262" s="299" t="b">
        <v>0</v>
      </c>
      <c r="I262" s="277"/>
      <c r="J262" s="278"/>
      <c r="K262" s="277"/>
      <c r="L262" s="278"/>
      <c r="M262" s="277"/>
      <c r="N262" s="278"/>
      <c r="O262" s="277"/>
      <c r="P262" s="278"/>
      <c r="Q262" s="277"/>
      <c r="R262" s="278"/>
      <c r="S262" s="277"/>
      <c r="T262" s="278"/>
      <c r="U262" s="277"/>
      <c r="V262" s="278"/>
      <c r="W262" s="277"/>
      <c r="X262" s="278"/>
      <c r="Y262" s="277"/>
      <c r="Z262" s="278"/>
      <c r="AA262" s="277"/>
      <c r="AB262" s="278"/>
      <c r="AC262" s="277"/>
      <c r="AD262" s="278"/>
      <c r="AE262" s="277"/>
      <c r="AF262" s="278"/>
      <c r="AG262" s="277"/>
      <c r="AH262" s="278"/>
      <c r="AI262" s="277"/>
      <c r="AJ262" s="278"/>
      <c r="AK262" s="277"/>
      <c r="AL262" s="278"/>
      <c r="AM262" s="277"/>
      <c r="AN262" s="278"/>
      <c r="AO262" s="278"/>
      <c r="AP262" s="278"/>
      <c r="AQ262" s="278"/>
      <c r="AR262" s="278"/>
      <c r="AS262" s="278"/>
    </row>
    <row r="263" spans="1:45">
      <c r="A263" s="277"/>
      <c r="B263" s="298" t="b">
        <v>0</v>
      </c>
      <c r="C263" s="278"/>
      <c r="D263" s="299" t="b">
        <v>0</v>
      </c>
      <c r="E263" s="277"/>
      <c r="F263" s="298" t="b">
        <v>0</v>
      </c>
      <c r="G263" s="278"/>
      <c r="H263" s="299" t="b">
        <v>0</v>
      </c>
      <c r="I263" s="277"/>
      <c r="J263" s="278"/>
      <c r="K263" s="277"/>
      <c r="L263" s="278"/>
      <c r="M263" s="277"/>
      <c r="N263" s="278"/>
      <c r="O263" s="277"/>
      <c r="P263" s="278"/>
      <c r="Q263" s="277"/>
      <c r="R263" s="278"/>
      <c r="S263" s="277"/>
      <c r="T263" s="278"/>
      <c r="U263" s="277"/>
      <c r="V263" s="278"/>
      <c r="W263" s="277"/>
      <c r="X263" s="278"/>
      <c r="Y263" s="277"/>
      <c r="Z263" s="278"/>
      <c r="AA263" s="277"/>
      <c r="AB263" s="278"/>
      <c r="AC263" s="277"/>
      <c r="AD263" s="278"/>
      <c r="AE263" s="277"/>
      <c r="AF263" s="278"/>
      <c r="AG263" s="277"/>
      <c r="AH263" s="278"/>
      <c r="AI263" s="277"/>
      <c r="AJ263" s="278"/>
      <c r="AK263" s="277"/>
      <c r="AL263" s="278"/>
      <c r="AM263" s="277"/>
      <c r="AN263" s="278"/>
      <c r="AO263" s="278"/>
      <c r="AP263" s="278"/>
      <c r="AQ263" s="278"/>
      <c r="AR263" s="278"/>
      <c r="AS263" s="278"/>
    </row>
    <row r="264" spans="1:45">
      <c r="A264" s="277"/>
      <c r="B264" s="298" t="b">
        <v>0</v>
      </c>
      <c r="C264" s="278"/>
      <c r="D264" s="299" t="b">
        <v>0</v>
      </c>
      <c r="E264" s="277"/>
      <c r="F264" s="298" t="b">
        <v>0</v>
      </c>
      <c r="G264" s="278"/>
      <c r="H264" s="299" t="b">
        <v>0</v>
      </c>
      <c r="I264" s="277"/>
      <c r="J264" s="278"/>
      <c r="K264" s="277"/>
      <c r="L264" s="278"/>
      <c r="M264" s="277"/>
      <c r="N264" s="278"/>
      <c r="O264" s="277"/>
      <c r="P264" s="278"/>
      <c r="Q264" s="277"/>
      <c r="R264" s="278"/>
      <c r="S264" s="277"/>
      <c r="T264" s="278"/>
      <c r="U264" s="277"/>
      <c r="V264" s="278"/>
      <c r="W264" s="277"/>
      <c r="X264" s="278"/>
      <c r="Y264" s="277"/>
      <c r="Z264" s="278"/>
      <c r="AA264" s="277"/>
      <c r="AB264" s="278"/>
      <c r="AC264" s="277"/>
      <c r="AD264" s="278"/>
      <c r="AE264" s="277"/>
      <c r="AF264" s="278"/>
      <c r="AG264" s="277"/>
      <c r="AH264" s="278"/>
      <c r="AI264" s="277"/>
      <c r="AJ264" s="278"/>
      <c r="AK264" s="277"/>
      <c r="AL264" s="278"/>
      <c r="AM264" s="277"/>
      <c r="AN264" s="278"/>
      <c r="AO264" s="278"/>
      <c r="AP264" s="278"/>
      <c r="AQ264" s="278"/>
      <c r="AR264" s="278"/>
      <c r="AS264" s="278"/>
    </row>
    <row r="265" spans="1:45">
      <c r="A265" s="277"/>
      <c r="B265" s="298" t="b">
        <v>0</v>
      </c>
      <c r="C265" s="278"/>
      <c r="D265" s="299" t="b">
        <v>0</v>
      </c>
      <c r="E265" s="277"/>
      <c r="F265" s="298" t="b">
        <v>0</v>
      </c>
      <c r="G265" s="278"/>
      <c r="H265" s="299" t="b">
        <v>0</v>
      </c>
      <c r="I265" s="277"/>
      <c r="J265" s="278"/>
      <c r="K265" s="277"/>
      <c r="L265" s="278"/>
      <c r="M265" s="277"/>
      <c r="N265" s="278"/>
      <c r="O265" s="277"/>
      <c r="P265" s="278"/>
      <c r="Q265" s="277"/>
      <c r="R265" s="278"/>
      <c r="S265" s="277"/>
      <c r="T265" s="278"/>
      <c r="U265" s="277"/>
      <c r="V265" s="278"/>
      <c r="W265" s="277"/>
      <c r="X265" s="278"/>
      <c r="Y265" s="277"/>
      <c r="Z265" s="278"/>
      <c r="AA265" s="277"/>
      <c r="AB265" s="278"/>
      <c r="AC265" s="277"/>
      <c r="AD265" s="278"/>
      <c r="AE265" s="277"/>
      <c r="AF265" s="278"/>
      <c r="AG265" s="277"/>
      <c r="AH265" s="278"/>
      <c r="AI265" s="277"/>
      <c r="AJ265" s="278"/>
      <c r="AK265" s="277"/>
      <c r="AL265" s="278"/>
      <c r="AM265" s="277"/>
      <c r="AN265" s="278"/>
      <c r="AO265" s="278"/>
      <c r="AP265" s="278"/>
      <c r="AQ265" s="278"/>
      <c r="AR265" s="278"/>
      <c r="AS265" s="278"/>
    </row>
    <row r="266" spans="1:45">
      <c r="A266" s="277"/>
      <c r="B266" s="298" t="b">
        <v>0</v>
      </c>
      <c r="C266" s="278"/>
      <c r="D266" s="299" t="b">
        <v>0</v>
      </c>
      <c r="E266" s="277"/>
      <c r="F266" s="298" t="b">
        <v>0</v>
      </c>
      <c r="G266" s="278"/>
      <c r="H266" s="299" t="b">
        <v>0</v>
      </c>
      <c r="I266" s="277"/>
      <c r="J266" s="278"/>
      <c r="K266" s="277"/>
      <c r="L266" s="278"/>
      <c r="M266" s="277"/>
      <c r="N266" s="278"/>
      <c r="O266" s="277"/>
      <c r="P266" s="278"/>
      <c r="Q266" s="277"/>
      <c r="R266" s="278"/>
      <c r="S266" s="277"/>
      <c r="T266" s="278"/>
      <c r="U266" s="277"/>
      <c r="V266" s="278"/>
      <c r="W266" s="277"/>
      <c r="X266" s="278"/>
      <c r="Y266" s="277"/>
      <c r="Z266" s="278"/>
      <c r="AA266" s="277"/>
      <c r="AB266" s="278"/>
      <c r="AC266" s="277"/>
      <c r="AD266" s="278"/>
      <c r="AE266" s="277"/>
      <c r="AF266" s="278"/>
      <c r="AG266" s="277"/>
      <c r="AH266" s="278"/>
      <c r="AI266" s="277"/>
      <c r="AJ266" s="278"/>
      <c r="AK266" s="277"/>
      <c r="AL266" s="278"/>
      <c r="AM266" s="277"/>
      <c r="AN266" s="278"/>
      <c r="AO266" s="278"/>
      <c r="AP266" s="278"/>
      <c r="AQ266" s="278"/>
      <c r="AR266" s="278"/>
      <c r="AS266" s="278"/>
    </row>
    <row r="267" spans="1:45">
      <c r="A267" s="277"/>
      <c r="B267" s="298" t="b">
        <v>0</v>
      </c>
      <c r="C267" s="278"/>
      <c r="D267" s="299" t="b">
        <v>0</v>
      </c>
      <c r="E267" s="277"/>
      <c r="F267" s="298" t="b">
        <v>0</v>
      </c>
      <c r="G267" s="278"/>
      <c r="H267" s="299" t="b">
        <v>0</v>
      </c>
      <c r="I267" s="277"/>
      <c r="J267" s="278"/>
      <c r="K267" s="277"/>
      <c r="L267" s="278"/>
      <c r="M267" s="277"/>
      <c r="N267" s="278"/>
      <c r="O267" s="277"/>
      <c r="P267" s="278"/>
      <c r="Q267" s="277"/>
      <c r="R267" s="278"/>
      <c r="S267" s="277"/>
      <c r="T267" s="278"/>
      <c r="U267" s="277"/>
      <c r="V267" s="278"/>
      <c r="W267" s="277"/>
      <c r="X267" s="278"/>
      <c r="Y267" s="277"/>
      <c r="Z267" s="278"/>
      <c r="AA267" s="277"/>
      <c r="AB267" s="278"/>
      <c r="AC267" s="277"/>
      <c r="AD267" s="278"/>
      <c r="AE267" s="277"/>
      <c r="AF267" s="278"/>
      <c r="AG267" s="277"/>
      <c r="AH267" s="278"/>
      <c r="AI267" s="277"/>
      <c r="AJ267" s="278"/>
      <c r="AK267" s="277"/>
      <c r="AL267" s="278"/>
      <c r="AM267" s="277"/>
      <c r="AN267" s="278"/>
      <c r="AO267" s="278"/>
      <c r="AP267" s="278"/>
      <c r="AQ267" s="278"/>
      <c r="AR267" s="278"/>
      <c r="AS267" s="278"/>
    </row>
    <row r="268" spans="1:45">
      <c r="A268" s="277"/>
      <c r="B268" s="298" t="b">
        <v>0</v>
      </c>
      <c r="C268" s="278"/>
      <c r="D268" s="299" t="b">
        <v>0</v>
      </c>
      <c r="E268" s="277"/>
      <c r="F268" s="298" t="b">
        <v>0</v>
      </c>
      <c r="G268" s="278"/>
      <c r="H268" s="299" t="b">
        <v>0</v>
      </c>
      <c r="I268" s="277"/>
      <c r="J268" s="278"/>
      <c r="K268" s="277"/>
      <c r="L268" s="278"/>
      <c r="M268" s="277"/>
      <c r="N268" s="278"/>
      <c r="O268" s="277"/>
      <c r="P268" s="278"/>
      <c r="Q268" s="277"/>
      <c r="R268" s="278"/>
      <c r="S268" s="277"/>
      <c r="T268" s="278"/>
      <c r="U268" s="277"/>
      <c r="V268" s="278"/>
      <c r="W268" s="277"/>
      <c r="X268" s="278"/>
      <c r="Y268" s="277"/>
      <c r="Z268" s="278"/>
      <c r="AA268" s="277"/>
      <c r="AB268" s="278"/>
      <c r="AC268" s="277"/>
      <c r="AD268" s="278"/>
      <c r="AE268" s="277"/>
      <c r="AF268" s="278"/>
      <c r="AG268" s="277"/>
      <c r="AH268" s="278"/>
      <c r="AI268" s="277"/>
      <c r="AJ268" s="278"/>
      <c r="AK268" s="277"/>
      <c r="AL268" s="278"/>
      <c r="AM268" s="277"/>
      <c r="AN268" s="278"/>
      <c r="AO268" s="278"/>
      <c r="AP268" s="278"/>
      <c r="AQ268" s="278"/>
      <c r="AR268" s="278"/>
      <c r="AS268" s="278"/>
    </row>
    <row r="269" spans="1:45">
      <c r="A269" s="277"/>
      <c r="B269" s="298" t="b">
        <v>0</v>
      </c>
      <c r="C269" s="278"/>
      <c r="D269" s="299" t="b">
        <v>0</v>
      </c>
      <c r="E269" s="277"/>
      <c r="F269" s="298" t="b">
        <v>0</v>
      </c>
      <c r="G269" s="278"/>
      <c r="H269" s="299" t="b">
        <v>0</v>
      </c>
      <c r="I269" s="277"/>
      <c r="J269" s="278"/>
      <c r="K269" s="277"/>
      <c r="L269" s="278"/>
      <c r="M269" s="277"/>
      <c r="N269" s="278"/>
      <c r="O269" s="277"/>
      <c r="P269" s="278"/>
      <c r="Q269" s="277"/>
      <c r="R269" s="278"/>
      <c r="S269" s="277"/>
      <c r="T269" s="278"/>
      <c r="U269" s="277"/>
      <c r="V269" s="278"/>
      <c r="W269" s="277"/>
      <c r="X269" s="278"/>
      <c r="Y269" s="277"/>
      <c r="Z269" s="278"/>
      <c r="AA269" s="277"/>
      <c r="AB269" s="278"/>
      <c r="AC269" s="277"/>
      <c r="AD269" s="278"/>
      <c r="AE269" s="277"/>
      <c r="AF269" s="278"/>
      <c r="AG269" s="277"/>
      <c r="AH269" s="278"/>
      <c r="AI269" s="277"/>
      <c r="AJ269" s="278"/>
      <c r="AK269" s="277"/>
      <c r="AL269" s="278"/>
      <c r="AM269" s="277"/>
      <c r="AN269" s="278"/>
      <c r="AO269" s="278"/>
      <c r="AP269" s="278"/>
      <c r="AQ269" s="278"/>
      <c r="AR269" s="278"/>
      <c r="AS269" s="278"/>
    </row>
    <row r="270" spans="1:45">
      <c r="A270" s="277"/>
      <c r="B270" s="298" t="b">
        <v>0</v>
      </c>
      <c r="C270" s="278"/>
      <c r="D270" s="299" t="b">
        <v>0</v>
      </c>
      <c r="E270" s="277"/>
      <c r="F270" s="298" t="b">
        <v>0</v>
      </c>
      <c r="G270" s="278"/>
      <c r="H270" s="299" t="b">
        <v>0</v>
      </c>
      <c r="I270" s="277"/>
      <c r="J270" s="278"/>
      <c r="K270" s="277"/>
      <c r="L270" s="278"/>
      <c r="M270" s="277"/>
      <c r="N270" s="278"/>
      <c r="O270" s="277"/>
      <c r="P270" s="278"/>
      <c r="Q270" s="277"/>
      <c r="R270" s="278"/>
      <c r="S270" s="277"/>
      <c r="T270" s="278"/>
      <c r="U270" s="277"/>
      <c r="V270" s="278"/>
      <c r="W270" s="277"/>
      <c r="X270" s="278"/>
      <c r="Y270" s="277"/>
      <c r="Z270" s="278"/>
      <c r="AA270" s="277"/>
      <c r="AB270" s="278"/>
      <c r="AC270" s="277"/>
      <c r="AD270" s="278"/>
      <c r="AE270" s="277"/>
      <c r="AF270" s="278"/>
      <c r="AG270" s="277"/>
      <c r="AH270" s="278"/>
      <c r="AI270" s="277"/>
      <c r="AJ270" s="278"/>
      <c r="AK270" s="277"/>
      <c r="AL270" s="278"/>
      <c r="AM270" s="277"/>
      <c r="AN270" s="278"/>
      <c r="AO270" s="278"/>
      <c r="AP270" s="278"/>
      <c r="AQ270" s="278"/>
      <c r="AR270" s="278"/>
      <c r="AS270" s="278"/>
    </row>
    <row r="271" spans="1:45">
      <c r="A271" s="277"/>
      <c r="B271" s="298" t="b">
        <v>0</v>
      </c>
      <c r="C271" s="278"/>
      <c r="D271" s="299" t="b">
        <v>0</v>
      </c>
      <c r="E271" s="277"/>
      <c r="F271" s="298" t="b">
        <v>0</v>
      </c>
      <c r="G271" s="278"/>
      <c r="H271" s="299" t="b">
        <v>0</v>
      </c>
      <c r="I271" s="277"/>
      <c r="J271" s="278"/>
      <c r="K271" s="277"/>
      <c r="L271" s="278"/>
      <c r="M271" s="277"/>
      <c r="N271" s="278"/>
      <c r="O271" s="277"/>
      <c r="P271" s="278"/>
      <c r="Q271" s="277"/>
      <c r="R271" s="278"/>
      <c r="S271" s="277"/>
      <c r="T271" s="278"/>
      <c r="U271" s="277"/>
      <c r="V271" s="278"/>
      <c r="W271" s="277"/>
      <c r="X271" s="278"/>
      <c r="Y271" s="277"/>
      <c r="Z271" s="278"/>
      <c r="AA271" s="277"/>
      <c r="AB271" s="278"/>
      <c r="AC271" s="277"/>
      <c r="AD271" s="278"/>
      <c r="AE271" s="277"/>
      <c r="AF271" s="278"/>
      <c r="AG271" s="277"/>
      <c r="AH271" s="278"/>
      <c r="AI271" s="277"/>
      <c r="AJ271" s="278"/>
      <c r="AK271" s="277"/>
      <c r="AL271" s="278"/>
      <c r="AM271" s="277"/>
      <c r="AN271" s="278"/>
      <c r="AO271" s="278"/>
      <c r="AP271" s="278"/>
      <c r="AQ271" s="278"/>
      <c r="AR271" s="278"/>
      <c r="AS271" s="278"/>
    </row>
    <row r="272" spans="1:45">
      <c r="A272" s="277"/>
      <c r="B272" s="298" t="b">
        <v>0</v>
      </c>
      <c r="C272" s="278"/>
      <c r="D272" s="299" t="b">
        <v>0</v>
      </c>
      <c r="E272" s="277"/>
      <c r="F272" s="298" t="b">
        <v>0</v>
      </c>
      <c r="G272" s="278"/>
      <c r="H272" s="299" t="b">
        <v>0</v>
      </c>
      <c r="I272" s="277"/>
      <c r="J272" s="278"/>
      <c r="K272" s="277"/>
      <c r="L272" s="278"/>
      <c r="M272" s="277"/>
      <c r="N272" s="278"/>
      <c r="O272" s="277"/>
      <c r="P272" s="278"/>
      <c r="Q272" s="277"/>
      <c r="R272" s="278"/>
      <c r="S272" s="277"/>
      <c r="T272" s="278"/>
      <c r="U272" s="277"/>
      <c r="V272" s="278"/>
      <c r="W272" s="277"/>
      <c r="X272" s="278"/>
      <c r="Y272" s="277"/>
      <c r="Z272" s="278"/>
      <c r="AA272" s="277"/>
      <c r="AB272" s="278"/>
      <c r="AC272" s="277"/>
      <c r="AD272" s="278"/>
      <c r="AE272" s="277"/>
      <c r="AF272" s="278"/>
      <c r="AG272" s="277"/>
      <c r="AH272" s="278"/>
      <c r="AI272" s="277"/>
      <c r="AJ272" s="278"/>
      <c r="AK272" s="277"/>
      <c r="AL272" s="278"/>
      <c r="AM272" s="277"/>
      <c r="AN272" s="278"/>
      <c r="AO272" s="278"/>
      <c r="AP272" s="278"/>
      <c r="AQ272" s="278"/>
      <c r="AR272" s="278"/>
      <c r="AS272" s="278"/>
    </row>
    <row r="273" spans="1:45">
      <c r="A273" s="277"/>
      <c r="B273" s="298" t="b">
        <v>0</v>
      </c>
      <c r="C273" s="278"/>
      <c r="D273" s="299" t="b">
        <v>0</v>
      </c>
      <c r="E273" s="277"/>
      <c r="F273" s="298" t="b">
        <v>0</v>
      </c>
      <c r="G273" s="278"/>
      <c r="H273" s="299" t="b">
        <v>0</v>
      </c>
      <c r="I273" s="277"/>
      <c r="J273" s="278"/>
      <c r="K273" s="277"/>
      <c r="L273" s="278"/>
      <c r="M273" s="277"/>
      <c r="N273" s="278"/>
      <c r="O273" s="277"/>
      <c r="P273" s="278"/>
      <c r="Q273" s="277"/>
      <c r="R273" s="278"/>
      <c r="S273" s="277"/>
      <c r="T273" s="278"/>
      <c r="U273" s="277"/>
      <c r="V273" s="278"/>
      <c r="W273" s="277"/>
      <c r="X273" s="278"/>
      <c r="Y273" s="277"/>
      <c r="Z273" s="278"/>
      <c r="AA273" s="277"/>
      <c r="AB273" s="278"/>
      <c r="AC273" s="277"/>
      <c r="AD273" s="278"/>
      <c r="AE273" s="277"/>
      <c r="AF273" s="278"/>
      <c r="AG273" s="277"/>
      <c r="AH273" s="278"/>
      <c r="AI273" s="277"/>
      <c r="AJ273" s="278"/>
      <c r="AK273" s="277"/>
      <c r="AL273" s="278"/>
      <c r="AM273" s="277"/>
      <c r="AN273" s="278"/>
      <c r="AO273" s="278"/>
      <c r="AP273" s="278"/>
      <c r="AQ273" s="278"/>
      <c r="AR273" s="278"/>
      <c r="AS273" s="278"/>
    </row>
    <row r="274" spans="1:45">
      <c r="A274" s="277"/>
      <c r="B274" s="298" t="b">
        <v>0</v>
      </c>
      <c r="C274" s="278"/>
      <c r="D274" s="299" t="b">
        <v>0</v>
      </c>
      <c r="E274" s="277"/>
      <c r="F274" s="298" t="b">
        <v>0</v>
      </c>
      <c r="G274" s="278"/>
      <c r="H274" s="299" t="b">
        <v>0</v>
      </c>
      <c r="I274" s="277"/>
      <c r="J274" s="278"/>
      <c r="K274" s="277"/>
      <c r="L274" s="278"/>
      <c r="M274" s="277"/>
      <c r="N274" s="278"/>
      <c r="O274" s="277"/>
      <c r="P274" s="278"/>
      <c r="Q274" s="277"/>
      <c r="R274" s="278"/>
      <c r="S274" s="277"/>
      <c r="T274" s="278"/>
      <c r="U274" s="277"/>
      <c r="V274" s="278"/>
      <c r="W274" s="277"/>
      <c r="X274" s="278"/>
      <c r="Y274" s="277"/>
      <c r="Z274" s="278"/>
      <c r="AA274" s="277"/>
      <c r="AB274" s="278"/>
      <c r="AC274" s="277"/>
      <c r="AD274" s="278"/>
      <c r="AE274" s="277"/>
      <c r="AF274" s="278"/>
      <c r="AG274" s="277"/>
      <c r="AH274" s="278"/>
      <c r="AI274" s="277"/>
      <c r="AJ274" s="278"/>
      <c r="AK274" s="277"/>
      <c r="AL274" s="278"/>
      <c r="AM274" s="277"/>
      <c r="AN274" s="278"/>
      <c r="AO274" s="278"/>
      <c r="AP274" s="278"/>
      <c r="AQ274" s="278"/>
      <c r="AR274" s="278"/>
      <c r="AS274" s="278"/>
    </row>
    <row r="275" spans="1:45">
      <c r="A275" s="277"/>
      <c r="B275" s="298" t="b">
        <v>0</v>
      </c>
      <c r="C275" s="278"/>
      <c r="D275" s="299" t="b">
        <v>0</v>
      </c>
      <c r="E275" s="277"/>
      <c r="F275" s="298" t="b">
        <v>0</v>
      </c>
      <c r="G275" s="278"/>
      <c r="H275" s="299" t="b">
        <v>0</v>
      </c>
      <c r="I275" s="277"/>
      <c r="J275" s="278"/>
      <c r="K275" s="277"/>
      <c r="L275" s="278"/>
      <c r="M275" s="277"/>
      <c r="N275" s="278"/>
      <c r="O275" s="277"/>
      <c r="P275" s="278"/>
      <c r="Q275" s="277"/>
      <c r="R275" s="278"/>
      <c r="S275" s="277"/>
      <c r="T275" s="278"/>
      <c r="U275" s="277"/>
      <c r="V275" s="278"/>
      <c r="W275" s="277"/>
      <c r="X275" s="278"/>
      <c r="Y275" s="277"/>
      <c r="Z275" s="278"/>
      <c r="AA275" s="277"/>
      <c r="AB275" s="278"/>
      <c r="AC275" s="277"/>
      <c r="AD275" s="278"/>
      <c r="AE275" s="277"/>
      <c r="AF275" s="278"/>
      <c r="AG275" s="277"/>
      <c r="AH275" s="278"/>
      <c r="AI275" s="277"/>
      <c r="AJ275" s="278"/>
      <c r="AK275" s="277"/>
      <c r="AL275" s="278"/>
      <c r="AM275" s="277"/>
      <c r="AN275" s="278"/>
      <c r="AO275" s="278"/>
      <c r="AP275" s="278"/>
      <c r="AQ275" s="278"/>
      <c r="AR275" s="278"/>
      <c r="AS275" s="278"/>
    </row>
    <row r="276" spans="1:45">
      <c r="A276" s="277"/>
      <c r="B276" s="298" t="b">
        <v>0</v>
      </c>
      <c r="C276" s="278"/>
      <c r="D276" s="299" t="b">
        <v>0</v>
      </c>
      <c r="E276" s="277"/>
      <c r="F276" s="298" t="b">
        <v>0</v>
      </c>
      <c r="G276" s="278"/>
      <c r="H276" s="299" t="b">
        <v>0</v>
      </c>
      <c r="I276" s="277"/>
      <c r="J276" s="278"/>
      <c r="K276" s="277"/>
      <c r="L276" s="278"/>
      <c r="M276" s="277"/>
      <c r="N276" s="278"/>
      <c r="O276" s="277"/>
      <c r="P276" s="278"/>
      <c r="Q276" s="277"/>
      <c r="R276" s="278"/>
      <c r="S276" s="277"/>
      <c r="T276" s="278"/>
      <c r="U276" s="277"/>
      <c r="V276" s="278"/>
      <c r="W276" s="277"/>
      <c r="X276" s="278"/>
      <c r="Y276" s="277"/>
      <c r="Z276" s="278"/>
      <c r="AA276" s="277"/>
      <c r="AB276" s="278"/>
      <c r="AC276" s="277"/>
      <c r="AD276" s="278"/>
      <c r="AE276" s="277"/>
      <c r="AF276" s="278"/>
      <c r="AG276" s="277"/>
      <c r="AH276" s="278"/>
      <c r="AI276" s="277"/>
      <c r="AJ276" s="278"/>
      <c r="AK276" s="277"/>
      <c r="AL276" s="278"/>
      <c r="AM276" s="277"/>
      <c r="AN276" s="278"/>
      <c r="AO276" s="278"/>
      <c r="AP276" s="278"/>
      <c r="AQ276" s="278"/>
      <c r="AR276" s="278"/>
      <c r="AS276" s="278"/>
    </row>
    <row r="277" spans="1:45">
      <c r="A277" s="277"/>
      <c r="B277" s="298" t="b">
        <v>0</v>
      </c>
      <c r="C277" s="278"/>
      <c r="D277" s="299" t="b">
        <v>0</v>
      </c>
      <c r="E277" s="277"/>
      <c r="F277" s="298" t="b">
        <v>0</v>
      </c>
      <c r="G277" s="278"/>
      <c r="H277" s="299" t="b">
        <v>0</v>
      </c>
      <c r="I277" s="277"/>
      <c r="J277" s="278"/>
      <c r="K277" s="277"/>
      <c r="L277" s="278"/>
      <c r="M277" s="277"/>
      <c r="N277" s="278"/>
      <c r="O277" s="277"/>
      <c r="P277" s="278"/>
      <c r="Q277" s="277"/>
      <c r="R277" s="278"/>
      <c r="S277" s="277"/>
      <c r="T277" s="278"/>
      <c r="U277" s="277"/>
      <c r="V277" s="278"/>
      <c r="W277" s="277"/>
      <c r="X277" s="278"/>
      <c r="Y277" s="277"/>
      <c r="Z277" s="278"/>
      <c r="AA277" s="277"/>
      <c r="AB277" s="278"/>
      <c r="AC277" s="277"/>
      <c r="AD277" s="278"/>
      <c r="AE277" s="277"/>
      <c r="AF277" s="278"/>
      <c r="AG277" s="277"/>
      <c r="AH277" s="278"/>
      <c r="AI277" s="277"/>
      <c r="AJ277" s="278"/>
      <c r="AK277" s="277"/>
      <c r="AL277" s="278"/>
      <c r="AM277" s="277"/>
      <c r="AN277" s="278"/>
      <c r="AO277" s="278"/>
      <c r="AP277" s="278"/>
      <c r="AQ277" s="278"/>
      <c r="AR277" s="278"/>
      <c r="AS277" s="278"/>
    </row>
    <row r="278" spans="1:45">
      <c r="A278" s="277"/>
      <c r="B278" s="298" t="b">
        <v>0</v>
      </c>
      <c r="C278" s="278"/>
      <c r="D278" s="299" t="b">
        <v>0</v>
      </c>
      <c r="E278" s="277"/>
      <c r="F278" s="298" t="b">
        <v>0</v>
      </c>
      <c r="G278" s="278"/>
      <c r="H278" s="299" t="b">
        <v>0</v>
      </c>
      <c r="I278" s="277"/>
      <c r="J278" s="278"/>
      <c r="K278" s="277"/>
      <c r="L278" s="278"/>
      <c r="M278" s="277"/>
      <c r="N278" s="278"/>
      <c r="O278" s="277"/>
      <c r="P278" s="278"/>
      <c r="Q278" s="277"/>
      <c r="R278" s="278"/>
      <c r="S278" s="277"/>
      <c r="T278" s="278"/>
      <c r="U278" s="277"/>
      <c r="V278" s="278"/>
      <c r="W278" s="277"/>
      <c r="X278" s="278"/>
      <c r="Y278" s="277"/>
      <c r="Z278" s="278"/>
      <c r="AA278" s="277"/>
      <c r="AB278" s="278"/>
      <c r="AC278" s="277"/>
      <c r="AD278" s="278"/>
      <c r="AE278" s="277"/>
      <c r="AF278" s="278"/>
      <c r="AG278" s="277"/>
      <c r="AH278" s="278"/>
      <c r="AI278" s="277"/>
      <c r="AJ278" s="278"/>
      <c r="AK278" s="277"/>
      <c r="AL278" s="278"/>
      <c r="AM278" s="277"/>
      <c r="AN278" s="278"/>
      <c r="AO278" s="278"/>
      <c r="AP278" s="278"/>
      <c r="AQ278" s="278"/>
      <c r="AR278" s="278"/>
      <c r="AS278" s="278"/>
    </row>
    <row r="279" spans="1:45">
      <c r="A279" s="277"/>
      <c r="B279" s="298" t="b">
        <v>0</v>
      </c>
      <c r="C279" s="278"/>
      <c r="D279" s="299" t="b">
        <v>0</v>
      </c>
      <c r="E279" s="277"/>
      <c r="F279" s="298" t="b">
        <v>0</v>
      </c>
      <c r="G279" s="278"/>
      <c r="H279" s="299" t="b">
        <v>0</v>
      </c>
      <c r="I279" s="277"/>
      <c r="J279" s="278"/>
      <c r="K279" s="277"/>
      <c r="L279" s="278"/>
      <c r="M279" s="277"/>
      <c r="N279" s="278"/>
      <c r="O279" s="277"/>
      <c r="P279" s="278"/>
      <c r="Q279" s="277"/>
      <c r="R279" s="278"/>
      <c r="S279" s="277"/>
      <c r="T279" s="278"/>
      <c r="U279" s="277"/>
      <c r="V279" s="278"/>
      <c r="W279" s="277"/>
      <c r="X279" s="278"/>
      <c r="Y279" s="277"/>
      <c r="Z279" s="278"/>
      <c r="AA279" s="277"/>
      <c r="AB279" s="278"/>
      <c r="AC279" s="277"/>
      <c r="AD279" s="278"/>
      <c r="AE279" s="277"/>
      <c r="AF279" s="278"/>
      <c r="AG279" s="277"/>
      <c r="AH279" s="278"/>
      <c r="AI279" s="277"/>
      <c r="AJ279" s="278"/>
      <c r="AK279" s="277"/>
      <c r="AL279" s="278"/>
      <c r="AM279" s="277"/>
      <c r="AN279" s="278"/>
      <c r="AO279" s="278"/>
      <c r="AP279" s="278"/>
      <c r="AQ279" s="278"/>
      <c r="AR279" s="278"/>
      <c r="AS279" s="278"/>
    </row>
    <row r="280" spans="1:45">
      <c r="A280" s="277"/>
      <c r="B280" s="298" t="b">
        <v>0</v>
      </c>
      <c r="C280" s="278"/>
      <c r="D280" s="299" t="b">
        <v>0</v>
      </c>
      <c r="E280" s="277"/>
      <c r="F280" s="298" t="b">
        <v>0</v>
      </c>
      <c r="G280" s="278"/>
      <c r="H280" s="299" t="b">
        <v>0</v>
      </c>
      <c r="I280" s="277"/>
      <c r="J280" s="278"/>
      <c r="K280" s="277"/>
      <c r="L280" s="278"/>
      <c r="M280" s="277"/>
      <c r="N280" s="278"/>
      <c r="O280" s="277"/>
      <c r="P280" s="278"/>
      <c r="Q280" s="277"/>
      <c r="R280" s="278"/>
      <c r="S280" s="277"/>
      <c r="T280" s="278"/>
      <c r="U280" s="277"/>
      <c r="V280" s="278"/>
      <c r="W280" s="277"/>
      <c r="X280" s="278"/>
      <c r="Y280" s="277"/>
      <c r="Z280" s="278"/>
      <c r="AA280" s="277"/>
      <c r="AB280" s="278"/>
      <c r="AC280" s="277"/>
      <c r="AD280" s="278"/>
      <c r="AE280" s="277"/>
      <c r="AF280" s="278"/>
      <c r="AG280" s="277"/>
      <c r="AH280" s="278"/>
      <c r="AI280" s="277"/>
      <c r="AJ280" s="278"/>
      <c r="AK280" s="277"/>
      <c r="AL280" s="278"/>
      <c r="AM280" s="277"/>
      <c r="AN280" s="278"/>
      <c r="AO280" s="278"/>
      <c r="AP280" s="278"/>
      <c r="AQ280" s="278"/>
      <c r="AR280" s="278"/>
      <c r="AS280" s="278"/>
    </row>
    <row r="281" spans="1:45">
      <c r="A281" s="277"/>
      <c r="B281" s="298" t="b">
        <v>0</v>
      </c>
      <c r="C281" s="278"/>
      <c r="D281" s="299" t="b">
        <v>0</v>
      </c>
      <c r="E281" s="277"/>
      <c r="F281" s="298" t="b">
        <v>0</v>
      </c>
      <c r="G281" s="278"/>
      <c r="H281" s="299" t="b">
        <v>0</v>
      </c>
      <c r="I281" s="277"/>
      <c r="J281" s="278"/>
      <c r="K281" s="277"/>
      <c r="L281" s="278"/>
      <c r="M281" s="277"/>
      <c r="N281" s="278"/>
      <c r="O281" s="277"/>
      <c r="P281" s="278"/>
      <c r="Q281" s="277"/>
      <c r="R281" s="278"/>
      <c r="S281" s="277"/>
      <c r="T281" s="278"/>
      <c r="U281" s="277"/>
      <c r="V281" s="278"/>
      <c r="W281" s="277"/>
      <c r="X281" s="278"/>
      <c r="Y281" s="277"/>
      <c r="Z281" s="278"/>
      <c r="AA281" s="277"/>
      <c r="AB281" s="278"/>
      <c r="AC281" s="277"/>
      <c r="AD281" s="278"/>
      <c r="AE281" s="277"/>
      <c r="AF281" s="278"/>
      <c r="AG281" s="277"/>
      <c r="AH281" s="278"/>
      <c r="AI281" s="277"/>
      <c r="AJ281" s="278"/>
      <c r="AK281" s="277"/>
      <c r="AL281" s="278"/>
      <c r="AM281" s="277"/>
      <c r="AN281" s="278"/>
      <c r="AO281" s="278"/>
      <c r="AP281" s="278"/>
      <c r="AQ281" s="278"/>
      <c r="AR281" s="278"/>
      <c r="AS281" s="278"/>
    </row>
    <row r="282" spans="1:45">
      <c r="A282" s="277"/>
      <c r="B282" s="298" t="b">
        <v>0</v>
      </c>
      <c r="C282" s="278"/>
      <c r="D282" s="299" t="b">
        <v>0</v>
      </c>
      <c r="E282" s="277"/>
      <c r="F282" s="298" t="b">
        <v>0</v>
      </c>
      <c r="G282" s="278"/>
      <c r="H282" s="299" t="b">
        <v>0</v>
      </c>
      <c r="I282" s="277"/>
      <c r="J282" s="278"/>
      <c r="K282" s="277"/>
      <c r="L282" s="278"/>
      <c r="M282" s="277"/>
      <c r="N282" s="278"/>
      <c r="O282" s="277"/>
      <c r="P282" s="278"/>
      <c r="Q282" s="277"/>
      <c r="R282" s="278"/>
      <c r="S282" s="277"/>
      <c r="T282" s="278"/>
      <c r="U282" s="277"/>
      <c r="V282" s="278"/>
      <c r="W282" s="277"/>
      <c r="X282" s="278"/>
      <c r="Y282" s="277"/>
      <c r="Z282" s="278"/>
      <c r="AA282" s="277"/>
      <c r="AB282" s="278"/>
      <c r="AC282" s="277"/>
      <c r="AD282" s="278"/>
      <c r="AE282" s="277"/>
      <c r="AF282" s="278"/>
      <c r="AG282" s="277"/>
      <c r="AH282" s="278"/>
      <c r="AI282" s="277"/>
      <c r="AJ282" s="278"/>
      <c r="AK282" s="277"/>
      <c r="AL282" s="278"/>
      <c r="AM282" s="277"/>
      <c r="AN282" s="278"/>
      <c r="AO282" s="278"/>
      <c r="AP282" s="278"/>
      <c r="AQ282" s="278"/>
      <c r="AR282" s="278"/>
      <c r="AS282" s="278"/>
    </row>
    <row r="283" spans="1:45">
      <c r="A283" s="277"/>
      <c r="B283" s="298" t="b">
        <v>0</v>
      </c>
      <c r="C283" s="278"/>
      <c r="D283" s="299" t="b">
        <v>0</v>
      </c>
      <c r="E283" s="277"/>
      <c r="F283" s="298" t="b">
        <v>0</v>
      </c>
      <c r="G283" s="278"/>
      <c r="H283" s="299" t="b">
        <v>0</v>
      </c>
      <c r="I283" s="277"/>
      <c r="J283" s="278"/>
      <c r="K283" s="277"/>
      <c r="L283" s="278"/>
      <c r="M283" s="277"/>
      <c r="N283" s="278"/>
      <c r="O283" s="277"/>
      <c r="P283" s="278"/>
      <c r="Q283" s="277"/>
      <c r="R283" s="278"/>
      <c r="S283" s="277"/>
      <c r="T283" s="278"/>
      <c r="U283" s="277"/>
      <c r="V283" s="278"/>
      <c r="W283" s="277"/>
      <c r="X283" s="278"/>
      <c r="Y283" s="277"/>
      <c r="Z283" s="278"/>
      <c r="AA283" s="277"/>
      <c r="AB283" s="278"/>
      <c r="AC283" s="277"/>
      <c r="AD283" s="278"/>
      <c r="AE283" s="277"/>
      <c r="AF283" s="278"/>
      <c r="AG283" s="277"/>
      <c r="AH283" s="278"/>
      <c r="AI283" s="277"/>
      <c r="AJ283" s="278"/>
      <c r="AK283" s="277"/>
      <c r="AL283" s="278"/>
      <c r="AM283" s="277"/>
      <c r="AN283" s="278"/>
      <c r="AO283" s="278"/>
      <c r="AP283" s="278"/>
      <c r="AQ283" s="278"/>
      <c r="AR283" s="278"/>
      <c r="AS283" s="278"/>
    </row>
    <row r="284" spans="1:45">
      <c r="A284" s="277"/>
      <c r="B284" s="298" t="b">
        <v>0</v>
      </c>
      <c r="C284" s="278"/>
      <c r="D284" s="299" t="b">
        <v>0</v>
      </c>
      <c r="E284" s="277"/>
      <c r="F284" s="298" t="b">
        <v>0</v>
      </c>
      <c r="G284" s="278"/>
      <c r="H284" s="299" t="b">
        <v>0</v>
      </c>
      <c r="I284" s="277"/>
      <c r="J284" s="278"/>
      <c r="K284" s="277"/>
      <c r="L284" s="278"/>
      <c r="M284" s="277"/>
      <c r="N284" s="278"/>
      <c r="O284" s="277"/>
      <c r="P284" s="278"/>
      <c r="Q284" s="277"/>
      <c r="R284" s="278"/>
      <c r="S284" s="277"/>
      <c r="T284" s="278"/>
      <c r="U284" s="277"/>
      <c r="V284" s="278"/>
      <c r="W284" s="277"/>
      <c r="X284" s="278"/>
      <c r="Y284" s="277"/>
      <c r="Z284" s="278"/>
      <c r="AA284" s="277"/>
      <c r="AB284" s="278"/>
      <c r="AC284" s="277"/>
      <c r="AD284" s="278"/>
      <c r="AE284" s="277"/>
      <c r="AF284" s="278"/>
      <c r="AG284" s="277"/>
      <c r="AH284" s="278"/>
      <c r="AI284" s="277"/>
      <c r="AJ284" s="278"/>
      <c r="AK284" s="277"/>
      <c r="AL284" s="278"/>
      <c r="AM284" s="277"/>
      <c r="AN284" s="278"/>
      <c r="AO284" s="278"/>
      <c r="AP284" s="278"/>
      <c r="AQ284" s="278"/>
      <c r="AR284" s="278"/>
      <c r="AS284" s="278"/>
    </row>
    <row r="285" spans="1:45">
      <c r="A285" s="277"/>
      <c r="B285" s="298" t="b">
        <v>0</v>
      </c>
      <c r="C285" s="278"/>
      <c r="D285" s="299" t="b">
        <v>0</v>
      </c>
      <c r="E285" s="277"/>
      <c r="F285" s="298" t="b">
        <v>0</v>
      </c>
      <c r="G285" s="278"/>
      <c r="H285" s="299" t="b">
        <v>0</v>
      </c>
      <c r="I285" s="277"/>
      <c r="J285" s="278"/>
      <c r="K285" s="277"/>
      <c r="L285" s="278"/>
      <c r="M285" s="277"/>
      <c r="N285" s="278"/>
      <c r="O285" s="277"/>
      <c r="P285" s="278"/>
      <c r="Q285" s="277"/>
      <c r="R285" s="278"/>
      <c r="S285" s="277"/>
      <c r="T285" s="278"/>
      <c r="U285" s="277"/>
      <c r="V285" s="278"/>
      <c r="W285" s="277"/>
      <c r="X285" s="278"/>
      <c r="Y285" s="277"/>
      <c r="Z285" s="278"/>
      <c r="AA285" s="277"/>
      <c r="AB285" s="278"/>
      <c r="AC285" s="277"/>
      <c r="AD285" s="278"/>
      <c r="AE285" s="277"/>
      <c r="AF285" s="278"/>
      <c r="AG285" s="277"/>
      <c r="AH285" s="278"/>
      <c r="AI285" s="277"/>
      <c r="AJ285" s="278"/>
      <c r="AK285" s="277"/>
      <c r="AL285" s="278"/>
      <c r="AM285" s="277"/>
      <c r="AN285" s="278"/>
      <c r="AO285" s="278"/>
      <c r="AP285" s="278"/>
      <c r="AQ285" s="278"/>
      <c r="AR285" s="278"/>
      <c r="AS285" s="278"/>
    </row>
    <row r="286" spans="1:45">
      <c r="A286" s="277"/>
      <c r="B286" s="298" t="b">
        <v>0</v>
      </c>
      <c r="C286" s="278"/>
      <c r="D286" s="299" t="b">
        <v>0</v>
      </c>
      <c r="E286" s="277"/>
      <c r="F286" s="298" t="b">
        <v>0</v>
      </c>
      <c r="G286" s="278"/>
      <c r="H286" s="299" t="b">
        <v>0</v>
      </c>
      <c r="I286" s="277"/>
      <c r="J286" s="278"/>
      <c r="K286" s="277"/>
      <c r="L286" s="278"/>
      <c r="M286" s="277"/>
      <c r="N286" s="278"/>
      <c r="O286" s="277"/>
      <c r="P286" s="278"/>
      <c r="Q286" s="277"/>
      <c r="R286" s="278"/>
      <c r="S286" s="277"/>
      <c r="T286" s="278"/>
      <c r="U286" s="277"/>
      <c r="V286" s="278"/>
      <c r="W286" s="277"/>
      <c r="X286" s="278"/>
      <c r="Y286" s="277"/>
      <c r="Z286" s="278"/>
      <c r="AA286" s="277"/>
      <c r="AB286" s="278"/>
      <c r="AC286" s="277"/>
      <c r="AD286" s="278"/>
      <c r="AE286" s="277"/>
      <c r="AF286" s="278"/>
      <c r="AG286" s="277"/>
      <c r="AH286" s="278"/>
      <c r="AI286" s="277"/>
      <c r="AJ286" s="278"/>
      <c r="AK286" s="277"/>
      <c r="AL286" s="278"/>
      <c r="AM286" s="277"/>
      <c r="AN286" s="278"/>
      <c r="AO286" s="278"/>
      <c r="AP286" s="278"/>
      <c r="AQ286" s="278"/>
      <c r="AR286" s="278"/>
      <c r="AS286" s="278"/>
    </row>
    <row r="287" spans="1:45">
      <c r="A287" s="277"/>
      <c r="B287" s="298" t="b">
        <v>0</v>
      </c>
      <c r="C287" s="278"/>
      <c r="D287" s="299" t="b">
        <v>0</v>
      </c>
      <c r="E287" s="277"/>
      <c r="F287" s="298" t="b">
        <v>0</v>
      </c>
      <c r="G287" s="278"/>
      <c r="H287" s="299" t="b">
        <v>0</v>
      </c>
      <c r="I287" s="277"/>
      <c r="J287" s="278"/>
      <c r="K287" s="277"/>
      <c r="L287" s="278"/>
      <c r="M287" s="277"/>
      <c r="N287" s="278"/>
      <c r="O287" s="277"/>
      <c r="P287" s="278"/>
      <c r="Q287" s="277"/>
      <c r="R287" s="278"/>
      <c r="S287" s="277"/>
      <c r="T287" s="278"/>
      <c r="U287" s="277"/>
      <c r="V287" s="278"/>
      <c r="W287" s="277"/>
      <c r="X287" s="278"/>
      <c r="Y287" s="277"/>
      <c r="Z287" s="278"/>
      <c r="AA287" s="277"/>
      <c r="AB287" s="278"/>
      <c r="AC287" s="277"/>
      <c r="AD287" s="278"/>
      <c r="AE287" s="277"/>
      <c r="AF287" s="278"/>
      <c r="AG287" s="277"/>
      <c r="AH287" s="278"/>
      <c r="AI287" s="277"/>
      <c r="AJ287" s="278"/>
      <c r="AK287" s="277"/>
      <c r="AL287" s="278"/>
      <c r="AM287" s="277"/>
      <c r="AN287" s="278"/>
      <c r="AO287" s="278"/>
      <c r="AP287" s="278"/>
      <c r="AQ287" s="278"/>
      <c r="AR287" s="278"/>
      <c r="AS287" s="278"/>
    </row>
    <row r="288" spans="1:45">
      <c r="A288" s="277"/>
      <c r="B288" s="298" t="b">
        <v>0</v>
      </c>
      <c r="C288" s="278"/>
      <c r="D288" s="299" t="b">
        <v>0</v>
      </c>
      <c r="E288" s="277"/>
      <c r="F288" s="298" t="b">
        <v>0</v>
      </c>
      <c r="G288" s="278"/>
      <c r="H288" s="299" t="b">
        <v>0</v>
      </c>
      <c r="I288" s="277"/>
      <c r="J288" s="278"/>
      <c r="K288" s="277"/>
      <c r="L288" s="278"/>
      <c r="M288" s="277"/>
      <c r="N288" s="278"/>
      <c r="O288" s="277"/>
      <c r="P288" s="278"/>
      <c r="Q288" s="277"/>
      <c r="R288" s="278"/>
      <c r="S288" s="277"/>
      <c r="T288" s="278"/>
      <c r="U288" s="277"/>
      <c r="V288" s="278"/>
      <c r="W288" s="277"/>
      <c r="X288" s="278"/>
      <c r="Y288" s="277"/>
      <c r="Z288" s="278"/>
      <c r="AA288" s="277"/>
      <c r="AB288" s="278"/>
      <c r="AC288" s="277"/>
      <c r="AD288" s="278"/>
      <c r="AE288" s="277"/>
      <c r="AF288" s="278"/>
      <c r="AG288" s="277"/>
      <c r="AH288" s="278"/>
      <c r="AI288" s="277"/>
      <c r="AJ288" s="278"/>
      <c r="AK288" s="277"/>
      <c r="AL288" s="278"/>
      <c r="AM288" s="277"/>
      <c r="AN288" s="278"/>
      <c r="AO288" s="278"/>
      <c r="AP288" s="278"/>
      <c r="AQ288" s="278"/>
      <c r="AR288" s="278"/>
      <c r="AS288" s="278"/>
    </row>
    <row r="289" spans="1:45">
      <c r="A289" s="277"/>
      <c r="B289" s="298" t="b">
        <v>0</v>
      </c>
      <c r="C289" s="278"/>
      <c r="D289" s="299" t="b">
        <v>0</v>
      </c>
      <c r="E289" s="277"/>
      <c r="F289" s="298" t="b">
        <v>0</v>
      </c>
      <c r="G289" s="278"/>
      <c r="H289" s="299" t="b">
        <v>0</v>
      </c>
      <c r="I289" s="277"/>
      <c r="J289" s="278"/>
      <c r="K289" s="277"/>
      <c r="L289" s="278"/>
      <c r="M289" s="277"/>
      <c r="N289" s="278"/>
      <c r="O289" s="277"/>
      <c r="P289" s="278"/>
      <c r="Q289" s="277"/>
      <c r="R289" s="278"/>
      <c r="S289" s="277"/>
      <c r="T289" s="278"/>
      <c r="U289" s="277"/>
      <c r="V289" s="278"/>
      <c r="W289" s="277"/>
      <c r="X289" s="278"/>
      <c r="Y289" s="277"/>
      <c r="Z289" s="278"/>
      <c r="AA289" s="277"/>
      <c r="AB289" s="278"/>
      <c r="AC289" s="277"/>
      <c r="AD289" s="278"/>
      <c r="AE289" s="277"/>
      <c r="AF289" s="278"/>
      <c r="AG289" s="277"/>
      <c r="AH289" s="278"/>
      <c r="AI289" s="277"/>
      <c r="AJ289" s="278"/>
      <c r="AK289" s="277"/>
      <c r="AL289" s="278"/>
      <c r="AM289" s="277"/>
      <c r="AN289" s="278"/>
      <c r="AO289" s="278"/>
      <c r="AP289" s="278"/>
      <c r="AQ289" s="278"/>
      <c r="AR289" s="278"/>
      <c r="AS289" s="278"/>
    </row>
    <row r="290" spans="1:45">
      <c r="A290" s="277"/>
      <c r="B290" s="298" t="b">
        <v>0</v>
      </c>
      <c r="C290" s="278"/>
      <c r="D290" s="299" t="b">
        <v>0</v>
      </c>
      <c r="E290" s="277"/>
      <c r="F290" s="298" t="b">
        <v>0</v>
      </c>
      <c r="G290" s="278"/>
      <c r="H290" s="299" t="b">
        <v>0</v>
      </c>
      <c r="I290" s="277"/>
      <c r="J290" s="278"/>
      <c r="K290" s="277"/>
      <c r="L290" s="278"/>
      <c r="M290" s="277"/>
      <c r="N290" s="278"/>
      <c r="O290" s="277"/>
      <c r="P290" s="278"/>
      <c r="Q290" s="277"/>
      <c r="R290" s="278"/>
      <c r="S290" s="277"/>
      <c r="T290" s="278"/>
      <c r="U290" s="277"/>
      <c r="V290" s="278"/>
      <c r="W290" s="277"/>
      <c r="X290" s="278"/>
      <c r="Y290" s="277"/>
      <c r="Z290" s="278"/>
      <c r="AA290" s="277"/>
      <c r="AB290" s="278"/>
      <c r="AC290" s="277"/>
      <c r="AD290" s="278"/>
      <c r="AE290" s="277"/>
      <c r="AF290" s="278"/>
      <c r="AG290" s="277"/>
      <c r="AH290" s="278"/>
      <c r="AI290" s="277"/>
      <c r="AJ290" s="278"/>
      <c r="AK290" s="277"/>
      <c r="AL290" s="278"/>
      <c r="AM290" s="277"/>
      <c r="AN290" s="278"/>
      <c r="AO290" s="278"/>
      <c r="AP290" s="278"/>
      <c r="AQ290" s="278"/>
      <c r="AR290" s="278"/>
      <c r="AS290" s="278"/>
    </row>
    <row r="291" spans="1:45">
      <c r="A291" s="277"/>
      <c r="B291" s="298" t="b">
        <v>0</v>
      </c>
      <c r="C291" s="278"/>
      <c r="D291" s="299" t="b">
        <v>0</v>
      </c>
      <c r="E291" s="277"/>
      <c r="F291" s="298" t="b">
        <v>0</v>
      </c>
      <c r="G291" s="278"/>
      <c r="H291" s="299" t="b">
        <v>0</v>
      </c>
      <c r="I291" s="277"/>
      <c r="J291" s="278"/>
      <c r="K291" s="277"/>
      <c r="L291" s="278"/>
      <c r="M291" s="277"/>
      <c r="N291" s="278"/>
      <c r="O291" s="277"/>
      <c r="P291" s="278"/>
      <c r="Q291" s="277"/>
      <c r="R291" s="278"/>
      <c r="S291" s="277"/>
      <c r="T291" s="278"/>
      <c r="U291" s="277"/>
      <c r="V291" s="278"/>
      <c r="W291" s="277"/>
      <c r="X291" s="278"/>
      <c r="Y291" s="277"/>
      <c r="Z291" s="278"/>
      <c r="AA291" s="277"/>
      <c r="AB291" s="278"/>
      <c r="AC291" s="277"/>
      <c r="AD291" s="278"/>
      <c r="AE291" s="277"/>
      <c r="AF291" s="278"/>
      <c r="AG291" s="277"/>
      <c r="AH291" s="278"/>
      <c r="AI291" s="277"/>
      <c r="AJ291" s="278"/>
      <c r="AK291" s="277"/>
      <c r="AL291" s="278"/>
      <c r="AM291" s="277"/>
      <c r="AN291" s="278"/>
      <c r="AO291" s="278"/>
      <c r="AP291" s="278"/>
      <c r="AQ291" s="278"/>
      <c r="AR291" s="278"/>
      <c r="AS291" s="278"/>
    </row>
    <row r="292" spans="1:45">
      <c r="A292" s="277"/>
      <c r="B292" s="298" t="b">
        <v>0</v>
      </c>
      <c r="C292" s="278"/>
      <c r="D292" s="299" t="b">
        <v>0</v>
      </c>
      <c r="E292" s="277"/>
      <c r="F292" s="298" t="b">
        <v>0</v>
      </c>
      <c r="G292" s="278"/>
      <c r="H292" s="299" t="b">
        <v>0</v>
      </c>
      <c r="I292" s="277"/>
      <c r="J292" s="278"/>
      <c r="K292" s="277"/>
      <c r="L292" s="278"/>
      <c r="M292" s="277"/>
      <c r="N292" s="278"/>
      <c r="O292" s="277"/>
      <c r="P292" s="278"/>
      <c r="Q292" s="277"/>
      <c r="R292" s="278"/>
      <c r="S292" s="277"/>
      <c r="T292" s="278"/>
      <c r="U292" s="277"/>
      <c r="V292" s="278"/>
      <c r="W292" s="277"/>
      <c r="X292" s="278"/>
      <c r="Y292" s="277"/>
      <c r="Z292" s="278"/>
      <c r="AA292" s="277"/>
      <c r="AB292" s="278"/>
      <c r="AC292" s="277"/>
      <c r="AD292" s="278"/>
      <c r="AE292" s="277"/>
      <c r="AF292" s="278"/>
      <c r="AG292" s="277"/>
      <c r="AH292" s="278"/>
      <c r="AI292" s="277"/>
      <c r="AJ292" s="278"/>
      <c r="AK292" s="277"/>
      <c r="AL292" s="278"/>
      <c r="AM292" s="277"/>
      <c r="AN292" s="278"/>
      <c r="AO292" s="278"/>
      <c r="AP292" s="278"/>
      <c r="AQ292" s="278"/>
      <c r="AR292" s="278"/>
      <c r="AS292" s="278"/>
    </row>
    <row r="293" spans="1:45">
      <c r="A293" s="277"/>
      <c r="B293" s="298" t="b">
        <v>0</v>
      </c>
      <c r="C293" s="278"/>
      <c r="D293" s="299" t="b">
        <v>0</v>
      </c>
      <c r="E293" s="277"/>
      <c r="F293" s="298" t="b">
        <v>0</v>
      </c>
      <c r="G293" s="278"/>
      <c r="H293" s="299" t="b">
        <v>0</v>
      </c>
      <c r="I293" s="277"/>
      <c r="J293" s="278"/>
      <c r="K293" s="277"/>
      <c r="L293" s="278"/>
      <c r="M293" s="277"/>
      <c r="N293" s="278"/>
      <c r="O293" s="277"/>
      <c r="P293" s="278"/>
      <c r="Q293" s="277"/>
      <c r="R293" s="278"/>
      <c r="S293" s="277"/>
      <c r="T293" s="278"/>
      <c r="U293" s="277"/>
      <c r="V293" s="278"/>
      <c r="W293" s="277"/>
      <c r="X293" s="278"/>
      <c r="Y293" s="277"/>
      <c r="Z293" s="278"/>
      <c r="AA293" s="277"/>
      <c r="AB293" s="278"/>
      <c r="AC293" s="277"/>
      <c r="AD293" s="278"/>
      <c r="AE293" s="277"/>
      <c r="AF293" s="278"/>
      <c r="AG293" s="277"/>
      <c r="AH293" s="278"/>
      <c r="AI293" s="277"/>
      <c r="AJ293" s="278"/>
      <c r="AK293" s="277"/>
      <c r="AL293" s="278"/>
      <c r="AM293" s="277"/>
      <c r="AN293" s="278"/>
      <c r="AO293" s="278"/>
      <c r="AP293" s="278"/>
      <c r="AQ293" s="278"/>
      <c r="AR293" s="278"/>
      <c r="AS293" s="278"/>
    </row>
    <row r="294" spans="1:45">
      <c r="A294" s="277"/>
      <c r="B294" s="298" t="b">
        <v>0</v>
      </c>
      <c r="C294" s="278"/>
      <c r="D294" s="299" t="b">
        <v>0</v>
      </c>
      <c r="E294" s="277"/>
      <c r="F294" s="298" t="b">
        <v>0</v>
      </c>
      <c r="G294" s="278"/>
      <c r="H294" s="299" t="b">
        <v>0</v>
      </c>
      <c r="I294" s="277"/>
      <c r="J294" s="278"/>
      <c r="K294" s="277"/>
      <c r="L294" s="278"/>
      <c r="M294" s="277"/>
      <c r="N294" s="278"/>
      <c r="O294" s="277"/>
      <c r="P294" s="278"/>
      <c r="Q294" s="277"/>
      <c r="R294" s="278"/>
      <c r="S294" s="277"/>
      <c r="T294" s="278"/>
      <c r="U294" s="277"/>
      <c r="V294" s="278"/>
      <c r="W294" s="277"/>
      <c r="X294" s="278"/>
      <c r="Y294" s="277"/>
      <c r="Z294" s="278"/>
      <c r="AA294" s="277"/>
      <c r="AB294" s="278"/>
      <c r="AC294" s="277"/>
      <c r="AD294" s="278"/>
      <c r="AE294" s="277"/>
      <c r="AF294" s="278"/>
      <c r="AG294" s="277"/>
      <c r="AH294" s="278"/>
      <c r="AI294" s="277"/>
      <c r="AJ294" s="278"/>
      <c r="AK294" s="277"/>
      <c r="AL294" s="278"/>
      <c r="AM294" s="277"/>
      <c r="AN294" s="278"/>
      <c r="AO294" s="278"/>
      <c r="AP294" s="278"/>
      <c r="AQ294" s="278"/>
      <c r="AR294" s="278"/>
      <c r="AS294" s="278"/>
    </row>
    <row r="295" spans="1:45">
      <c r="A295" s="277"/>
      <c r="B295" s="298" t="b">
        <v>0</v>
      </c>
      <c r="C295" s="278"/>
      <c r="D295" s="299" t="b">
        <v>0</v>
      </c>
      <c r="E295" s="277"/>
      <c r="F295" s="298" t="b">
        <v>0</v>
      </c>
      <c r="G295" s="278"/>
      <c r="H295" s="299" t="b">
        <v>0</v>
      </c>
      <c r="I295" s="277"/>
      <c r="J295" s="278"/>
      <c r="K295" s="277"/>
      <c r="L295" s="278"/>
      <c r="M295" s="277"/>
      <c r="N295" s="278"/>
      <c r="O295" s="277"/>
      <c r="P295" s="278"/>
      <c r="Q295" s="277"/>
      <c r="R295" s="278"/>
      <c r="S295" s="277"/>
      <c r="T295" s="278"/>
      <c r="U295" s="277"/>
      <c r="V295" s="278"/>
      <c r="W295" s="277"/>
      <c r="X295" s="278"/>
      <c r="Y295" s="277"/>
      <c r="Z295" s="278"/>
      <c r="AA295" s="277"/>
      <c r="AB295" s="278"/>
      <c r="AC295" s="277"/>
      <c r="AD295" s="278"/>
      <c r="AE295" s="277"/>
      <c r="AF295" s="278"/>
      <c r="AG295" s="277"/>
      <c r="AH295" s="278"/>
      <c r="AI295" s="277"/>
      <c r="AJ295" s="278"/>
      <c r="AK295" s="277"/>
      <c r="AL295" s="278"/>
      <c r="AM295" s="277"/>
      <c r="AN295" s="278"/>
      <c r="AO295" s="278"/>
      <c r="AP295" s="278"/>
      <c r="AQ295" s="278"/>
      <c r="AR295" s="278"/>
      <c r="AS295" s="278"/>
    </row>
    <row r="296" spans="1:45">
      <c r="A296" s="277"/>
      <c r="B296" s="298" t="b">
        <v>0</v>
      </c>
      <c r="C296" s="278"/>
      <c r="D296" s="299" t="b">
        <v>0</v>
      </c>
      <c r="E296" s="277"/>
      <c r="F296" s="298" t="b">
        <v>0</v>
      </c>
      <c r="G296" s="278"/>
      <c r="H296" s="299" t="b">
        <v>0</v>
      </c>
      <c r="I296" s="277"/>
      <c r="J296" s="278"/>
      <c r="K296" s="277"/>
      <c r="L296" s="278"/>
      <c r="M296" s="277"/>
      <c r="N296" s="278"/>
      <c r="O296" s="277"/>
      <c r="P296" s="278"/>
      <c r="Q296" s="277"/>
      <c r="R296" s="278"/>
      <c r="S296" s="277"/>
      <c r="T296" s="278"/>
      <c r="U296" s="277"/>
      <c r="V296" s="278"/>
      <c r="W296" s="277"/>
      <c r="X296" s="278"/>
      <c r="Y296" s="277"/>
      <c r="Z296" s="278"/>
      <c r="AA296" s="277"/>
      <c r="AB296" s="278"/>
      <c r="AC296" s="277"/>
      <c r="AD296" s="278"/>
      <c r="AE296" s="277"/>
      <c r="AF296" s="278"/>
      <c r="AG296" s="277"/>
      <c r="AH296" s="278"/>
      <c r="AI296" s="277"/>
      <c r="AJ296" s="278"/>
      <c r="AK296" s="277"/>
      <c r="AL296" s="278"/>
      <c r="AM296" s="277"/>
      <c r="AN296" s="278"/>
      <c r="AO296" s="278"/>
      <c r="AP296" s="278"/>
      <c r="AQ296" s="278"/>
      <c r="AR296" s="278"/>
      <c r="AS296" s="278"/>
    </row>
    <row r="297" spans="1:45">
      <c r="A297" s="277"/>
      <c r="B297" s="298" t="b">
        <v>0</v>
      </c>
      <c r="C297" s="278"/>
      <c r="D297" s="299" t="b">
        <v>0</v>
      </c>
      <c r="E297" s="277"/>
      <c r="F297" s="298" t="b">
        <v>0</v>
      </c>
      <c r="G297" s="278"/>
      <c r="H297" s="299" t="b">
        <v>0</v>
      </c>
      <c r="I297" s="277"/>
      <c r="J297" s="278"/>
      <c r="K297" s="277"/>
      <c r="L297" s="278"/>
      <c r="M297" s="277"/>
      <c r="N297" s="278"/>
      <c r="O297" s="277"/>
      <c r="P297" s="278"/>
      <c r="Q297" s="277"/>
      <c r="R297" s="278"/>
      <c r="S297" s="277"/>
      <c r="T297" s="278"/>
      <c r="U297" s="277"/>
      <c r="V297" s="278"/>
      <c r="W297" s="277"/>
      <c r="X297" s="278"/>
      <c r="Y297" s="277"/>
      <c r="Z297" s="278"/>
      <c r="AA297" s="277"/>
      <c r="AB297" s="278"/>
      <c r="AC297" s="277"/>
      <c r="AD297" s="278"/>
      <c r="AE297" s="277"/>
      <c r="AF297" s="278"/>
      <c r="AG297" s="277"/>
      <c r="AH297" s="278"/>
      <c r="AI297" s="277"/>
      <c r="AJ297" s="278"/>
      <c r="AK297" s="277"/>
      <c r="AL297" s="278"/>
      <c r="AM297" s="277"/>
      <c r="AN297" s="278"/>
      <c r="AO297" s="278"/>
      <c r="AP297" s="278"/>
      <c r="AQ297" s="278"/>
      <c r="AR297" s="278"/>
      <c r="AS297" s="278"/>
    </row>
    <row r="298" spans="1:45">
      <c r="A298" s="277"/>
      <c r="B298" s="298" t="b">
        <v>0</v>
      </c>
      <c r="C298" s="278"/>
      <c r="D298" s="299" t="b">
        <v>0</v>
      </c>
      <c r="E298" s="277"/>
      <c r="F298" s="298" t="b">
        <v>0</v>
      </c>
      <c r="G298" s="278"/>
      <c r="H298" s="299" t="b">
        <v>0</v>
      </c>
      <c r="I298" s="277"/>
      <c r="J298" s="278"/>
      <c r="K298" s="277"/>
      <c r="L298" s="278"/>
      <c r="M298" s="277"/>
      <c r="N298" s="278"/>
      <c r="O298" s="277"/>
      <c r="P298" s="278"/>
      <c r="Q298" s="277"/>
      <c r="R298" s="278"/>
      <c r="S298" s="277"/>
      <c r="T298" s="278"/>
      <c r="U298" s="277"/>
      <c r="V298" s="278"/>
      <c r="W298" s="277"/>
      <c r="X298" s="278"/>
      <c r="Y298" s="277"/>
      <c r="Z298" s="278"/>
      <c r="AA298" s="277"/>
      <c r="AB298" s="278"/>
      <c r="AC298" s="277"/>
      <c r="AD298" s="278"/>
      <c r="AE298" s="277"/>
      <c r="AF298" s="278"/>
      <c r="AG298" s="277"/>
      <c r="AH298" s="278"/>
      <c r="AI298" s="277"/>
      <c r="AJ298" s="278"/>
      <c r="AK298" s="277"/>
      <c r="AL298" s="278"/>
      <c r="AM298" s="277"/>
      <c r="AN298" s="278"/>
      <c r="AO298" s="278"/>
      <c r="AP298" s="278"/>
      <c r="AQ298" s="278"/>
      <c r="AR298" s="278"/>
      <c r="AS298" s="278"/>
    </row>
    <row r="299" spans="1:45">
      <c r="A299" s="277"/>
      <c r="B299" s="298" t="b">
        <v>0</v>
      </c>
      <c r="C299" s="278"/>
      <c r="D299" s="299" t="b">
        <v>0</v>
      </c>
      <c r="E299" s="277"/>
      <c r="F299" s="298" t="b">
        <v>0</v>
      </c>
      <c r="G299" s="278"/>
      <c r="H299" s="299" t="b">
        <v>0</v>
      </c>
      <c r="I299" s="277"/>
      <c r="J299" s="278"/>
      <c r="K299" s="277"/>
      <c r="L299" s="278"/>
      <c r="M299" s="277"/>
      <c r="N299" s="278"/>
      <c r="O299" s="277"/>
      <c r="P299" s="278"/>
      <c r="Q299" s="277"/>
      <c r="R299" s="278"/>
      <c r="S299" s="277"/>
      <c r="T299" s="278"/>
      <c r="U299" s="277"/>
      <c r="V299" s="278"/>
      <c r="W299" s="277"/>
      <c r="X299" s="278"/>
      <c r="Y299" s="277"/>
      <c r="Z299" s="278"/>
      <c r="AA299" s="277"/>
      <c r="AB299" s="278"/>
      <c r="AC299" s="277"/>
      <c r="AD299" s="278"/>
      <c r="AE299" s="277"/>
      <c r="AF299" s="278"/>
      <c r="AG299" s="277"/>
      <c r="AH299" s="278"/>
      <c r="AI299" s="277"/>
      <c r="AJ299" s="278"/>
      <c r="AK299" s="277"/>
      <c r="AL299" s="278"/>
      <c r="AM299" s="277"/>
      <c r="AN299" s="278"/>
      <c r="AO299" s="278"/>
      <c r="AP299" s="278"/>
      <c r="AQ299" s="278"/>
      <c r="AR299" s="278"/>
      <c r="AS299" s="278"/>
    </row>
    <row r="300" spans="1:45">
      <c r="A300" s="277"/>
      <c r="B300" s="298" t="b">
        <v>0</v>
      </c>
      <c r="C300" s="278"/>
      <c r="D300" s="299" t="b">
        <v>0</v>
      </c>
      <c r="E300" s="277"/>
      <c r="F300" s="298" t="b">
        <v>0</v>
      </c>
      <c r="G300" s="278"/>
      <c r="H300" s="299" t="b">
        <v>0</v>
      </c>
      <c r="I300" s="277"/>
      <c r="J300" s="278"/>
      <c r="K300" s="277"/>
      <c r="L300" s="278"/>
      <c r="M300" s="277"/>
      <c r="N300" s="278"/>
      <c r="O300" s="277"/>
      <c r="P300" s="278"/>
      <c r="Q300" s="277"/>
      <c r="R300" s="278"/>
      <c r="S300" s="277"/>
      <c r="T300" s="278"/>
      <c r="U300" s="277"/>
      <c r="V300" s="278"/>
      <c r="W300" s="277"/>
      <c r="X300" s="278"/>
      <c r="Y300" s="277"/>
      <c r="Z300" s="278"/>
      <c r="AA300" s="277"/>
      <c r="AB300" s="278"/>
      <c r="AC300" s="277"/>
      <c r="AD300" s="278"/>
      <c r="AE300" s="277"/>
      <c r="AF300" s="278"/>
      <c r="AG300" s="277"/>
      <c r="AH300" s="278"/>
      <c r="AI300" s="277"/>
      <c r="AJ300" s="278"/>
      <c r="AK300" s="277"/>
      <c r="AL300" s="278"/>
      <c r="AM300" s="277"/>
      <c r="AN300" s="278"/>
      <c r="AO300" s="278"/>
      <c r="AP300" s="278"/>
      <c r="AQ300" s="278"/>
      <c r="AR300" s="278"/>
      <c r="AS300" s="278"/>
    </row>
    <row r="301" spans="1:45">
      <c r="A301" s="277"/>
      <c r="B301" s="298" t="b">
        <v>0</v>
      </c>
      <c r="C301" s="278"/>
      <c r="D301" s="299" t="b">
        <v>0</v>
      </c>
      <c r="E301" s="277"/>
      <c r="F301" s="298" t="b">
        <v>0</v>
      </c>
      <c r="G301" s="278"/>
      <c r="H301" s="299" t="b">
        <v>0</v>
      </c>
      <c r="I301" s="277"/>
      <c r="J301" s="278"/>
      <c r="K301" s="277"/>
      <c r="L301" s="278"/>
      <c r="M301" s="277"/>
      <c r="N301" s="278"/>
      <c r="O301" s="277"/>
      <c r="P301" s="278"/>
      <c r="Q301" s="277"/>
      <c r="R301" s="278"/>
      <c r="S301" s="277"/>
      <c r="T301" s="278"/>
      <c r="U301" s="277"/>
      <c r="V301" s="278"/>
      <c r="W301" s="277"/>
      <c r="X301" s="278"/>
      <c r="Y301" s="277"/>
      <c r="Z301" s="278"/>
      <c r="AA301" s="277"/>
      <c r="AB301" s="278"/>
      <c r="AC301" s="277"/>
      <c r="AD301" s="278"/>
      <c r="AE301" s="277"/>
      <c r="AF301" s="278"/>
      <c r="AG301" s="277"/>
      <c r="AH301" s="278"/>
      <c r="AI301" s="277"/>
      <c r="AJ301" s="278"/>
      <c r="AK301" s="277"/>
      <c r="AL301" s="278"/>
      <c r="AM301" s="277"/>
      <c r="AN301" s="278"/>
      <c r="AO301" s="278"/>
      <c r="AP301" s="278"/>
      <c r="AQ301" s="278"/>
      <c r="AR301" s="278"/>
      <c r="AS301" s="278"/>
    </row>
    <row r="302" spans="1:45">
      <c r="A302" s="277"/>
      <c r="B302" s="298" t="b">
        <v>0</v>
      </c>
      <c r="C302" s="278"/>
      <c r="D302" s="299" t="b">
        <v>0</v>
      </c>
      <c r="E302" s="277"/>
      <c r="F302" s="298" t="b">
        <v>0</v>
      </c>
      <c r="G302" s="278"/>
      <c r="H302" s="299" t="b">
        <v>0</v>
      </c>
      <c r="I302" s="277"/>
      <c r="J302" s="278"/>
      <c r="K302" s="277"/>
      <c r="L302" s="278"/>
      <c r="M302" s="277"/>
      <c r="N302" s="278"/>
      <c r="O302" s="277"/>
      <c r="P302" s="278"/>
      <c r="Q302" s="277"/>
      <c r="R302" s="278"/>
      <c r="S302" s="277"/>
      <c r="T302" s="278"/>
      <c r="U302" s="277"/>
      <c r="V302" s="278"/>
      <c r="W302" s="277"/>
      <c r="X302" s="278"/>
      <c r="Y302" s="277"/>
      <c r="Z302" s="278"/>
      <c r="AA302" s="277"/>
      <c r="AB302" s="278"/>
      <c r="AC302" s="277"/>
      <c r="AD302" s="278"/>
      <c r="AE302" s="277"/>
      <c r="AF302" s="278"/>
      <c r="AG302" s="277"/>
      <c r="AH302" s="278"/>
      <c r="AI302" s="277"/>
      <c r="AJ302" s="278"/>
      <c r="AK302" s="277"/>
      <c r="AL302" s="278"/>
      <c r="AM302" s="277"/>
      <c r="AN302" s="278"/>
      <c r="AO302" s="278"/>
      <c r="AP302" s="278"/>
      <c r="AQ302" s="278"/>
      <c r="AR302" s="278"/>
      <c r="AS302" s="278"/>
    </row>
    <row r="303" spans="1:45">
      <c r="A303" s="277"/>
      <c r="B303" s="298" t="b">
        <v>0</v>
      </c>
      <c r="C303" s="278"/>
      <c r="D303" s="299" t="b">
        <v>0</v>
      </c>
      <c r="E303" s="277"/>
      <c r="F303" s="298" t="b">
        <v>0</v>
      </c>
      <c r="G303" s="278"/>
      <c r="H303" s="299" t="b">
        <v>0</v>
      </c>
      <c r="I303" s="277"/>
      <c r="J303" s="278"/>
      <c r="K303" s="277"/>
      <c r="L303" s="278"/>
      <c r="M303" s="277"/>
      <c r="N303" s="278"/>
      <c r="O303" s="277"/>
      <c r="P303" s="278"/>
      <c r="Q303" s="277"/>
      <c r="R303" s="278"/>
      <c r="S303" s="277"/>
      <c r="T303" s="278"/>
      <c r="U303" s="277"/>
      <c r="V303" s="278"/>
      <c r="W303" s="277"/>
      <c r="X303" s="278"/>
      <c r="Y303" s="277"/>
      <c r="Z303" s="278"/>
      <c r="AA303" s="277"/>
      <c r="AB303" s="278"/>
      <c r="AC303" s="277"/>
      <c r="AD303" s="278"/>
      <c r="AE303" s="277"/>
      <c r="AF303" s="278"/>
      <c r="AG303" s="277"/>
      <c r="AH303" s="278"/>
      <c r="AI303" s="277"/>
      <c r="AJ303" s="278"/>
      <c r="AK303" s="277"/>
      <c r="AL303" s="278"/>
      <c r="AM303" s="277"/>
      <c r="AN303" s="278"/>
      <c r="AO303" s="278"/>
      <c r="AP303" s="278"/>
      <c r="AQ303" s="278"/>
      <c r="AR303" s="278"/>
      <c r="AS303" s="278"/>
    </row>
    <row r="304" spans="1:45">
      <c r="A304" s="277"/>
      <c r="B304" s="298" t="b">
        <v>0</v>
      </c>
      <c r="C304" s="278"/>
      <c r="D304" s="299" t="b">
        <v>0</v>
      </c>
      <c r="E304" s="277"/>
      <c r="F304" s="298" t="b">
        <v>0</v>
      </c>
      <c r="G304" s="278"/>
      <c r="H304" s="299" t="b">
        <v>0</v>
      </c>
      <c r="I304" s="277"/>
      <c r="J304" s="278"/>
      <c r="K304" s="277"/>
      <c r="L304" s="278"/>
      <c r="M304" s="277"/>
      <c r="N304" s="278"/>
      <c r="O304" s="277"/>
      <c r="P304" s="278"/>
      <c r="Q304" s="277"/>
      <c r="R304" s="278"/>
      <c r="S304" s="277"/>
      <c r="T304" s="278"/>
      <c r="U304" s="277"/>
      <c r="V304" s="278"/>
      <c r="W304" s="277"/>
      <c r="X304" s="278"/>
      <c r="Y304" s="277"/>
      <c r="Z304" s="278"/>
      <c r="AA304" s="277"/>
      <c r="AB304" s="278"/>
      <c r="AC304" s="277"/>
      <c r="AD304" s="278"/>
      <c r="AE304" s="277"/>
      <c r="AF304" s="278"/>
      <c r="AG304" s="277"/>
      <c r="AH304" s="278"/>
      <c r="AI304" s="277"/>
      <c r="AJ304" s="278"/>
      <c r="AK304" s="277"/>
      <c r="AL304" s="278"/>
      <c r="AM304" s="277"/>
      <c r="AN304" s="278"/>
      <c r="AO304" s="278"/>
      <c r="AP304" s="278"/>
      <c r="AQ304" s="278"/>
      <c r="AR304" s="278"/>
      <c r="AS304" s="278"/>
    </row>
    <row r="305" spans="1:45">
      <c r="A305" s="277"/>
      <c r="B305" s="298" t="b">
        <v>0</v>
      </c>
      <c r="C305" s="278"/>
      <c r="D305" s="299" t="b">
        <v>0</v>
      </c>
      <c r="E305" s="277"/>
      <c r="F305" s="298" t="b">
        <v>0</v>
      </c>
      <c r="G305" s="278"/>
      <c r="H305" s="299" t="b">
        <v>0</v>
      </c>
      <c r="I305" s="277"/>
      <c r="J305" s="278"/>
      <c r="K305" s="277"/>
      <c r="L305" s="278"/>
      <c r="M305" s="277"/>
      <c r="N305" s="278"/>
      <c r="O305" s="277"/>
      <c r="P305" s="278"/>
      <c r="Q305" s="277"/>
      <c r="R305" s="278"/>
      <c r="S305" s="277"/>
      <c r="T305" s="278"/>
      <c r="U305" s="277"/>
      <c r="V305" s="278"/>
      <c r="W305" s="277"/>
      <c r="X305" s="278"/>
      <c r="Y305" s="277"/>
      <c r="Z305" s="278"/>
      <c r="AA305" s="277"/>
      <c r="AB305" s="278"/>
      <c r="AC305" s="277"/>
      <c r="AD305" s="278"/>
      <c r="AE305" s="277"/>
      <c r="AF305" s="278"/>
      <c r="AG305" s="277"/>
      <c r="AH305" s="278"/>
      <c r="AI305" s="277"/>
      <c r="AJ305" s="278"/>
      <c r="AK305" s="277"/>
      <c r="AL305" s="278"/>
      <c r="AM305" s="277"/>
      <c r="AN305" s="278"/>
      <c r="AO305" s="278"/>
      <c r="AP305" s="278"/>
      <c r="AQ305" s="278"/>
      <c r="AR305" s="278"/>
      <c r="AS305" s="278"/>
    </row>
    <row r="306" spans="1:45">
      <c r="A306" s="277"/>
      <c r="B306" s="298" t="b">
        <v>0</v>
      </c>
      <c r="C306" s="278"/>
      <c r="D306" s="299" t="b">
        <v>0</v>
      </c>
      <c r="E306" s="277"/>
      <c r="F306" s="298" t="b">
        <v>0</v>
      </c>
      <c r="G306" s="278"/>
      <c r="H306" s="299" t="b">
        <v>0</v>
      </c>
      <c r="I306" s="277"/>
      <c r="J306" s="278"/>
      <c r="K306" s="277"/>
      <c r="L306" s="278"/>
      <c r="M306" s="277"/>
      <c r="N306" s="278"/>
      <c r="O306" s="277"/>
      <c r="P306" s="278"/>
      <c r="Q306" s="277"/>
      <c r="R306" s="278"/>
      <c r="S306" s="277"/>
      <c r="T306" s="278"/>
      <c r="U306" s="277"/>
      <c r="V306" s="278"/>
      <c r="W306" s="277"/>
      <c r="X306" s="278"/>
      <c r="Y306" s="277"/>
      <c r="Z306" s="278"/>
      <c r="AA306" s="277"/>
      <c r="AB306" s="278"/>
      <c r="AC306" s="277"/>
      <c r="AD306" s="278"/>
      <c r="AE306" s="277"/>
      <c r="AF306" s="278"/>
      <c r="AG306" s="277"/>
      <c r="AH306" s="278"/>
      <c r="AI306" s="277"/>
      <c r="AJ306" s="278"/>
      <c r="AK306" s="277"/>
      <c r="AL306" s="278"/>
      <c r="AM306" s="277"/>
      <c r="AN306" s="278"/>
      <c r="AO306" s="278"/>
      <c r="AP306" s="278"/>
      <c r="AQ306" s="278"/>
      <c r="AR306" s="278"/>
      <c r="AS306" s="278"/>
    </row>
    <row r="307" spans="1:45">
      <c r="A307" s="277"/>
      <c r="B307" s="298" t="b">
        <v>0</v>
      </c>
      <c r="C307" s="278"/>
      <c r="D307" s="299" t="b">
        <v>0</v>
      </c>
      <c r="E307" s="277"/>
      <c r="F307" s="298" t="b">
        <v>0</v>
      </c>
      <c r="G307" s="278"/>
      <c r="H307" s="299" t="b">
        <v>0</v>
      </c>
      <c r="I307" s="277"/>
      <c r="J307" s="278"/>
      <c r="K307" s="277"/>
      <c r="L307" s="278"/>
      <c r="M307" s="277"/>
      <c r="N307" s="278"/>
      <c r="O307" s="277"/>
      <c r="P307" s="278"/>
      <c r="Q307" s="277"/>
      <c r="R307" s="278"/>
      <c r="S307" s="277"/>
      <c r="T307" s="278"/>
      <c r="U307" s="277"/>
      <c r="V307" s="278"/>
      <c r="W307" s="277"/>
      <c r="X307" s="278"/>
      <c r="Y307" s="277"/>
      <c r="Z307" s="278"/>
      <c r="AA307" s="277"/>
      <c r="AB307" s="278"/>
      <c r="AC307" s="277"/>
      <c r="AD307" s="278"/>
      <c r="AE307" s="277"/>
      <c r="AF307" s="278"/>
      <c r="AG307" s="277"/>
      <c r="AH307" s="278"/>
      <c r="AI307" s="277"/>
      <c r="AJ307" s="278"/>
      <c r="AK307" s="277"/>
      <c r="AL307" s="278"/>
      <c r="AM307" s="277"/>
      <c r="AN307" s="278"/>
      <c r="AO307" s="278"/>
      <c r="AP307" s="278"/>
      <c r="AQ307" s="278"/>
      <c r="AR307" s="278"/>
      <c r="AS307" s="278"/>
    </row>
    <row r="308" spans="1:45">
      <c r="A308" s="277"/>
      <c r="B308" s="298" t="b">
        <v>0</v>
      </c>
      <c r="C308" s="278"/>
      <c r="D308" s="299" t="b">
        <v>0</v>
      </c>
      <c r="E308" s="277"/>
      <c r="F308" s="298" t="b">
        <v>0</v>
      </c>
      <c r="G308" s="278"/>
      <c r="H308" s="299" t="b">
        <v>0</v>
      </c>
      <c r="I308" s="277"/>
      <c r="J308" s="278"/>
      <c r="K308" s="277"/>
      <c r="L308" s="278"/>
      <c r="M308" s="277"/>
      <c r="N308" s="278"/>
      <c r="O308" s="277"/>
      <c r="P308" s="278"/>
      <c r="Q308" s="277"/>
      <c r="R308" s="278"/>
      <c r="S308" s="277"/>
      <c r="T308" s="278"/>
      <c r="U308" s="277"/>
      <c r="V308" s="278"/>
      <c r="W308" s="277"/>
      <c r="X308" s="278"/>
      <c r="Y308" s="277"/>
      <c r="Z308" s="278"/>
      <c r="AA308" s="277"/>
      <c r="AB308" s="278"/>
      <c r="AC308" s="277"/>
      <c r="AD308" s="278"/>
      <c r="AE308" s="277"/>
      <c r="AF308" s="278"/>
      <c r="AG308" s="277"/>
      <c r="AH308" s="278"/>
      <c r="AI308" s="277"/>
      <c r="AJ308" s="278"/>
      <c r="AK308" s="277"/>
      <c r="AL308" s="278"/>
      <c r="AM308" s="277"/>
      <c r="AN308" s="278"/>
      <c r="AO308" s="278"/>
      <c r="AP308" s="278"/>
      <c r="AQ308" s="278"/>
      <c r="AR308" s="278"/>
      <c r="AS308" s="278"/>
    </row>
    <row r="309" spans="1:45">
      <c r="A309" s="277"/>
      <c r="B309" s="298" t="b">
        <v>0</v>
      </c>
      <c r="C309" s="278"/>
      <c r="D309" s="299" t="b">
        <v>0</v>
      </c>
      <c r="E309" s="277"/>
      <c r="F309" s="298" t="b">
        <v>0</v>
      </c>
      <c r="G309" s="278"/>
      <c r="H309" s="299" t="b">
        <v>0</v>
      </c>
      <c r="I309" s="277"/>
      <c r="J309" s="278"/>
      <c r="K309" s="277"/>
      <c r="L309" s="278"/>
      <c r="M309" s="277"/>
      <c r="N309" s="278"/>
      <c r="O309" s="277"/>
      <c r="P309" s="278"/>
      <c r="Q309" s="277"/>
      <c r="R309" s="278"/>
      <c r="S309" s="277"/>
      <c r="T309" s="278"/>
      <c r="U309" s="277"/>
      <c r="V309" s="278"/>
      <c r="W309" s="277"/>
      <c r="X309" s="278"/>
      <c r="Y309" s="277"/>
      <c r="Z309" s="278"/>
      <c r="AA309" s="277"/>
      <c r="AB309" s="278"/>
      <c r="AC309" s="277"/>
      <c r="AD309" s="278"/>
      <c r="AE309" s="277"/>
      <c r="AF309" s="278"/>
      <c r="AG309" s="277"/>
      <c r="AH309" s="278"/>
      <c r="AI309" s="277"/>
      <c r="AJ309" s="278"/>
      <c r="AK309" s="277"/>
      <c r="AL309" s="278"/>
      <c r="AM309" s="277"/>
      <c r="AN309" s="278"/>
      <c r="AO309" s="278"/>
      <c r="AP309" s="278"/>
      <c r="AQ309" s="278"/>
      <c r="AR309" s="278"/>
      <c r="AS309" s="278"/>
    </row>
    <row r="310" spans="1:45">
      <c r="A310" s="277"/>
      <c r="B310" s="298" t="b">
        <v>0</v>
      </c>
      <c r="C310" s="278"/>
      <c r="D310" s="299" t="b">
        <v>0</v>
      </c>
      <c r="E310" s="277"/>
      <c r="F310" s="298" t="b">
        <v>0</v>
      </c>
      <c r="G310" s="278"/>
      <c r="H310" s="299" t="b">
        <v>0</v>
      </c>
      <c r="I310" s="277"/>
      <c r="J310" s="278"/>
      <c r="K310" s="277"/>
      <c r="L310" s="278"/>
      <c r="M310" s="277"/>
      <c r="N310" s="278"/>
      <c r="O310" s="277"/>
      <c r="P310" s="278"/>
      <c r="Q310" s="277"/>
      <c r="R310" s="278"/>
      <c r="S310" s="277"/>
      <c r="T310" s="278"/>
      <c r="U310" s="277"/>
      <c r="V310" s="278"/>
      <c r="W310" s="277"/>
      <c r="X310" s="278"/>
      <c r="Y310" s="277"/>
      <c r="Z310" s="278"/>
      <c r="AA310" s="277"/>
      <c r="AB310" s="278"/>
      <c r="AC310" s="277"/>
      <c r="AD310" s="278"/>
      <c r="AE310" s="277"/>
      <c r="AF310" s="278"/>
      <c r="AG310" s="277"/>
      <c r="AH310" s="278"/>
      <c r="AI310" s="277"/>
      <c r="AJ310" s="278"/>
      <c r="AK310" s="277"/>
      <c r="AL310" s="278"/>
      <c r="AM310" s="277"/>
      <c r="AN310" s="278"/>
      <c r="AO310" s="278"/>
      <c r="AP310" s="278"/>
      <c r="AQ310" s="278"/>
      <c r="AR310" s="278"/>
      <c r="AS310" s="278"/>
    </row>
    <row r="311" spans="1:45">
      <c r="A311" s="277"/>
      <c r="B311" s="298" t="b">
        <v>0</v>
      </c>
      <c r="C311" s="278"/>
      <c r="D311" s="299" t="b">
        <v>0</v>
      </c>
      <c r="E311" s="277"/>
      <c r="F311" s="298" t="b">
        <v>0</v>
      </c>
      <c r="G311" s="278"/>
      <c r="H311" s="299" t="b">
        <v>0</v>
      </c>
      <c r="I311" s="277"/>
      <c r="J311" s="278"/>
      <c r="K311" s="277"/>
      <c r="L311" s="278"/>
      <c r="M311" s="277"/>
      <c r="N311" s="278"/>
      <c r="O311" s="277"/>
      <c r="P311" s="278"/>
      <c r="Q311" s="277"/>
      <c r="R311" s="278"/>
      <c r="S311" s="277"/>
      <c r="T311" s="278"/>
      <c r="U311" s="277"/>
      <c r="V311" s="278"/>
      <c r="W311" s="277"/>
      <c r="X311" s="278"/>
      <c r="Y311" s="277"/>
      <c r="Z311" s="278"/>
      <c r="AA311" s="277"/>
      <c r="AB311" s="278"/>
      <c r="AC311" s="277"/>
      <c r="AD311" s="278"/>
      <c r="AE311" s="277"/>
      <c r="AF311" s="278"/>
      <c r="AG311" s="277"/>
      <c r="AH311" s="278"/>
      <c r="AI311" s="277"/>
      <c r="AJ311" s="278"/>
      <c r="AK311" s="277"/>
      <c r="AL311" s="278"/>
      <c r="AM311" s="277"/>
      <c r="AN311" s="278"/>
      <c r="AO311" s="278"/>
      <c r="AP311" s="278"/>
      <c r="AQ311" s="278"/>
      <c r="AR311" s="278"/>
      <c r="AS311" s="278"/>
    </row>
    <row r="312" spans="1:45">
      <c r="A312" s="277"/>
      <c r="B312" s="298" t="b">
        <v>0</v>
      </c>
      <c r="C312" s="278"/>
      <c r="D312" s="299" t="b">
        <v>0</v>
      </c>
      <c r="E312" s="277"/>
      <c r="F312" s="298" t="b">
        <v>0</v>
      </c>
      <c r="G312" s="278"/>
      <c r="H312" s="299" t="b">
        <v>0</v>
      </c>
      <c r="I312" s="277"/>
      <c r="J312" s="278"/>
      <c r="K312" s="277"/>
      <c r="L312" s="278"/>
      <c r="M312" s="277"/>
      <c r="N312" s="278"/>
      <c r="O312" s="277"/>
      <c r="P312" s="278"/>
      <c r="Q312" s="277"/>
      <c r="R312" s="278"/>
      <c r="S312" s="277"/>
      <c r="T312" s="278"/>
      <c r="U312" s="277"/>
      <c r="V312" s="278"/>
      <c r="W312" s="277"/>
      <c r="X312" s="278"/>
      <c r="Y312" s="277"/>
      <c r="Z312" s="278"/>
      <c r="AA312" s="277"/>
      <c r="AB312" s="278"/>
      <c r="AC312" s="277"/>
      <c r="AD312" s="278"/>
      <c r="AE312" s="277"/>
      <c r="AF312" s="278"/>
      <c r="AG312" s="277"/>
      <c r="AH312" s="278"/>
      <c r="AI312" s="277"/>
      <c r="AJ312" s="278"/>
      <c r="AK312" s="277"/>
      <c r="AL312" s="278"/>
      <c r="AM312" s="277"/>
      <c r="AN312" s="278"/>
      <c r="AO312" s="278"/>
      <c r="AP312" s="278"/>
      <c r="AQ312" s="278"/>
      <c r="AR312" s="278"/>
      <c r="AS312" s="278"/>
    </row>
    <row r="313" spans="1:45">
      <c r="A313" s="277"/>
      <c r="B313" s="298" t="b">
        <v>0</v>
      </c>
      <c r="C313" s="278"/>
      <c r="D313" s="299" t="b">
        <v>0</v>
      </c>
      <c r="E313" s="277"/>
      <c r="F313" s="298" t="b">
        <v>0</v>
      </c>
      <c r="G313" s="278"/>
      <c r="H313" s="299" t="b">
        <v>0</v>
      </c>
      <c r="I313" s="277"/>
      <c r="J313" s="278"/>
      <c r="K313" s="277"/>
      <c r="L313" s="278"/>
      <c r="M313" s="277"/>
      <c r="N313" s="278"/>
      <c r="O313" s="277"/>
      <c r="P313" s="278"/>
      <c r="Q313" s="277"/>
      <c r="R313" s="278"/>
      <c r="S313" s="277"/>
      <c r="T313" s="278"/>
      <c r="U313" s="277"/>
      <c r="V313" s="278"/>
      <c r="W313" s="277"/>
      <c r="X313" s="278"/>
      <c r="Y313" s="277"/>
      <c r="Z313" s="278"/>
      <c r="AA313" s="277"/>
      <c r="AB313" s="278"/>
      <c r="AC313" s="277"/>
      <c r="AD313" s="278"/>
      <c r="AE313" s="277"/>
      <c r="AF313" s="278"/>
      <c r="AG313" s="277"/>
      <c r="AH313" s="278"/>
      <c r="AI313" s="277"/>
      <c r="AJ313" s="278"/>
      <c r="AK313" s="277"/>
      <c r="AL313" s="278"/>
      <c r="AM313" s="277"/>
      <c r="AN313" s="278"/>
      <c r="AO313" s="278"/>
      <c r="AP313" s="278"/>
      <c r="AQ313" s="278"/>
      <c r="AR313" s="278"/>
      <c r="AS313" s="278"/>
    </row>
    <row r="314" spans="1:45">
      <c r="A314" s="277"/>
      <c r="B314" s="298" t="b">
        <v>0</v>
      </c>
      <c r="C314" s="278"/>
      <c r="D314" s="299" t="b">
        <v>0</v>
      </c>
      <c r="E314" s="277"/>
      <c r="F314" s="298" t="b">
        <v>0</v>
      </c>
      <c r="G314" s="278"/>
      <c r="H314" s="299" t="b">
        <v>0</v>
      </c>
      <c r="I314" s="277"/>
      <c r="J314" s="278"/>
      <c r="K314" s="277"/>
      <c r="L314" s="278"/>
      <c r="M314" s="277"/>
      <c r="N314" s="278"/>
      <c r="O314" s="277"/>
      <c r="P314" s="278"/>
      <c r="Q314" s="277"/>
      <c r="R314" s="278"/>
      <c r="S314" s="277"/>
      <c r="T314" s="278"/>
      <c r="U314" s="277"/>
      <c r="V314" s="278"/>
      <c r="W314" s="277"/>
      <c r="X314" s="278"/>
      <c r="Y314" s="277"/>
      <c r="Z314" s="278"/>
      <c r="AA314" s="277"/>
      <c r="AB314" s="278"/>
      <c r="AC314" s="277"/>
      <c r="AD314" s="278"/>
      <c r="AE314" s="277"/>
      <c r="AF314" s="278"/>
      <c r="AG314" s="277"/>
      <c r="AH314" s="278"/>
      <c r="AI314" s="277"/>
      <c r="AJ314" s="278"/>
      <c r="AK314" s="277"/>
      <c r="AL314" s="278"/>
      <c r="AM314" s="277"/>
      <c r="AN314" s="278"/>
      <c r="AO314" s="278"/>
      <c r="AP314" s="278"/>
      <c r="AQ314" s="278"/>
      <c r="AR314" s="278"/>
      <c r="AS314" s="278"/>
    </row>
    <row r="315" spans="1:45">
      <c r="A315" s="277"/>
      <c r="B315" s="298" t="b">
        <v>0</v>
      </c>
      <c r="C315" s="278"/>
      <c r="D315" s="299" t="b">
        <v>0</v>
      </c>
      <c r="E315" s="277"/>
      <c r="F315" s="298" t="b">
        <v>0</v>
      </c>
      <c r="G315" s="278"/>
      <c r="H315" s="299" t="b">
        <v>0</v>
      </c>
      <c r="I315" s="277"/>
      <c r="J315" s="278"/>
      <c r="K315" s="277"/>
      <c r="L315" s="278"/>
      <c r="M315" s="277"/>
      <c r="N315" s="278"/>
      <c r="O315" s="277"/>
      <c r="P315" s="278"/>
      <c r="Q315" s="277"/>
      <c r="R315" s="278"/>
      <c r="S315" s="277"/>
      <c r="T315" s="278"/>
      <c r="U315" s="277"/>
      <c r="V315" s="278"/>
      <c r="W315" s="277"/>
      <c r="X315" s="278"/>
      <c r="Y315" s="277"/>
      <c r="Z315" s="278"/>
      <c r="AA315" s="277"/>
      <c r="AB315" s="278"/>
      <c r="AC315" s="277"/>
      <c r="AD315" s="278"/>
      <c r="AE315" s="277"/>
      <c r="AF315" s="278"/>
      <c r="AG315" s="277"/>
      <c r="AH315" s="278"/>
      <c r="AI315" s="277"/>
      <c r="AJ315" s="278"/>
      <c r="AK315" s="277"/>
      <c r="AL315" s="278"/>
      <c r="AM315" s="277"/>
      <c r="AN315" s="278"/>
      <c r="AO315" s="278"/>
      <c r="AP315" s="278"/>
      <c r="AQ315" s="278"/>
      <c r="AR315" s="278"/>
      <c r="AS315" s="278"/>
    </row>
    <row r="316" spans="1:45">
      <c r="A316" s="277"/>
      <c r="B316" s="298" t="b">
        <v>0</v>
      </c>
      <c r="C316" s="278"/>
      <c r="D316" s="299" t="b">
        <v>0</v>
      </c>
      <c r="E316" s="277"/>
      <c r="F316" s="298" t="b">
        <v>0</v>
      </c>
      <c r="G316" s="278"/>
      <c r="H316" s="299" t="b">
        <v>0</v>
      </c>
      <c r="I316" s="277"/>
      <c r="J316" s="278"/>
      <c r="K316" s="277"/>
      <c r="L316" s="278"/>
      <c r="M316" s="277"/>
      <c r="N316" s="278"/>
      <c r="O316" s="277"/>
      <c r="P316" s="278"/>
      <c r="Q316" s="277"/>
      <c r="R316" s="278"/>
      <c r="S316" s="277"/>
      <c r="T316" s="278"/>
      <c r="U316" s="277"/>
      <c r="V316" s="278"/>
      <c r="W316" s="277"/>
      <c r="X316" s="278"/>
      <c r="Y316" s="277"/>
      <c r="Z316" s="278"/>
      <c r="AA316" s="277"/>
      <c r="AB316" s="278"/>
      <c r="AC316" s="277"/>
      <c r="AD316" s="278"/>
      <c r="AE316" s="277"/>
      <c r="AF316" s="278"/>
      <c r="AG316" s="277"/>
      <c r="AH316" s="278"/>
      <c r="AI316" s="277"/>
      <c r="AJ316" s="278"/>
      <c r="AK316" s="277"/>
      <c r="AL316" s="278"/>
      <c r="AM316" s="277"/>
      <c r="AN316" s="278"/>
      <c r="AO316" s="278"/>
      <c r="AP316" s="278"/>
      <c r="AQ316" s="278"/>
      <c r="AR316" s="278"/>
      <c r="AS316" s="278"/>
    </row>
    <row r="317" spans="1:45">
      <c r="A317" s="277"/>
      <c r="B317" s="298" t="b">
        <v>0</v>
      </c>
      <c r="C317" s="278"/>
      <c r="D317" s="299" t="b">
        <v>0</v>
      </c>
      <c r="E317" s="277"/>
      <c r="F317" s="298" t="b">
        <v>0</v>
      </c>
      <c r="G317" s="278"/>
      <c r="H317" s="299" t="b">
        <v>0</v>
      </c>
      <c r="I317" s="277"/>
      <c r="J317" s="278"/>
      <c r="K317" s="277"/>
      <c r="L317" s="278"/>
      <c r="M317" s="277"/>
      <c r="N317" s="278"/>
      <c r="O317" s="277"/>
      <c r="P317" s="278"/>
      <c r="Q317" s="277"/>
      <c r="R317" s="278"/>
      <c r="S317" s="277"/>
      <c r="T317" s="278"/>
      <c r="U317" s="277"/>
      <c r="V317" s="278"/>
      <c r="W317" s="277"/>
      <c r="X317" s="278"/>
      <c r="Y317" s="277"/>
      <c r="Z317" s="278"/>
      <c r="AA317" s="277"/>
      <c r="AB317" s="278"/>
      <c r="AC317" s="277"/>
      <c r="AD317" s="278"/>
      <c r="AE317" s="277"/>
      <c r="AF317" s="278"/>
      <c r="AG317" s="277"/>
      <c r="AH317" s="278"/>
      <c r="AI317" s="277"/>
      <c r="AJ317" s="278"/>
      <c r="AK317" s="277"/>
      <c r="AL317" s="278"/>
      <c r="AM317" s="277"/>
      <c r="AN317" s="278"/>
      <c r="AO317" s="278"/>
      <c r="AP317" s="278"/>
      <c r="AQ317" s="278"/>
      <c r="AR317" s="278"/>
      <c r="AS317" s="278"/>
    </row>
    <row r="318" spans="1:45">
      <c r="A318" s="277"/>
      <c r="B318" s="298" t="b">
        <v>0</v>
      </c>
      <c r="C318" s="278"/>
      <c r="D318" s="299" t="b">
        <v>0</v>
      </c>
      <c r="E318" s="277"/>
      <c r="F318" s="298" t="b">
        <v>0</v>
      </c>
      <c r="G318" s="278"/>
      <c r="H318" s="299" t="b">
        <v>0</v>
      </c>
      <c r="I318" s="277"/>
      <c r="J318" s="278"/>
      <c r="K318" s="277"/>
      <c r="L318" s="278"/>
      <c r="M318" s="277"/>
      <c r="N318" s="278"/>
      <c r="O318" s="277"/>
      <c r="P318" s="278"/>
      <c r="Q318" s="277"/>
      <c r="R318" s="278"/>
      <c r="S318" s="277"/>
      <c r="T318" s="278"/>
      <c r="U318" s="277"/>
      <c r="V318" s="278"/>
      <c r="W318" s="277"/>
      <c r="X318" s="278"/>
      <c r="Y318" s="277"/>
      <c r="Z318" s="278"/>
      <c r="AA318" s="277"/>
      <c r="AB318" s="278"/>
      <c r="AC318" s="277"/>
      <c r="AD318" s="278"/>
      <c r="AE318" s="277"/>
      <c r="AF318" s="278"/>
      <c r="AG318" s="277"/>
      <c r="AH318" s="278"/>
      <c r="AI318" s="277"/>
      <c r="AJ318" s="278"/>
      <c r="AK318" s="277"/>
      <c r="AL318" s="278"/>
      <c r="AM318" s="277"/>
      <c r="AN318" s="278"/>
      <c r="AO318" s="278"/>
      <c r="AP318" s="278"/>
      <c r="AQ318" s="278"/>
      <c r="AR318" s="278"/>
      <c r="AS318" s="278"/>
    </row>
    <row r="319" spans="1:45">
      <c r="A319" s="277"/>
      <c r="B319" s="298" t="b">
        <v>0</v>
      </c>
      <c r="C319" s="278"/>
      <c r="D319" s="299" t="b">
        <v>0</v>
      </c>
      <c r="E319" s="277"/>
      <c r="F319" s="298" t="b">
        <v>0</v>
      </c>
      <c r="G319" s="278"/>
      <c r="H319" s="299" t="b">
        <v>0</v>
      </c>
      <c r="I319" s="277"/>
      <c r="J319" s="278"/>
      <c r="K319" s="277"/>
      <c r="L319" s="278"/>
      <c r="M319" s="277"/>
      <c r="N319" s="278"/>
      <c r="O319" s="277"/>
      <c r="P319" s="278"/>
      <c r="Q319" s="277"/>
      <c r="R319" s="278"/>
      <c r="S319" s="277"/>
      <c r="T319" s="278"/>
      <c r="U319" s="277"/>
      <c r="V319" s="278"/>
      <c r="W319" s="277"/>
      <c r="X319" s="278"/>
      <c r="Y319" s="277"/>
      <c r="Z319" s="278"/>
      <c r="AA319" s="277"/>
      <c r="AB319" s="278"/>
      <c r="AC319" s="277"/>
      <c r="AD319" s="278"/>
      <c r="AE319" s="277"/>
      <c r="AF319" s="278"/>
      <c r="AG319" s="277"/>
      <c r="AH319" s="278"/>
      <c r="AI319" s="277"/>
      <c r="AJ319" s="278"/>
      <c r="AK319" s="277"/>
      <c r="AL319" s="278"/>
      <c r="AM319" s="277"/>
      <c r="AN319" s="278"/>
      <c r="AO319" s="278"/>
      <c r="AP319" s="278"/>
      <c r="AQ319" s="278"/>
      <c r="AR319" s="278"/>
      <c r="AS319" s="278"/>
    </row>
    <row r="320" spans="1:45">
      <c r="A320" s="277"/>
      <c r="B320" s="298" t="b">
        <v>0</v>
      </c>
      <c r="C320" s="278"/>
      <c r="D320" s="299" t="b">
        <v>0</v>
      </c>
      <c r="E320" s="277"/>
      <c r="F320" s="298" t="b">
        <v>0</v>
      </c>
      <c r="G320" s="278"/>
      <c r="H320" s="299" t="b">
        <v>0</v>
      </c>
      <c r="I320" s="277"/>
      <c r="J320" s="278"/>
      <c r="K320" s="277"/>
      <c r="L320" s="278"/>
      <c r="M320" s="277"/>
      <c r="N320" s="278"/>
      <c r="O320" s="277"/>
      <c r="P320" s="278"/>
      <c r="Q320" s="277"/>
      <c r="R320" s="278"/>
      <c r="S320" s="277"/>
      <c r="T320" s="278"/>
      <c r="U320" s="277"/>
      <c r="V320" s="278"/>
      <c r="W320" s="277"/>
      <c r="X320" s="278"/>
      <c r="Y320" s="277"/>
      <c r="Z320" s="278"/>
      <c r="AA320" s="277"/>
      <c r="AB320" s="278"/>
      <c r="AC320" s="277"/>
      <c r="AD320" s="278"/>
      <c r="AE320" s="277"/>
      <c r="AF320" s="278"/>
      <c r="AG320" s="277"/>
      <c r="AH320" s="278"/>
      <c r="AI320" s="277"/>
      <c r="AJ320" s="278"/>
      <c r="AK320" s="277"/>
      <c r="AL320" s="278"/>
      <c r="AM320" s="277"/>
      <c r="AN320" s="278"/>
      <c r="AO320" s="278"/>
      <c r="AP320" s="278"/>
      <c r="AQ320" s="278"/>
      <c r="AR320" s="278"/>
      <c r="AS320" s="278"/>
    </row>
    <row r="321" spans="1:45">
      <c r="A321" s="277"/>
      <c r="B321" s="298" t="b">
        <v>0</v>
      </c>
      <c r="C321" s="278"/>
      <c r="D321" s="299" t="b">
        <v>0</v>
      </c>
      <c r="E321" s="277"/>
      <c r="F321" s="298" t="b">
        <v>0</v>
      </c>
      <c r="G321" s="278"/>
      <c r="H321" s="299" t="b">
        <v>0</v>
      </c>
      <c r="I321" s="277"/>
      <c r="J321" s="278"/>
      <c r="K321" s="277"/>
      <c r="L321" s="278"/>
      <c r="M321" s="277"/>
      <c r="N321" s="278"/>
      <c r="O321" s="277"/>
      <c r="P321" s="278"/>
      <c r="Q321" s="277"/>
      <c r="R321" s="278"/>
      <c r="S321" s="277"/>
      <c r="T321" s="278"/>
      <c r="U321" s="277"/>
      <c r="V321" s="278"/>
      <c r="W321" s="277"/>
      <c r="X321" s="278"/>
      <c r="Y321" s="277"/>
      <c r="Z321" s="278"/>
      <c r="AA321" s="277"/>
      <c r="AB321" s="278"/>
      <c r="AC321" s="277"/>
      <c r="AD321" s="278"/>
      <c r="AE321" s="277"/>
      <c r="AF321" s="278"/>
      <c r="AG321" s="277"/>
      <c r="AH321" s="278"/>
      <c r="AI321" s="277"/>
      <c r="AJ321" s="278"/>
      <c r="AK321" s="277"/>
      <c r="AL321" s="278"/>
      <c r="AM321" s="277"/>
      <c r="AN321" s="278"/>
      <c r="AO321" s="278"/>
      <c r="AP321" s="278"/>
      <c r="AQ321" s="278"/>
      <c r="AR321" s="278"/>
      <c r="AS321" s="278"/>
    </row>
    <row r="322" spans="1:45">
      <c r="A322" s="277"/>
      <c r="B322" s="298" t="b">
        <v>0</v>
      </c>
      <c r="C322" s="278"/>
      <c r="D322" s="299" t="b">
        <v>0</v>
      </c>
      <c r="E322" s="277"/>
      <c r="F322" s="298" t="b">
        <v>0</v>
      </c>
      <c r="G322" s="278"/>
      <c r="H322" s="299" t="b">
        <v>0</v>
      </c>
      <c r="I322" s="277"/>
      <c r="J322" s="278"/>
      <c r="K322" s="277"/>
      <c r="L322" s="278"/>
      <c r="M322" s="277"/>
      <c r="N322" s="278"/>
      <c r="O322" s="277"/>
      <c r="P322" s="278"/>
      <c r="Q322" s="277"/>
      <c r="R322" s="278"/>
      <c r="S322" s="277"/>
      <c r="T322" s="278"/>
      <c r="U322" s="277"/>
      <c r="V322" s="278"/>
      <c r="W322" s="277"/>
      <c r="X322" s="278"/>
      <c r="Y322" s="277"/>
      <c r="Z322" s="278"/>
      <c r="AA322" s="277"/>
      <c r="AB322" s="278"/>
      <c r="AC322" s="277"/>
      <c r="AD322" s="278"/>
      <c r="AE322" s="277"/>
      <c r="AF322" s="278"/>
      <c r="AG322" s="277"/>
      <c r="AH322" s="278"/>
      <c r="AI322" s="277"/>
      <c r="AJ322" s="278"/>
      <c r="AK322" s="277"/>
      <c r="AL322" s="278"/>
      <c r="AM322" s="277"/>
      <c r="AN322" s="278"/>
      <c r="AO322" s="278"/>
      <c r="AP322" s="278"/>
      <c r="AQ322" s="278"/>
      <c r="AR322" s="278"/>
      <c r="AS322" s="278"/>
    </row>
    <row r="323" spans="1:45">
      <c r="A323" s="277"/>
      <c r="B323" s="298" t="b">
        <v>0</v>
      </c>
      <c r="C323" s="278"/>
      <c r="D323" s="299" t="b">
        <v>0</v>
      </c>
      <c r="E323" s="277"/>
      <c r="F323" s="298" t="b">
        <v>0</v>
      </c>
      <c r="G323" s="278"/>
      <c r="H323" s="299" t="b">
        <v>0</v>
      </c>
      <c r="I323" s="277"/>
      <c r="J323" s="278"/>
      <c r="K323" s="277"/>
      <c r="L323" s="278"/>
      <c r="M323" s="277"/>
      <c r="N323" s="278"/>
      <c r="O323" s="277"/>
      <c r="P323" s="278"/>
      <c r="Q323" s="277"/>
      <c r="R323" s="278"/>
      <c r="S323" s="277"/>
      <c r="T323" s="278"/>
      <c r="U323" s="277"/>
      <c r="V323" s="278"/>
      <c r="W323" s="277"/>
      <c r="X323" s="278"/>
      <c r="Y323" s="277"/>
      <c r="Z323" s="278"/>
      <c r="AA323" s="277"/>
      <c r="AB323" s="278"/>
      <c r="AC323" s="277"/>
      <c r="AD323" s="278"/>
      <c r="AE323" s="277"/>
      <c r="AF323" s="278"/>
      <c r="AG323" s="277"/>
      <c r="AH323" s="278"/>
      <c r="AI323" s="277"/>
      <c r="AJ323" s="278"/>
      <c r="AK323" s="277"/>
      <c r="AL323" s="278"/>
      <c r="AM323" s="277"/>
      <c r="AN323" s="278"/>
      <c r="AO323" s="278"/>
      <c r="AP323" s="278"/>
      <c r="AQ323" s="278"/>
      <c r="AR323" s="278"/>
      <c r="AS323" s="278"/>
    </row>
    <row r="324" spans="1:45">
      <c r="A324" s="277"/>
      <c r="B324" s="298" t="b">
        <v>0</v>
      </c>
      <c r="C324" s="278"/>
      <c r="D324" s="299" t="b">
        <v>0</v>
      </c>
      <c r="E324" s="277"/>
      <c r="F324" s="298" t="b">
        <v>0</v>
      </c>
      <c r="G324" s="278"/>
      <c r="H324" s="299" t="b">
        <v>0</v>
      </c>
      <c r="I324" s="277"/>
      <c r="J324" s="278"/>
      <c r="K324" s="277"/>
      <c r="L324" s="278"/>
      <c r="M324" s="277"/>
      <c r="N324" s="278"/>
      <c r="O324" s="277"/>
      <c r="P324" s="278"/>
      <c r="Q324" s="277"/>
      <c r="R324" s="278"/>
      <c r="S324" s="277"/>
      <c r="T324" s="278"/>
      <c r="U324" s="277"/>
      <c r="V324" s="278"/>
      <c r="W324" s="277"/>
      <c r="X324" s="278"/>
      <c r="Y324" s="277"/>
      <c r="Z324" s="278"/>
      <c r="AA324" s="277"/>
      <c r="AB324" s="278"/>
      <c r="AC324" s="277"/>
      <c r="AD324" s="278"/>
      <c r="AE324" s="277"/>
      <c r="AF324" s="278"/>
      <c r="AG324" s="277"/>
      <c r="AH324" s="278"/>
      <c r="AI324" s="277"/>
      <c r="AJ324" s="278"/>
      <c r="AK324" s="277"/>
      <c r="AL324" s="278"/>
      <c r="AM324" s="277"/>
      <c r="AN324" s="278"/>
      <c r="AO324" s="278"/>
      <c r="AP324" s="278"/>
      <c r="AQ324" s="278"/>
      <c r="AR324" s="278"/>
      <c r="AS324" s="278"/>
    </row>
    <row r="325" spans="1:45">
      <c r="A325" s="277"/>
      <c r="B325" s="298" t="b">
        <v>0</v>
      </c>
      <c r="C325" s="278"/>
      <c r="D325" s="299" t="b">
        <v>0</v>
      </c>
      <c r="E325" s="277"/>
      <c r="F325" s="298" t="b">
        <v>0</v>
      </c>
      <c r="G325" s="278"/>
      <c r="H325" s="299" t="b">
        <v>0</v>
      </c>
      <c r="I325" s="277"/>
      <c r="J325" s="278"/>
      <c r="K325" s="277"/>
      <c r="L325" s="278"/>
      <c r="M325" s="277"/>
      <c r="N325" s="278"/>
      <c r="O325" s="277"/>
      <c r="P325" s="278"/>
      <c r="Q325" s="277"/>
      <c r="R325" s="278"/>
      <c r="S325" s="277"/>
      <c r="T325" s="278"/>
      <c r="U325" s="277"/>
      <c r="V325" s="278"/>
      <c r="W325" s="277"/>
      <c r="X325" s="278"/>
      <c r="Y325" s="277"/>
      <c r="Z325" s="278"/>
      <c r="AA325" s="277"/>
      <c r="AB325" s="278"/>
      <c r="AC325" s="277"/>
      <c r="AD325" s="278"/>
      <c r="AE325" s="277"/>
      <c r="AF325" s="278"/>
      <c r="AG325" s="277"/>
      <c r="AH325" s="278"/>
      <c r="AI325" s="277"/>
      <c r="AJ325" s="278"/>
      <c r="AK325" s="277"/>
      <c r="AL325" s="278"/>
      <c r="AM325" s="277"/>
      <c r="AN325" s="278"/>
      <c r="AO325" s="278"/>
      <c r="AP325" s="278"/>
      <c r="AQ325" s="278"/>
      <c r="AR325" s="278"/>
      <c r="AS325" s="278"/>
    </row>
    <row r="326" spans="1:45">
      <c r="A326" s="277"/>
      <c r="B326" s="298" t="b">
        <v>0</v>
      </c>
      <c r="C326" s="278"/>
      <c r="D326" s="299" t="b">
        <v>0</v>
      </c>
      <c r="E326" s="277"/>
      <c r="F326" s="298" t="b">
        <v>0</v>
      </c>
      <c r="G326" s="278"/>
      <c r="H326" s="299" t="b">
        <v>0</v>
      </c>
      <c r="I326" s="277"/>
      <c r="J326" s="278"/>
      <c r="K326" s="277"/>
      <c r="L326" s="278"/>
      <c r="M326" s="277"/>
      <c r="N326" s="278"/>
      <c r="O326" s="277"/>
      <c r="P326" s="278"/>
      <c r="Q326" s="277"/>
      <c r="R326" s="278"/>
      <c r="S326" s="277"/>
      <c r="T326" s="278"/>
      <c r="U326" s="277"/>
      <c r="V326" s="278"/>
      <c r="W326" s="277"/>
      <c r="X326" s="278"/>
      <c r="Y326" s="277"/>
      <c r="Z326" s="278"/>
      <c r="AA326" s="277"/>
      <c r="AB326" s="278"/>
      <c r="AC326" s="277"/>
      <c r="AD326" s="278"/>
      <c r="AE326" s="277"/>
      <c r="AF326" s="278"/>
      <c r="AG326" s="277"/>
      <c r="AH326" s="278"/>
      <c r="AI326" s="277"/>
      <c r="AJ326" s="278"/>
      <c r="AK326" s="277"/>
      <c r="AL326" s="278"/>
      <c r="AM326" s="277"/>
      <c r="AN326" s="278"/>
      <c r="AO326" s="278"/>
      <c r="AP326" s="278"/>
      <c r="AQ326" s="278"/>
      <c r="AR326" s="278"/>
      <c r="AS326" s="278"/>
    </row>
    <row r="327" spans="1:45">
      <c r="A327" s="277"/>
      <c r="B327" s="298" t="b">
        <v>0</v>
      </c>
      <c r="C327" s="278"/>
      <c r="D327" s="299" t="b">
        <v>0</v>
      </c>
      <c r="E327" s="277"/>
      <c r="F327" s="298" t="b">
        <v>0</v>
      </c>
      <c r="G327" s="278"/>
      <c r="H327" s="299" t="b">
        <v>0</v>
      </c>
      <c r="I327" s="277"/>
      <c r="J327" s="278"/>
      <c r="K327" s="277"/>
      <c r="L327" s="278"/>
      <c r="M327" s="277"/>
      <c r="N327" s="278"/>
      <c r="O327" s="277"/>
      <c r="P327" s="278"/>
      <c r="Q327" s="277"/>
      <c r="R327" s="278"/>
      <c r="S327" s="277"/>
      <c r="T327" s="278"/>
      <c r="U327" s="277"/>
      <c r="V327" s="278"/>
      <c r="W327" s="277"/>
      <c r="X327" s="278"/>
      <c r="Y327" s="277"/>
      <c r="Z327" s="278"/>
      <c r="AA327" s="277"/>
      <c r="AB327" s="278"/>
      <c r="AC327" s="277"/>
      <c r="AD327" s="278"/>
      <c r="AE327" s="277"/>
      <c r="AF327" s="278"/>
      <c r="AG327" s="277"/>
      <c r="AH327" s="278"/>
      <c r="AI327" s="277"/>
      <c r="AJ327" s="278"/>
      <c r="AK327" s="277"/>
      <c r="AL327" s="278"/>
      <c r="AM327" s="277"/>
      <c r="AN327" s="278"/>
      <c r="AO327" s="278"/>
      <c r="AP327" s="278"/>
      <c r="AQ327" s="278"/>
      <c r="AR327" s="278"/>
      <c r="AS327" s="278"/>
    </row>
    <row r="328" spans="1:45">
      <c r="A328" s="277"/>
      <c r="B328" s="298" t="b">
        <v>0</v>
      </c>
      <c r="C328" s="278"/>
      <c r="D328" s="299" t="b">
        <v>0</v>
      </c>
      <c r="E328" s="277"/>
      <c r="F328" s="298" t="b">
        <v>0</v>
      </c>
      <c r="G328" s="278"/>
      <c r="H328" s="299" t="b">
        <v>0</v>
      </c>
      <c r="I328" s="277"/>
      <c r="J328" s="278"/>
      <c r="K328" s="277"/>
      <c r="L328" s="278"/>
      <c r="M328" s="277"/>
      <c r="N328" s="278"/>
      <c r="O328" s="277"/>
      <c r="P328" s="278"/>
      <c r="Q328" s="277"/>
      <c r="R328" s="278"/>
      <c r="S328" s="277"/>
      <c r="T328" s="278"/>
      <c r="U328" s="277"/>
      <c r="V328" s="278"/>
      <c r="W328" s="277"/>
      <c r="X328" s="278"/>
      <c r="Y328" s="277"/>
      <c r="Z328" s="278"/>
      <c r="AA328" s="277"/>
      <c r="AB328" s="278"/>
      <c r="AC328" s="277"/>
      <c r="AD328" s="278"/>
      <c r="AE328" s="277"/>
      <c r="AF328" s="278"/>
      <c r="AG328" s="277"/>
      <c r="AH328" s="278"/>
      <c r="AI328" s="277"/>
      <c r="AJ328" s="278"/>
      <c r="AK328" s="277"/>
      <c r="AL328" s="278"/>
      <c r="AM328" s="277"/>
      <c r="AN328" s="278"/>
      <c r="AO328" s="278"/>
      <c r="AP328" s="278"/>
      <c r="AQ328" s="278"/>
      <c r="AR328" s="278"/>
      <c r="AS328" s="278"/>
    </row>
    <row r="329" spans="1:45">
      <c r="A329" s="277"/>
      <c r="B329" s="298" t="b">
        <v>0</v>
      </c>
      <c r="C329" s="278"/>
      <c r="D329" s="299" t="b">
        <v>0</v>
      </c>
      <c r="E329" s="277"/>
      <c r="F329" s="298" t="b">
        <v>0</v>
      </c>
      <c r="G329" s="278"/>
      <c r="H329" s="299" t="b">
        <v>0</v>
      </c>
      <c r="I329" s="277"/>
      <c r="J329" s="278"/>
      <c r="K329" s="277"/>
      <c r="L329" s="278"/>
      <c r="M329" s="277"/>
      <c r="N329" s="278"/>
      <c r="O329" s="277"/>
      <c r="P329" s="278"/>
      <c r="Q329" s="277"/>
      <c r="R329" s="278"/>
      <c r="S329" s="277"/>
      <c r="T329" s="278"/>
      <c r="U329" s="277"/>
      <c r="V329" s="278"/>
      <c r="W329" s="277"/>
      <c r="X329" s="278"/>
      <c r="Y329" s="277"/>
      <c r="Z329" s="278"/>
      <c r="AA329" s="277"/>
      <c r="AB329" s="278"/>
      <c r="AC329" s="277"/>
      <c r="AD329" s="278"/>
      <c r="AE329" s="277"/>
      <c r="AF329" s="278"/>
      <c r="AG329" s="277"/>
      <c r="AH329" s="278"/>
      <c r="AI329" s="277"/>
      <c r="AJ329" s="278"/>
      <c r="AK329" s="277"/>
      <c r="AL329" s="278"/>
      <c r="AM329" s="277"/>
      <c r="AN329" s="278"/>
      <c r="AO329" s="278"/>
      <c r="AP329" s="278"/>
      <c r="AQ329" s="278"/>
      <c r="AR329" s="278"/>
      <c r="AS329" s="278"/>
    </row>
    <row r="330" spans="1:45">
      <c r="A330" s="277"/>
      <c r="B330" s="298" t="b">
        <v>0</v>
      </c>
      <c r="C330" s="278"/>
      <c r="D330" s="299" t="b">
        <v>0</v>
      </c>
      <c r="E330" s="277"/>
      <c r="F330" s="298" t="b">
        <v>0</v>
      </c>
      <c r="G330" s="278"/>
      <c r="H330" s="299" t="b">
        <v>0</v>
      </c>
      <c r="I330" s="277"/>
      <c r="J330" s="278"/>
      <c r="K330" s="277"/>
      <c r="L330" s="278"/>
      <c r="M330" s="277"/>
      <c r="N330" s="278"/>
      <c r="O330" s="277"/>
      <c r="P330" s="278"/>
      <c r="Q330" s="277"/>
      <c r="R330" s="278"/>
      <c r="S330" s="277"/>
      <c r="T330" s="278"/>
      <c r="U330" s="277"/>
      <c r="V330" s="278"/>
      <c r="W330" s="277"/>
      <c r="X330" s="278"/>
      <c r="Y330" s="277"/>
      <c r="Z330" s="278"/>
      <c r="AA330" s="277"/>
      <c r="AB330" s="278"/>
      <c r="AC330" s="277"/>
      <c r="AD330" s="278"/>
      <c r="AE330" s="277"/>
      <c r="AF330" s="278"/>
      <c r="AG330" s="277"/>
      <c r="AH330" s="278"/>
      <c r="AI330" s="277"/>
      <c r="AJ330" s="278"/>
      <c r="AK330" s="277"/>
      <c r="AL330" s="278"/>
      <c r="AM330" s="277"/>
      <c r="AN330" s="278"/>
      <c r="AO330" s="278"/>
      <c r="AP330" s="278"/>
      <c r="AQ330" s="278"/>
      <c r="AR330" s="278"/>
      <c r="AS330" s="278"/>
    </row>
    <row r="331" spans="1:45">
      <c r="A331" s="277"/>
      <c r="B331" s="298" t="b">
        <v>0</v>
      </c>
      <c r="C331" s="278"/>
      <c r="D331" s="299" t="b">
        <v>0</v>
      </c>
      <c r="E331" s="277"/>
      <c r="F331" s="298" t="b">
        <v>0</v>
      </c>
      <c r="G331" s="278"/>
      <c r="H331" s="299" t="b">
        <v>0</v>
      </c>
      <c r="I331" s="277"/>
      <c r="J331" s="278"/>
      <c r="K331" s="277"/>
      <c r="L331" s="278"/>
      <c r="M331" s="277"/>
      <c r="N331" s="278"/>
      <c r="O331" s="277"/>
      <c r="P331" s="278"/>
      <c r="Q331" s="277"/>
      <c r="R331" s="278"/>
      <c r="S331" s="277"/>
      <c r="T331" s="278"/>
      <c r="U331" s="277"/>
      <c r="V331" s="278"/>
      <c r="W331" s="277"/>
      <c r="X331" s="278"/>
      <c r="Y331" s="277"/>
      <c r="Z331" s="278"/>
      <c r="AA331" s="277"/>
      <c r="AB331" s="278"/>
      <c r="AC331" s="277"/>
      <c r="AD331" s="278"/>
      <c r="AE331" s="277"/>
      <c r="AF331" s="278"/>
      <c r="AG331" s="277"/>
      <c r="AH331" s="278"/>
      <c r="AI331" s="277"/>
      <c r="AJ331" s="278"/>
      <c r="AK331" s="277"/>
      <c r="AL331" s="278"/>
      <c r="AM331" s="277"/>
      <c r="AN331" s="278"/>
      <c r="AO331" s="278"/>
      <c r="AP331" s="278"/>
      <c r="AQ331" s="278"/>
      <c r="AR331" s="278"/>
      <c r="AS331" s="278"/>
    </row>
    <row r="332" spans="1:45">
      <c r="A332" s="277"/>
      <c r="B332" s="298" t="b">
        <v>0</v>
      </c>
      <c r="C332" s="278"/>
      <c r="D332" s="299" t="b">
        <v>0</v>
      </c>
      <c r="E332" s="277"/>
      <c r="F332" s="298" t="b">
        <v>0</v>
      </c>
      <c r="G332" s="278"/>
      <c r="H332" s="299" t="b">
        <v>0</v>
      </c>
      <c r="I332" s="277"/>
      <c r="J332" s="278"/>
      <c r="K332" s="277"/>
      <c r="L332" s="278"/>
      <c r="M332" s="277"/>
      <c r="N332" s="278"/>
      <c r="O332" s="277"/>
      <c r="P332" s="278"/>
      <c r="Q332" s="277"/>
      <c r="R332" s="278"/>
      <c r="S332" s="277"/>
      <c r="T332" s="278"/>
      <c r="U332" s="277"/>
      <c r="V332" s="278"/>
      <c r="W332" s="277"/>
      <c r="X332" s="278"/>
      <c r="Y332" s="277"/>
      <c r="Z332" s="278"/>
      <c r="AA332" s="277"/>
      <c r="AB332" s="278"/>
      <c r="AC332" s="277"/>
      <c r="AD332" s="278"/>
      <c r="AE332" s="277"/>
      <c r="AF332" s="278"/>
      <c r="AG332" s="277"/>
      <c r="AH332" s="278"/>
      <c r="AI332" s="277"/>
      <c r="AJ332" s="278"/>
      <c r="AK332" s="277"/>
      <c r="AL332" s="278"/>
      <c r="AM332" s="277"/>
      <c r="AN332" s="278"/>
      <c r="AO332" s="278"/>
      <c r="AP332" s="278"/>
      <c r="AQ332" s="278"/>
      <c r="AR332" s="278"/>
      <c r="AS332" s="278"/>
    </row>
    <row r="333" spans="1:45">
      <c r="A333" s="277"/>
      <c r="B333" s="298" t="b">
        <v>0</v>
      </c>
      <c r="C333" s="278"/>
      <c r="D333" s="299" t="b">
        <v>0</v>
      </c>
      <c r="E333" s="277"/>
      <c r="F333" s="298" t="b">
        <v>0</v>
      </c>
      <c r="G333" s="278"/>
      <c r="H333" s="299" t="b">
        <v>0</v>
      </c>
      <c r="I333" s="277"/>
      <c r="J333" s="278"/>
      <c r="K333" s="277"/>
      <c r="L333" s="278"/>
      <c r="M333" s="277"/>
      <c r="N333" s="278"/>
      <c r="O333" s="277"/>
      <c r="P333" s="278"/>
      <c r="Q333" s="277"/>
      <c r="R333" s="278"/>
      <c r="S333" s="277"/>
      <c r="T333" s="278"/>
      <c r="U333" s="277"/>
      <c r="V333" s="278"/>
      <c r="W333" s="277"/>
      <c r="X333" s="278"/>
      <c r="Y333" s="277"/>
      <c r="Z333" s="278"/>
      <c r="AA333" s="277"/>
      <c r="AB333" s="278"/>
      <c r="AC333" s="277"/>
      <c r="AD333" s="278"/>
      <c r="AE333" s="277"/>
      <c r="AF333" s="278"/>
      <c r="AG333" s="277"/>
      <c r="AH333" s="278"/>
      <c r="AI333" s="277"/>
      <c r="AJ333" s="278"/>
      <c r="AK333" s="277"/>
      <c r="AL333" s="278"/>
      <c r="AM333" s="277"/>
      <c r="AN333" s="278"/>
      <c r="AO333" s="278"/>
      <c r="AP333" s="278"/>
      <c r="AQ333" s="278"/>
      <c r="AR333" s="278"/>
      <c r="AS333" s="278"/>
    </row>
    <row r="334" spans="1:45">
      <c r="A334" s="277"/>
      <c r="B334" s="298" t="b">
        <v>0</v>
      </c>
      <c r="C334" s="278"/>
      <c r="D334" s="299" t="b">
        <v>0</v>
      </c>
      <c r="E334" s="277"/>
      <c r="F334" s="298" t="b">
        <v>0</v>
      </c>
      <c r="G334" s="278"/>
      <c r="H334" s="299" t="b">
        <v>0</v>
      </c>
      <c r="I334" s="277"/>
      <c r="J334" s="278"/>
      <c r="K334" s="277"/>
      <c r="L334" s="278"/>
      <c r="M334" s="277"/>
      <c r="N334" s="278"/>
      <c r="O334" s="277"/>
      <c r="P334" s="278"/>
      <c r="Q334" s="277"/>
      <c r="R334" s="278"/>
      <c r="S334" s="277"/>
      <c r="T334" s="278"/>
      <c r="U334" s="277"/>
      <c r="V334" s="278"/>
      <c r="W334" s="277"/>
      <c r="X334" s="278"/>
      <c r="Y334" s="277"/>
      <c r="Z334" s="278"/>
      <c r="AA334" s="277"/>
      <c r="AB334" s="278"/>
      <c r="AC334" s="277"/>
      <c r="AD334" s="278"/>
      <c r="AE334" s="277"/>
      <c r="AF334" s="278"/>
      <c r="AG334" s="277"/>
      <c r="AH334" s="278"/>
      <c r="AI334" s="277"/>
      <c r="AJ334" s="278"/>
      <c r="AK334" s="277"/>
      <c r="AL334" s="278"/>
      <c r="AM334" s="277"/>
      <c r="AN334" s="278"/>
      <c r="AO334" s="278"/>
      <c r="AP334" s="278"/>
      <c r="AQ334" s="278"/>
      <c r="AR334" s="278"/>
      <c r="AS334" s="278"/>
    </row>
    <row r="335" spans="1:45">
      <c r="A335" s="277"/>
      <c r="B335" s="298" t="b">
        <v>0</v>
      </c>
      <c r="C335" s="278"/>
      <c r="D335" s="299" t="b">
        <v>0</v>
      </c>
      <c r="E335" s="277"/>
      <c r="F335" s="298" t="b">
        <v>0</v>
      </c>
      <c r="G335" s="278"/>
      <c r="H335" s="299" t="b">
        <v>0</v>
      </c>
      <c r="I335" s="277"/>
      <c r="J335" s="278"/>
      <c r="K335" s="277"/>
      <c r="L335" s="278"/>
      <c r="M335" s="277"/>
      <c r="N335" s="278"/>
      <c r="O335" s="277"/>
      <c r="P335" s="278"/>
      <c r="Q335" s="277"/>
      <c r="R335" s="278"/>
      <c r="S335" s="277"/>
      <c r="T335" s="278"/>
      <c r="U335" s="277"/>
      <c r="V335" s="278"/>
      <c r="W335" s="277"/>
      <c r="X335" s="278"/>
      <c r="Y335" s="277"/>
      <c r="Z335" s="278"/>
      <c r="AA335" s="277"/>
      <c r="AB335" s="278"/>
      <c r="AC335" s="277"/>
      <c r="AD335" s="278"/>
      <c r="AE335" s="277"/>
      <c r="AF335" s="278"/>
      <c r="AG335" s="277"/>
      <c r="AH335" s="278"/>
      <c r="AI335" s="277"/>
      <c r="AJ335" s="278"/>
      <c r="AK335" s="277"/>
      <c r="AL335" s="278"/>
      <c r="AM335" s="277"/>
      <c r="AN335" s="278"/>
      <c r="AO335" s="278"/>
      <c r="AP335" s="278"/>
      <c r="AQ335" s="278"/>
      <c r="AR335" s="278"/>
      <c r="AS335" s="278"/>
    </row>
    <row r="336" spans="1:45">
      <c r="A336" s="277"/>
      <c r="B336" s="298" t="b">
        <v>0</v>
      </c>
      <c r="C336" s="278"/>
      <c r="D336" s="299" t="b">
        <v>0</v>
      </c>
      <c r="E336" s="277"/>
      <c r="F336" s="298" t="b">
        <v>0</v>
      </c>
      <c r="G336" s="278"/>
      <c r="H336" s="299" t="b">
        <v>0</v>
      </c>
      <c r="I336" s="277"/>
      <c r="J336" s="278"/>
      <c r="K336" s="277"/>
      <c r="L336" s="278"/>
      <c r="M336" s="277"/>
      <c r="N336" s="278"/>
      <c r="O336" s="277"/>
      <c r="P336" s="278"/>
      <c r="Q336" s="277"/>
      <c r="R336" s="278"/>
      <c r="S336" s="277"/>
      <c r="T336" s="278"/>
      <c r="U336" s="277"/>
      <c r="V336" s="278"/>
      <c r="W336" s="277"/>
      <c r="X336" s="278"/>
      <c r="Y336" s="277"/>
      <c r="Z336" s="278"/>
      <c r="AA336" s="277"/>
      <c r="AB336" s="278"/>
      <c r="AC336" s="277"/>
      <c r="AD336" s="278"/>
      <c r="AE336" s="277"/>
      <c r="AF336" s="278"/>
      <c r="AG336" s="277"/>
      <c r="AH336" s="278"/>
      <c r="AI336" s="277"/>
      <c r="AJ336" s="278"/>
      <c r="AK336" s="277"/>
      <c r="AL336" s="278"/>
      <c r="AM336" s="277"/>
      <c r="AN336" s="278"/>
      <c r="AO336" s="278"/>
      <c r="AP336" s="278"/>
      <c r="AQ336" s="278"/>
      <c r="AR336" s="278"/>
      <c r="AS336" s="278"/>
    </row>
    <row r="337" spans="1:45">
      <c r="A337" s="277"/>
      <c r="B337" s="298" t="b">
        <v>0</v>
      </c>
      <c r="C337" s="278"/>
      <c r="D337" s="299" t="b">
        <v>0</v>
      </c>
      <c r="E337" s="277"/>
      <c r="F337" s="298" t="b">
        <v>0</v>
      </c>
      <c r="G337" s="278"/>
      <c r="H337" s="299" t="b">
        <v>0</v>
      </c>
      <c r="I337" s="277"/>
      <c r="J337" s="278"/>
      <c r="K337" s="277"/>
      <c r="L337" s="278"/>
      <c r="M337" s="277"/>
      <c r="N337" s="278"/>
      <c r="O337" s="277"/>
      <c r="P337" s="278"/>
      <c r="Q337" s="277"/>
      <c r="R337" s="278"/>
      <c r="S337" s="277"/>
      <c r="T337" s="278"/>
      <c r="U337" s="277"/>
      <c r="V337" s="278"/>
      <c r="W337" s="277"/>
      <c r="X337" s="278"/>
      <c r="Y337" s="277"/>
      <c r="Z337" s="278"/>
      <c r="AA337" s="277"/>
      <c r="AB337" s="278"/>
      <c r="AC337" s="277"/>
      <c r="AD337" s="278"/>
      <c r="AE337" s="277"/>
      <c r="AF337" s="278"/>
      <c r="AG337" s="277"/>
      <c r="AH337" s="278"/>
      <c r="AI337" s="277"/>
      <c r="AJ337" s="278"/>
      <c r="AK337" s="277"/>
      <c r="AL337" s="278"/>
      <c r="AM337" s="277"/>
      <c r="AN337" s="278"/>
      <c r="AO337" s="278"/>
      <c r="AP337" s="278"/>
      <c r="AQ337" s="278"/>
      <c r="AR337" s="278"/>
      <c r="AS337" s="278"/>
    </row>
    <row r="338" spans="1:45">
      <c r="A338" s="277"/>
      <c r="B338" s="298" t="b">
        <v>0</v>
      </c>
      <c r="C338" s="278"/>
      <c r="D338" s="299" t="b">
        <v>0</v>
      </c>
      <c r="E338" s="277"/>
      <c r="F338" s="298" t="b">
        <v>0</v>
      </c>
      <c r="G338" s="278"/>
      <c r="H338" s="299" t="b">
        <v>0</v>
      </c>
      <c r="I338" s="277"/>
      <c r="J338" s="278"/>
      <c r="K338" s="277"/>
      <c r="L338" s="278"/>
      <c r="M338" s="277"/>
      <c r="N338" s="278"/>
      <c r="O338" s="277"/>
      <c r="P338" s="278"/>
      <c r="Q338" s="277"/>
      <c r="R338" s="278"/>
      <c r="S338" s="277"/>
      <c r="T338" s="278"/>
      <c r="U338" s="277"/>
      <c r="V338" s="278"/>
      <c r="W338" s="277"/>
      <c r="X338" s="278"/>
      <c r="Y338" s="277"/>
      <c r="Z338" s="278"/>
      <c r="AA338" s="277"/>
      <c r="AB338" s="278"/>
      <c r="AC338" s="277"/>
      <c r="AD338" s="278"/>
      <c r="AE338" s="277"/>
      <c r="AF338" s="278"/>
      <c r="AG338" s="277"/>
      <c r="AH338" s="278"/>
      <c r="AI338" s="277"/>
      <c r="AJ338" s="278"/>
      <c r="AK338" s="277"/>
      <c r="AL338" s="278"/>
      <c r="AM338" s="277"/>
      <c r="AN338" s="278"/>
      <c r="AO338" s="278"/>
      <c r="AP338" s="278"/>
      <c r="AQ338" s="278"/>
      <c r="AR338" s="278"/>
      <c r="AS338" s="278"/>
    </row>
    <row r="339" spans="1:45">
      <c r="A339" s="277"/>
      <c r="B339" s="298" t="b">
        <v>0</v>
      </c>
      <c r="C339" s="278"/>
      <c r="D339" s="299" t="b">
        <v>0</v>
      </c>
      <c r="E339" s="277"/>
      <c r="F339" s="298" t="b">
        <v>0</v>
      </c>
      <c r="G339" s="278"/>
      <c r="H339" s="299" t="b">
        <v>0</v>
      </c>
      <c r="I339" s="277"/>
      <c r="J339" s="278"/>
      <c r="K339" s="277"/>
      <c r="L339" s="278"/>
      <c r="M339" s="277"/>
      <c r="N339" s="278"/>
      <c r="O339" s="277"/>
      <c r="P339" s="278"/>
      <c r="Q339" s="277"/>
      <c r="R339" s="278"/>
      <c r="S339" s="277"/>
      <c r="T339" s="278"/>
      <c r="U339" s="277"/>
      <c r="V339" s="278"/>
      <c r="W339" s="277"/>
      <c r="X339" s="278"/>
      <c r="Y339" s="277"/>
      <c r="Z339" s="278"/>
      <c r="AA339" s="277"/>
      <c r="AB339" s="278"/>
      <c r="AC339" s="277"/>
      <c r="AD339" s="278"/>
      <c r="AE339" s="277"/>
      <c r="AF339" s="278"/>
      <c r="AG339" s="277"/>
      <c r="AH339" s="278"/>
      <c r="AI339" s="277"/>
      <c r="AJ339" s="278"/>
      <c r="AK339" s="277"/>
      <c r="AL339" s="278"/>
      <c r="AM339" s="277"/>
      <c r="AN339" s="278"/>
      <c r="AO339" s="278"/>
      <c r="AP339" s="278"/>
      <c r="AQ339" s="278"/>
      <c r="AR339" s="278"/>
      <c r="AS339" s="278"/>
    </row>
    <row r="340" spans="1:45">
      <c r="A340" s="277"/>
      <c r="B340" s="298" t="b">
        <v>0</v>
      </c>
      <c r="C340" s="278"/>
      <c r="D340" s="299" t="b">
        <v>0</v>
      </c>
      <c r="E340" s="277"/>
      <c r="F340" s="298" t="b">
        <v>0</v>
      </c>
      <c r="G340" s="278"/>
      <c r="H340" s="299" t="b">
        <v>0</v>
      </c>
      <c r="I340" s="277"/>
      <c r="J340" s="278"/>
      <c r="K340" s="277"/>
      <c r="L340" s="278"/>
      <c r="M340" s="277"/>
      <c r="N340" s="278"/>
      <c r="O340" s="277"/>
      <c r="P340" s="278"/>
      <c r="Q340" s="277"/>
      <c r="R340" s="278"/>
      <c r="S340" s="277"/>
      <c r="T340" s="278"/>
      <c r="U340" s="277"/>
      <c r="V340" s="278"/>
      <c r="W340" s="277"/>
      <c r="X340" s="278"/>
      <c r="Y340" s="277"/>
      <c r="Z340" s="278"/>
      <c r="AA340" s="277"/>
      <c r="AB340" s="278"/>
      <c r="AC340" s="277"/>
      <c r="AD340" s="278"/>
      <c r="AE340" s="277"/>
      <c r="AF340" s="278"/>
      <c r="AG340" s="277"/>
      <c r="AH340" s="278"/>
      <c r="AI340" s="277"/>
      <c r="AJ340" s="278"/>
      <c r="AK340" s="277"/>
      <c r="AL340" s="278"/>
      <c r="AM340" s="277"/>
      <c r="AN340" s="278"/>
      <c r="AO340" s="278"/>
      <c r="AP340" s="278"/>
      <c r="AQ340" s="278"/>
      <c r="AR340" s="278"/>
      <c r="AS340" s="278"/>
    </row>
    <row r="341" spans="1:45">
      <c r="A341" s="277"/>
      <c r="B341" s="298" t="b">
        <v>0</v>
      </c>
      <c r="C341" s="278"/>
      <c r="D341" s="299" t="b">
        <v>0</v>
      </c>
      <c r="E341" s="277"/>
      <c r="F341" s="298" t="b">
        <v>0</v>
      </c>
      <c r="G341" s="278"/>
      <c r="H341" s="299" t="b">
        <v>0</v>
      </c>
      <c r="I341" s="277"/>
      <c r="J341" s="278"/>
      <c r="K341" s="277"/>
      <c r="L341" s="278"/>
      <c r="M341" s="277"/>
      <c r="N341" s="278"/>
      <c r="O341" s="277"/>
      <c r="P341" s="278"/>
      <c r="Q341" s="277"/>
      <c r="R341" s="278"/>
      <c r="S341" s="277"/>
      <c r="T341" s="278"/>
      <c r="U341" s="277"/>
      <c r="V341" s="278"/>
      <c r="W341" s="277"/>
      <c r="X341" s="278"/>
      <c r="Y341" s="277"/>
      <c r="Z341" s="278"/>
      <c r="AA341" s="277"/>
      <c r="AB341" s="278"/>
      <c r="AC341" s="277"/>
      <c r="AD341" s="278"/>
      <c r="AE341" s="277"/>
      <c r="AF341" s="278"/>
      <c r="AG341" s="277"/>
      <c r="AH341" s="278"/>
      <c r="AI341" s="277"/>
      <c r="AJ341" s="278"/>
      <c r="AK341" s="277"/>
      <c r="AL341" s="278"/>
      <c r="AM341" s="277"/>
      <c r="AN341" s="278"/>
      <c r="AO341" s="278"/>
      <c r="AP341" s="278"/>
      <c r="AQ341" s="278"/>
      <c r="AR341" s="278"/>
      <c r="AS341" s="278"/>
    </row>
    <row r="342" spans="1:45">
      <c r="A342" s="277"/>
      <c r="B342" s="298" t="b">
        <v>0</v>
      </c>
      <c r="C342" s="278"/>
      <c r="D342" s="299" t="b">
        <v>0</v>
      </c>
      <c r="E342" s="277"/>
      <c r="F342" s="298" t="b">
        <v>0</v>
      </c>
      <c r="G342" s="278"/>
      <c r="H342" s="299" t="b">
        <v>0</v>
      </c>
      <c r="I342" s="277"/>
      <c r="J342" s="278"/>
      <c r="K342" s="277"/>
      <c r="L342" s="278"/>
      <c r="M342" s="277"/>
      <c r="N342" s="278"/>
      <c r="O342" s="277"/>
      <c r="P342" s="278"/>
      <c r="Q342" s="277"/>
      <c r="R342" s="278"/>
      <c r="S342" s="277"/>
      <c r="T342" s="278"/>
      <c r="U342" s="277"/>
      <c r="V342" s="278"/>
      <c r="W342" s="277"/>
      <c r="X342" s="278"/>
      <c r="Y342" s="277"/>
      <c r="Z342" s="278"/>
      <c r="AA342" s="277"/>
      <c r="AB342" s="278"/>
      <c r="AC342" s="277"/>
      <c r="AD342" s="278"/>
      <c r="AE342" s="277"/>
      <c r="AF342" s="278"/>
      <c r="AG342" s="277"/>
      <c r="AH342" s="278"/>
      <c r="AI342" s="277"/>
      <c r="AJ342" s="278"/>
      <c r="AK342" s="277"/>
      <c r="AL342" s="278"/>
      <c r="AM342" s="277"/>
      <c r="AN342" s="278"/>
      <c r="AO342" s="278"/>
      <c r="AP342" s="278"/>
      <c r="AQ342" s="278"/>
      <c r="AR342" s="278"/>
      <c r="AS342" s="278"/>
    </row>
    <row r="343" spans="1:45">
      <c r="A343" s="277"/>
      <c r="B343" s="298" t="b">
        <v>0</v>
      </c>
      <c r="C343" s="278"/>
      <c r="D343" s="299" t="b">
        <v>0</v>
      </c>
      <c r="E343" s="277"/>
      <c r="F343" s="298" t="b">
        <v>0</v>
      </c>
      <c r="G343" s="278"/>
      <c r="H343" s="299" t="b">
        <v>0</v>
      </c>
      <c r="I343" s="277"/>
      <c r="J343" s="278"/>
      <c r="K343" s="277"/>
      <c r="L343" s="278"/>
      <c r="M343" s="277"/>
      <c r="N343" s="278"/>
      <c r="O343" s="277"/>
      <c r="P343" s="278"/>
      <c r="Q343" s="277"/>
      <c r="R343" s="278"/>
      <c r="S343" s="277"/>
      <c r="T343" s="278"/>
      <c r="U343" s="277"/>
      <c r="V343" s="278"/>
      <c r="W343" s="277"/>
      <c r="X343" s="278"/>
      <c r="Y343" s="277"/>
      <c r="Z343" s="278"/>
      <c r="AA343" s="277"/>
      <c r="AB343" s="278"/>
      <c r="AC343" s="277"/>
      <c r="AD343" s="278"/>
      <c r="AE343" s="277"/>
      <c r="AF343" s="278"/>
      <c r="AG343" s="277"/>
      <c r="AH343" s="278"/>
      <c r="AI343" s="277"/>
      <c r="AJ343" s="278"/>
      <c r="AK343" s="277"/>
      <c r="AL343" s="278"/>
      <c r="AM343" s="277"/>
      <c r="AN343" s="278"/>
      <c r="AO343" s="278"/>
      <c r="AP343" s="278"/>
      <c r="AQ343" s="278"/>
      <c r="AR343" s="278"/>
      <c r="AS343" s="278"/>
    </row>
    <row r="344" spans="1:45">
      <c r="A344" s="277"/>
      <c r="B344" s="298" t="b">
        <v>0</v>
      </c>
      <c r="C344" s="278"/>
      <c r="D344" s="299" t="b">
        <v>0</v>
      </c>
      <c r="E344" s="277"/>
      <c r="F344" s="298" t="b">
        <v>0</v>
      </c>
      <c r="G344" s="278"/>
      <c r="H344" s="299" t="b">
        <v>0</v>
      </c>
      <c r="I344" s="277"/>
      <c r="J344" s="278"/>
      <c r="K344" s="277"/>
      <c r="L344" s="278"/>
      <c r="M344" s="277"/>
      <c r="N344" s="278"/>
      <c r="O344" s="277"/>
      <c r="P344" s="278"/>
      <c r="Q344" s="277"/>
      <c r="R344" s="278"/>
      <c r="S344" s="277"/>
      <c r="T344" s="278"/>
      <c r="U344" s="277"/>
      <c r="V344" s="278"/>
      <c r="W344" s="277"/>
      <c r="X344" s="278"/>
      <c r="Y344" s="277"/>
      <c r="Z344" s="278"/>
      <c r="AA344" s="277"/>
      <c r="AB344" s="278"/>
      <c r="AC344" s="277"/>
      <c r="AD344" s="278"/>
      <c r="AE344" s="277"/>
      <c r="AF344" s="278"/>
      <c r="AG344" s="277"/>
      <c r="AH344" s="278"/>
      <c r="AI344" s="277"/>
      <c r="AJ344" s="278"/>
      <c r="AK344" s="277"/>
      <c r="AL344" s="278"/>
      <c r="AM344" s="277"/>
      <c r="AN344" s="278"/>
      <c r="AO344" s="278"/>
      <c r="AP344" s="278"/>
      <c r="AQ344" s="278"/>
      <c r="AR344" s="278"/>
      <c r="AS344" s="278"/>
    </row>
    <row r="345" spans="1:45">
      <c r="A345" s="277"/>
      <c r="B345" s="298" t="b">
        <v>0</v>
      </c>
      <c r="C345" s="278"/>
      <c r="D345" s="299" t="b">
        <v>0</v>
      </c>
      <c r="E345" s="277"/>
      <c r="F345" s="298" t="b">
        <v>0</v>
      </c>
      <c r="G345" s="278"/>
      <c r="H345" s="299" t="b">
        <v>0</v>
      </c>
      <c r="I345" s="277"/>
      <c r="J345" s="278"/>
      <c r="K345" s="277"/>
      <c r="L345" s="278"/>
      <c r="M345" s="277"/>
      <c r="N345" s="278"/>
      <c r="O345" s="277"/>
      <c r="P345" s="278"/>
      <c r="Q345" s="277"/>
      <c r="R345" s="278"/>
      <c r="S345" s="277"/>
      <c r="T345" s="278"/>
      <c r="U345" s="277"/>
      <c r="V345" s="278"/>
      <c r="W345" s="277"/>
      <c r="X345" s="278"/>
      <c r="Y345" s="277"/>
      <c r="Z345" s="278"/>
      <c r="AA345" s="277"/>
      <c r="AB345" s="278"/>
      <c r="AC345" s="277"/>
      <c r="AD345" s="278"/>
      <c r="AE345" s="277"/>
      <c r="AF345" s="278"/>
      <c r="AG345" s="277"/>
      <c r="AH345" s="278"/>
      <c r="AI345" s="277"/>
      <c r="AJ345" s="278"/>
      <c r="AK345" s="277"/>
      <c r="AL345" s="278"/>
      <c r="AM345" s="277"/>
      <c r="AN345" s="278"/>
      <c r="AO345" s="278"/>
      <c r="AP345" s="278"/>
      <c r="AQ345" s="278"/>
      <c r="AR345" s="278"/>
      <c r="AS345" s="278"/>
    </row>
    <row r="346" spans="1:45">
      <c r="A346" s="277"/>
      <c r="B346" s="298" t="b">
        <v>0</v>
      </c>
      <c r="C346" s="278"/>
      <c r="D346" s="299" t="b">
        <v>0</v>
      </c>
      <c r="E346" s="277"/>
      <c r="F346" s="298" t="b">
        <v>0</v>
      </c>
      <c r="G346" s="278"/>
      <c r="H346" s="299" t="b">
        <v>0</v>
      </c>
      <c r="I346" s="277"/>
      <c r="J346" s="278"/>
      <c r="K346" s="277"/>
      <c r="L346" s="278"/>
      <c r="M346" s="277"/>
      <c r="N346" s="278"/>
      <c r="O346" s="277"/>
      <c r="P346" s="278"/>
      <c r="Q346" s="277"/>
      <c r="R346" s="278"/>
      <c r="S346" s="277"/>
      <c r="T346" s="278"/>
      <c r="U346" s="277"/>
      <c r="V346" s="278"/>
      <c r="W346" s="277"/>
      <c r="X346" s="278"/>
      <c r="Y346" s="277"/>
      <c r="Z346" s="278"/>
      <c r="AA346" s="277"/>
      <c r="AB346" s="278"/>
      <c r="AC346" s="277"/>
      <c r="AD346" s="278"/>
      <c r="AE346" s="277"/>
      <c r="AF346" s="278"/>
      <c r="AG346" s="277"/>
      <c r="AH346" s="278"/>
      <c r="AI346" s="277"/>
      <c r="AJ346" s="278"/>
      <c r="AK346" s="277"/>
      <c r="AL346" s="278"/>
      <c r="AM346" s="277"/>
      <c r="AN346" s="278"/>
      <c r="AO346" s="278"/>
      <c r="AP346" s="278"/>
      <c r="AQ346" s="278"/>
      <c r="AR346" s="278"/>
      <c r="AS346" s="278"/>
    </row>
    <row r="347" spans="1:45">
      <c r="A347" s="277"/>
      <c r="B347" s="298" t="b">
        <v>0</v>
      </c>
      <c r="C347" s="278"/>
      <c r="D347" s="299" t="b">
        <v>0</v>
      </c>
      <c r="E347" s="277"/>
      <c r="F347" s="298" t="b">
        <v>0</v>
      </c>
      <c r="G347" s="278"/>
      <c r="H347" s="299" t="b">
        <v>0</v>
      </c>
      <c r="I347" s="277"/>
      <c r="J347" s="278"/>
      <c r="K347" s="277"/>
      <c r="L347" s="278"/>
      <c r="M347" s="277"/>
      <c r="N347" s="278"/>
      <c r="O347" s="277"/>
      <c r="P347" s="278"/>
      <c r="Q347" s="277"/>
      <c r="R347" s="278"/>
      <c r="S347" s="277"/>
      <c r="T347" s="278"/>
      <c r="U347" s="277"/>
      <c r="V347" s="278"/>
      <c r="W347" s="277"/>
      <c r="X347" s="278"/>
      <c r="Y347" s="277"/>
      <c r="Z347" s="278"/>
      <c r="AA347" s="277"/>
      <c r="AB347" s="278"/>
      <c r="AC347" s="277"/>
      <c r="AD347" s="278"/>
      <c r="AE347" s="277"/>
      <c r="AF347" s="278"/>
      <c r="AG347" s="277"/>
      <c r="AH347" s="278"/>
      <c r="AI347" s="277"/>
      <c r="AJ347" s="278"/>
      <c r="AK347" s="277"/>
      <c r="AL347" s="278"/>
      <c r="AM347" s="277"/>
      <c r="AN347" s="278"/>
      <c r="AO347" s="278"/>
      <c r="AP347" s="278"/>
      <c r="AQ347" s="278"/>
      <c r="AR347" s="278"/>
      <c r="AS347" s="278"/>
    </row>
    <row r="348" spans="1:45">
      <c r="A348" s="277"/>
      <c r="B348" s="298" t="b">
        <v>0</v>
      </c>
      <c r="C348" s="278"/>
      <c r="D348" s="299" t="b">
        <v>0</v>
      </c>
      <c r="E348" s="277"/>
      <c r="F348" s="298" t="b">
        <v>0</v>
      </c>
      <c r="G348" s="278"/>
      <c r="H348" s="299" t="b">
        <v>0</v>
      </c>
      <c r="I348" s="277"/>
      <c r="J348" s="278"/>
      <c r="K348" s="277"/>
      <c r="L348" s="278"/>
      <c r="M348" s="277"/>
      <c r="N348" s="278"/>
      <c r="O348" s="277"/>
      <c r="P348" s="278"/>
      <c r="Q348" s="277"/>
      <c r="R348" s="278"/>
      <c r="S348" s="277"/>
      <c r="T348" s="278"/>
      <c r="U348" s="277"/>
      <c r="V348" s="278"/>
      <c r="W348" s="277"/>
      <c r="X348" s="278"/>
      <c r="Y348" s="277"/>
      <c r="Z348" s="278"/>
      <c r="AA348" s="277"/>
      <c r="AB348" s="278"/>
      <c r="AC348" s="277"/>
      <c r="AD348" s="278"/>
      <c r="AE348" s="277"/>
      <c r="AF348" s="278"/>
      <c r="AG348" s="277"/>
      <c r="AH348" s="278"/>
      <c r="AI348" s="277"/>
      <c r="AJ348" s="278"/>
      <c r="AK348" s="277"/>
      <c r="AL348" s="278"/>
      <c r="AM348" s="277"/>
      <c r="AN348" s="278"/>
      <c r="AO348" s="278"/>
      <c r="AP348" s="278"/>
      <c r="AQ348" s="278"/>
      <c r="AR348" s="278"/>
      <c r="AS348" s="278"/>
    </row>
    <row r="349" spans="1:45">
      <c r="A349" s="277"/>
      <c r="B349" s="298" t="b">
        <v>0</v>
      </c>
      <c r="C349" s="278"/>
      <c r="D349" s="299" t="b">
        <v>0</v>
      </c>
      <c r="E349" s="277"/>
      <c r="F349" s="298" t="b">
        <v>0</v>
      </c>
      <c r="G349" s="278"/>
      <c r="H349" s="299" t="b">
        <v>0</v>
      </c>
      <c r="I349" s="277"/>
      <c r="J349" s="278"/>
      <c r="K349" s="277"/>
      <c r="L349" s="278"/>
      <c r="M349" s="277"/>
      <c r="N349" s="278"/>
      <c r="O349" s="277"/>
      <c r="P349" s="278"/>
      <c r="Q349" s="277"/>
      <c r="R349" s="278"/>
      <c r="S349" s="277"/>
      <c r="T349" s="278"/>
      <c r="U349" s="277"/>
      <c r="V349" s="278"/>
      <c r="W349" s="277"/>
      <c r="X349" s="278"/>
      <c r="Y349" s="277"/>
      <c r="Z349" s="278"/>
      <c r="AA349" s="277"/>
      <c r="AB349" s="278"/>
      <c r="AC349" s="277"/>
      <c r="AD349" s="278"/>
      <c r="AE349" s="277"/>
      <c r="AF349" s="278"/>
      <c r="AG349" s="277"/>
      <c r="AH349" s="278"/>
      <c r="AI349" s="277"/>
      <c r="AJ349" s="278"/>
      <c r="AK349" s="277"/>
      <c r="AL349" s="278"/>
      <c r="AM349" s="277"/>
      <c r="AN349" s="278"/>
      <c r="AO349" s="278"/>
      <c r="AP349" s="278"/>
      <c r="AQ349" s="278"/>
      <c r="AR349" s="278"/>
      <c r="AS349" s="278"/>
    </row>
    <row r="350" spans="1:45">
      <c r="A350" s="277"/>
      <c r="B350" s="298" t="b">
        <v>0</v>
      </c>
      <c r="C350" s="278"/>
      <c r="D350" s="299" t="b">
        <v>0</v>
      </c>
      <c r="E350" s="277"/>
      <c r="F350" s="298" t="b">
        <v>0</v>
      </c>
      <c r="G350" s="278"/>
      <c r="H350" s="299" t="b">
        <v>0</v>
      </c>
      <c r="I350" s="277"/>
      <c r="J350" s="278"/>
      <c r="K350" s="277"/>
      <c r="L350" s="278"/>
      <c r="M350" s="277"/>
      <c r="N350" s="278"/>
      <c r="O350" s="277"/>
      <c r="P350" s="278"/>
      <c r="Q350" s="277"/>
      <c r="R350" s="278"/>
      <c r="S350" s="277"/>
      <c r="T350" s="278"/>
      <c r="U350" s="277"/>
      <c r="V350" s="278"/>
      <c r="W350" s="277"/>
      <c r="X350" s="278"/>
      <c r="Y350" s="277"/>
      <c r="Z350" s="278"/>
      <c r="AA350" s="277"/>
      <c r="AB350" s="278"/>
      <c r="AC350" s="277"/>
      <c r="AD350" s="278"/>
      <c r="AE350" s="277"/>
      <c r="AF350" s="278"/>
      <c r="AG350" s="277"/>
      <c r="AH350" s="278"/>
      <c r="AI350" s="277"/>
      <c r="AJ350" s="278"/>
      <c r="AK350" s="277"/>
      <c r="AL350" s="278"/>
      <c r="AM350" s="277"/>
      <c r="AN350" s="278"/>
      <c r="AO350" s="278"/>
      <c r="AP350" s="278"/>
      <c r="AQ350" s="278"/>
      <c r="AR350" s="278"/>
      <c r="AS350" s="278"/>
    </row>
    <row r="351" spans="1:45">
      <c r="A351" s="277"/>
      <c r="B351" s="298" t="b">
        <v>0</v>
      </c>
      <c r="C351" s="278"/>
      <c r="D351" s="299" t="b">
        <v>0</v>
      </c>
      <c r="E351" s="277"/>
      <c r="F351" s="298" t="b">
        <v>0</v>
      </c>
      <c r="G351" s="278"/>
      <c r="H351" s="299" t="b">
        <v>0</v>
      </c>
      <c r="I351" s="277"/>
      <c r="J351" s="278"/>
      <c r="K351" s="277"/>
      <c r="L351" s="278"/>
      <c r="M351" s="277"/>
      <c r="N351" s="278"/>
      <c r="O351" s="277"/>
      <c r="P351" s="278"/>
      <c r="Q351" s="277"/>
      <c r="R351" s="278"/>
      <c r="S351" s="277"/>
      <c r="T351" s="278"/>
      <c r="U351" s="277"/>
      <c r="V351" s="278"/>
      <c r="W351" s="277"/>
      <c r="X351" s="278"/>
      <c r="Y351" s="277"/>
      <c r="Z351" s="278"/>
      <c r="AA351" s="277"/>
      <c r="AB351" s="278"/>
      <c r="AC351" s="277"/>
      <c r="AD351" s="278"/>
      <c r="AE351" s="277"/>
      <c r="AF351" s="278"/>
      <c r="AG351" s="277"/>
      <c r="AH351" s="278"/>
      <c r="AI351" s="277"/>
      <c r="AJ351" s="278"/>
      <c r="AK351" s="277"/>
      <c r="AL351" s="278"/>
      <c r="AM351" s="277"/>
      <c r="AN351" s="278"/>
      <c r="AO351" s="278"/>
      <c r="AP351" s="278"/>
      <c r="AQ351" s="278"/>
      <c r="AR351" s="278"/>
      <c r="AS351" s="278"/>
    </row>
    <row r="352" spans="1:45">
      <c r="A352" s="277"/>
      <c r="B352" s="298" t="b">
        <v>0</v>
      </c>
      <c r="C352" s="278"/>
      <c r="D352" s="299" t="b">
        <v>0</v>
      </c>
      <c r="E352" s="277"/>
      <c r="F352" s="298" t="b">
        <v>0</v>
      </c>
      <c r="G352" s="278"/>
      <c r="H352" s="299" t="b">
        <v>0</v>
      </c>
      <c r="I352" s="277"/>
      <c r="J352" s="278"/>
      <c r="K352" s="277"/>
      <c r="L352" s="278"/>
      <c r="M352" s="277"/>
      <c r="N352" s="278"/>
      <c r="O352" s="277"/>
      <c r="P352" s="278"/>
      <c r="Q352" s="277"/>
      <c r="R352" s="278"/>
      <c r="S352" s="277"/>
      <c r="T352" s="278"/>
      <c r="U352" s="277"/>
      <c r="V352" s="278"/>
      <c r="W352" s="277"/>
      <c r="X352" s="278"/>
      <c r="Y352" s="277"/>
      <c r="Z352" s="278"/>
      <c r="AA352" s="277"/>
      <c r="AB352" s="278"/>
      <c r="AC352" s="277"/>
      <c r="AD352" s="278"/>
      <c r="AE352" s="277"/>
      <c r="AF352" s="278"/>
      <c r="AG352" s="277"/>
      <c r="AH352" s="278"/>
      <c r="AI352" s="277"/>
      <c r="AJ352" s="278"/>
      <c r="AK352" s="277"/>
      <c r="AL352" s="278"/>
      <c r="AM352" s="277"/>
      <c r="AN352" s="278"/>
      <c r="AO352" s="278"/>
      <c r="AP352" s="278"/>
      <c r="AQ352" s="278"/>
      <c r="AR352" s="278"/>
      <c r="AS352" s="278"/>
    </row>
    <row r="353" spans="1:45">
      <c r="A353" s="277"/>
      <c r="B353" s="298" t="b">
        <v>0</v>
      </c>
      <c r="C353" s="278"/>
      <c r="D353" s="299" t="b">
        <v>0</v>
      </c>
      <c r="E353" s="277"/>
      <c r="F353" s="298" t="b">
        <v>0</v>
      </c>
      <c r="G353" s="278"/>
      <c r="H353" s="299" t="b">
        <v>0</v>
      </c>
      <c r="I353" s="277"/>
      <c r="J353" s="278"/>
      <c r="K353" s="277"/>
      <c r="L353" s="278"/>
      <c r="M353" s="277"/>
      <c r="N353" s="278"/>
      <c r="O353" s="277"/>
      <c r="P353" s="278"/>
      <c r="Q353" s="277"/>
      <c r="R353" s="278"/>
      <c r="S353" s="277"/>
      <c r="T353" s="278"/>
      <c r="U353" s="277"/>
      <c r="V353" s="278"/>
      <c r="W353" s="277"/>
      <c r="X353" s="278"/>
      <c r="Y353" s="277"/>
      <c r="Z353" s="278"/>
      <c r="AA353" s="277"/>
      <c r="AB353" s="278"/>
      <c r="AC353" s="277"/>
      <c r="AD353" s="278"/>
      <c r="AE353" s="277"/>
      <c r="AF353" s="278"/>
      <c r="AG353" s="277"/>
      <c r="AH353" s="278"/>
      <c r="AI353" s="277"/>
      <c r="AJ353" s="278"/>
      <c r="AK353" s="277"/>
      <c r="AL353" s="278"/>
      <c r="AM353" s="277"/>
      <c r="AN353" s="278"/>
      <c r="AO353" s="278"/>
      <c r="AP353" s="278"/>
      <c r="AQ353" s="278"/>
      <c r="AR353" s="278"/>
      <c r="AS353" s="278"/>
    </row>
    <row r="354" spans="1:45">
      <c r="A354" s="277"/>
      <c r="B354" s="298" t="b">
        <v>0</v>
      </c>
      <c r="C354" s="278"/>
      <c r="D354" s="299" t="b">
        <v>0</v>
      </c>
      <c r="E354" s="277"/>
      <c r="F354" s="298" t="b">
        <v>0</v>
      </c>
      <c r="G354" s="278"/>
      <c r="H354" s="299" t="b">
        <v>0</v>
      </c>
      <c r="I354" s="277"/>
      <c r="J354" s="278"/>
      <c r="K354" s="277"/>
      <c r="L354" s="278"/>
      <c r="M354" s="277"/>
      <c r="N354" s="278"/>
      <c r="O354" s="277"/>
      <c r="P354" s="278"/>
      <c r="Q354" s="277"/>
      <c r="R354" s="278"/>
      <c r="S354" s="277"/>
      <c r="T354" s="278"/>
      <c r="U354" s="277"/>
      <c r="V354" s="278"/>
      <c r="W354" s="277"/>
      <c r="X354" s="278"/>
      <c r="Y354" s="277"/>
      <c r="Z354" s="278"/>
      <c r="AA354" s="277"/>
      <c r="AB354" s="278"/>
      <c r="AC354" s="277"/>
      <c r="AD354" s="278"/>
      <c r="AE354" s="277"/>
      <c r="AF354" s="278"/>
      <c r="AG354" s="277"/>
      <c r="AH354" s="278"/>
      <c r="AI354" s="277"/>
      <c r="AJ354" s="278"/>
      <c r="AK354" s="277"/>
      <c r="AL354" s="278"/>
      <c r="AM354" s="277"/>
      <c r="AN354" s="278"/>
      <c r="AO354" s="278"/>
      <c r="AP354" s="278"/>
      <c r="AQ354" s="278"/>
      <c r="AR354" s="278"/>
      <c r="AS354" s="278"/>
    </row>
    <row r="355" spans="1:45">
      <c r="A355" s="277"/>
      <c r="B355" s="298" t="b">
        <v>0</v>
      </c>
      <c r="C355" s="278"/>
      <c r="D355" s="299" t="b">
        <v>0</v>
      </c>
      <c r="E355" s="277"/>
      <c r="F355" s="298" t="b">
        <v>0</v>
      </c>
      <c r="G355" s="278"/>
      <c r="H355" s="299" t="b">
        <v>0</v>
      </c>
      <c r="I355" s="277"/>
      <c r="J355" s="278"/>
      <c r="K355" s="277"/>
      <c r="L355" s="278"/>
      <c r="M355" s="277"/>
      <c r="N355" s="278"/>
      <c r="O355" s="277"/>
      <c r="P355" s="278"/>
      <c r="Q355" s="277"/>
      <c r="R355" s="278"/>
      <c r="S355" s="277"/>
      <c r="T355" s="278"/>
      <c r="U355" s="277"/>
      <c r="V355" s="278"/>
      <c r="W355" s="277"/>
      <c r="X355" s="278"/>
      <c r="Y355" s="277"/>
      <c r="Z355" s="278"/>
      <c r="AA355" s="277"/>
      <c r="AB355" s="278"/>
      <c r="AC355" s="277"/>
      <c r="AD355" s="278"/>
      <c r="AE355" s="277"/>
      <c r="AF355" s="278"/>
      <c r="AG355" s="277"/>
      <c r="AH355" s="278"/>
      <c r="AI355" s="277"/>
      <c r="AJ355" s="278"/>
      <c r="AK355" s="277"/>
      <c r="AL355" s="278"/>
      <c r="AM355" s="277"/>
      <c r="AN355" s="278"/>
      <c r="AO355" s="278"/>
      <c r="AP355" s="278"/>
      <c r="AQ355" s="278"/>
      <c r="AR355" s="278"/>
      <c r="AS355" s="278"/>
    </row>
    <row r="356" spans="1:45">
      <c r="A356" s="277"/>
      <c r="B356" s="298" t="b">
        <v>0</v>
      </c>
      <c r="C356" s="278"/>
      <c r="D356" s="299" t="b">
        <v>0</v>
      </c>
      <c r="E356" s="277"/>
      <c r="F356" s="298" t="b">
        <v>0</v>
      </c>
      <c r="G356" s="278"/>
      <c r="H356" s="299" t="b">
        <v>0</v>
      </c>
      <c r="I356" s="277"/>
      <c r="J356" s="278"/>
      <c r="K356" s="277"/>
      <c r="L356" s="278"/>
      <c r="M356" s="277"/>
      <c r="N356" s="278"/>
      <c r="O356" s="277"/>
      <c r="P356" s="278"/>
      <c r="Q356" s="277"/>
      <c r="R356" s="278"/>
      <c r="S356" s="277"/>
      <c r="T356" s="278"/>
      <c r="U356" s="277"/>
      <c r="V356" s="278"/>
      <c r="W356" s="277"/>
      <c r="X356" s="278"/>
      <c r="Y356" s="277"/>
      <c r="Z356" s="278"/>
      <c r="AA356" s="277"/>
      <c r="AB356" s="278"/>
      <c r="AC356" s="277"/>
      <c r="AD356" s="278"/>
      <c r="AE356" s="277"/>
      <c r="AF356" s="278"/>
      <c r="AG356" s="277"/>
      <c r="AH356" s="278"/>
      <c r="AI356" s="277"/>
      <c r="AJ356" s="278"/>
      <c r="AK356" s="277"/>
      <c r="AL356" s="278"/>
      <c r="AM356" s="277"/>
      <c r="AN356" s="278"/>
      <c r="AO356" s="278"/>
      <c r="AP356" s="278"/>
      <c r="AQ356" s="278"/>
      <c r="AR356" s="278"/>
      <c r="AS356" s="278"/>
    </row>
    <row r="357" spans="1:45">
      <c r="A357" s="277"/>
      <c r="B357" s="298" t="b">
        <v>0</v>
      </c>
      <c r="C357" s="278"/>
      <c r="D357" s="299" t="b">
        <v>0</v>
      </c>
      <c r="E357" s="277"/>
      <c r="F357" s="298" t="b">
        <v>0</v>
      </c>
      <c r="G357" s="278"/>
      <c r="H357" s="299" t="b">
        <v>0</v>
      </c>
      <c r="I357" s="277"/>
      <c r="J357" s="278"/>
      <c r="K357" s="277"/>
      <c r="L357" s="278"/>
      <c r="M357" s="277"/>
      <c r="N357" s="278"/>
      <c r="O357" s="277"/>
      <c r="P357" s="278"/>
      <c r="Q357" s="277"/>
      <c r="R357" s="278"/>
      <c r="S357" s="277"/>
      <c r="T357" s="278"/>
      <c r="U357" s="277"/>
      <c r="V357" s="278"/>
      <c r="W357" s="277"/>
      <c r="X357" s="278"/>
      <c r="Y357" s="277"/>
      <c r="Z357" s="278"/>
      <c r="AA357" s="277"/>
      <c r="AB357" s="278"/>
      <c r="AC357" s="277"/>
      <c r="AD357" s="278"/>
      <c r="AE357" s="277"/>
      <c r="AF357" s="278"/>
      <c r="AG357" s="277"/>
      <c r="AH357" s="278"/>
      <c r="AI357" s="277"/>
      <c r="AJ357" s="278"/>
      <c r="AK357" s="277"/>
      <c r="AL357" s="278"/>
      <c r="AM357" s="277"/>
      <c r="AN357" s="278"/>
      <c r="AO357" s="278"/>
      <c r="AP357" s="278"/>
      <c r="AQ357" s="278"/>
      <c r="AR357" s="278"/>
      <c r="AS357" s="278"/>
    </row>
    <row r="358" spans="1:45">
      <c r="A358" s="277"/>
      <c r="B358" s="298" t="b">
        <v>0</v>
      </c>
      <c r="C358" s="278"/>
      <c r="D358" s="299" t="b">
        <v>0</v>
      </c>
      <c r="E358" s="277"/>
      <c r="F358" s="298" t="b">
        <v>0</v>
      </c>
      <c r="G358" s="278"/>
      <c r="H358" s="299" t="b">
        <v>0</v>
      </c>
      <c r="I358" s="277"/>
      <c r="J358" s="278"/>
      <c r="K358" s="277"/>
      <c r="L358" s="278"/>
      <c r="M358" s="277"/>
      <c r="N358" s="278"/>
      <c r="O358" s="277"/>
      <c r="P358" s="278"/>
      <c r="Q358" s="277"/>
      <c r="R358" s="278"/>
      <c r="S358" s="277"/>
      <c r="T358" s="278"/>
      <c r="U358" s="277"/>
      <c r="V358" s="278"/>
      <c r="W358" s="277"/>
      <c r="X358" s="278"/>
      <c r="Y358" s="277"/>
      <c r="Z358" s="278"/>
      <c r="AA358" s="277"/>
      <c r="AB358" s="278"/>
      <c r="AC358" s="277"/>
      <c r="AD358" s="278"/>
      <c r="AE358" s="277"/>
      <c r="AF358" s="278"/>
      <c r="AG358" s="277"/>
      <c r="AH358" s="278"/>
      <c r="AI358" s="277"/>
      <c r="AJ358" s="278"/>
      <c r="AK358" s="277"/>
      <c r="AL358" s="278"/>
      <c r="AM358" s="277"/>
      <c r="AN358" s="278"/>
      <c r="AO358" s="278"/>
      <c r="AP358" s="278"/>
      <c r="AQ358" s="278"/>
      <c r="AR358" s="278"/>
      <c r="AS358" s="278"/>
    </row>
    <row r="359" spans="1:45">
      <c r="A359" s="277"/>
      <c r="B359" s="298" t="b">
        <v>0</v>
      </c>
      <c r="C359" s="278"/>
      <c r="D359" s="299" t="b">
        <v>0</v>
      </c>
      <c r="E359" s="277"/>
      <c r="F359" s="298" t="b">
        <v>0</v>
      </c>
      <c r="G359" s="278"/>
      <c r="H359" s="299" t="b">
        <v>0</v>
      </c>
      <c r="I359" s="277"/>
      <c r="J359" s="278"/>
      <c r="K359" s="277"/>
      <c r="L359" s="278"/>
      <c r="M359" s="277"/>
      <c r="N359" s="278"/>
      <c r="O359" s="277"/>
      <c r="P359" s="278"/>
      <c r="Q359" s="277"/>
      <c r="R359" s="278"/>
      <c r="S359" s="277"/>
      <c r="T359" s="278"/>
      <c r="U359" s="277"/>
      <c r="V359" s="278"/>
      <c r="W359" s="277"/>
      <c r="X359" s="278"/>
      <c r="Y359" s="277"/>
      <c r="Z359" s="278"/>
      <c r="AA359" s="277"/>
      <c r="AB359" s="278"/>
      <c r="AC359" s="277"/>
      <c r="AD359" s="278"/>
      <c r="AE359" s="277"/>
      <c r="AF359" s="278"/>
      <c r="AG359" s="277"/>
      <c r="AH359" s="278"/>
      <c r="AI359" s="277"/>
      <c r="AJ359" s="278"/>
      <c r="AK359" s="277"/>
      <c r="AL359" s="278"/>
      <c r="AM359" s="277"/>
      <c r="AN359" s="278"/>
      <c r="AO359" s="278"/>
      <c r="AP359" s="278"/>
      <c r="AQ359" s="278"/>
      <c r="AR359" s="278"/>
      <c r="AS359" s="278"/>
    </row>
    <row r="360" spans="1:45">
      <c r="A360" s="277"/>
      <c r="B360" s="298" t="b">
        <v>0</v>
      </c>
      <c r="C360" s="278"/>
      <c r="D360" s="299" t="b">
        <v>0</v>
      </c>
      <c r="E360" s="277"/>
      <c r="F360" s="298" t="b">
        <v>0</v>
      </c>
      <c r="G360" s="278"/>
      <c r="H360" s="299" t="b">
        <v>0</v>
      </c>
      <c r="I360" s="277"/>
      <c r="J360" s="278"/>
      <c r="K360" s="277"/>
      <c r="L360" s="278"/>
      <c r="M360" s="277"/>
      <c r="N360" s="278"/>
      <c r="O360" s="277"/>
      <c r="P360" s="278"/>
      <c r="Q360" s="277"/>
      <c r="R360" s="278"/>
      <c r="S360" s="277"/>
      <c r="T360" s="278"/>
      <c r="U360" s="277"/>
      <c r="V360" s="278"/>
      <c r="W360" s="277"/>
      <c r="X360" s="278"/>
      <c r="Y360" s="277"/>
      <c r="Z360" s="278"/>
      <c r="AA360" s="277"/>
      <c r="AB360" s="278"/>
      <c r="AC360" s="277"/>
      <c r="AD360" s="278"/>
      <c r="AE360" s="277"/>
      <c r="AF360" s="278"/>
      <c r="AG360" s="277"/>
      <c r="AH360" s="278"/>
      <c r="AI360" s="277"/>
      <c r="AJ360" s="278"/>
      <c r="AK360" s="277"/>
      <c r="AL360" s="278"/>
      <c r="AM360" s="277"/>
      <c r="AN360" s="278"/>
      <c r="AO360" s="278"/>
      <c r="AP360" s="278"/>
      <c r="AQ360" s="278"/>
      <c r="AR360" s="278"/>
      <c r="AS360" s="278"/>
    </row>
    <row r="361" spans="1:45">
      <c r="A361" s="277"/>
      <c r="B361" s="298" t="b">
        <v>0</v>
      </c>
      <c r="C361" s="278"/>
      <c r="D361" s="299" t="b">
        <v>0</v>
      </c>
      <c r="E361" s="277"/>
      <c r="F361" s="298" t="b">
        <v>0</v>
      </c>
      <c r="G361" s="278"/>
      <c r="H361" s="299" t="b">
        <v>0</v>
      </c>
      <c r="I361" s="277"/>
      <c r="J361" s="278"/>
      <c r="K361" s="277"/>
      <c r="L361" s="278"/>
      <c r="M361" s="277"/>
      <c r="N361" s="278"/>
      <c r="O361" s="277"/>
      <c r="P361" s="278"/>
      <c r="Q361" s="277"/>
      <c r="R361" s="278"/>
      <c r="S361" s="277"/>
      <c r="T361" s="278"/>
      <c r="U361" s="277"/>
      <c r="V361" s="278"/>
      <c r="W361" s="277"/>
      <c r="X361" s="278"/>
      <c r="Y361" s="277"/>
      <c r="Z361" s="278"/>
      <c r="AA361" s="277"/>
      <c r="AB361" s="278"/>
      <c r="AC361" s="277"/>
      <c r="AD361" s="278"/>
      <c r="AE361" s="277"/>
      <c r="AF361" s="278"/>
      <c r="AG361" s="277"/>
      <c r="AH361" s="278"/>
      <c r="AI361" s="277"/>
      <c r="AJ361" s="278"/>
      <c r="AK361" s="277"/>
      <c r="AL361" s="278"/>
      <c r="AM361" s="277"/>
      <c r="AN361" s="278"/>
      <c r="AO361" s="278"/>
      <c r="AP361" s="278"/>
      <c r="AQ361" s="278"/>
      <c r="AR361" s="278"/>
      <c r="AS361" s="278"/>
    </row>
    <row r="362" spans="1:45">
      <c r="A362" s="277"/>
      <c r="B362" s="298" t="b">
        <v>0</v>
      </c>
      <c r="C362" s="278"/>
      <c r="D362" s="299" t="b">
        <v>0</v>
      </c>
      <c r="E362" s="277"/>
      <c r="F362" s="298" t="b">
        <v>0</v>
      </c>
      <c r="G362" s="278"/>
      <c r="H362" s="299" t="b">
        <v>0</v>
      </c>
      <c r="I362" s="277"/>
      <c r="J362" s="278"/>
      <c r="K362" s="277"/>
      <c r="L362" s="278"/>
      <c r="M362" s="277"/>
      <c r="N362" s="278"/>
      <c r="O362" s="277"/>
      <c r="P362" s="278"/>
      <c r="Q362" s="277"/>
      <c r="R362" s="278"/>
      <c r="S362" s="277"/>
      <c r="T362" s="278"/>
      <c r="U362" s="277"/>
      <c r="V362" s="278"/>
      <c r="W362" s="277"/>
      <c r="X362" s="278"/>
      <c r="Y362" s="277"/>
      <c r="Z362" s="278"/>
      <c r="AA362" s="277"/>
      <c r="AB362" s="278"/>
      <c r="AC362" s="277"/>
      <c r="AD362" s="278"/>
      <c r="AE362" s="277"/>
      <c r="AF362" s="278"/>
      <c r="AG362" s="277"/>
      <c r="AH362" s="278"/>
      <c r="AI362" s="277"/>
      <c r="AJ362" s="278"/>
      <c r="AK362" s="277"/>
      <c r="AL362" s="278"/>
      <c r="AM362" s="277"/>
      <c r="AN362" s="278"/>
      <c r="AO362" s="278"/>
      <c r="AP362" s="278"/>
      <c r="AQ362" s="278"/>
      <c r="AR362" s="278"/>
      <c r="AS362" s="278"/>
    </row>
    <row r="363" spans="1:45">
      <c r="A363" s="277"/>
      <c r="B363" s="298" t="b">
        <v>0</v>
      </c>
      <c r="C363" s="278"/>
      <c r="D363" s="299" t="b">
        <v>0</v>
      </c>
      <c r="E363" s="277"/>
      <c r="F363" s="298" t="b">
        <v>0</v>
      </c>
      <c r="G363" s="278"/>
      <c r="H363" s="299" t="b">
        <v>0</v>
      </c>
      <c r="I363" s="277"/>
      <c r="J363" s="278"/>
      <c r="K363" s="277"/>
      <c r="L363" s="278"/>
      <c r="M363" s="277"/>
      <c r="N363" s="278"/>
      <c r="O363" s="277"/>
      <c r="P363" s="278"/>
      <c r="Q363" s="277"/>
      <c r="R363" s="278"/>
      <c r="S363" s="277"/>
      <c r="T363" s="278"/>
      <c r="U363" s="277"/>
      <c r="V363" s="278"/>
      <c r="W363" s="277"/>
      <c r="X363" s="278"/>
      <c r="Y363" s="277"/>
      <c r="Z363" s="278"/>
      <c r="AA363" s="277"/>
      <c r="AB363" s="278"/>
      <c r="AC363" s="277"/>
      <c r="AD363" s="278"/>
      <c r="AE363" s="277"/>
      <c r="AF363" s="278"/>
      <c r="AG363" s="277"/>
      <c r="AH363" s="278"/>
      <c r="AI363" s="277"/>
      <c r="AJ363" s="278"/>
      <c r="AK363" s="277"/>
      <c r="AL363" s="278"/>
      <c r="AM363" s="277"/>
      <c r="AN363" s="278"/>
      <c r="AO363" s="278"/>
      <c r="AP363" s="278"/>
      <c r="AQ363" s="278"/>
      <c r="AR363" s="278"/>
      <c r="AS363" s="278"/>
    </row>
    <row r="364" spans="1:45">
      <c r="A364" s="277"/>
      <c r="B364" s="298" t="b">
        <v>0</v>
      </c>
      <c r="C364" s="278"/>
      <c r="D364" s="299" t="b">
        <v>0</v>
      </c>
      <c r="E364" s="277"/>
      <c r="F364" s="298" t="b">
        <v>0</v>
      </c>
      <c r="G364" s="278"/>
      <c r="H364" s="299" t="b">
        <v>0</v>
      </c>
      <c r="I364" s="277"/>
      <c r="J364" s="278"/>
      <c r="K364" s="277"/>
      <c r="L364" s="278"/>
      <c r="M364" s="277"/>
      <c r="N364" s="278"/>
      <c r="O364" s="277"/>
      <c r="P364" s="278"/>
      <c r="Q364" s="277"/>
      <c r="R364" s="278"/>
      <c r="S364" s="277"/>
      <c r="T364" s="278"/>
      <c r="U364" s="277"/>
      <c r="V364" s="278"/>
      <c r="W364" s="277"/>
      <c r="X364" s="278"/>
      <c r="Y364" s="277"/>
      <c r="Z364" s="278"/>
      <c r="AA364" s="277"/>
      <c r="AB364" s="278"/>
      <c r="AC364" s="277"/>
      <c r="AD364" s="278"/>
      <c r="AE364" s="277"/>
      <c r="AF364" s="278"/>
      <c r="AG364" s="277"/>
      <c r="AH364" s="278"/>
      <c r="AI364" s="277"/>
      <c r="AJ364" s="278"/>
      <c r="AK364" s="277"/>
      <c r="AL364" s="278"/>
      <c r="AM364" s="277"/>
      <c r="AN364" s="278"/>
      <c r="AO364" s="278"/>
      <c r="AP364" s="278"/>
      <c r="AQ364" s="278"/>
      <c r="AR364" s="278"/>
      <c r="AS364" s="278"/>
    </row>
    <row r="365" spans="1:45">
      <c r="A365" s="277"/>
      <c r="B365" s="298" t="b">
        <v>0</v>
      </c>
      <c r="C365" s="278"/>
      <c r="D365" s="299" t="b">
        <v>0</v>
      </c>
      <c r="E365" s="277"/>
      <c r="F365" s="298" t="b">
        <v>0</v>
      </c>
      <c r="G365" s="278"/>
      <c r="H365" s="299" t="b">
        <v>0</v>
      </c>
      <c r="I365" s="277"/>
      <c r="J365" s="278"/>
      <c r="K365" s="277"/>
      <c r="L365" s="278"/>
      <c r="M365" s="277"/>
      <c r="N365" s="278"/>
      <c r="O365" s="277"/>
      <c r="P365" s="278"/>
      <c r="Q365" s="277"/>
      <c r="R365" s="278"/>
      <c r="S365" s="277"/>
      <c r="T365" s="278"/>
      <c r="U365" s="277"/>
      <c r="V365" s="278"/>
      <c r="W365" s="277"/>
      <c r="X365" s="278"/>
      <c r="Y365" s="277"/>
      <c r="Z365" s="278"/>
      <c r="AA365" s="277"/>
      <c r="AB365" s="278"/>
      <c r="AC365" s="277"/>
      <c r="AD365" s="278"/>
      <c r="AE365" s="277"/>
      <c r="AF365" s="278"/>
      <c r="AG365" s="277"/>
      <c r="AH365" s="278"/>
      <c r="AI365" s="277"/>
      <c r="AJ365" s="278"/>
      <c r="AK365" s="277"/>
      <c r="AL365" s="278"/>
      <c r="AM365" s="277"/>
      <c r="AN365" s="278"/>
      <c r="AO365" s="278"/>
      <c r="AP365" s="278"/>
      <c r="AQ365" s="278"/>
      <c r="AR365" s="278"/>
      <c r="AS365" s="278"/>
    </row>
    <row r="366" spans="1:45">
      <c r="A366" s="277"/>
      <c r="B366" s="298" t="b">
        <v>0</v>
      </c>
      <c r="C366" s="278"/>
      <c r="D366" s="299" t="b">
        <v>0</v>
      </c>
      <c r="E366" s="277"/>
      <c r="F366" s="298" t="b">
        <v>0</v>
      </c>
      <c r="G366" s="278"/>
      <c r="H366" s="299" t="b">
        <v>0</v>
      </c>
      <c r="I366" s="277"/>
      <c r="J366" s="278"/>
      <c r="K366" s="277"/>
      <c r="L366" s="278"/>
      <c r="M366" s="277"/>
      <c r="N366" s="278"/>
      <c r="O366" s="277"/>
      <c r="P366" s="278"/>
      <c r="Q366" s="277"/>
      <c r="R366" s="278"/>
      <c r="S366" s="277"/>
      <c r="T366" s="278"/>
      <c r="U366" s="277"/>
      <c r="V366" s="278"/>
      <c r="W366" s="277"/>
      <c r="X366" s="278"/>
      <c r="Y366" s="277"/>
      <c r="Z366" s="278"/>
      <c r="AA366" s="277"/>
      <c r="AB366" s="278"/>
      <c r="AC366" s="277"/>
      <c r="AD366" s="278"/>
      <c r="AE366" s="277"/>
      <c r="AF366" s="278"/>
      <c r="AG366" s="277"/>
      <c r="AH366" s="278"/>
      <c r="AI366" s="277"/>
      <c r="AJ366" s="278"/>
      <c r="AK366" s="277"/>
      <c r="AL366" s="278"/>
      <c r="AM366" s="277"/>
      <c r="AN366" s="278"/>
      <c r="AO366" s="278"/>
      <c r="AP366" s="278"/>
      <c r="AQ366" s="278"/>
      <c r="AR366" s="278"/>
      <c r="AS366" s="278"/>
    </row>
    <row r="367" spans="1:45">
      <c r="A367" s="277"/>
      <c r="B367" s="298" t="b">
        <v>0</v>
      </c>
      <c r="C367" s="278"/>
      <c r="D367" s="299" t="b">
        <v>0</v>
      </c>
      <c r="E367" s="277"/>
      <c r="F367" s="298" t="b">
        <v>0</v>
      </c>
      <c r="G367" s="278"/>
      <c r="H367" s="299" t="b">
        <v>0</v>
      </c>
      <c r="I367" s="277"/>
      <c r="J367" s="278"/>
      <c r="K367" s="277"/>
      <c r="L367" s="278"/>
      <c r="M367" s="277"/>
      <c r="N367" s="278"/>
      <c r="O367" s="277"/>
      <c r="P367" s="278"/>
      <c r="Q367" s="277"/>
      <c r="R367" s="278"/>
      <c r="S367" s="277"/>
      <c r="T367" s="278"/>
      <c r="U367" s="277"/>
      <c r="V367" s="278"/>
      <c r="W367" s="277"/>
      <c r="X367" s="278"/>
      <c r="Y367" s="277"/>
      <c r="Z367" s="278"/>
      <c r="AA367" s="277"/>
      <c r="AB367" s="278"/>
      <c r="AC367" s="277"/>
      <c r="AD367" s="278"/>
      <c r="AE367" s="277"/>
      <c r="AF367" s="278"/>
      <c r="AG367" s="277"/>
      <c r="AH367" s="278"/>
      <c r="AI367" s="277"/>
      <c r="AJ367" s="278"/>
      <c r="AK367" s="277"/>
      <c r="AL367" s="278"/>
      <c r="AM367" s="277"/>
      <c r="AN367" s="278"/>
      <c r="AO367" s="278"/>
      <c r="AP367" s="278"/>
      <c r="AQ367" s="278"/>
      <c r="AR367" s="278"/>
      <c r="AS367" s="278"/>
    </row>
    <row r="368" spans="1:45">
      <c r="A368" s="277"/>
      <c r="B368" s="298" t="b">
        <v>0</v>
      </c>
      <c r="C368" s="278"/>
      <c r="D368" s="299" t="b">
        <v>0</v>
      </c>
      <c r="E368" s="277"/>
      <c r="F368" s="298" t="b">
        <v>0</v>
      </c>
      <c r="G368" s="278"/>
      <c r="H368" s="299" t="b">
        <v>0</v>
      </c>
      <c r="I368" s="277"/>
      <c r="J368" s="278"/>
      <c r="K368" s="277"/>
      <c r="L368" s="278"/>
      <c r="M368" s="277"/>
      <c r="N368" s="278"/>
      <c r="O368" s="277"/>
      <c r="P368" s="278"/>
      <c r="Q368" s="277"/>
      <c r="R368" s="278"/>
      <c r="S368" s="277"/>
      <c r="T368" s="278"/>
      <c r="U368" s="277"/>
      <c r="V368" s="278"/>
      <c r="W368" s="277"/>
      <c r="X368" s="278"/>
      <c r="Y368" s="277"/>
      <c r="Z368" s="278"/>
      <c r="AA368" s="277"/>
      <c r="AB368" s="278"/>
      <c r="AC368" s="277"/>
      <c r="AD368" s="278"/>
      <c r="AE368" s="277"/>
      <c r="AF368" s="278"/>
      <c r="AG368" s="277"/>
      <c r="AH368" s="278"/>
      <c r="AI368" s="277"/>
      <c r="AJ368" s="278"/>
      <c r="AK368" s="277"/>
      <c r="AL368" s="278"/>
      <c r="AM368" s="277"/>
      <c r="AN368" s="278"/>
      <c r="AO368" s="278"/>
      <c r="AP368" s="278"/>
      <c r="AQ368" s="278"/>
      <c r="AR368" s="278"/>
      <c r="AS368" s="278"/>
    </row>
    <row r="369" spans="1:45">
      <c r="A369" s="277"/>
      <c r="B369" s="298" t="b">
        <v>0</v>
      </c>
      <c r="C369" s="278"/>
      <c r="D369" s="299" t="b">
        <v>0</v>
      </c>
      <c r="E369" s="277"/>
      <c r="F369" s="298" t="b">
        <v>0</v>
      </c>
      <c r="G369" s="278"/>
      <c r="H369" s="299" t="b">
        <v>0</v>
      </c>
      <c r="I369" s="277"/>
      <c r="J369" s="278"/>
      <c r="K369" s="277"/>
      <c r="L369" s="278"/>
      <c r="M369" s="277"/>
      <c r="N369" s="278"/>
      <c r="O369" s="277"/>
      <c r="P369" s="278"/>
      <c r="Q369" s="277"/>
      <c r="R369" s="278"/>
      <c r="S369" s="277"/>
      <c r="T369" s="278"/>
      <c r="U369" s="277"/>
      <c r="V369" s="278"/>
      <c r="W369" s="277"/>
      <c r="X369" s="278"/>
      <c r="Y369" s="277"/>
      <c r="Z369" s="278"/>
      <c r="AA369" s="277"/>
      <c r="AB369" s="278"/>
      <c r="AC369" s="277"/>
      <c r="AD369" s="278"/>
      <c r="AE369" s="277"/>
      <c r="AF369" s="278"/>
      <c r="AG369" s="277"/>
      <c r="AH369" s="278"/>
      <c r="AI369" s="277"/>
      <c r="AJ369" s="278"/>
      <c r="AK369" s="277"/>
      <c r="AL369" s="278"/>
      <c r="AM369" s="277"/>
      <c r="AN369" s="278"/>
      <c r="AO369" s="278"/>
      <c r="AP369" s="278"/>
      <c r="AQ369" s="278"/>
      <c r="AR369" s="278"/>
      <c r="AS369" s="278"/>
    </row>
    <row r="370" spans="1:45">
      <c r="A370" s="277"/>
      <c r="B370" s="298" t="b">
        <v>0</v>
      </c>
      <c r="C370" s="278"/>
      <c r="D370" s="299" t="b">
        <v>0</v>
      </c>
      <c r="E370" s="277"/>
      <c r="F370" s="298" t="b">
        <v>0</v>
      </c>
      <c r="G370" s="278"/>
      <c r="H370" s="299" t="b">
        <v>0</v>
      </c>
      <c r="I370" s="277"/>
      <c r="J370" s="278"/>
      <c r="K370" s="277"/>
      <c r="L370" s="278"/>
      <c r="M370" s="277"/>
      <c r="N370" s="278"/>
      <c r="O370" s="277"/>
      <c r="P370" s="278"/>
      <c r="Q370" s="277"/>
      <c r="R370" s="278"/>
      <c r="S370" s="277"/>
      <c r="T370" s="278"/>
      <c r="U370" s="277"/>
      <c r="V370" s="278"/>
      <c r="W370" s="277"/>
      <c r="X370" s="278"/>
      <c r="Y370" s="277"/>
      <c r="Z370" s="278"/>
      <c r="AA370" s="277"/>
      <c r="AB370" s="278"/>
      <c r="AC370" s="277"/>
      <c r="AD370" s="278"/>
      <c r="AE370" s="277"/>
      <c r="AF370" s="278"/>
      <c r="AG370" s="277"/>
      <c r="AH370" s="278"/>
      <c r="AI370" s="277"/>
      <c r="AJ370" s="278"/>
      <c r="AK370" s="277"/>
      <c r="AL370" s="278"/>
      <c r="AM370" s="277"/>
      <c r="AN370" s="278"/>
      <c r="AO370" s="278"/>
      <c r="AP370" s="278"/>
      <c r="AQ370" s="278"/>
      <c r="AR370" s="278"/>
      <c r="AS370" s="278"/>
    </row>
    <row r="371" spans="1:45">
      <c r="A371" s="277"/>
      <c r="B371" s="298" t="b">
        <v>0</v>
      </c>
      <c r="C371" s="278"/>
      <c r="D371" s="299" t="b">
        <v>0</v>
      </c>
      <c r="E371" s="277"/>
      <c r="F371" s="298" t="b">
        <v>0</v>
      </c>
      <c r="G371" s="278"/>
      <c r="H371" s="299" t="b">
        <v>0</v>
      </c>
      <c r="I371" s="277"/>
      <c r="J371" s="278"/>
      <c r="K371" s="277"/>
      <c r="L371" s="278"/>
      <c r="M371" s="277"/>
      <c r="N371" s="278"/>
      <c r="O371" s="277"/>
      <c r="P371" s="278"/>
      <c r="Q371" s="277"/>
      <c r="R371" s="278"/>
      <c r="S371" s="277"/>
      <c r="T371" s="278"/>
      <c r="U371" s="277"/>
      <c r="V371" s="278"/>
      <c r="W371" s="277"/>
      <c r="X371" s="278"/>
      <c r="Y371" s="277"/>
      <c r="Z371" s="278"/>
      <c r="AA371" s="277"/>
      <c r="AB371" s="278"/>
      <c r="AC371" s="277"/>
      <c r="AD371" s="278"/>
      <c r="AE371" s="277"/>
      <c r="AF371" s="278"/>
      <c r="AG371" s="277"/>
      <c r="AH371" s="278"/>
      <c r="AI371" s="277"/>
      <c r="AJ371" s="278"/>
      <c r="AK371" s="277"/>
      <c r="AL371" s="278"/>
      <c r="AM371" s="277"/>
      <c r="AN371" s="278"/>
      <c r="AO371" s="278"/>
      <c r="AP371" s="278"/>
      <c r="AQ371" s="278"/>
      <c r="AR371" s="278"/>
      <c r="AS371" s="278"/>
    </row>
    <row r="372" spans="1:45">
      <c r="A372" s="277"/>
      <c r="B372" s="298" t="b">
        <v>0</v>
      </c>
      <c r="C372" s="278"/>
      <c r="D372" s="299" t="b">
        <v>0</v>
      </c>
      <c r="E372" s="277"/>
      <c r="F372" s="298" t="b">
        <v>0</v>
      </c>
      <c r="G372" s="278"/>
      <c r="H372" s="299" t="b">
        <v>0</v>
      </c>
      <c r="I372" s="277"/>
      <c r="J372" s="278"/>
      <c r="K372" s="277"/>
      <c r="L372" s="278"/>
      <c r="M372" s="277"/>
      <c r="N372" s="278"/>
      <c r="O372" s="277"/>
      <c r="P372" s="278"/>
      <c r="Q372" s="277"/>
      <c r="R372" s="278"/>
      <c r="S372" s="277"/>
      <c r="T372" s="278"/>
      <c r="U372" s="277"/>
      <c r="V372" s="278"/>
      <c r="W372" s="277"/>
      <c r="X372" s="278"/>
      <c r="Y372" s="277"/>
      <c r="Z372" s="278"/>
      <c r="AA372" s="277"/>
      <c r="AB372" s="278"/>
      <c r="AC372" s="277"/>
      <c r="AD372" s="278"/>
      <c r="AE372" s="277"/>
      <c r="AF372" s="278"/>
      <c r="AG372" s="277"/>
      <c r="AH372" s="278"/>
      <c r="AI372" s="277"/>
      <c r="AJ372" s="278"/>
      <c r="AK372" s="277"/>
      <c r="AL372" s="278"/>
      <c r="AM372" s="277"/>
      <c r="AN372" s="278"/>
      <c r="AO372" s="278"/>
      <c r="AP372" s="278"/>
      <c r="AQ372" s="278"/>
      <c r="AR372" s="278"/>
      <c r="AS372" s="278"/>
    </row>
    <row r="373" spans="1:45">
      <c r="A373" s="277"/>
      <c r="B373" s="298" t="b">
        <v>0</v>
      </c>
      <c r="C373" s="278"/>
      <c r="D373" s="299" t="b">
        <v>0</v>
      </c>
      <c r="E373" s="277"/>
      <c r="F373" s="298" t="b">
        <v>0</v>
      </c>
      <c r="G373" s="278"/>
      <c r="H373" s="299" t="b">
        <v>0</v>
      </c>
      <c r="I373" s="277"/>
      <c r="J373" s="278"/>
      <c r="K373" s="277"/>
      <c r="L373" s="278"/>
      <c r="M373" s="277"/>
      <c r="N373" s="278"/>
      <c r="O373" s="277"/>
      <c r="P373" s="278"/>
      <c r="Q373" s="277"/>
      <c r="R373" s="278"/>
      <c r="S373" s="277"/>
      <c r="T373" s="278"/>
      <c r="U373" s="277"/>
      <c r="V373" s="278"/>
      <c r="W373" s="277"/>
      <c r="X373" s="278"/>
      <c r="Y373" s="277"/>
      <c r="Z373" s="278"/>
      <c r="AA373" s="277"/>
      <c r="AB373" s="278"/>
      <c r="AC373" s="277"/>
      <c r="AD373" s="278"/>
      <c r="AE373" s="277"/>
      <c r="AF373" s="278"/>
      <c r="AG373" s="277"/>
      <c r="AH373" s="278"/>
      <c r="AI373" s="277"/>
      <c r="AJ373" s="278"/>
      <c r="AK373" s="277"/>
      <c r="AL373" s="278"/>
      <c r="AM373" s="277"/>
      <c r="AN373" s="278"/>
      <c r="AO373" s="278"/>
      <c r="AP373" s="278"/>
      <c r="AQ373" s="278"/>
      <c r="AR373" s="278"/>
      <c r="AS373" s="278"/>
    </row>
    <row r="374" spans="1:45">
      <c r="A374" s="277"/>
      <c r="B374" s="298" t="b">
        <v>0</v>
      </c>
      <c r="C374" s="278"/>
      <c r="D374" s="299" t="b">
        <v>0</v>
      </c>
      <c r="E374" s="277"/>
      <c r="F374" s="298" t="b">
        <v>0</v>
      </c>
      <c r="G374" s="278"/>
      <c r="H374" s="299" t="b">
        <v>0</v>
      </c>
      <c r="I374" s="277"/>
      <c r="J374" s="278"/>
      <c r="K374" s="277"/>
      <c r="L374" s="278"/>
      <c r="M374" s="277"/>
      <c r="N374" s="278"/>
      <c r="O374" s="277"/>
      <c r="P374" s="278"/>
      <c r="Q374" s="277"/>
      <c r="R374" s="278"/>
      <c r="S374" s="277"/>
      <c r="T374" s="278"/>
      <c r="U374" s="277"/>
      <c r="V374" s="278"/>
      <c r="W374" s="277"/>
      <c r="X374" s="278"/>
      <c r="Y374" s="277"/>
      <c r="Z374" s="278"/>
      <c r="AA374" s="277"/>
      <c r="AB374" s="278"/>
      <c r="AC374" s="277"/>
      <c r="AD374" s="278"/>
      <c r="AE374" s="277"/>
      <c r="AF374" s="278"/>
      <c r="AG374" s="277"/>
      <c r="AH374" s="278"/>
      <c r="AI374" s="277"/>
      <c r="AJ374" s="278"/>
      <c r="AK374" s="277"/>
      <c r="AL374" s="278"/>
      <c r="AM374" s="277"/>
      <c r="AN374" s="278"/>
      <c r="AO374" s="278"/>
      <c r="AP374" s="278"/>
      <c r="AQ374" s="278"/>
      <c r="AR374" s="278"/>
      <c r="AS374" s="278"/>
    </row>
    <row r="375" spans="1:45">
      <c r="A375" s="277"/>
      <c r="B375" s="298" t="b">
        <v>0</v>
      </c>
      <c r="C375" s="278"/>
      <c r="D375" s="299" t="b">
        <v>0</v>
      </c>
      <c r="E375" s="277"/>
      <c r="F375" s="298" t="b">
        <v>0</v>
      </c>
      <c r="G375" s="278"/>
      <c r="H375" s="299" t="b">
        <v>0</v>
      </c>
      <c r="I375" s="277"/>
      <c r="J375" s="278"/>
      <c r="K375" s="277"/>
      <c r="L375" s="278"/>
      <c r="M375" s="277"/>
      <c r="N375" s="278"/>
      <c r="O375" s="277"/>
      <c r="P375" s="278"/>
      <c r="Q375" s="277"/>
      <c r="R375" s="278"/>
      <c r="S375" s="277"/>
      <c r="T375" s="278"/>
      <c r="U375" s="277"/>
      <c r="V375" s="278"/>
      <c r="W375" s="277"/>
      <c r="X375" s="278"/>
      <c r="Y375" s="277"/>
      <c r="Z375" s="278"/>
      <c r="AA375" s="277"/>
      <c r="AB375" s="278"/>
      <c r="AC375" s="277"/>
      <c r="AD375" s="278"/>
      <c r="AE375" s="277"/>
      <c r="AF375" s="278"/>
      <c r="AG375" s="277"/>
      <c r="AH375" s="278"/>
      <c r="AI375" s="277"/>
      <c r="AJ375" s="278"/>
      <c r="AK375" s="277"/>
      <c r="AL375" s="278"/>
      <c r="AM375" s="277"/>
      <c r="AN375" s="278"/>
      <c r="AO375" s="278"/>
      <c r="AP375" s="278"/>
      <c r="AQ375" s="278"/>
      <c r="AR375" s="278"/>
      <c r="AS375" s="278"/>
    </row>
    <row r="376" spans="1:45">
      <c r="A376" s="277"/>
      <c r="B376" s="298" t="b">
        <v>0</v>
      </c>
      <c r="C376" s="278"/>
      <c r="D376" s="299" t="b">
        <v>0</v>
      </c>
      <c r="E376" s="277"/>
      <c r="F376" s="298" t="b">
        <v>0</v>
      </c>
      <c r="G376" s="278"/>
      <c r="H376" s="299" t="b">
        <v>0</v>
      </c>
      <c r="I376" s="277"/>
      <c r="J376" s="278"/>
      <c r="K376" s="277"/>
      <c r="L376" s="278"/>
      <c r="M376" s="277"/>
      <c r="N376" s="278"/>
      <c r="O376" s="277"/>
      <c r="P376" s="278"/>
      <c r="Q376" s="277"/>
      <c r="R376" s="278"/>
      <c r="S376" s="277"/>
      <c r="T376" s="278"/>
      <c r="U376" s="277"/>
      <c r="V376" s="278"/>
      <c r="W376" s="277"/>
      <c r="X376" s="278"/>
      <c r="Y376" s="277"/>
      <c r="Z376" s="278"/>
      <c r="AA376" s="277"/>
      <c r="AB376" s="278"/>
      <c r="AC376" s="277"/>
      <c r="AD376" s="278"/>
      <c r="AE376" s="277"/>
      <c r="AF376" s="278"/>
      <c r="AG376" s="277"/>
      <c r="AH376" s="278"/>
      <c r="AI376" s="277"/>
      <c r="AJ376" s="278"/>
      <c r="AK376" s="277"/>
      <c r="AL376" s="278"/>
      <c r="AM376" s="277"/>
      <c r="AN376" s="278"/>
      <c r="AO376" s="278"/>
      <c r="AP376" s="278"/>
      <c r="AQ376" s="278"/>
      <c r="AR376" s="278"/>
      <c r="AS376" s="278"/>
    </row>
    <row r="377" spans="1:45">
      <c r="A377" s="277"/>
      <c r="B377" s="298" t="b">
        <v>0</v>
      </c>
      <c r="C377" s="278"/>
      <c r="D377" s="299" t="b">
        <v>0</v>
      </c>
      <c r="E377" s="277"/>
      <c r="F377" s="298" t="b">
        <v>0</v>
      </c>
      <c r="G377" s="278"/>
      <c r="H377" s="299" t="b">
        <v>0</v>
      </c>
      <c r="I377" s="277"/>
      <c r="J377" s="278"/>
      <c r="K377" s="277"/>
      <c r="L377" s="278"/>
      <c r="M377" s="277"/>
      <c r="N377" s="278"/>
      <c r="O377" s="277"/>
      <c r="P377" s="278"/>
      <c r="Q377" s="277"/>
      <c r="R377" s="278"/>
      <c r="S377" s="277"/>
      <c r="T377" s="278"/>
      <c r="U377" s="277"/>
      <c r="V377" s="278"/>
      <c r="W377" s="277"/>
      <c r="X377" s="278"/>
      <c r="Y377" s="277"/>
      <c r="Z377" s="278"/>
      <c r="AA377" s="277"/>
      <c r="AB377" s="278"/>
      <c r="AC377" s="277"/>
      <c r="AD377" s="278"/>
      <c r="AE377" s="277"/>
      <c r="AF377" s="278"/>
      <c r="AG377" s="277"/>
      <c r="AH377" s="278"/>
      <c r="AI377" s="277"/>
      <c r="AJ377" s="278"/>
      <c r="AK377" s="277"/>
      <c r="AL377" s="278"/>
      <c r="AM377" s="277"/>
      <c r="AN377" s="278"/>
      <c r="AO377" s="278"/>
      <c r="AP377" s="278"/>
      <c r="AQ377" s="278"/>
      <c r="AR377" s="278"/>
      <c r="AS377" s="278"/>
    </row>
    <row r="378" spans="1:45">
      <c r="A378" s="277"/>
      <c r="B378" s="298" t="b">
        <v>0</v>
      </c>
      <c r="C378" s="278"/>
      <c r="D378" s="299" t="b">
        <v>0</v>
      </c>
      <c r="E378" s="277"/>
      <c r="F378" s="298" t="b">
        <v>0</v>
      </c>
      <c r="G378" s="278"/>
      <c r="H378" s="299" t="b">
        <v>0</v>
      </c>
      <c r="I378" s="277"/>
      <c r="J378" s="278"/>
      <c r="K378" s="277"/>
      <c r="L378" s="278"/>
      <c r="M378" s="277"/>
      <c r="N378" s="278"/>
      <c r="O378" s="277"/>
      <c r="P378" s="278"/>
      <c r="Q378" s="277"/>
      <c r="R378" s="278"/>
      <c r="S378" s="277"/>
      <c r="T378" s="278"/>
      <c r="U378" s="277"/>
      <c r="V378" s="278"/>
      <c r="W378" s="277"/>
      <c r="X378" s="278"/>
      <c r="Y378" s="277"/>
      <c r="Z378" s="278"/>
      <c r="AA378" s="277"/>
      <c r="AB378" s="278"/>
      <c r="AC378" s="277"/>
      <c r="AD378" s="278"/>
      <c r="AE378" s="277"/>
      <c r="AF378" s="278"/>
      <c r="AG378" s="277"/>
      <c r="AH378" s="278"/>
      <c r="AI378" s="277"/>
      <c r="AJ378" s="278"/>
      <c r="AK378" s="277"/>
      <c r="AL378" s="278"/>
      <c r="AM378" s="277"/>
      <c r="AN378" s="278"/>
      <c r="AO378" s="278"/>
      <c r="AP378" s="278"/>
      <c r="AQ378" s="278"/>
      <c r="AR378" s="278"/>
      <c r="AS378" s="278"/>
    </row>
    <row r="379" spans="1:45">
      <c r="A379" s="277"/>
      <c r="B379" s="298" t="b">
        <v>0</v>
      </c>
      <c r="C379" s="278"/>
      <c r="D379" s="299" t="b">
        <v>0</v>
      </c>
      <c r="E379" s="277"/>
      <c r="F379" s="298" t="b">
        <v>0</v>
      </c>
      <c r="G379" s="278"/>
      <c r="H379" s="299" t="b">
        <v>0</v>
      </c>
      <c r="I379" s="277"/>
      <c r="J379" s="278"/>
      <c r="K379" s="277"/>
      <c r="L379" s="278"/>
      <c r="M379" s="277"/>
      <c r="N379" s="278"/>
      <c r="O379" s="277"/>
      <c r="P379" s="278"/>
      <c r="Q379" s="277"/>
      <c r="R379" s="278"/>
      <c r="S379" s="277"/>
      <c r="T379" s="278"/>
      <c r="U379" s="277"/>
      <c r="V379" s="278"/>
      <c r="W379" s="277"/>
      <c r="X379" s="278"/>
      <c r="Y379" s="277"/>
      <c r="Z379" s="278"/>
      <c r="AA379" s="277"/>
      <c r="AB379" s="278"/>
      <c r="AC379" s="277"/>
      <c r="AD379" s="278"/>
      <c r="AE379" s="277"/>
      <c r="AF379" s="278"/>
      <c r="AG379" s="277"/>
      <c r="AH379" s="278"/>
      <c r="AI379" s="277"/>
      <c r="AJ379" s="278"/>
      <c r="AK379" s="277"/>
      <c r="AL379" s="278"/>
      <c r="AM379" s="277"/>
      <c r="AN379" s="278"/>
      <c r="AO379" s="278"/>
      <c r="AP379" s="278"/>
      <c r="AQ379" s="278"/>
      <c r="AR379" s="278"/>
      <c r="AS379" s="278"/>
    </row>
    <row r="380" spans="1:45">
      <c r="A380" s="277"/>
      <c r="B380" s="298" t="b">
        <v>0</v>
      </c>
      <c r="C380" s="278"/>
      <c r="D380" s="299" t="b">
        <v>0</v>
      </c>
      <c r="E380" s="277"/>
      <c r="F380" s="298" t="b">
        <v>0</v>
      </c>
      <c r="G380" s="278"/>
      <c r="H380" s="299" t="b">
        <v>0</v>
      </c>
      <c r="I380" s="277"/>
      <c r="J380" s="278"/>
      <c r="K380" s="277"/>
      <c r="L380" s="278"/>
      <c r="M380" s="277"/>
      <c r="N380" s="278"/>
      <c r="O380" s="277"/>
      <c r="P380" s="278"/>
      <c r="Q380" s="277"/>
      <c r="R380" s="278"/>
      <c r="S380" s="277"/>
      <c r="T380" s="278"/>
      <c r="U380" s="277"/>
      <c r="V380" s="278"/>
      <c r="W380" s="277"/>
      <c r="X380" s="278"/>
      <c r="Y380" s="277"/>
      <c r="Z380" s="278"/>
      <c r="AA380" s="277"/>
      <c r="AB380" s="278"/>
      <c r="AC380" s="277"/>
      <c r="AD380" s="278"/>
      <c r="AE380" s="277"/>
      <c r="AF380" s="278"/>
      <c r="AG380" s="277"/>
      <c r="AH380" s="278"/>
      <c r="AI380" s="277"/>
      <c r="AJ380" s="278"/>
      <c r="AK380" s="277"/>
      <c r="AL380" s="278"/>
      <c r="AM380" s="277"/>
      <c r="AN380" s="278"/>
      <c r="AO380" s="278"/>
      <c r="AP380" s="278"/>
      <c r="AQ380" s="278"/>
      <c r="AR380" s="278"/>
      <c r="AS380" s="278"/>
    </row>
    <row r="381" spans="1:45">
      <c r="A381" s="277"/>
      <c r="B381" s="298" t="b">
        <v>0</v>
      </c>
      <c r="C381" s="278"/>
      <c r="D381" s="299" t="b">
        <v>0</v>
      </c>
      <c r="E381" s="277"/>
      <c r="F381" s="298" t="b">
        <v>0</v>
      </c>
      <c r="G381" s="278"/>
      <c r="H381" s="299" t="b">
        <v>0</v>
      </c>
      <c r="I381" s="277"/>
      <c r="J381" s="278"/>
      <c r="K381" s="277"/>
      <c r="L381" s="278"/>
      <c r="M381" s="277"/>
      <c r="N381" s="278"/>
      <c r="O381" s="277"/>
      <c r="P381" s="278"/>
      <c r="Q381" s="277"/>
      <c r="R381" s="278"/>
      <c r="S381" s="277"/>
      <c r="T381" s="278"/>
      <c r="U381" s="277"/>
      <c r="V381" s="278"/>
      <c r="W381" s="277"/>
      <c r="X381" s="278"/>
      <c r="Y381" s="277"/>
      <c r="Z381" s="278"/>
      <c r="AA381" s="277"/>
      <c r="AB381" s="278"/>
      <c r="AC381" s="277"/>
      <c r="AD381" s="278"/>
      <c r="AE381" s="277"/>
      <c r="AF381" s="278"/>
      <c r="AG381" s="277"/>
      <c r="AH381" s="278"/>
      <c r="AI381" s="277"/>
      <c r="AJ381" s="278"/>
      <c r="AK381" s="277"/>
      <c r="AL381" s="278"/>
      <c r="AM381" s="277"/>
      <c r="AN381" s="278"/>
      <c r="AO381" s="278"/>
      <c r="AP381" s="278"/>
      <c r="AQ381" s="278"/>
      <c r="AR381" s="278"/>
      <c r="AS381" s="278"/>
    </row>
    <row r="382" spans="1:45">
      <c r="A382" s="277"/>
      <c r="B382" s="298" t="b">
        <v>0</v>
      </c>
      <c r="C382" s="278"/>
      <c r="D382" s="299" t="b">
        <v>0</v>
      </c>
      <c r="E382" s="277"/>
      <c r="F382" s="298" t="b">
        <v>0</v>
      </c>
      <c r="G382" s="278"/>
      <c r="H382" s="299" t="b">
        <v>0</v>
      </c>
      <c r="I382" s="277"/>
      <c r="J382" s="278"/>
      <c r="K382" s="277"/>
      <c r="L382" s="278"/>
      <c r="M382" s="277"/>
      <c r="N382" s="278"/>
      <c r="O382" s="277"/>
      <c r="P382" s="278"/>
      <c r="Q382" s="277"/>
      <c r="R382" s="278"/>
      <c r="S382" s="277"/>
      <c r="T382" s="278"/>
      <c r="U382" s="277"/>
      <c r="V382" s="278"/>
      <c r="W382" s="277"/>
      <c r="X382" s="278"/>
      <c r="Y382" s="277"/>
      <c r="Z382" s="278"/>
      <c r="AA382" s="277"/>
      <c r="AB382" s="278"/>
      <c r="AC382" s="277"/>
      <c r="AD382" s="278"/>
      <c r="AE382" s="277"/>
      <c r="AF382" s="278"/>
      <c r="AG382" s="277"/>
      <c r="AH382" s="278"/>
      <c r="AI382" s="277"/>
      <c r="AJ382" s="278"/>
      <c r="AK382" s="277"/>
      <c r="AL382" s="278"/>
      <c r="AM382" s="277"/>
      <c r="AN382" s="278"/>
      <c r="AO382" s="278"/>
      <c r="AP382" s="278"/>
      <c r="AQ382" s="278"/>
      <c r="AR382" s="278"/>
      <c r="AS382" s="278"/>
    </row>
    <row r="383" spans="1:45">
      <c r="A383" s="277"/>
      <c r="B383" s="298" t="b">
        <v>0</v>
      </c>
      <c r="C383" s="278"/>
      <c r="D383" s="299" t="b">
        <v>0</v>
      </c>
      <c r="E383" s="277"/>
      <c r="F383" s="298" t="b">
        <v>0</v>
      </c>
      <c r="G383" s="278"/>
      <c r="H383" s="299" t="b">
        <v>0</v>
      </c>
      <c r="I383" s="277"/>
      <c r="J383" s="278"/>
      <c r="K383" s="277"/>
      <c r="L383" s="278"/>
      <c r="M383" s="277"/>
      <c r="N383" s="278"/>
      <c r="O383" s="277"/>
      <c r="P383" s="278"/>
      <c r="Q383" s="277"/>
      <c r="R383" s="278"/>
      <c r="S383" s="277"/>
      <c r="T383" s="278"/>
      <c r="U383" s="277"/>
      <c r="V383" s="278"/>
      <c r="W383" s="277"/>
      <c r="X383" s="278"/>
      <c r="Y383" s="277"/>
      <c r="Z383" s="278"/>
      <c r="AA383" s="277"/>
      <c r="AB383" s="278"/>
      <c r="AC383" s="277"/>
      <c r="AD383" s="278"/>
      <c r="AE383" s="277"/>
      <c r="AF383" s="278"/>
      <c r="AG383" s="277"/>
      <c r="AH383" s="278"/>
      <c r="AI383" s="277"/>
      <c r="AJ383" s="278"/>
      <c r="AK383" s="277"/>
      <c r="AL383" s="278"/>
      <c r="AM383" s="277"/>
      <c r="AN383" s="278"/>
      <c r="AO383" s="278"/>
      <c r="AP383" s="278"/>
      <c r="AQ383" s="278"/>
      <c r="AR383" s="278"/>
      <c r="AS383" s="278"/>
    </row>
    <row r="384" spans="1:45">
      <c r="A384" s="277"/>
      <c r="B384" s="298" t="b">
        <v>0</v>
      </c>
      <c r="C384" s="278"/>
      <c r="D384" s="299" t="b">
        <v>0</v>
      </c>
      <c r="E384" s="277"/>
      <c r="F384" s="298" t="b">
        <v>0</v>
      </c>
      <c r="G384" s="278"/>
      <c r="H384" s="299" t="b">
        <v>0</v>
      </c>
      <c r="I384" s="277"/>
      <c r="J384" s="278"/>
      <c r="K384" s="277"/>
      <c r="L384" s="278"/>
      <c r="M384" s="277"/>
      <c r="N384" s="278"/>
      <c r="O384" s="277"/>
      <c r="P384" s="278"/>
      <c r="Q384" s="277"/>
      <c r="R384" s="278"/>
      <c r="S384" s="277"/>
      <c r="T384" s="278"/>
      <c r="U384" s="277"/>
      <c r="V384" s="278"/>
      <c r="W384" s="277"/>
      <c r="X384" s="278"/>
      <c r="Y384" s="277"/>
      <c r="Z384" s="278"/>
      <c r="AA384" s="277"/>
      <c r="AB384" s="278"/>
      <c r="AC384" s="277"/>
      <c r="AD384" s="278"/>
      <c r="AE384" s="277"/>
      <c r="AF384" s="278"/>
      <c r="AG384" s="277"/>
      <c r="AH384" s="278"/>
      <c r="AI384" s="277"/>
      <c r="AJ384" s="278"/>
      <c r="AK384" s="277"/>
      <c r="AL384" s="278"/>
      <c r="AM384" s="277"/>
      <c r="AN384" s="278"/>
      <c r="AO384" s="278"/>
      <c r="AP384" s="278"/>
      <c r="AQ384" s="278"/>
      <c r="AR384" s="278"/>
      <c r="AS384" s="278"/>
    </row>
    <row r="385" spans="1:45">
      <c r="A385" s="277"/>
      <c r="B385" s="298" t="b">
        <v>0</v>
      </c>
      <c r="C385" s="278"/>
      <c r="D385" s="299" t="b">
        <v>0</v>
      </c>
      <c r="E385" s="277"/>
      <c r="F385" s="298" t="b">
        <v>0</v>
      </c>
      <c r="G385" s="278"/>
      <c r="H385" s="299" t="b">
        <v>0</v>
      </c>
      <c r="I385" s="277"/>
      <c r="J385" s="278"/>
      <c r="K385" s="277"/>
      <c r="L385" s="278"/>
      <c r="M385" s="277"/>
      <c r="N385" s="278"/>
      <c r="O385" s="277"/>
      <c r="P385" s="278"/>
      <c r="Q385" s="277"/>
      <c r="R385" s="278"/>
      <c r="S385" s="277"/>
      <c r="T385" s="278"/>
      <c r="U385" s="277"/>
      <c r="V385" s="278"/>
      <c r="W385" s="277"/>
      <c r="X385" s="278"/>
      <c r="Y385" s="277"/>
      <c r="Z385" s="278"/>
      <c r="AA385" s="277"/>
      <c r="AB385" s="278"/>
      <c r="AC385" s="277"/>
      <c r="AD385" s="278"/>
      <c r="AE385" s="277"/>
      <c r="AF385" s="278"/>
      <c r="AG385" s="277"/>
      <c r="AH385" s="278"/>
      <c r="AI385" s="277"/>
      <c r="AJ385" s="278"/>
      <c r="AK385" s="277"/>
      <c r="AL385" s="278"/>
      <c r="AM385" s="277"/>
      <c r="AN385" s="278"/>
      <c r="AO385" s="278"/>
      <c r="AP385" s="278"/>
      <c r="AQ385" s="278"/>
      <c r="AR385" s="278"/>
      <c r="AS385" s="278"/>
    </row>
    <row r="386" spans="1:45">
      <c r="A386" s="277"/>
      <c r="B386" s="298" t="b">
        <v>0</v>
      </c>
      <c r="C386" s="278"/>
      <c r="D386" s="299" t="b">
        <v>0</v>
      </c>
      <c r="E386" s="277"/>
      <c r="F386" s="298" t="b">
        <v>0</v>
      </c>
      <c r="G386" s="278"/>
      <c r="H386" s="299" t="b">
        <v>0</v>
      </c>
      <c r="I386" s="277"/>
      <c r="J386" s="278"/>
      <c r="K386" s="277"/>
      <c r="L386" s="278"/>
      <c r="M386" s="277"/>
      <c r="N386" s="278"/>
      <c r="O386" s="277"/>
      <c r="P386" s="278"/>
      <c r="Q386" s="277"/>
      <c r="R386" s="278"/>
      <c r="S386" s="277"/>
      <c r="T386" s="278"/>
      <c r="U386" s="277"/>
      <c r="V386" s="278"/>
      <c r="W386" s="277"/>
      <c r="X386" s="278"/>
      <c r="Y386" s="277"/>
      <c r="Z386" s="278"/>
      <c r="AA386" s="277"/>
      <c r="AB386" s="278"/>
      <c r="AC386" s="277"/>
      <c r="AD386" s="278"/>
      <c r="AE386" s="277"/>
      <c r="AF386" s="278"/>
      <c r="AG386" s="277"/>
      <c r="AH386" s="278"/>
      <c r="AI386" s="277"/>
      <c r="AJ386" s="278"/>
      <c r="AK386" s="277"/>
      <c r="AL386" s="278"/>
      <c r="AM386" s="277"/>
      <c r="AN386" s="278"/>
      <c r="AO386" s="278"/>
      <c r="AP386" s="278"/>
      <c r="AQ386" s="278"/>
      <c r="AR386" s="278"/>
      <c r="AS386" s="278"/>
    </row>
    <row r="387" spans="1:45">
      <c r="A387" s="277"/>
      <c r="B387" s="298" t="b">
        <v>0</v>
      </c>
      <c r="C387" s="278"/>
      <c r="D387" s="299" t="b">
        <v>0</v>
      </c>
      <c r="E387" s="277"/>
      <c r="F387" s="298" t="b">
        <v>0</v>
      </c>
      <c r="G387" s="278"/>
      <c r="H387" s="299" t="b">
        <v>0</v>
      </c>
      <c r="I387" s="277"/>
      <c r="J387" s="278"/>
      <c r="K387" s="277"/>
      <c r="L387" s="278"/>
      <c r="M387" s="277"/>
      <c r="N387" s="278"/>
      <c r="O387" s="277"/>
      <c r="P387" s="278"/>
      <c r="Q387" s="277"/>
      <c r="R387" s="278"/>
      <c r="S387" s="277"/>
      <c r="T387" s="278"/>
      <c r="U387" s="277"/>
      <c r="V387" s="278"/>
      <c r="W387" s="277"/>
      <c r="X387" s="278"/>
      <c r="Y387" s="277"/>
      <c r="Z387" s="278"/>
      <c r="AA387" s="277"/>
      <c r="AB387" s="278"/>
      <c r="AC387" s="277"/>
      <c r="AD387" s="278"/>
      <c r="AE387" s="277"/>
      <c r="AF387" s="278"/>
      <c r="AG387" s="277"/>
      <c r="AH387" s="278"/>
      <c r="AI387" s="277"/>
      <c r="AJ387" s="278"/>
      <c r="AK387" s="277"/>
      <c r="AL387" s="278"/>
      <c r="AM387" s="277"/>
      <c r="AN387" s="278"/>
      <c r="AO387" s="278"/>
      <c r="AP387" s="278"/>
      <c r="AQ387" s="278"/>
      <c r="AR387" s="278"/>
      <c r="AS387" s="278"/>
    </row>
    <row r="388" spans="1:45">
      <c r="A388" s="277"/>
      <c r="B388" s="298" t="b">
        <v>0</v>
      </c>
      <c r="C388" s="278"/>
      <c r="D388" s="299" t="b">
        <v>0</v>
      </c>
      <c r="E388" s="277"/>
      <c r="F388" s="298" t="b">
        <v>0</v>
      </c>
      <c r="G388" s="278"/>
      <c r="H388" s="299" t="b">
        <v>0</v>
      </c>
      <c r="I388" s="277"/>
      <c r="J388" s="278"/>
      <c r="K388" s="277"/>
      <c r="L388" s="278"/>
      <c r="M388" s="277"/>
      <c r="N388" s="278"/>
      <c r="O388" s="277"/>
      <c r="P388" s="278"/>
      <c r="Q388" s="277"/>
      <c r="R388" s="278"/>
      <c r="S388" s="277"/>
      <c r="T388" s="278"/>
      <c r="U388" s="277"/>
      <c r="V388" s="278"/>
      <c r="W388" s="277"/>
      <c r="X388" s="278"/>
      <c r="Y388" s="277"/>
      <c r="Z388" s="278"/>
      <c r="AA388" s="277"/>
      <c r="AB388" s="278"/>
      <c r="AC388" s="277"/>
      <c r="AD388" s="278"/>
      <c r="AE388" s="277"/>
      <c r="AF388" s="278"/>
      <c r="AG388" s="277"/>
      <c r="AH388" s="278"/>
      <c r="AI388" s="277"/>
      <c r="AJ388" s="278"/>
      <c r="AK388" s="277"/>
      <c r="AL388" s="278"/>
      <c r="AM388" s="277"/>
      <c r="AN388" s="278"/>
      <c r="AO388" s="278"/>
      <c r="AP388" s="278"/>
      <c r="AQ388" s="278"/>
      <c r="AR388" s="278"/>
      <c r="AS388" s="278"/>
    </row>
    <row r="389" spans="1:45">
      <c r="A389" s="277"/>
      <c r="B389" s="298" t="b">
        <v>0</v>
      </c>
      <c r="C389" s="278"/>
      <c r="D389" s="299" t="b">
        <v>0</v>
      </c>
      <c r="E389" s="277"/>
      <c r="F389" s="298" t="b">
        <v>0</v>
      </c>
      <c r="G389" s="278"/>
      <c r="H389" s="299" t="b">
        <v>0</v>
      </c>
      <c r="I389" s="277"/>
      <c r="J389" s="278"/>
      <c r="K389" s="277"/>
      <c r="L389" s="278"/>
      <c r="M389" s="277"/>
      <c r="N389" s="278"/>
      <c r="O389" s="277"/>
      <c r="P389" s="278"/>
      <c r="Q389" s="277"/>
      <c r="R389" s="278"/>
      <c r="S389" s="277"/>
      <c r="T389" s="278"/>
      <c r="U389" s="277"/>
      <c r="V389" s="278"/>
      <c r="W389" s="277"/>
      <c r="X389" s="278"/>
      <c r="Y389" s="277"/>
      <c r="Z389" s="278"/>
      <c r="AA389" s="277"/>
      <c r="AB389" s="278"/>
      <c r="AC389" s="277"/>
      <c r="AD389" s="278"/>
      <c r="AE389" s="277"/>
      <c r="AF389" s="278"/>
      <c r="AG389" s="277"/>
      <c r="AH389" s="278"/>
      <c r="AI389" s="277"/>
      <c r="AJ389" s="278"/>
      <c r="AK389" s="277"/>
      <c r="AL389" s="278"/>
      <c r="AM389" s="277"/>
      <c r="AN389" s="278"/>
      <c r="AO389" s="278"/>
      <c r="AP389" s="278"/>
      <c r="AQ389" s="278"/>
      <c r="AR389" s="278"/>
      <c r="AS389" s="278"/>
    </row>
    <row r="390" spans="1:45">
      <c r="A390" s="277"/>
      <c r="B390" s="298" t="b">
        <v>0</v>
      </c>
      <c r="C390" s="278"/>
      <c r="D390" s="299" t="b">
        <v>0</v>
      </c>
      <c r="E390" s="277"/>
      <c r="F390" s="298" t="b">
        <v>0</v>
      </c>
      <c r="G390" s="278"/>
      <c r="H390" s="299" t="b">
        <v>0</v>
      </c>
      <c r="I390" s="277"/>
      <c r="J390" s="278"/>
      <c r="K390" s="277"/>
      <c r="L390" s="278"/>
      <c r="M390" s="277"/>
      <c r="N390" s="278"/>
      <c r="O390" s="277"/>
      <c r="P390" s="278"/>
      <c r="Q390" s="277"/>
      <c r="R390" s="278"/>
      <c r="S390" s="277"/>
      <c r="T390" s="278"/>
      <c r="U390" s="277"/>
      <c r="V390" s="278"/>
      <c r="W390" s="277"/>
      <c r="X390" s="278"/>
      <c r="Y390" s="277"/>
      <c r="Z390" s="278"/>
      <c r="AA390" s="277"/>
      <c r="AB390" s="278"/>
      <c r="AC390" s="277"/>
      <c r="AD390" s="278"/>
      <c r="AE390" s="277"/>
      <c r="AF390" s="278"/>
      <c r="AG390" s="277"/>
      <c r="AH390" s="278"/>
      <c r="AI390" s="277"/>
      <c r="AJ390" s="278"/>
      <c r="AK390" s="277"/>
      <c r="AL390" s="278"/>
      <c r="AM390" s="277"/>
      <c r="AN390" s="278"/>
      <c r="AO390" s="278"/>
      <c r="AP390" s="278"/>
      <c r="AQ390" s="278"/>
      <c r="AR390" s="278"/>
      <c r="AS390" s="278"/>
    </row>
    <row r="391" spans="1:45">
      <c r="A391" s="277"/>
      <c r="B391" s="298" t="b">
        <v>0</v>
      </c>
      <c r="C391" s="278"/>
      <c r="D391" s="299" t="b">
        <v>0</v>
      </c>
      <c r="E391" s="277"/>
      <c r="F391" s="298" t="b">
        <v>0</v>
      </c>
      <c r="G391" s="278"/>
      <c r="H391" s="299" t="b">
        <v>0</v>
      </c>
      <c r="I391" s="277"/>
      <c r="J391" s="278"/>
      <c r="K391" s="277"/>
      <c r="L391" s="278"/>
      <c r="M391" s="277"/>
      <c r="N391" s="278"/>
      <c r="O391" s="277"/>
      <c r="P391" s="278"/>
      <c r="Q391" s="277"/>
      <c r="R391" s="278"/>
      <c r="S391" s="277"/>
      <c r="T391" s="278"/>
      <c r="U391" s="277"/>
      <c r="V391" s="278"/>
      <c r="W391" s="277"/>
      <c r="X391" s="278"/>
      <c r="Y391" s="277"/>
      <c r="Z391" s="278"/>
      <c r="AA391" s="277"/>
      <c r="AB391" s="278"/>
      <c r="AC391" s="277"/>
      <c r="AD391" s="278"/>
      <c r="AE391" s="277"/>
      <c r="AF391" s="278"/>
      <c r="AG391" s="277"/>
      <c r="AH391" s="278"/>
      <c r="AI391" s="277"/>
      <c r="AJ391" s="278"/>
      <c r="AK391" s="277"/>
      <c r="AL391" s="278"/>
      <c r="AM391" s="277"/>
      <c r="AN391" s="278"/>
      <c r="AO391" s="278"/>
      <c r="AP391" s="278"/>
      <c r="AQ391" s="278"/>
      <c r="AR391" s="278"/>
      <c r="AS391" s="278"/>
    </row>
    <row r="392" spans="1:45">
      <c r="A392" s="277"/>
      <c r="B392" s="298" t="b">
        <v>0</v>
      </c>
      <c r="C392" s="278"/>
      <c r="D392" s="299" t="b">
        <v>0</v>
      </c>
      <c r="E392" s="277"/>
      <c r="F392" s="298" t="b">
        <v>0</v>
      </c>
      <c r="G392" s="278"/>
      <c r="H392" s="299" t="b">
        <v>0</v>
      </c>
      <c r="I392" s="277"/>
      <c r="J392" s="278"/>
      <c r="K392" s="277"/>
      <c r="L392" s="278"/>
      <c r="M392" s="277"/>
      <c r="N392" s="278"/>
      <c r="O392" s="277"/>
      <c r="P392" s="278"/>
      <c r="Q392" s="277"/>
      <c r="R392" s="278"/>
      <c r="S392" s="277"/>
      <c r="T392" s="278"/>
      <c r="U392" s="277"/>
      <c r="V392" s="278"/>
      <c r="W392" s="277"/>
      <c r="X392" s="278"/>
      <c r="Y392" s="277"/>
      <c r="Z392" s="278"/>
      <c r="AA392" s="277"/>
      <c r="AB392" s="278"/>
      <c r="AC392" s="277"/>
      <c r="AD392" s="278"/>
      <c r="AE392" s="277"/>
      <c r="AF392" s="278"/>
      <c r="AG392" s="277"/>
      <c r="AH392" s="278"/>
      <c r="AI392" s="277"/>
      <c r="AJ392" s="278"/>
      <c r="AK392" s="277"/>
      <c r="AL392" s="278"/>
      <c r="AM392" s="277"/>
      <c r="AN392" s="278"/>
      <c r="AO392" s="278"/>
      <c r="AP392" s="278"/>
      <c r="AQ392" s="278"/>
      <c r="AR392" s="278"/>
      <c r="AS392" s="278"/>
    </row>
    <row r="393" spans="1:45">
      <c r="A393" s="277"/>
      <c r="B393" s="298" t="b">
        <v>0</v>
      </c>
      <c r="C393" s="278"/>
      <c r="D393" s="299" t="b">
        <v>0</v>
      </c>
      <c r="E393" s="277"/>
      <c r="F393" s="298" t="b">
        <v>0</v>
      </c>
      <c r="G393" s="278"/>
      <c r="H393" s="299" t="b">
        <v>0</v>
      </c>
      <c r="I393" s="277"/>
      <c r="J393" s="278"/>
      <c r="K393" s="277"/>
      <c r="L393" s="278"/>
      <c r="M393" s="277"/>
      <c r="N393" s="278"/>
      <c r="O393" s="277"/>
      <c r="P393" s="278"/>
      <c r="Q393" s="277"/>
      <c r="R393" s="278"/>
      <c r="S393" s="277"/>
      <c r="T393" s="278"/>
      <c r="U393" s="277"/>
      <c r="V393" s="278"/>
      <c r="W393" s="277"/>
      <c r="X393" s="278"/>
      <c r="Y393" s="277"/>
      <c r="Z393" s="278"/>
      <c r="AA393" s="277"/>
      <c r="AB393" s="278"/>
      <c r="AC393" s="277"/>
      <c r="AD393" s="278"/>
      <c r="AE393" s="277"/>
      <c r="AF393" s="278"/>
      <c r="AG393" s="277"/>
      <c r="AH393" s="278"/>
      <c r="AI393" s="277"/>
      <c r="AJ393" s="278"/>
      <c r="AK393" s="277"/>
      <c r="AL393" s="278"/>
      <c r="AM393" s="277"/>
      <c r="AN393" s="278"/>
      <c r="AO393" s="278"/>
      <c r="AP393" s="278"/>
      <c r="AQ393" s="278"/>
      <c r="AR393" s="278"/>
      <c r="AS393" s="278"/>
    </row>
    <row r="394" spans="1:45">
      <c r="A394" s="277"/>
      <c r="B394" s="298" t="b">
        <v>0</v>
      </c>
      <c r="C394" s="278"/>
      <c r="D394" s="299" t="b">
        <v>0</v>
      </c>
      <c r="E394" s="277"/>
      <c r="F394" s="298" t="b">
        <v>0</v>
      </c>
      <c r="G394" s="278"/>
      <c r="H394" s="299" t="b">
        <v>0</v>
      </c>
      <c r="I394" s="277"/>
      <c r="J394" s="278"/>
      <c r="K394" s="277"/>
      <c r="L394" s="278"/>
      <c r="M394" s="277"/>
      <c r="N394" s="278"/>
      <c r="O394" s="277"/>
      <c r="P394" s="278"/>
      <c r="Q394" s="277"/>
      <c r="R394" s="278"/>
      <c r="S394" s="277"/>
      <c r="T394" s="278"/>
      <c r="U394" s="277"/>
      <c r="V394" s="278"/>
      <c r="W394" s="277"/>
      <c r="X394" s="278"/>
      <c r="Y394" s="277"/>
      <c r="Z394" s="278"/>
      <c r="AA394" s="277"/>
      <c r="AB394" s="278"/>
      <c r="AC394" s="277"/>
      <c r="AD394" s="278"/>
      <c r="AE394" s="277"/>
      <c r="AF394" s="278"/>
      <c r="AG394" s="277"/>
      <c r="AH394" s="278"/>
      <c r="AI394" s="277"/>
      <c r="AJ394" s="278"/>
      <c r="AK394" s="277"/>
      <c r="AL394" s="278"/>
      <c r="AM394" s="277"/>
      <c r="AN394" s="278"/>
      <c r="AO394" s="278"/>
      <c r="AP394" s="278"/>
      <c r="AQ394" s="278"/>
      <c r="AR394" s="278"/>
      <c r="AS394" s="278"/>
    </row>
    <row r="395" spans="1:45">
      <c r="A395" s="277"/>
      <c r="B395" s="298" t="b">
        <v>0</v>
      </c>
      <c r="C395" s="278"/>
      <c r="D395" s="299" t="b">
        <v>0</v>
      </c>
      <c r="E395" s="277"/>
      <c r="F395" s="298" t="b">
        <v>0</v>
      </c>
      <c r="G395" s="278"/>
      <c r="H395" s="299" t="b">
        <v>0</v>
      </c>
      <c r="I395" s="277"/>
      <c r="J395" s="278"/>
      <c r="K395" s="277"/>
      <c r="L395" s="278"/>
      <c r="M395" s="277"/>
      <c r="N395" s="278"/>
      <c r="O395" s="277"/>
      <c r="P395" s="278"/>
      <c r="Q395" s="277"/>
      <c r="R395" s="278"/>
      <c r="S395" s="277"/>
      <c r="T395" s="278"/>
      <c r="U395" s="277"/>
      <c r="V395" s="278"/>
      <c r="W395" s="277"/>
      <c r="X395" s="278"/>
      <c r="Y395" s="277"/>
      <c r="Z395" s="278"/>
      <c r="AA395" s="277"/>
      <c r="AB395" s="278"/>
      <c r="AC395" s="277"/>
      <c r="AD395" s="278"/>
      <c r="AE395" s="277"/>
      <c r="AF395" s="278"/>
      <c r="AG395" s="277"/>
      <c r="AH395" s="278"/>
      <c r="AI395" s="277"/>
      <c r="AJ395" s="278"/>
      <c r="AK395" s="277"/>
      <c r="AL395" s="278"/>
      <c r="AM395" s="277"/>
      <c r="AN395" s="278"/>
      <c r="AO395" s="278"/>
      <c r="AP395" s="278"/>
      <c r="AQ395" s="278"/>
      <c r="AR395" s="278"/>
      <c r="AS395" s="278"/>
    </row>
    <row r="396" spans="1:45">
      <c r="A396" s="277"/>
      <c r="B396" s="298" t="b">
        <v>0</v>
      </c>
      <c r="C396" s="278"/>
      <c r="D396" s="299" t="b">
        <v>0</v>
      </c>
      <c r="E396" s="277"/>
      <c r="F396" s="298" t="b">
        <v>0</v>
      </c>
      <c r="G396" s="278"/>
      <c r="H396" s="299" t="b">
        <v>0</v>
      </c>
      <c r="I396" s="277"/>
      <c r="J396" s="278"/>
      <c r="K396" s="277"/>
      <c r="L396" s="278"/>
      <c r="M396" s="277"/>
      <c r="N396" s="278"/>
      <c r="O396" s="277"/>
      <c r="P396" s="278"/>
      <c r="Q396" s="277"/>
      <c r="R396" s="278"/>
      <c r="S396" s="277"/>
      <c r="T396" s="278"/>
      <c r="U396" s="277"/>
      <c r="V396" s="278"/>
      <c r="W396" s="277"/>
      <c r="X396" s="278"/>
      <c r="Y396" s="277"/>
      <c r="Z396" s="278"/>
      <c r="AA396" s="277"/>
      <c r="AB396" s="278"/>
      <c r="AC396" s="277"/>
      <c r="AD396" s="278"/>
      <c r="AE396" s="277"/>
      <c r="AF396" s="278"/>
      <c r="AG396" s="277"/>
      <c r="AH396" s="278"/>
      <c r="AI396" s="277"/>
      <c r="AJ396" s="278"/>
      <c r="AK396" s="277"/>
      <c r="AL396" s="278"/>
      <c r="AM396" s="277"/>
      <c r="AN396" s="278"/>
      <c r="AO396" s="278"/>
      <c r="AP396" s="278"/>
      <c r="AQ396" s="278"/>
      <c r="AR396" s="278"/>
      <c r="AS396" s="278"/>
    </row>
    <row r="397" spans="1:45">
      <c r="A397" s="277"/>
      <c r="B397" s="298" t="b">
        <v>0</v>
      </c>
      <c r="C397" s="278"/>
      <c r="D397" s="299" t="b">
        <v>0</v>
      </c>
      <c r="E397" s="277"/>
      <c r="F397" s="298" t="b">
        <v>0</v>
      </c>
      <c r="G397" s="278"/>
      <c r="H397" s="299" t="b">
        <v>0</v>
      </c>
      <c r="I397" s="277"/>
      <c r="J397" s="278"/>
      <c r="K397" s="277"/>
      <c r="L397" s="278"/>
      <c r="M397" s="277"/>
      <c r="N397" s="278"/>
      <c r="O397" s="277"/>
      <c r="P397" s="278"/>
      <c r="Q397" s="277"/>
      <c r="R397" s="278"/>
      <c r="S397" s="277"/>
      <c r="T397" s="278"/>
      <c r="U397" s="277"/>
      <c r="V397" s="278"/>
      <c r="W397" s="277"/>
      <c r="X397" s="278"/>
      <c r="Y397" s="277"/>
      <c r="Z397" s="278"/>
      <c r="AA397" s="277"/>
      <c r="AB397" s="278"/>
      <c r="AC397" s="277"/>
      <c r="AD397" s="278"/>
      <c r="AE397" s="277"/>
      <c r="AF397" s="278"/>
      <c r="AG397" s="277"/>
      <c r="AH397" s="278"/>
      <c r="AI397" s="277"/>
      <c r="AJ397" s="278"/>
      <c r="AK397" s="277"/>
      <c r="AL397" s="278"/>
      <c r="AM397" s="277"/>
      <c r="AN397" s="278"/>
      <c r="AO397" s="278"/>
      <c r="AP397" s="278"/>
      <c r="AQ397" s="278"/>
      <c r="AR397" s="278"/>
      <c r="AS397" s="278"/>
    </row>
    <row r="398" spans="1:45">
      <c r="A398" s="277"/>
      <c r="B398" s="298" t="b">
        <v>0</v>
      </c>
      <c r="C398" s="278"/>
      <c r="D398" s="299" t="b">
        <v>0</v>
      </c>
      <c r="E398" s="277"/>
      <c r="F398" s="298" t="b">
        <v>0</v>
      </c>
      <c r="G398" s="278"/>
      <c r="H398" s="299" t="b">
        <v>0</v>
      </c>
      <c r="I398" s="277"/>
      <c r="J398" s="278"/>
      <c r="K398" s="277"/>
      <c r="L398" s="278"/>
      <c r="M398" s="277"/>
      <c r="N398" s="278"/>
      <c r="O398" s="277"/>
      <c r="P398" s="278"/>
      <c r="Q398" s="277"/>
      <c r="R398" s="278"/>
      <c r="S398" s="277"/>
      <c r="T398" s="278"/>
      <c r="U398" s="277"/>
      <c r="V398" s="278"/>
      <c r="W398" s="277"/>
      <c r="X398" s="278"/>
      <c r="Y398" s="277"/>
      <c r="Z398" s="278"/>
      <c r="AA398" s="277"/>
      <c r="AB398" s="278"/>
      <c r="AC398" s="277"/>
      <c r="AD398" s="278"/>
      <c r="AE398" s="277"/>
      <c r="AF398" s="278"/>
      <c r="AG398" s="277"/>
      <c r="AH398" s="278"/>
      <c r="AI398" s="277"/>
      <c r="AJ398" s="278"/>
      <c r="AK398" s="277"/>
      <c r="AL398" s="278"/>
      <c r="AM398" s="277"/>
      <c r="AN398" s="278"/>
      <c r="AO398" s="278"/>
      <c r="AP398" s="278"/>
      <c r="AQ398" s="278"/>
      <c r="AR398" s="278"/>
      <c r="AS398" s="278"/>
    </row>
    <row r="399" spans="1:45">
      <c r="A399" s="277"/>
      <c r="B399" s="298" t="b">
        <v>0</v>
      </c>
      <c r="C399" s="278"/>
      <c r="D399" s="299" t="b">
        <v>0</v>
      </c>
      <c r="E399" s="277"/>
      <c r="F399" s="298" t="b">
        <v>0</v>
      </c>
      <c r="G399" s="278"/>
      <c r="H399" s="299" t="b">
        <v>0</v>
      </c>
      <c r="I399" s="277"/>
      <c r="J399" s="278"/>
      <c r="K399" s="277"/>
      <c r="L399" s="278"/>
      <c r="M399" s="277"/>
      <c r="N399" s="278"/>
      <c r="O399" s="277"/>
      <c r="P399" s="278"/>
      <c r="Q399" s="277"/>
      <c r="R399" s="278"/>
      <c r="S399" s="277"/>
      <c r="T399" s="278"/>
      <c r="U399" s="277"/>
      <c r="V399" s="278"/>
      <c r="W399" s="277"/>
      <c r="X399" s="278"/>
      <c r="Y399" s="277"/>
      <c r="Z399" s="278"/>
      <c r="AA399" s="277"/>
      <c r="AB399" s="278"/>
      <c r="AC399" s="277"/>
      <c r="AD399" s="278"/>
      <c r="AE399" s="277"/>
      <c r="AF399" s="278"/>
      <c r="AG399" s="277"/>
      <c r="AH399" s="278"/>
      <c r="AI399" s="277"/>
      <c r="AJ399" s="278"/>
      <c r="AK399" s="277"/>
      <c r="AL399" s="278"/>
      <c r="AM399" s="277"/>
      <c r="AN399" s="278"/>
      <c r="AO399" s="278"/>
      <c r="AP399" s="278"/>
      <c r="AQ399" s="278"/>
      <c r="AR399" s="278"/>
      <c r="AS399" s="278"/>
    </row>
    <row r="400" spans="1:45">
      <c r="A400" s="277"/>
      <c r="B400" s="298" t="b">
        <v>0</v>
      </c>
      <c r="C400" s="278"/>
      <c r="D400" s="299" t="b">
        <v>0</v>
      </c>
      <c r="E400" s="277"/>
      <c r="F400" s="298" t="b">
        <v>0</v>
      </c>
      <c r="G400" s="278"/>
      <c r="H400" s="299" t="b">
        <v>0</v>
      </c>
      <c r="I400" s="277"/>
      <c r="J400" s="278"/>
      <c r="K400" s="277"/>
      <c r="L400" s="278"/>
      <c r="M400" s="277"/>
      <c r="N400" s="278"/>
      <c r="O400" s="277"/>
      <c r="P400" s="278"/>
      <c r="Q400" s="277"/>
      <c r="R400" s="278"/>
      <c r="S400" s="277"/>
      <c r="T400" s="278"/>
      <c r="U400" s="277"/>
      <c r="V400" s="278"/>
      <c r="W400" s="277"/>
      <c r="X400" s="278"/>
      <c r="Y400" s="277"/>
      <c r="Z400" s="278"/>
      <c r="AA400" s="277"/>
      <c r="AB400" s="278"/>
      <c r="AC400" s="277"/>
      <c r="AD400" s="278"/>
      <c r="AE400" s="277"/>
      <c r="AF400" s="278"/>
      <c r="AG400" s="277"/>
      <c r="AH400" s="278"/>
      <c r="AI400" s="277"/>
      <c r="AJ400" s="278"/>
      <c r="AK400" s="277"/>
      <c r="AL400" s="278"/>
      <c r="AM400" s="277"/>
      <c r="AN400" s="278"/>
      <c r="AO400" s="278"/>
      <c r="AP400" s="278"/>
      <c r="AQ400" s="278"/>
      <c r="AR400" s="278"/>
      <c r="AS400" s="278"/>
    </row>
    <row r="401" spans="1:45">
      <c r="A401" s="277"/>
      <c r="B401" s="298" t="b">
        <v>0</v>
      </c>
      <c r="C401" s="278"/>
      <c r="D401" s="299" t="b">
        <v>0</v>
      </c>
      <c r="E401" s="277"/>
      <c r="F401" s="298" t="b">
        <v>0</v>
      </c>
      <c r="G401" s="278"/>
      <c r="H401" s="299" t="b">
        <v>0</v>
      </c>
      <c r="I401" s="277"/>
      <c r="J401" s="278"/>
      <c r="K401" s="277"/>
      <c r="L401" s="278"/>
      <c r="M401" s="277"/>
      <c r="N401" s="278"/>
      <c r="O401" s="277"/>
      <c r="P401" s="278"/>
      <c r="Q401" s="277"/>
      <c r="R401" s="278"/>
      <c r="S401" s="277"/>
      <c r="T401" s="278"/>
      <c r="U401" s="277"/>
      <c r="V401" s="278"/>
      <c r="W401" s="277"/>
      <c r="X401" s="278"/>
      <c r="Y401" s="277"/>
      <c r="Z401" s="278"/>
      <c r="AA401" s="277"/>
      <c r="AB401" s="278"/>
      <c r="AC401" s="277"/>
      <c r="AD401" s="278"/>
      <c r="AE401" s="277"/>
      <c r="AF401" s="278"/>
      <c r="AG401" s="277"/>
      <c r="AH401" s="278"/>
      <c r="AI401" s="277"/>
      <c r="AJ401" s="278"/>
      <c r="AK401" s="277"/>
      <c r="AL401" s="278"/>
      <c r="AM401" s="277"/>
      <c r="AN401" s="278"/>
      <c r="AO401" s="278"/>
      <c r="AP401" s="278"/>
      <c r="AQ401" s="278"/>
      <c r="AR401" s="278"/>
      <c r="AS401" s="278"/>
    </row>
    <row r="402" spans="1:45">
      <c r="A402" s="277"/>
      <c r="B402" s="298" t="b">
        <v>0</v>
      </c>
      <c r="C402" s="278"/>
      <c r="D402" s="299" t="b">
        <v>0</v>
      </c>
      <c r="E402" s="277"/>
      <c r="F402" s="298" t="b">
        <v>0</v>
      </c>
      <c r="G402" s="278"/>
      <c r="H402" s="299" t="b">
        <v>0</v>
      </c>
      <c r="I402" s="277"/>
      <c r="J402" s="278"/>
      <c r="K402" s="277"/>
      <c r="L402" s="278"/>
      <c r="M402" s="277"/>
      <c r="N402" s="278"/>
      <c r="O402" s="277"/>
      <c r="P402" s="278"/>
      <c r="Q402" s="277"/>
      <c r="R402" s="278"/>
      <c r="S402" s="277"/>
      <c r="T402" s="278"/>
      <c r="U402" s="277"/>
      <c r="V402" s="278"/>
      <c r="W402" s="277"/>
      <c r="X402" s="278"/>
      <c r="Y402" s="277"/>
      <c r="Z402" s="278"/>
      <c r="AA402" s="277"/>
      <c r="AB402" s="278"/>
      <c r="AC402" s="277"/>
      <c r="AD402" s="278"/>
      <c r="AE402" s="277"/>
      <c r="AF402" s="278"/>
      <c r="AG402" s="277"/>
      <c r="AH402" s="278"/>
      <c r="AI402" s="277"/>
      <c r="AJ402" s="278"/>
      <c r="AK402" s="277"/>
      <c r="AL402" s="278"/>
      <c r="AM402" s="277"/>
      <c r="AN402" s="278"/>
      <c r="AO402" s="278"/>
      <c r="AP402" s="278"/>
      <c r="AQ402" s="278"/>
      <c r="AR402" s="278"/>
      <c r="AS402" s="278"/>
    </row>
    <row r="403" spans="1:45">
      <c r="A403" s="277"/>
      <c r="B403" s="298" t="b">
        <v>0</v>
      </c>
      <c r="C403" s="278"/>
      <c r="D403" s="299" t="b">
        <v>0</v>
      </c>
      <c r="E403" s="277"/>
      <c r="F403" s="298" t="b">
        <v>0</v>
      </c>
      <c r="G403" s="278"/>
      <c r="H403" s="299" t="b">
        <v>0</v>
      </c>
      <c r="I403" s="277"/>
      <c r="J403" s="278"/>
      <c r="K403" s="277"/>
      <c r="L403" s="278"/>
      <c r="M403" s="277"/>
      <c r="N403" s="278"/>
      <c r="O403" s="277"/>
      <c r="P403" s="278"/>
      <c r="Q403" s="277"/>
      <c r="R403" s="278"/>
      <c r="S403" s="277"/>
      <c r="T403" s="278"/>
      <c r="U403" s="277"/>
      <c r="V403" s="278"/>
      <c r="W403" s="277"/>
      <c r="X403" s="278"/>
      <c r="Y403" s="277"/>
      <c r="Z403" s="278"/>
      <c r="AA403" s="277"/>
      <c r="AB403" s="278"/>
      <c r="AC403" s="277"/>
      <c r="AD403" s="278"/>
      <c r="AE403" s="277"/>
      <c r="AF403" s="278"/>
      <c r="AG403" s="277"/>
      <c r="AH403" s="278"/>
      <c r="AI403" s="277"/>
      <c r="AJ403" s="278"/>
      <c r="AK403" s="277"/>
      <c r="AL403" s="278"/>
      <c r="AM403" s="277"/>
      <c r="AN403" s="278"/>
      <c r="AO403" s="278"/>
      <c r="AP403" s="278"/>
      <c r="AQ403" s="278"/>
      <c r="AR403" s="278"/>
      <c r="AS403" s="278"/>
    </row>
    <row r="404" spans="1:45">
      <c r="A404" s="277"/>
      <c r="B404" s="298" t="b">
        <v>0</v>
      </c>
      <c r="C404" s="278"/>
      <c r="D404" s="299" t="b">
        <v>0</v>
      </c>
      <c r="E404" s="277"/>
      <c r="F404" s="298" t="b">
        <v>0</v>
      </c>
      <c r="G404" s="278"/>
      <c r="H404" s="299" t="b">
        <v>0</v>
      </c>
      <c r="I404" s="277"/>
      <c r="J404" s="278"/>
      <c r="K404" s="277"/>
      <c r="L404" s="278"/>
      <c r="M404" s="277"/>
      <c r="N404" s="278"/>
      <c r="O404" s="277"/>
      <c r="P404" s="278"/>
      <c r="Q404" s="277"/>
      <c r="R404" s="278"/>
      <c r="S404" s="277"/>
      <c r="T404" s="278"/>
      <c r="U404" s="277"/>
      <c r="V404" s="278"/>
      <c r="W404" s="277"/>
      <c r="X404" s="278"/>
      <c r="Y404" s="277"/>
      <c r="Z404" s="278"/>
      <c r="AA404" s="277"/>
      <c r="AB404" s="278"/>
      <c r="AC404" s="277"/>
      <c r="AD404" s="278"/>
      <c r="AE404" s="277"/>
      <c r="AF404" s="278"/>
      <c r="AG404" s="277"/>
      <c r="AH404" s="278"/>
      <c r="AI404" s="277"/>
      <c r="AJ404" s="278"/>
      <c r="AK404" s="277"/>
      <c r="AL404" s="278"/>
      <c r="AM404" s="277"/>
      <c r="AN404" s="278"/>
      <c r="AO404" s="278"/>
      <c r="AP404" s="278"/>
      <c r="AQ404" s="278"/>
      <c r="AR404" s="278"/>
      <c r="AS404" s="278"/>
    </row>
    <row r="405" spans="1:45">
      <c r="A405" s="277"/>
      <c r="B405" s="298" t="b">
        <v>0</v>
      </c>
      <c r="C405" s="278"/>
      <c r="D405" s="299" t="b">
        <v>0</v>
      </c>
      <c r="E405" s="277"/>
      <c r="F405" s="298" t="b">
        <v>0</v>
      </c>
      <c r="G405" s="278"/>
      <c r="H405" s="299" t="b">
        <v>0</v>
      </c>
      <c r="I405" s="277"/>
      <c r="J405" s="278"/>
      <c r="K405" s="277"/>
      <c r="L405" s="278"/>
      <c r="M405" s="277"/>
      <c r="N405" s="278"/>
      <c r="O405" s="277"/>
      <c r="P405" s="278"/>
      <c r="Q405" s="277"/>
      <c r="R405" s="278"/>
      <c r="S405" s="277"/>
      <c r="T405" s="278"/>
      <c r="U405" s="277"/>
      <c r="V405" s="278"/>
      <c r="W405" s="277"/>
      <c r="X405" s="278"/>
      <c r="Y405" s="277"/>
      <c r="Z405" s="278"/>
      <c r="AA405" s="277"/>
      <c r="AB405" s="278"/>
      <c r="AC405" s="277"/>
      <c r="AD405" s="278"/>
      <c r="AE405" s="277"/>
      <c r="AF405" s="278"/>
      <c r="AG405" s="277"/>
      <c r="AH405" s="278"/>
      <c r="AI405" s="277"/>
      <c r="AJ405" s="278"/>
      <c r="AK405" s="277"/>
      <c r="AL405" s="278"/>
      <c r="AM405" s="277"/>
      <c r="AN405" s="278"/>
      <c r="AO405" s="278"/>
      <c r="AP405" s="278"/>
      <c r="AQ405" s="278"/>
      <c r="AR405" s="278"/>
      <c r="AS405" s="278"/>
    </row>
    <row r="406" spans="1:45">
      <c r="A406" s="277"/>
      <c r="B406" s="298" t="b">
        <v>0</v>
      </c>
      <c r="C406" s="278"/>
      <c r="D406" s="299" t="b">
        <v>0</v>
      </c>
      <c r="E406" s="277"/>
      <c r="F406" s="298" t="b">
        <v>0</v>
      </c>
      <c r="G406" s="278"/>
      <c r="H406" s="299" t="b">
        <v>0</v>
      </c>
      <c r="I406" s="277"/>
      <c r="J406" s="278"/>
      <c r="K406" s="277"/>
      <c r="L406" s="278"/>
      <c r="M406" s="277"/>
      <c r="N406" s="278"/>
      <c r="O406" s="277"/>
      <c r="P406" s="278"/>
      <c r="Q406" s="277"/>
      <c r="R406" s="278"/>
      <c r="S406" s="277"/>
      <c r="T406" s="278"/>
      <c r="U406" s="277"/>
      <c r="V406" s="278"/>
      <c r="W406" s="277"/>
      <c r="X406" s="278"/>
      <c r="Y406" s="277"/>
      <c r="Z406" s="278"/>
      <c r="AA406" s="277"/>
      <c r="AB406" s="278"/>
      <c r="AC406" s="277"/>
      <c r="AD406" s="278"/>
      <c r="AE406" s="277"/>
      <c r="AF406" s="278"/>
      <c r="AG406" s="277"/>
      <c r="AH406" s="278"/>
      <c r="AI406" s="277"/>
      <c r="AJ406" s="278"/>
      <c r="AK406" s="277"/>
      <c r="AL406" s="278"/>
      <c r="AM406" s="277"/>
      <c r="AN406" s="278"/>
      <c r="AO406" s="278"/>
      <c r="AP406" s="278"/>
      <c r="AQ406" s="278"/>
      <c r="AR406" s="278"/>
      <c r="AS406" s="278"/>
    </row>
    <row r="407" spans="1:45">
      <c r="A407" s="277"/>
      <c r="B407" s="298" t="b">
        <v>0</v>
      </c>
      <c r="C407" s="278"/>
      <c r="D407" s="299" t="b">
        <v>0</v>
      </c>
      <c r="E407" s="277"/>
      <c r="F407" s="298" t="b">
        <v>0</v>
      </c>
      <c r="G407" s="278"/>
      <c r="H407" s="299" t="b">
        <v>0</v>
      </c>
      <c r="I407" s="277"/>
      <c r="J407" s="278"/>
      <c r="K407" s="277"/>
      <c r="L407" s="278"/>
      <c r="M407" s="277"/>
      <c r="N407" s="278"/>
      <c r="O407" s="277"/>
      <c r="P407" s="278"/>
      <c r="Q407" s="277"/>
      <c r="R407" s="278"/>
      <c r="S407" s="277"/>
      <c r="T407" s="278"/>
      <c r="U407" s="277"/>
      <c r="V407" s="278"/>
      <c r="W407" s="277"/>
      <c r="X407" s="278"/>
      <c r="Y407" s="277"/>
      <c r="Z407" s="278"/>
      <c r="AA407" s="277"/>
      <c r="AB407" s="278"/>
      <c r="AC407" s="277"/>
      <c r="AD407" s="278"/>
      <c r="AE407" s="277"/>
      <c r="AF407" s="278"/>
      <c r="AG407" s="277"/>
      <c r="AH407" s="278"/>
      <c r="AI407" s="277"/>
      <c r="AJ407" s="278"/>
      <c r="AK407" s="277"/>
      <c r="AL407" s="278"/>
      <c r="AM407" s="277"/>
      <c r="AN407" s="278"/>
      <c r="AO407" s="278"/>
      <c r="AP407" s="278"/>
      <c r="AQ407" s="278"/>
      <c r="AR407" s="278"/>
      <c r="AS407" s="278"/>
    </row>
    <row r="408" spans="1:45">
      <c r="A408" s="277"/>
      <c r="B408" s="298" t="b">
        <v>0</v>
      </c>
      <c r="C408" s="278"/>
      <c r="D408" s="299" t="b">
        <v>0</v>
      </c>
      <c r="E408" s="277"/>
      <c r="F408" s="298" t="b">
        <v>0</v>
      </c>
      <c r="G408" s="278"/>
      <c r="H408" s="299" t="b">
        <v>0</v>
      </c>
      <c r="I408" s="277"/>
      <c r="J408" s="278"/>
      <c r="K408" s="277"/>
      <c r="L408" s="278"/>
      <c r="M408" s="277"/>
      <c r="N408" s="278"/>
      <c r="O408" s="277"/>
      <c r="P408" s="278"/>
      <c r="Q408" s="277"/>
      <c r="R408" s="278"/>
      <c r="S408" s="277"/>
      <c r="T408" s="278"/>
      <c r="U408" s="277"/>
      <c r="V408" s="278"/>
      <c r="W408" s="277"/>
      <c r="X408" s="278"/>
      <c r="Y408" s="277"/>
      <c r="Z408" s="278"/>
      <c r="AA408" s="277"/>
      <c r="AB408" s="278"/>
      <c r="AC408" s="277"/>
      <c r="AD408" s="278"/>
      <c r="AE408" s="277"/>
      <c r="AF408" s="278"/>
      <c r="AG408" s="277"/>
      <c r="AH408" s="278"/>
      <c r="AI408" s="277"/>
      <c r="AJ408" s="278"/>
      <c r="AK408" s="277"/>
      <c r="AL408" s="278"/>
      <c r="AM408" s="277"/>
      <c r="AN408" s="278"/>
      <c r="AO408" s="278"/>
      <c r="AP408" s="278"/>
      <c r="AQ408" s="278"/>
      <c r="AR408" s="278"/>
      <c r="AS408" s="278"/>
    </row>
    <row r="409" spans="1:45">
      <c r="A409" s="277"/>
      <c r="B409" s="298" t="b">
        <v>0</v>
      </c>
      <c r="C409" s="278"/>
      <c r="D409" s="299" t="b">
        <v>0</v>
      </c>
      <c r="E409" s="277"/>
      <c r="F409" s="298" t="b">
        <v>0</v>
      </c>
      <c r="G409" s="278"/>
      <c r="H409" s="299" t="b">
        <v>0</v>
      </c>
      <c r="I409" s="277"/>
      <c r="J409" s="278"/>
      <c r="K409" s="277"/>
      <c r="L409" s="278"/>
      <c r="M409" s="277"/>
      <c r="N409" s="278"/>
      <c r="O409" s="277"/>
      <c r="P409" s="278"/>
      <c r="Q409" s="277"/>
      <c r="R409" s="278"/>
      <c r="S409" s="277"/>
      <c r="T409" s="278"/>
      <c r="U409" s="277"/>
      <c r="V409" s="278"/>
      <c r="W409" s="277"/>
      <c r="X409" s="278"/>
      <c r="Y409" s="277"/>
      <c r="Z409" s="278"/>
      <c r="AA409" s="277"/>
      <c r="AB409" s="278"/>
      <c r="AC409" s="277"/>
      <c r="AD409" s="278"/>
      <c r="AE409" s="277"/>
      <c r="AF409" s="278"/>
      <c r="AG409" s="277"/>
      <c r="AH409" s="278"/>
      <c r="AI409" s="277"/>
      <c r="AJ409" s="278"/>
      <c r="AK409" s="277"/>
      <c r="AL409" s="278"/>
      <c r="AM409" s="277"/>
      <c r="AN409" s="278"/>
      <c r="AO409" s="278"/>
      <c r="AP409" s="278"/>
      <c r="AQ409" s="278"/>
      <c r="AR409" s="278"/>
      <c r="AS409" s="278"/>
    </row>
    <row r="410" spans="1:45">
      <c r="A410" s="277"/>
      <c r="B410" s="298" t="b">
        <v>0</v>
      </c>
      <c r="C410" s="278"/>
      <c r="D410" s="299" t="b">
        <v>0</v>
      </c>
      <c r="E410" s="277"/>
      <c r="F410" s="298" t="b">
        <v>0</v>
      </c>
      <c r="G410" s="278"/>
      <c r="H410" s="299" t="b">
        <v>0</v>
      </c>
      <c r="I410" s="277"/>
      <c r="J410" s="278"/>
      <c r="K410" s="277"/>
      <c r="L410" s="278"/>
      <c r="M410" s="277"/>
      <c r="N410" s="278"/>
      <c r="O410" s="277"/>
      <c r="P410" s="278"/>
      <c r="Q410" s="277"/>
      <c r="R410" s="278"/>
      <c r="S410" s="277"/>
      <c r="T410" s="278"/>
      <c r="U410" s="277"/>
      <c r="V410" s="278"/>
      <c r="W410" s="277"/>
      <c r="X410" s="278"/>
      <c r="Y410" s="277"/>
      <c r="Z410" s="278"/>
      <c r="AA410" s="277"/>
      <c r="AB410" s="278"/>
      <c r="AC410" s="277"/>
      <c r="AD410" s="278"/>
      <c r="AE410" s="277"/>
      <c r="AF410" s="278"/>
      <c r="AG410" s="277"/>
      <c r="AH410" s="278"/>
      <c r="AI410" s="277"/>
      <c r="AJ410" s="278"/>
      <c r="AK410" s="277"/>
      <c r="AL410" s="278"/>
      <c r="AM410" s="277"/>
      <c r="AN410" s="278"/>
      <c r="AO410" s="278"/>
      <c r="AP410" s="278"/>
      <c r="AQ410" s="278"/>
      <c r="AR410" s="278"/>
      <c r="AS410" s="278"/>
    </row>
    <row r="411" spans="1:45">
      <c r="A411" s="277"/>
      <c r="B411" s="298" t="b">
        <v>0</v>
      </c>
      <c r="C411" s="278"/>
      <c r="D411" s="299" t="b">
        <v>0</v>
      </c>
      <c r="E411" s="277"/>
      <c r="F411" s="298" t="b">
        <v>0</v>
      </c>
      <c r="G411" s="278"/>
      <c r="H411" s="299" t="b">
        <v>0</v>
      </c>
      <c r="I411" s="277"/>
      <c r="J411" s="278"/>
      <c r="K411" s="277"/>
      <c r="L411" s="278"/>
      <c r="M411" s="277"/>
      <c r="N411" s="278"/>
      <c r="O411" s="277"/>
      <c r="P411" s="278"/>
      <c r="Q411" s="277"/>
      <c r="R411" s="278"/>
      <c r="S411" s="277"/>
      <c r="T411" s="278"/>
      <c r="U411" s="277"/>
      <c r="V411" s="278"/>
      <c r="W411" s="277"/>
      <c r="X411" s="278"/>
      <c r="Y411" s="277"/>
      <c r="Z411" s="278"/>
      <c r="AA411" s="277"/>
      <c r="AB411" s="278"/>
      <c r="AC411" s="277"/>
      <c r="AD411" s="278"/>
      <c r="AE411" s="277"/>
      <c r="AF411" s="278"/>
      <c r="AG411" s="277"/>
      <c r="AH411" s="278"/>
      <c r="AI411" s="277"/>
      <c r="AJ411" s="278"/>
      <c r="AK411" s="277"/>
      <c r="AL411" s="278"/>
      <c r="AM411" s="277"/>
      <c r="AN411" s="278"/>
      <c r="AO411" s="278"/>
      <c r="AP411" s="278"/>
      <c r="AQ411" s="278"/>
      <c r="AR411" s="278"/>
      <c r="AS411" s="278"/>
    </row>
    <row r="412" spans="1:45">
      <c r="A412" s="277"/>
      <c r="B412" s="298" t="b">
        <v>0</v>
      </c>
      <c r="C412" s="278"/>
      <c r="D412" s="299" t="b">
        <v>0</v>
      </c>
      <c r="E412" s="277"/>
      <c r="F412" s="298" t="b">
        <v>0</v>
      </c>
      <c r="G412" s="278"/>
      <c r="H412" s="299" t="b">
        <v>0</v>
      </c>
      <c r="I412" s="277"/>
      <c r="J412" s="278"/>
      <c r="K412" s="277"/>
      <c r="L412" s="278"/>
      <c r="M412" s="277"/>
      <c r="N412" s="278"/>
      <c r="O412" s="277"/>
      <c r="P412" s="278"/>
      <c r="Q412" s="277"/>
      <c r="R412" s="278"/>
      <c r="S412" s="277"/>
      <c r="T412" s="278"/>
      <c r="U412" s="277"/>
      <c r="V412" s="278"/>
      <c r="W412" s="277"/>
      <c r="X412" s="278"/>
      <c r="Y412" s="277"/>
      <c r="Z412" s="278"/>
      <c r="AA412" s="277"/>
      <c r="AB412" s="278"/>
      <c r="AC412" s="277"/>
      <c r="AD412" s="278"/>
      <c r="AE412" s="277"/>
      <c r="AF412" s="278"/>
      <c r="AG412" s="277"/>
      <c r="AH412" s="278"/>
      <c r="AI412" s="277"/>
      <c r="AJ412" s="278"/>
      <c r="AK412" s="277"/>
      <c r="AL412" s="278"/>
      <c r="AM412" s="277"/>
      <c r="AN412" s="278"/>
      <c r="AO412" s="278"/>
      <c r="AP412" s="278"/>
      <c r="AQ412" s="278"/>
      <c r="AR412" s="278"/>
      <c r="AS412" s="278"/>
    </row>
    <row r="413" spans="1:45">
      <c r="A413" s="277"/>
      <c r="B413" s="298" t="b">
        <v>0</v>
      </c>
      <c r="C413" s="278"/>
      <c r="D413" s="299" t="b">
        <v>0</v>
      </c>
      <c r="E413" s="277"/>
      <c r="F413" s="298" t="b">
        <v>0</v>
      </c>
      <c r="G413" s="278"/>
      <c r="H413" s="299" t="b">
        <v>0</v>
      </c>
      <c r="I413" s="277"/>
      <c r="J413" s="278"/>
      <c r="K413" s="277"/>
      <c r="L413" s="278"/>
      <c r="M413" s="277"/>
      <c r="N413" s="278"/>
      <c r="O413" s="277"/>
      <c r="P413" s="278"/>
      <c r="Q413" s="277"/>
      <c r="R413" s="278"/>
      <c r="S413" s="277"/>
      <c r="T413" s="278"/>
      <c r="U413" s="277"/>
      <c r="V413" s="278"/>
      <c r="W413" s="277"/>
      <c r="X413" s="278"/>
      <c r="Y413" s="277"/>
      <c r="Z413" s="278"/>
      <c r="AA413" s="277"/>
      <c r="AB413" s="278"/>
      <c r="AC413" s="277"/>
      <c r="AD413" s="278"/>
      <c r="AE413" s="277"/>
      <c r="AF413" s="278"/>
      <c r="AG413" s="277"/>
      <c r="AH413" s="278"/>
      <c r="AI413" s="277"/>
      <c r="AJ413" s="278"/>
      <c r="AK413" s="277"/>
      <c r="AL413" s="278"/>
      <c r="AM413" s="277"/>
      <c r="AN413" s="278"/>
      <c r="AO413" s="278"/>
      <c r="AP413" s="278"/>
      <c r="AQ413" s="278"/>
      <c r="AR413" s="278"/>
      <c r="AS413" s="278"/>
    </row>
    <row r="414" spans="1:45">
      <c r="A414" s="277"/>
      <c r="B414" s="298" t="b">
        <v>0</v>
      </c>
      <c r="C414" s="278"/>
      <c r="D414" s="299" t="b">
        <v>0</v>
      </c>
      <c r="E414" s="277"/>
      <c r="F414" s="298" t="b">
        <v>0</v>
      </c>
      <c r="G414" s="278"/>
      <c r="H414" s="299" t="b">
        <v>0</v>
      </c>
      <c r="I414" s="277"/>
      <c r="J414" s="278"/>
      <c r="K414" s="277"/>
      <c r="L414" s="278"/>
      <c r="M414" s="277"/>
      <c r="N414" s="278"/>
      <c r="O414" s="277"/>
      <c r="P414" s="278"/>
      <c r="Q414" s="277"/>
      <c r="R414" s="278"/>
      <c r="S414" s="277"/>
      <c r="T414" s="278"/>
      <c r="U414" s="277"/>
      <c r="V414" s="278"/>
      <c r="W414" s="277"/>
      <c r="X414" s="278"/>
      <c r="Y414" s="277"/>
      <c r="Z414" s="278"/>
      <c r="AA414" s="277"/>
      <c r="AB414" s="278"/>
      <c r="AC414" s="277"/>
      <c r="AD414" s="278"/>
      <c r="AE414" s="277"/>
      <c r="AF414" s="278"/>
      <c r="AG414" s="277"/>
      <c r="AH414" s="278"/>
      <c r="AI414" s="277"/>
      <c r="AJ414" s="278"/>
      <c r="AK414" s="277"/>
      <c r="AL414" s="278"/>
      <c r="AM414" s="277"/>
      <c r="AN414" s="278"/>
      <c r="AO414" s="278"/>
      <c r="AP414" s="278"/>
      <c r="AQ414" s="278"/>
      <c r="AR414" s="278"/>
      <c r="AS414" s="278"/>
    </row>
    <row r="415" spans="1:45">
      <c r="A415" s="277"/>
      <c r="B415" s="298" t="b">
        <v>0</v>
      </c>
      <c r="C415" s="278"/>
      <c r="D415" s="299" t="b">
        <v>0</v>
      </c>
      <c r="E415" s="277"/>
      <c r="F415" s="298" t="b">
        <v>0</v>
      </c>
      <c r="G415" s="278"/>
      <c r="H415" s="299" t="b">
        <v>0</v>
      </c>
      <c r="I415" s="277"/>
      <c r="J415" s="278"/>
      <c r="K415" s="277"/>
      <c r="L415" s="278"/>
      <c r="M415" s="277"/>
      <c r="N415" s="278"/>
      <c r="O415" s="277"/>
      <c r="P415" s="278"/>
      <c r="Q415" s="277"/>
      <c r="R415" s="278"/>
      <c r="S415" s="277"/>
      <c r="T415" s="278"/>
      <c r="U415" s="277"/>
      <c r="V415" s="278"/>
      <c r="W415" s="277"/>
      <c r="X415" s="278"/>
      <c r="Y415" s="277"/>
      <c r="Z415" s="278"/>
      <c r="AA415" s="277"/>
      <c r="AB415" s="278"/>
      <c r="AC415" s="277"/>
      <c r="AD415" s="278"/>
      <c r="AE415" s="277"/>
      <c r="AF415" s="278"/>
      <c r="AG415" s="277"/>
      <c r="AH415" s="278"/>
      <c r="AI415" s="277"/>
      <c r="AJ415" s="278"/>
      <c r="AK415" s="277"/>
      <c r="AL415" s="278"/>
      <c r="AM415" s="277"/>
      <c r="AN415" s="278"/>
      <c r="AO415" s="278"/>
      <c r="AP415" s="278"/>
      <c r="AQ415" s="278"/>
      <c r="AR415" s="278"/>
      <c r="AS415" s="278"/>
    </row>
    <row r="416" spans="1:45">
      <c r="A416" s="277"/>
      <c r="B416" s="298" t="b">
        <v>0</v>
      </c>
      <c r="C416" s="278"/>
      <c r="D416" s="299" t="b">
        <v>0</v>
      </c>
      <c r="E416" s="277"/>
      <c r="F416" s="298" t="b">
        <v>0</v>
      </c>
      <c r="G416" s="278"/>
      <c r="H416" s="299" t="b">
        <v>0</v>
      </c>
      <c r="I416" s="277"/>
      <c r="J416" s="278"/>
      <c r="K416" s="277"/>
      <c r="L416" s="278"/>
      <c r="M416" s="277"/>
      <c r="N416" s="278"/>
      <c r="O416" s="277"/>
      <c r="P416" s="278"/>
      <c r="Q416" s="277"/>
      <c r="R416" s="278"/>
      <c r="S416" s="277"/>
      <c r="T416" s="278"/>
      <c r="U416" s="277"/>
      <c r="V416" s="278"/>
      <c r="W416" s="277"/>
      <c r="X416" s="278"/>
      <c r="Y416" s="277"/>
      <c r="Z416" s="278"/>
      <c r="AA416" s="277"/>
      <c r="AB416" s="278"/>
      <c r="AC416" s="277"/>
      <c r="AD416" s="278"/>
      <c r="AE416" s="277"/>
      <c r="AF416" s="278"/>
      <c r="AG416" s="277"/>
      <c r="AH416" s="278"/>
      <c r="AI416" s="277"/>
      <c r="AJ416" s="278"/>
      <c r="AK416" s="277"/>
      <c r="AL416" s="278"/>
      <c r="AM416" s="277"/>
      <c r="AN416" s="278"/>
      <c r="AO416" s="278"/>
      <c r="AP416" s="278"/>
      <c r="AQ416" s="278"/>
      <c r="AR416" s="278"/>
      <c r="AS416" s="278"/>
    </row>
    <row r="417" spans="1:45">
      <c r="A417" s="277"/>
      <c r="B417" s="298" t="b">
        <v>0</v>
      </c>
      <c r="C417" s="278"/>
      <c r="D417" s="299" t="b">
        <v>0</v>
      </c>
      <c r="E417" s="277"/>
      <c r="F417" s="298" t="b">
        <v>0</v>
      </c>
      <c r="G417" s="278"/>
      <c r="H417" s="299" t="b">
        <v>0</v>
      </c>
      <c r="I417" s="277"/>
      <c r="J417" s="278"/>
      <c r="K417" s="277"/>
      <c r="L417" s="278"/>
      <c r="M417" s="277"/>
      <c r="N417" s="278"/>
      <c r="O417" s="277"/>
      <c r="P417" s="278"/>
      <c r="Q417" s="277"/>
      <c r="R417" s="278"/>
      <c r="S417" s="277"/>
      <c r="T417" s="278"/>
      <c r="U417" s="277"/>
      <c r="V417" s="278"/>
      <c r="W417" s="277"/>
      <c r="X417" s="278"/>
      <c r="Y417" s="277"/>
      <c r="Z417" s="278"/>
      <c r="AA417" s="277"/>
      <c r="AB417" s="278"/>
      <c r="AC417" s="277"/>
      <c r="AD417" s="278"/>
      <c r="AE417" s="277"/>
      <c r="AF417" s="278"/>
      <c r="AG417" s="277"/>
      <c r="AH417" s="278"/>
      <c r="AI417" s="277"/>
      <c r="AJ417" s="278"/>
      <c r="AK417" s="277"/>
      <c r="AL417" s="278"/>
      <c r="AM417" s="277"/>
      <c r="AN417" s="278"/>
      <c r="AO417" s="278"/>
      <c r="AP417" s="278"/>
      <c r="AQ417" s="278"/>
      <c r="AR417" s="278"/>
      <c r="AS417" s="278"/>
    </row>
    <row r="418" spans="1:45">
      <c r="A418" s="277"/>
      <c r="B418" s="298" t="b">
        <v>0</v>
      </c>
      <c r="C418" s="278"/>
      <c r="D418" s="299" t="b">
        <v>0</v>
      </c>
      <c r="E418" s="277"/>
      <c r="F418" s="298" t="b">
        <v>0</v>
      </c>
      <c r="G418" s="278"/>
      <c r="H418" s="299" t="b">
        <v>0</v>
      </c>
      <c r="I418" s="277"/>
      <c r="J418" s="278"/>
      <c r="K418" s="277"/>
      <c r="L418" s="278"/>
      <c r="M418" s="277"/>
      <c r="N418" s="278"/>
      <c r="O418" s="277"/>
      <c r="P418" s="278"/>
      <c r="Q418" s="277"/>
      <c r="R418" s="278"/>
      <c r="S418" s="277"/>
      <c r="T418" s="278"/>
      <c r="U418" s="277"/>
      <c r="V418" s="278"/>
      <c r="W418" s="277"/>
      <c r="X418" s="278"/>
      <c r="Y418" s="277"/>
      <c r="Z418" s="278"/>
      <c r="AA418" s="277"/>
      <c r="AB418" s="278"/>
      <c r="AC418" s="277"/>
      <c r="AD418" s="278"/>
      <c r="AE418" s="277"/>
      <c r="AF418" s="278"/>
      <c r="AG418" s="277"/>
      <c r="AH418" s="278"/>
      <c r="AI418" s="277"/>
      <c r="AJ418" s="278"/>
      <c r="AK418" s="277"/>
      <c r="AL418" s="278"/>
      <c r="AM418" s="277"/>
      <c r="AN418" s="278"/>
      <c r="AO418" s="278"/>
      <c r="AP418" s="278"/>
      <c r="AQ418" s="278"/>
      <c r="AR418" s="278"/>
      <c r="AS418" s="278"/>
    </row>
    <row r="419" spans="1:45">
      <c r="A419" s="277"/>
      <c r="B419" s="298" t="b">
        <v>0</v>
      </c>
      <c r="C419" s="278"/>
      <c r="D419" s="299" t="b">
        <v>0</v>
      </c>
      <c r="E419" s="277"/>
      <c r="F419" s="298" t="b">
        <v>0</v>
      </c>
      <c r="G419" s="278"/>
      <c r="H419" s="299" t="b">
        <v>0</v>
      </c>
      <c r="I419" s="277"/>
      <c r="J419" s="278"/>
      <c r="K419" s="277"/>
      <c r="L419" s="278"/>
      <c r="M419" s="277"/>
      <c r="N419" s="278"/>
      <c r="O419" s="277"/>
      <c r="P419" s="278"/>
      <c r="Q419" s="277"/>
      <c r="R419" s="278"/>
      <c r="S419" s="277"/>
      <c r="T419" s="278"/>
      <c r="U419" s="277"/>
      <c r="V419" s="278"/>
      <c r="W419" s="277"/>
      <c r="X419" s="278"/>
      <c r="Y419" s="277"/>
      <c r="Z419" s="278"/>
      <c r="AA419" s="277"/>
      <c r="AB419" s="278"/>
      <c r="AC419" s="277"/>
      <c r="AD419" s="278"/>
      <c r="AE419" s="277"/>
      <c r="AF419" s="278"/>
      <c r="AG419" s="277"/>
      <c r="AH419" s="278"/>
      <c r="AI419" s="277"/>
      <c r="AJ419" s="278"/>
      <c r="AK419" s="277"/>
      <c r="AL419" s="278"/>
      <c r="AM419" s="277"/>
      <c r="AN419" s="278"/>
      <c r="AO419" s="278"/>
      <c r="AP419" s="278"/>
      <c r="AQ419" s="278"/>
      <c r="AR419" s="278"/>
      <c r="AS419" s="278"/>
    </row>
    <row r="420" spans="1:45">
      <c r="A420" s="277"/>
      <c r="B420" s="298" t="b">
        <v>0</v>
      </c>
      <c r="C420" s="278"/>
      <c r="D420" s="299" t="b">
        <v>0</v>
      </c>
      <c r="E420" s="277"/>
      <c r="F420" s="298" t="b">
        <v>0</v>
      </c>
      <c r="G420" s="278"/>
      <c r="H420" s="299" t="b">
        <v>0</v>
      </c>
      <c r="I420" s="277"/>
      <c r="J420" s="278"/>
      <c r="K420" s="277"/>
      <c r="L420" s="278"/>
      <c r="M420" s="277"/>
      <c r="N420" s="278"/>
      <c r="O420" s="277"/>
      <c r="P420" s="278"/>
      <c r="Q420" s="277"/>
      <c r="R420" s="278"/>
      <c r="S420" s="277"/>
      <c r="T420" s="278"/>
      <c r="U420" s="277"/>
      <c r="V420" s="278"/>
      <c r="W420" s="277"/>
      <c r="X420" s="278"/>
      <c r="Y420" s="277"/>
      <c r="Z420" s="278"/>
      <c r="AA420" s="277"/>
      <c r="AB420" s="278"/>
      <c r="AC420" s="277"/>
      <c r="AD420" s="278"/>
      <c r="AE420" s="277"/>
      <c r="AF420" s="278"/>
      <c r="AG420" s="277"/>
      <c r="AH420" s="278"/>
      <c r="AI420" s="277"/>
      <c r="AJ420" s="278"/>
      <c r="AK420" s="277"/>
      <c r="AL420" s="278"/>
      <c r="AM420" s="277"/>
      <c r="AN420" s="278"/>
      <c r="AO420" s="278"/>
      <c r="AP420" s="278"/>
      <c r="AQ420" s="278"/>
      <c r="AR420" s="278"/>
      <c r="AS420" s="278"/>
    </row>
    <row r="421" spans="1:45">
      <c r="A421" s="277"/>
      <c r="B421" s="298" t="b">
        <v>0</v>
      </c>
      <c r="C421" s="278"/>
      <c r="D421" s="299" t="b">
        <v>0</v>
      </c>
      <c r="E421" s="277"/>
      <c r="F421" s="298" t="b">
        <v>0</v>
      </c>
      <c r="G421" s="278"/>
      <c r="H421" s="299" t="b">
        <v>0</v>
      </c>
      <c r="I421" s="277"/>
      <c r="J421" s="278"/>
      <c r="K421" s="277"/>
      <c r="L421" s="278"/>
      <c r="M421" s="277"/>
      <c r="N421" s="278"/>
      <c r="O421" s="277"/>
      <c r="P421" s="278"/>
      <c r="Q421" s="277"/>
      <c r="R421" s="278"/>
      <c r="S421" s="277"/>
      <c r="T421" s="278"/>
      <c r="U421" s="277"/>
      <c r="V421" s="278"/>
      <c r="W421" s="277"/>
      <c r="X421" s="278"/>
      <c r="Y421" s="277"/>
      <c r="Z421" s="278"/>
      <c r="AA421" s="277"/>
      <c r="AB421" s="278"/>
      <c r="AC421" s="277"/>
      <c r="AD421" s="278"/>
      <c r="AE421" s="277"/>
      <c r="AF421" s="278"/>
      <c r="AG421" s="277"/>
      <c r="AH421" s="278"/>
      <c r="AI421" s="277"/>
      <c r="AJ421" s="278"/>
      <c r="AK421" s="277"/>
      <c r="AL421" s="278"/>
      <c r="AM421" s="277"/>
      <c r="AN421" s="278"/>
      <c r="AO421" s="278"/>
      <c r="AP421" s="278"/>
      <c r="AQ421" s="278"/>
      <c r="AR421" s="278"/>
      <c r="AS421" s="278"/>
    </row>
    <row r="422" spans="1:45">
      <c r="A422" s="277"/>
      <c r="B422" s="298" t="b">
        <v>0</v>
      </c>
      <c r="C422" s="278"/>
      <c r="D422" s="299" t="b">
        <v>0</v>
      </c>
      <c r="E422" s="277"/>
      <c r="F422" s="298" t="b">
        <v>0</v>
      </c>
      <c r="G422" s="278"/>
      <c r="H422" s="299" t="b">
        <v>0</v>
      </c>
      <c r="I422" s="277"/>
      <c r="J422" s="278"/>
      <c r="K422" s="277"/>
      <c r="L422" s="278"/>
      <c r="M422" s="277"/>
      <c r="N422" s="278"/>
      <c r="O422" s="277"/>
      <c r="P422" s="278"/>
      <c r="Q422" s="277"/>
      <c r="R422" s="278"/>
      <c r="S422" s="277"/>
      <c r="T422" s="278"/>
      <c r="U422" s="277"/>
      <c r="V422" s="278"/>
      <c r="W422" s="277"/>
      <c r="X422" s="278"/>
      <c r="Y422" s="277"/>
      <c r="Z422" s="278"/>
      <c r="AA422" s="277"/>
      <c r="AB422" s="278"/>
      <c r="AC422" s="277"/>
      <c r="AD422" s="278"/>
      <c r="AE422" s="277"/>
      <c r="AF422" s="278"/>
      <c r="AG422" s="277"/>
      <c r="AH422" s="278"/>
      <c r="AI422" s="277"/>
      <c r="AJ422" s="278"/>
      <c r="AK422" s="277"/>
      <c r="AL422" s="278"/>
      <c r="AM422" s="277"/>
      <c r="AN422" s="278"/>
      <c r="AO422" s="278"/>
      <c r="AP422" s="278"/>
      <c r="AQ422" s="278"/>
      <c r="AR422" s="278"/>
      <c r="AS422" s="278"/>
    </row>
    <row r="423" spans="1:45">
      <c r="A423" s="277"/>
      <c r="B423" s="298" t="b">
        <v>0</v>
      </c>
      <c r="C423" s="278"/>
      <c r="D423" s="299" t="b">
        <v>0</v>
      </c>
      <c r="E423" s="277"/>
      <c r="F423" s="298" t="b">
        <v>0</v>
      </c>
      <c r="G423" s="278"/>
      <c r="H423" s="299" t="b">
        <v>0</v>
      </c>
      <c r="I423" s="277"/>
      <c r="J423" s="278"/>
      <c r="K423" s="277"/>
      <c r="L423" s="278"/>
      <c r="M423" s="277"/>
      <c r="N423" s="278"/>
      <c r="O423" s="277"/>
      <c r="P423" s="278"/>
      <c r="Q423" s="277"/>
      <c r="R423" s="278"/>
      <c r="S423" s="277"/>
      <c r="T423" s="278"/>
      <c r="U423" s="277"/>
      <c r="V423" s="278"/>
      <c r="W423" s="277"/>
      <c r="X423" s="278"/>
      <c r="Y423" s="277"/>
      <c r="Z423" s="278"/>
      <c r="AA423" s="277"/>
      <c r="AB423" s="278"/>
      <c r="AC423" s="277"/>
      <c r="AD423" s="278"/>
      <c r="AE423" s="277"/>
      <c r="AF423" s="278"/>
      <c r="AG423" s="277"/>
      <c r="AH423" s="278"/>
      <c r="AI423" s="277"/>
      <c r="AJ423" s="278"/>
      <c r="AK423" s="277"/>
      <c r="AL423" s="278"/>
      <c r="AM423" s="277"/>
      <c r="AN423" s="278"/>
      <c r="AO423" s="278"/>
      <c r="AP423" s="278"/>
      <c r="AQ423" s="278"/>
      <c r="AR423" s="278"/>
      <c r="AS423" s="278"/>
    </row>
    <row r="424" spans="1:45">
      <c r="A424" s="277"/>
      <c r="B424" s="298" t="b">
        <v>0</v>
      </c>
      <c r="C424" s="278"/>
      <c r="D424" s="299" t="b">
        <v>0</v>
      </c>
      <c r="E424" s="277"/>
      <c r="F424" s="298" t="b">
        <v>0</v>
      </c>
      <c r="G424" s="278"/>
      <c r="H424" s="299" t="b">
        <v>0</v>
      </c>
      <c r="I424" s="277"/>
      <c r="J424" s="278"/>
      <c r="K424" s="277"/>
      <c r="L424" s="278"/>
      <c r="M424" s="277"/>
      <c r="N424" s="278"/>
      <c r="O424" s="277"/>
      <c r="P424" s="278"/>
      <c r="Q424" s="277"/>
      <c r="R424" s="278"/>
      <c r="S424" s="277"/>
      <c r="T424" s="278"/>
      <c r="U424" s="277"/>
      <c r="V424" s="278"/>
      <c r="W424" s="277"/>
      <c r="X424" s="278"/>
      <c r="Y424" s="277"/>
      <c r="Z424" s="278"/>
      <c r="AA424" s="277"/>
      <c r="AB424" s="278"/>
      <c r="AC424" s="277"/>
      <c r="AD424" s="278"/>
      <c r="AE424" s="277"/>
      <c r="AF424" s="278"/>
      <c r="AG424" s="277"/>
      <c r="AH424" s="278"/>
      <c r="AI424" s="277"/>
      <c r="AJ424" s="278"/>
      <c r="AK424" s="277"/>
      <c r="AL424" s="278"/>
      <c r="AM424" s="277"/>
      <c r="AN424" s="278"/>
      <c r="AO424" s="278"/>
      <c r="AP424" s="278"/>
      <c r="AQ424" s="278"/>
      <c r="AR424" s="278"/>
      <c r="AS424" s="278"/>
    </row>
    <row r="425" spans="1:45">
      <c r="A425" s="277"/>
      <c r="B425" s="298" t="b">
        <v>0</v>
      </c>
      <c r="C425" s="278"/>
      <c r="D425" s="299" t="b">
        <v>0</v>
      </c>
      <c r="E425" s="277"/>
      <c r="F425" s="298" t="b">
        <v>0</v>
      </c>
      <c r="G425" s="278"/>
      <c r="H425" s="299" t="b">
        <v>0</v>
      </c>
      <c r="I425" s="277"/>
      <c r="J425" s="278"/>
      <c r="K425" s="277"/>
      <c r="L425" s="278"/>
      <c r="M425" s="277"/>
      <c r="N425" s="278"/>
      <c r="O425" s="277"/>
      <c r="P425" s="278"/>
      <c r="Q425" s="277"/>
      <c r="R425" s="278"/>
      <c r="S425" s="277"/>
      <c r="T425" s="278"/>
      <c r="U425" s="277"/>
      <c r="V425" s="278"/>
      <c r="W425" s="277"/>
      <c r="X425" s="278"/>
      <c r="Y425" s="277"/>
      <c r="Z425" s="278"/>
      <c r="AA425" s="277"/>
      <c r="AB425" s="278"/>
      <c r="AC425" s="277"/>
      <c r="AD425" s="278"/>
      <c r="AE425" s="277"/>
      <c r="AF425" s="278"/>
      <c r="AG425" s="277"/>
      <c r="AH425" s="278"/>
      <c r="AI425" s="277"/>
      <c r="AJ425" s="278"/>
      <c r="AK425" s="277"/>
      <c r="AL425" s="278"/>
      <c r="AM425" s="277"/>
      <c r="AN425" s="278"/>
      <c r="AO425" s="278"/>
      <c r="AP425" s="278"/>
      <c r="AQ425" s="278"/>
      <c r="AR425" s="278"/>
      <c r="AS425" s="278"/>
    </row>
    <row r="426" spans="1:45">
      <c r="A426" s="277"/>
      <c r="B426" s="298" t="b">
        <v>0</v>
      </c>
      <c r="C426" s="278"/>
      <c r="D426" s="299" t="b">
        <v>0</v>
      </c>
      <c r="E426" s="277"/>
      <c r="F426" s="298" t="b">
        <v>0</v>
      </c>
      <c r="G426" s="278"/>
      <c r="H426" s="299" t="b">
        <v>0</v>
      </c>
      <c r="I426" s="277"/>
      <c r="J426" s="278"/>
      <c r="K426" s="277"/>
      <c r="L426" s="278"/>
      <c r="M426" s="277"/>
      <c r="N426" s="278"/>
      <c r="O426" s="277"/>
      <c r="P426" s="278"/>
      <c r="Q426" s="277"/>
      <c r="R426" s="278"/>
      <c r="S426" s="277"/>
      <c r="T426" s="278"/>
      <c r="U426" s="277"/>
      <c r="V426" s="278"/>
      <c r="W426" s="277"/>
      <c r="X426" s="278"/>
      <c r="Y426" s="277"/>
      <c r="Z426" s="278"/>
      <c r="AA426" s="277"/>
      <c r="AB426" s="278"/>
      <c r="AC426" s="277"/>
      <c r="AD426" s="278"/>
      <c r="AE426" s="277"/>
      <c r="AF426" s="278"/>
      <c r="AG426" s="277"/>
      <c r="AH426" s="278"/>
      <c r="AI426" s="277"/>
      <c r="AJ426" s="278"/>
      <c r="AK426" s="277"/>
      <c r="AL426" s="278"/>
      <c r="AM426" s="277"/>
      <c r="AN426" s="278"/>
      <c r="AO426" s="278"/>
      <c r="AP426" s="278"/>
      <c r="AQ426" s="278"/>
      <c r="AR426" s="278"/>
      <c r="AS426" s="278"/>
    </row>
    <row r="427" spans="1:45">
      <c r="A427" s="277"/>
      <c r="B427" s="298" t="b">
        <v>0</v>
      </c>
      <c r="C427" s="278"/>
      <c r="D427" s="299" t="b">
        <v>0</v>
      </c>
      <c r="E427" s="277"/>
      <c r="F427" s="298" t="b">
        <v>0</v>
      </c>
      <c r="G427" s="278"/>
      <c r="H427" s="299" t="b">
        <v>0</v>
      </c>
      <c r="I427" s="277"/>
      <c r="J427" s="278"/>
      <c r="K427" s="277"/>
      <c r="L427" s="278"/>
      <c r="M427" s="277"/>
      <c r="N427" s="278"/>
      <c r="O427" s="277"/>
      <c r="P427" s="278"/>
      <c r="Q427" s="277"/>
      <c r="R427" s="278"/>
      <c r="S427" s="277"/>
      <c r="T427" s="278"/>
      <c r="U427" s="277"/>
      <c r="V427" s="278"/>
      <c r="W427" s="277"/>
      <c r="X427" s="278"/>
      <c r="Y427" s="277"/>
      <c r="Z427" s="278"/>
      <c r="AA427" s="277"/>
      <c r="AB427" s="278"/>
      <c r="AC427" s="277"/>
      <c r="AD427" s="278"/>
      <c r="AE427" s="277"/>
      <c r="AF427" s="278"/>
      <c r="AG427" s="277"/>
      <c r="AH427" s="278"/>
      <c r="AI427" s="277"/>
      <c r="AJ427" s="278"/>
      <c r="AK427" s="277"/>
      <c r="AL427" s="278"/>
      <c r="AM427" s="277"/>
      <c r="AN427" s="278"/>
      <c r="AO427" s="278"/>
      <c r="AP427" s="278"/>
      <c r="AQ427" s="278"/>
      <c r="AR427" s="278"/>
      <c r="AS427" s="278"/>
    </row>
    <row r="428" spans="1:45">
      <c r="A428" s="277"/>
      <c r="B428" s="298" t="b">
        <v>0</v>
      </c>
      <c r="C428" s="278"/>
      <c r="D428" s="299" t="b">
        <v>0</v>
      </c>
      <c r="E428" s="277"/>
      <c r="F428" s="298" t="b">
        <v>0</v>
      </c>
      <c r="G428" s="278"/>
      <c r="H428" s="299" t="b">
        <v>0</v>
      </c>
      <c r="I428" s="277"/>
      <c r="J428" s="278"/>
      <c r="K428" s="277"/>
      <c r="L428" s="278"/>
      <c r="M428" s="277"/>
      <c r="N428" s="278"/>
      <c r="O428" s="277"/>
      <c r="P428" s="278"/>
      <c r="Q428" s="277"/>
      <c r="R428" s="278"/>
      <c r="S428" s="277"/>
      <c r="T428" s="278"/>
      <c r="U428" s="277"/>
      <c r="V428" s="278"/>
      <c r="W428" s="277"/>
      <c r="X428" s="278"/>
      <c r="Y428" s="277"/>
      <c r="Z428" s="278"/>
      <c r="AA428" s="277"/>
      <c r="AB428" s="278"/>
      <c r="AC428" s="277"/>
      <c r="AD428" s="278"/>
      <c r="AE428" s="277"/>
      <c r="AF428" s="278"/>
      <c r="AG428" s="277"/>
      <c r="AH428" s="278"/>
      <c r="AI428" s="277"/>
      <c r="AJ428" s="278"/>
      <c r="AK428" s="277"/>
      <c r="AL428" s="278"/>
      <c r="AM428" s="277"/>
      <c r="AN428" s="278"/>
      <c r="AO428" s="278"/>
      <c r="AP428" s="278"/>
      <c r="AQ428" s="278"/>
      <c r="AR428" s="278"/>
      <c r="AS428" s="278"/>
    </row>
    <row r="429" spans="1:45">
      <c r="A429" s="277"/>
      <c r="B429" s="298" t="b">
        <v>0</v>
      </c>
      <c r="C429" s="278"/>
      <c r="D429" s="299" t="b">
        <v>0</v>
      </c>
      <c r="E429" s="277"/>
      <c r="F429" s="298" t="b">
        <v>0</v>
      </c>
      <c r="G429" s="278"/>
      <c r="H429" s="299" t="b">
        <v>0</v>
      </c>
      <c r="I429" s="277"/>
      <c r="J429" s="278"/>
      <c r="K429" s="277"/>
      <c r="L429" s="278"/>
      <c r="M429" s="277"/>
      <c r="N429" s="278"/>
      <c r="O429" s="277"/>
      <c r="P429" s="278"/>
      <c r="Q429" s="277"/>
      <c r="R429" s="278"/>
      <c r="S429" s="277"/>
      <c r="T429" s="278"/>
      <c r="U429" s="277"/>
      <c r="V429" s="278"/>
      <c r="W429" s="277"/>
      <c r="X429" s="278"/>
      <c r="Y429" s="277"/>
      <c r="Z429" s="278"/>
      <c r="AA429" s="277"/>
      <c r="AB429" s="278"/>
      <c r="AC429" s="277"/>
      <c r="AD429" s="278"/>
      <c r="AE429" s="277"/>
      <c r="AF429" s="278"/>
      <c r="AG429" s="277"/>
      <c r="AH429" s="278"/>
      <c r="AI429" s="277"/>
      <c r="AJ429" s="278"/>
      <c r="AK429" s="277"/>
      <c r="AL429" s="278"/>
      <c r="AM429" s="277"/>
      <c r="AN429" s="278"/>
      <c r="AO429" s="278"/>
      <c r="AP429" s="278"/>
      <c r="AQ429" s="278"/>
      <c r="AR429" s="278"/>
      <c r="AS429" s="278"/>
    </row>
    <row r="430" spans="1:45">
      <c r="A430" s="277"/>
      <c r="B430" s="298" t="b">
        <v>0</v>
      </c>
      <c r="C430" s="278"/>
      <c r="D430" s="299" t="b">
        <v>0</v>
      </c>
      <c r="E430" s="277"/>
      <c r="F430" s="298" t="b">
        <v>0</v>
      </c>
      <c r="G430" s="278"/>
      <c r="H430" s="299" t="b">
        <v>0</v>
      </c>
      <c r="I430" s="277"/>
      <c r="J430" s="278"/>
      <c r="K430" s="277"/>
      <c r="L430" s="278"/>
      <c r="M430" s="277"/>
      <c r="N430" s="278"/>
      <c r="O430" s="277"/>
      <c r="P430" s="278"/>
      <c r="Q430" s="277"/>
      <c r="R430" s="278"/>
      <c r="S430" s="277"/>
      <c r="T430" s="278"/>
      <c r="U430" s="277"/>
      <c r="V430" s="278"/>
      <c r="W430" s="277"/>
      <c r="X430" s="278"/>
      <c r="Y430" s="277"/>
      <c r="Z430" s="278"/>
      <c r="AA430" s="277"/>
      <c r="AB430" s="278"/>
      <c r="AC430" s="277"/>
      <c r="AD430" s="278"/>
      <c r="AE430" s="277"/>
      <c r="AF430" s="278"/>
      <c r="AG430" s="277"/>
      <c r="AH430" s="278"/>
      <c r="AI430" s="277"/>
      <c r="AJ430" s="278"/>
      <c r="AK430" s="277"/>
      <c r="AL430" s="278"/>
      <c r="AM430" s="277"/>
      <c r="AN430" s="278"/>
      <c r="AO430" s="278"/>
      <c r="AP430" s="278"/>
      <c r="AQ430" s="278"/>
      <c r="AR430" s="278"/>
      <c r="AS430" s="278"/>
    </row>
    <row r="431" spans="1:45">
      <c r="A431" s="277"/>
      <c r="B431" s="298" t="b">
        <v>0</v>
      </c>
      <c r="C431" s="278"/>
      <c r="D431" s="299" t="b">
        <v>0</v>
      </c>
      <c r="E431" s="277"/>
      <c r="F431" s="298" t="b">
        <v>0</v>
      </c>
      <c r="G431" s="278"/>
      <c r="H431" s="299" t="b">
        <v>0</v>
      </c>
      <c r="I431" s="277"/>
      <c r="J431" s="278"/>
      <c r="K431" s="277"/>
      <c r="L431" s="278"/>
      <c r="M431" s="277"/>
      <c r="N431" s="278"/>
      <c r="O431" s="277"/>
      <c r="P431" s="278"/>
      <c r="Q431" s="277"/>
      <c r="R431" s="278"/>
      <c r="S431" s="277"/>
      <c r="T431" s="278"/>
      <c r="U431" s="277"/>
      <c r="V431" s="278"/>
      <c r="W431" s="277"/>
      <c r="X431" s="278"/>
      <c r="Y431" s="277"/>
      <c r="Z431" s="278"/>
      <c r="AA431" s="277"/>
      <c r="AB431" s="278"/>
      <c r="AC431" s="277"/>
      <c r="AD431" s="278"/>
      <c r="AE431" s="277"/>
      <c r="AF431" s="278"/>
      <c r="AG431" s="277"/>
      <c r="AH431" s="278"/>
      <c r="AI431" s="277"/>
      <c r="AJ431" s="278"/>
      <c r="AK431" s="277"/>
      <c r="AL431" s="278"/>
      <c r="AM431" s="277"/>
      <c r="AN431" s="278"/>
      <c r="AO431" s="278"/>
      <c r="AP431" s="278"/>
      <c r="AQ431" s="278"/>
      <c r="AR431" s="278"/>
      <c r="AS431" s="278"/>
    </row>
    <row r="432" spans="1:45">
      <c r="A432" s="277"/>
      <c r="B432" s="298" t="b">
        <v>0</v>
      </c>
      <c r="C432" s="278"/>
      <c r="D432" s="299" t="b">
        <v>0</v>
      </c>
      <c r="E432" s="277"/>
      <c r="F432" s="298" t="b">
        <v>0</v>
      </c>
      <c r="G432" s="278"/>
      <c r="H432" s="299" t="b">
        <v>0</v>
      </c>
      <c r="I432" s="277"/>
      <c r="J432" s="278"/>
      <c r="K432" s="277"/>
      <c r="L432" s="278"/>
      <c r="M432" s="277"/>
      <c r="N432" s="278"/>
      <c r="O432" s="277"/>
      <c r="P432" s="278"/>
      <c r="Q432" s="277"/>
      <c r="R432" s="278"/>
      <c r="S432" s="277"/>
      <c r="T432" s="278"/>
      <c r="U432" s="277"/>
      <c r="V432" s="278"/>
      <c r="W432" s="277"/>
      <c r="X432" s="278"/>
      <c r="Y432" s="277"/>
      <c r="Z432" s="278"/>
      <c r="AA432" s="277"/>
      <c r="AB432" s="278"/>
      <c r="AC432" s="277"/>
      <c r="AD432" s="278"/>
      <c r="AE432" s="277"/>
      <c r="AF432" s="278"/>
      <c r="AG432" s="277"/>
      <c r="AH432" s="278"/>
      <c r="AI432" s="277"/>
      <c r="AJ432" s="278"/>
      <c r="AK432" s="277"/>
      <c r="AL432" s="278"/>
      <c r="AM432" s="277"/>
      <c r="AN432" s="278"/>
      <c r="AO432" s="278"/>
      <c r="AP432" s="278"/>
      <c r="AQ432" s="278"/>
      <c r="AR432" s="278"/>
      <c r="AS432" s="278"/>
    </row>
    <row r="433" spans="1:45">
      <c r="A433" s="277"/>
      <c r="B433" s="298" t="b">
        <v>0</v>
      </c>
      <c r="C433" s="278"/>
      <c r="D433" s="299" t="b">
        <v>0</v>
      </c>
      <c r="E433" s="277"/>
      <c r="F433" s="298" t="b">
        <v>0</v>
      </c>
      <c r="G433" s="278"/>
      <c r="H433" s="299" t="b">
        <v>0</v>
      </c>
      <c r="I433" s="277"/>
      <c r="J433" s="278"/>
      <c r="K433" s="277"/>
      <c r="L433" s="278"/>
      <c r="M433" s="277"/>
      <c r="N433" s="278"/>
      <c r="O433" s="277"/>
      <c r="P433" s="278"/>
      <c r="Q433" s="277"/>
      <c r="R433" s="278"/>
      <c r="S433" s="277"/>
      <c r="T433" s="278"/>
      <c r="U433" s="277"/>
      <c r="V433" s="278"/>
      <c r="W433" s="277"/>
      <c r="X433" s="278"/>
      <c r="Y433" s="277"/>
      <c r="Z433" s="278"/>
      <c r="AA433" s="277"/>
      <c r="AB433" s="278"/>
      <c r="AC433" s="277"/>
      <c r="AD433" s="278"/>
      <c r="AE433" s="277"/>
      <c r="AF433" s="278"/>
      <c r="AG433" s="277"/>
      <c r="AH433" s="278"/>
      <c r="AI433" s="277"/>
      <c r="AJ433" s="278"/>
      <c r="AK433" s="277"/>
      <c r="AL433" s="278"/>
      <c r="AM433" s="277"/>
      <c r="AN433" s="278"/>
      <c r="AO433" s="278"/>
      <c r="AP433" s="278"/>
      <c r="AQ433" s="278"/>
      <c r="AR433" s="278"/>
      <c r="AS433" s="278"/>
    </row>
    <row r="434" spans="1:45">
      <c r="A434" s="277"/>
      <c r="B434" s="298" t="b">
        <v>0</v>
      </c>
      <c r="C434" s="278"/>
      <c r="D434" s="299" t="b">
        <v>0</v>
      </c>
      <c r="E434" s="277"/>
      <c r="F434" s="298" t="b">
        <v>0</v>
      </c>
      <c r="G434" s="278"/>
      <c r="H434" s="299" t="b">
        <v>0</v>
      </c>
      <c r="I434" s="277"/>
      <c r="J434" s="278"/>
      <c r="K434" s="277"/>
      <c r="L434" s="278"/>
      <c r="M434" s="277"/>
      <c r="N434" s="278"/>
      <c r="O434" s="277"/>
      <c r="P434" s="278"/>
      <c r="Q434" s="277"/>
      <c r="R434" s="278"/>
      <c r="S434" s="277"/>
      <c r="T434" s="278"/>
      <c r="U434" s="277"/>
      <c r="V434" s="278"/>
      <c r="W434" s="277"/>
      <c r="X434" s="278"/>
      <c r="Y434" s="277"/>
      <c r="Z434" s="278"/>
      <c r="AA434" s="277"/>
      <c r="AB434" s="278"/>
      <c r="AC434" s="277"/>
      <c r="AD434" s="278"/>
      <c r="AE434" s="277"/>
      <c r="AF434" s="278"/>
      <c r="AG434" s="277"/>
      <c r="AH434" s="278"/>
      <c r="AI434" s="277"/>
      <c r="AJ434" s="278"/>
      <c r="AK434" s="277"/>
      <c r="AL434" s="278"/>
      <c r="AM434" s="277"/>
      <c r="AN434" s="278"/>
      <c r="AO434" s="278"/>
      <c r="AP434" s="278"/>
      <c r="AQ434" s="278"/>
      <c r="AR434" s="278"/>
      <c r="AS434" s="278"/>
    </row>
    <row r="435" spans="1:45">
      <c r="A435" s="277"/>
      <c r="B435" s="298" t="b">
        <v>0</v>
      </c>
      <c r="C435" s="278"/>
      <c r="D435" s="299" t="b">
        <v>0</v>
      </c>
      <c r="E435" s="277"/>
      <c r="F435" s="298" t="b">
        <v>0</v>
      </c>
      <c r="G435" s="278"/>
      <c r="H435" s="299" t="b">
        <v>0</v>
      </c>
      <c r="I435" s="277"/>
      <c r="J435" s="278"/>
      <c r="K435" s="277"/>
      <c r="L435" s="278"/>
      <c r="M435" s="277"/>
      <c r="N435" s="278"/>
      <c r="O435" s="277"/>
      <c r="P435" s="278"/>
      <c r="Q435" s="277"/>
      <c r="R435" s="278"/>
      <c r="S435" s="277"/>
      <c r="T435" s="278"/>
      <c r="U435" s="277"/>
      <c r="V435" s="278"/>
      <c r="W435" s="277"/>
      <c r="X435" s="278"/>
      <c r="Y435" s="277"/>
      <c r="Z435" s="278"/>
      <c r="AA435" s="277"/>
      <c r="AB435" s="278"/>
      <c r="AC435" s="277"/>
      <c r="AD435" s="278"/>
      <c r="AE435" s="277"/>
      <c r="AF435" s="278"/>
      <c r="AG435" s="277"/>
      <c r="AH435" s="278"/>
      <c r="AI435" s="277"/>
      <c r="AJ435" s="278"/>
      <c r="AK435" s="277"/>
      <c r="AL435" s="278"/>
      <c r="AM435" s="277"/>
      <c r="AN435" s="278"/>
      <c r="AO435" s="278"/>
      <c r="AP435" s="278"/>
      <c r="AQ435" s="278"/>
      <c r="AR435" s="278"/>
      <c r="AS435" s="278"/>
    </row>
    <row r="436" spans="1:45">
      <c r="A436" s="277"/>
      <c r="B436" s="298" t="b">
        <v>0</v>
      </c>
      <c r="C436" s="278"/>
      <c r="D436" s="299" t="b">
        <v>0</v>
      </c>
      <c r="E436" s="277"/>
      <c r="F436" s="298" t="b">
        <v>0</v>
      </c>
      <c r="G436" s="278"/>
      <c r="H436" s="299" t="b">
        <v>0</v>
      </c>
      <c r="I436" s="277"/>
      <c r="J436" s="278"/>
      <c r="K436" s="277"/>
      <c r="L436" s="278"/>
      <c r="M436" s="277"/>
      <c r="N436" s="278"/>
      <c r="O436" s="277"/>
      <c r="P436" s="278"/>
      <c r="Q436" s="277"/>
      <c r="R436" s="278"/>
      <c r="S436" s="277"/>
      <c r="T436" s="278"/>
      <c r="U436" s="277"/>
      <c r="V436" s="278"/>
      <c r="W436" s="277"/>
      <c r="X436" s="278"/>
      <c r="Y436" s="277"/>
      <c r="Z436" s="278"/>
      <c r="AA436" s="277"/>
      <c r="AB436" s="278"/>
      <c r="AC436" s="277"/>
      <c r="AD436" s="278"/>
      <c r="AE436" s="277"/>
      <c r="AF436" s="278"/>
      <c r="AG436" s="277"/>
      <c r="AH436" s="278"/>
      <c r="AI436" s="277"/>
      <c r="AJ436" s="278"/>
      <c r="AK436" s="277"/>
      <c r="AL436" s="278"/>
      <c r="AM436" s="277"/>
      <c r="AN436" s="278"/>
      <c r="AO436" s="278"/>
      <c r="AP436" s="278"/>
      <c r="AQ436" s="278"/>
      <c r="AR436" s="278"/>
      <c r="AS436" s="278"/>
    </row>
    <row r="437" spans="1:45">
      <c r="A437" s="277"/>
      <c r="B437" s="298" t="b">
        <v>0</v>
      </c>
      <c r="C437" s="278"/>
      <c r="D437" s="299" t="b">
        <v>0</v>
      </c>
      <c r="E437" s="277"/>
      <c r="F437" s="298" t="b">
        <v>0</v>
      </c>
      <c r="G437" s="278"/>
      <c r="H437" s="299" t="b">
        <v>0</v>
      </c>
      <c r="I437" s="277"/>
      <c r="J437" s="278"/>
      <c r="K437" s="277"/>
      <c r="L437" s="278"/>
      <c r="M437" s="277"/>
      <c r="N437" s="278"/>
      <c r="O437" s="277"/>
      <c r="P437" s="278"/>
      <c r="Q437" s="277"/>
      <c r="R437" s="278"/>
      <c r="S437" s="277"/>
      <c r="T437" s="278"/>
      <c r="U437" s="277"/>
      <c r="V437" s="278"/>
      <c r="W437" s="277"/>
      <c r="X437" s="278"/>
      <c r="Y437" s="277"/>
      <c r="Z437" s="278"/>
      <c r="AA437" s="277"/>
      <c r="AB437" s="278"/>
      <c r="AC437" s="277"/>
      <c r="AD437" s="278"/>
      <c r="AE437" s="277"/>
      <c r="AF437" s="278"/>
      <c r="AG437" s="277"/>
      <c r="AH437" s="278"/>
      <c r="AI437" s="277"/>
      <c r="AJ437" s="278"/>
      <c r="AK437" s="277"/>
      <c r="AL437" s="278"/>
      <c r="AM437" s="277"/>
      <c r="AN437" s="278"/>
      <c r="AO437" s="278"/>
      <c r="AP437" s="278"/>
      <c r="AQ437" s="278"/>
      <c r="AR437" s="278"/>
      <c r="AS437" s="278"/>
    </row>
    <row r="438" spans="1:45">
      <c r="A438" s="277"/>
      <c r="B438" s="298" t="b">
        <v>0</v>
      </c>
      <c r="C438" s="278"/>
      <c r="D438" s="299" t="b">
        <v>0</v>
      </c>
      <c r="E438" s="277"/>
      <c r="F438" s="298" t="b">
        <v>0</v>
      </c>
      <c r="G438" s="278"/>
      <c r="H438" s="299" t="b">
        <v>0</v>
      </c>
      <c r="I438" s="277"/>
      <c r="J438" s="278"/>
      <c r="K438" s="277"/>
      <c r="L438" s="278"/>
      <c r="M438" s="277"/>
      <c r="N438" s="278"/>
      <c r="O438" s="277"/>
      <c r="P438" s="278"/>
      <c r="Q438" s="277"/>
      <c r="R438" s="278"/>
      <c r="S438" s="277"/>
      <c r="T438" s="278"/>
      <c r="U438" s="277"/>
      <c r="V438" s="278"/>
      <c r="W438" s="277"/>
      <c r="X438" s="278"/>
      <c r="Y438" s="277"/>
      <c r="Z438" s="278"/>
      <c r="AA438" s="277"/>
      <c r="AB438" s="278"/>
      <c r="AC438" s="277"/>
      <c r="AD438" s="278"/>
      <c r="AE438" s="277"/>
      <c r="AF438" s="278"/>
      <c r="AG438" s="277"/>
      <c r="AH438" s="278"/>
      <c r="AI438" s="277"/>
      <c r="AJ438" s="278"/>
      <c r="AK438" s="277"/>
      <c r="AL438" s="278"/>
      <c r="AM438" s="277"/>
      <c r="AN438" s="278"/>
      <c r="AO438" s="278"/>
      <c r="AP438" s="278"/>
      <c r="AQ438" s="278"/>
      <c r="AR438" s="278"/>
      <c r="AS438" s="278"/>
    </row>
    <row r="439" spans="1:45">
      <c r="A439" s="277"/>
      <c r="B439" s="298" t="b">
        <v>0</v>
      </c>
      <c r="C439" s="278"/>
      <c r="D439" s="299" t="b">
        <v>0</v>
      </c>
      <c r="E439" s="277"/>
      <c r="F439" s="298" t="b">
        <v>0</v>
      </c>
      <c r="G439" s="278"/>
      <c r="H439" s="299" t="b">
        <v>0</v>
      </c>
      <c r="I439" s="277"/>
      <c r="J439" s="278"/>
      <c r="K439" s="277"/>
      <c r="L439" s="278"/>
      <c r="M439" s="277"/>
      <c r="N439" s="278"/>
      <c r="O439" s="277"/>
      <c r="P439" s="278"/>
      <c r="Q439" s="277"/>
      <c r="R439" s="278"/>
      <c r="S439" s="277"/>
      <c r="T439" s="278"/>
      <c r="U439" s="277"/>
      <c r="V439" s="278"/>
      <c r="W439" s="277"/>
      <c r="X439" s="278"/>
      <c r="Y439" s="277"/>
      <c r="Z439" s="278"/>
      <c r="AA439" s="277"/>
      <c r="AB439" s="278"/>
      <c r="AC439" s="277"/>
      <c r="AD439" s="278"/>
      <c r="AE439" s="277"/>
      <c r="AF439" s="278"/>
      <c r="AG439" s="277"/>
      <c r="AH439" s="278"/>
      <c r="AI439" s="277"/>
      <c r="AJ439" s="278"/>
      <c r="AK439" s="277"/>
      <c r="AL439" s="278"/>
      <c r="AM439" s="277"/>
      <c r="AN439" s="278"/>
      <c r="AO439" s="278"/>
      <c r="AP439" s="278"/>
      <c r="AQ439" s="278"/>
      <c r="AR439" s="278"/>
      <c r="AS439" s="278"/>
    </row>
    <row r="440" spans="1:45">
      <c r="A440" s="277"/>
      <c r="B440" s="298" t="b">
        <v>0</v>
      </c>
      <c r="C440" s="278"/>
      <c r="D440" s="299" t="b">
        <v>0</v>
      </c>
      <c r="E440" s="277"/>
      <c r="F440" s="298" t="b">
        <v>0</v>
      </c>
      <c r="G440" s="278"/>
      <c r="H440" s="299" t="b">
        <v>0</v>
      </c>
      <c r="I440" s="277"/>
      <c r="J440" s="278"/>
      <c r="K440" s="277"/>
      <c r="L440" s="278"/>
      <c r="M440" s="277"/>
      <c r="N440" s="278"/>
      <c r="O440" s="277"/>
      <c r="P440" s="278"/>
      <c r="Q440" s="277"/>
      <c r="R440" s="278"/>
      <c r="S440" s="277"/>
      <c r="T440" s="278"/>
      <c r="U440" s="277"/>
      <c r="V440" s="278"/>
      <c r="W440" s="277"/>
      <c r="X440" s="278"/>
      <c r="Y440" s="277"/>
      <c r="Z440" s="278"/>
      <c r="AA440" s="277"/>
      <c r="AB440" s="278"/>
      <c r="AC440" s="277"/>
      <c r="AD440" s="278"/>
      <c r="AE440" s="277"/>
      <c r="AF440" s="278"/>
      <c r="AG440" s="277"/>
      <c r="AH440" s="278"/>
      <c r="AI440" s="277"/>
      <c r="AJ440" s="278"/>
      <c r="AK440" s="277"/>
      <c r="AL440" s="278"/>
      <c r="AM440" s="277"/>
      <c r="AN440" s="278"/>
      <c r="AO440" s="278"/>
      <c r="AP440" s="278"/>
      <c r="AQ440" s="278"/>
      <c r="AR440" s="278"/>
      <c r="AS440" s="278"/>
    </row>
    <row r="441" spans="1:45">
      <c r="A441" s="277"/>
      <c r="B441" s="298" t="b">
        <v>0</v>
      </c>
      <c r="C441" s="278"/>
      <c r="D441" s="299" t="b">
        <v>0</v>
      </c>
      <c r="E441" s="277"/>
      <c r="F441" s="298" t="b">
        <v>0</v>
      </c>
      <c r="G441" s="278"/>
      <c r="H441" s="299" t="b">
        <v>0</v>
      </c>
      <c r="I441" s="277"/>
      <c r="J441" s="278"/>
      <c r="K441" s="277"/>
      <c r="L441" s="278"/>
      <c r="M441" s="277"/>
      <c r="N441" s="278"/>
      <c r="O441" s="277"/>
      <c r="P441" s="278"/>
      <c r="Q441" s="277"/>
      <c r="R441" s="278"/>
      <c r="S441" s="277"/>
      <c r="T441" s="278"/>
      <c r="U441" s="277"/>
      <c r="V441" s="278"/>
      <c r="W441" s="277"/>
      <c r="X441" s="278"/>
      <c r="Y441" s="277"/>
      <c r="Z441" s="278"/>
      <c r="AA441" s="277"/>
      <c r="AB441" s="278"/>
      <c r="AC441" s="277"/>
      <c r="AD441" s="278"/>
      <c r="AE441" s="277"/>
      <c r="AF441" s="278"/>
      <c r="AG441" s="277"/>
      <c r="AH441" s="278"/>
      <c r="AI441" s="277"/>
      <c r="AJ441" s="278"/>
      <c r="AK441" s="277"/>
      <c r="AL441" s="278"/>
      <c r="AM441" s="277"/>
      <c r="AN441" s="278"/>
      <c r="AO441" s="278"/>
      <c r="AP441" s="278"/>
      <c r="AQ441" s="278"/>
      <c r="AR441" s="278"/>
      <c r="AS441" s="278"/>
    </row>
    <row r="442" spans="1:45">
      <c r="A442" s="277"/>
      <c r="B442" s="298" t="b">
        <v>0</v>
      </c>
      <c r="C442" s="278"/>
      <c r="D442" s="299" t="b">
        <v>0</v>
      </c>
      <c r="E442" s="277"/>
      <c r="F442" s="298" t="b">
        <v>0</v>
      </c>
      <c r="G442" s="278"/>
      <c r="H442" s="299" t="b">
        <v>0</v>
      </c>
      <c r="I442" s="277"/>
      <c r="J442" s="278"/>
      <c r="K442" s="277"/>
      <c r="L442" s="278"/>
      <c r="M442" s="277"/>
      <c r="N442" s="278"/>
      <c r="O442" s="277"/>
      <c r="P442" s="278"/>
      <c r="Q442" s="277"/>
      <c r="R442" s="278"/>
      <c r="S442" s="277"/>
      <c r="T442" s="278"/>
      <c r="U442" s="277"/>
      <c r="V442" s="278"/>
      <c r="W442" s="277"/>
      <c r="X442" s="278"/>
      <c r="Y442" s="277"/>
      <c r="Z442" s="278"/>
      <c r="AA442" s="277"/>
      <c r="AB442" s="278"/>
      <c r="AC442" s="277"/>
      <c r="AD442" s="278"/>
      <c r="AE442" s="277"/>
      <c r="AF442" s="278"/>
      <c r="AG442" s="277"/>
      <c r="AH442" s="278"/>
      <c r="AI442" s="277"/>
      <c r="AJ442" s="278"/>
      <c r="AK442" s="277"/>
      <c r="AL442" s="278"/>
      <c r="AM442" s="277"/>
      <c r="AN442" s="278"/>
      <c r="AO442" s="278"/>
      <c r="AP442" s="278"/>
      <c r="AQ442" s="278"/>
      <c r="AR442" s="278"/>
      <c r="AS442" s="278"/>
    </row>
    <row r="443" spans="1:45">
      <c r="A443" s="277"/>
      <c r="B443" s="298" t="b">
        <v>0</v>
      </c>
      <c r="C443" s="278"/>
      <c r="D443" s="299" t="b">
        <v>0</v>
      </c>
      <c r="E443" s="277"/>
      <c r="F443" s="298" t="b">
        <v>0</v>
      </c>
      <c r="G443" s="278"/>
      <c r="H443" s="299" t="b">
        <v>0</v>
      </c>
      <c r="I443" s="277"/>
      <c r="J443" s="278"/>
      <c r="K443" s="277"/>
      <c r="L443" s="278"/>
      <c r="M443" s="277"/>
      <c r="N443" s="278"/>
      <c r="O443" s="277"/>
      <c r="P443" s="278"/>
      <c r="Q443" s="277"/>
      <c r="R443" s="278"/>
      <c r="S443" s="277"/>
      <c r="T443" s="278"/>
      <c r="U443" s="277"/>
      <c r="V443" s="278"/>
      <c r="W443" s="277"/>
      <c r="X443" s="278"/>
      <c r="Y443" s="277"/>
      <c r="Z443" s="278"/>
      <c r="AA443" s="277"/>
      <c r="AB443" s="278"/>
      <c r="AC443" s="277"/>
      <c r="AD443" s="278"/>
      <c r="AE443" s="277"/>
      <c r="AF443" s="278"/>
      <c r="AG443" s="277"/>
      <c r="AH443" s="278"/>
      <c r="AI443" s="277"/>
      <c r="AJ443" s="278"/>
      <c r="AK443" s="277"/>
      <c r="AL443" s="278"/>
      <c r="AM443" s="277"/>
      <c r="AN443" s="278"/>
      <c r="AO443" s="278"/>
      <c r="AP443" s="278"/>
      <c r="AQ443" s="278"/>
      <c r="AR443" s="278"/>
      <c r="AS443" s="278"/>
    </row>
    <row r="444" spans="1:45">
      <c r="A444" s="277"/>
      <c r="B444" s="298" t="b">
        <v>0</v>
      </c>
      <c r="C444" s="278"/>
      <c r="D444" s="299" t="b">
        <v>0</v>
      </c>
      <c r="E444" s="277"/>
      <c r="F444" s="298" t="b">
        <v>0</v>
      </c>
      <c r="G444" s="278"/>
      <c r="H444" s="299" t="b">
        <v>0</v>
      </c>
      <c r="I444" s="277"/>
      <c r="J444" s="278"/>
      <c r="K444" s="277"/>
      <c r="L444" s="278"/>
      <c r="M444" s="277"/>
      <c r="N444" s="278"/>
      <c r="O444" s="277"/>
      <c r="P444" s="278"/>
      <c r="Q444" s="277"/>
      <c r="R444" s="278"/>
      <c r="S444" s="277"/>
      <c r="T444" s="278"/>
      <c r="U444" s="277"/>
      <c r="V444" s="278"/>
      <c r="W444" s="277"/>
      <c r="X444" s="278"/>
      <c r="Y444" s="277"/>
      <c r="Z444" s="278"/>
      <c r="AA444" s="277"/>
      <c r="AB444" s="278"/>
      <c r="AC444" s="277"/>
      <c r="AD444" s="278"/>
      <c r="AE444" s="277"/>
      <c r="AF444" s="278"/>
      <c r="AG444" s="277"/>
      <c r="AH444" s="278"/>
      <c r="AI444" s="277"/>
      <c r="AJ444" s="278"/>
      <c r="AK444" s="277"/>
      <c r="AL444" s="278"/>
      <c r="AM444" s="277"/>
      <c r="AN444" s="278"/>
      <c r="AO444" s="278"/>
      <c r="AP444" s="278"/>
      <c r="AQ444" s="278"/>
      <c r="AR444" s="278"/>
      <c r="AS444" s="278"/>
    </row>
    <row r="445" spans="1:45">
      <c r="A445" s="277"/>
      <c r="B445" s="298" t="b">
        <v>0</v>
      </c>
      <c r="C445" s="278"/>
      <c r="D445" s="299" t="b">
        <v>0</v>
      </c>
      <c r="E445" s="277"/>
      <c r="F445" s="298" t="b">
        <v>0</v>
      </c>
      <c r="G445" s="278"/>
      <c r="H445" s="299" t="b">
        <v>0</v>
      </c>
      <c r="I445" s="277"/>
      <c r="J445" s="278"/>
      <c r="K445" s="277"/>
      <c r="L445" s="278"/>
      <c r="M445" s="277"/>
      <c r="N445" s="278"/>
      <c r="O445" s="277"/>
      <c r="P445" s="278"/>
      <c r="Q445" s="277"/>
      <c r="R445" s="278"/>
      <c r="S445" s="277"/>
      <c r="T445" s="278"/>
      <c r="U445" s="277"/>
      <c r="V445" s="278"/>
      <c r="W445" s="277"/>
      <c r="X445" s="278"/>
      <c r="Y445" s="277"/>
      <c r="Z445" s="278"/>
      <c r="AA445" s="277"/>
      <c r="AB445" s="278"/>
      <c r="AC445" s="277"/>
      <c r="AD445" s="278"/>
      <c r="AE445" s="277"/>
      <c r="AF445" s="278"/>
      <c r="AG445" s="277"/>
      <c r="AH445" s="278"/>
      <c r="AI445" s="277"/>
      <c r="AJ445" s="278"/>
      <c r="AK445" s="277"/>
      <c r="AL445" s="278"/>
      <c r="AM445" s="277"/>
      <c r="AN445" s="278"/>
      <c r="AO445" s="278"/>
      <c r="AP445" s="278"/>
      <c r="AQ445" s="278"/>
      <c r="AR445" s="278"/>
      <c r="AS445" s="278"/>
    </row>
    <row r="446" spans="1:45">
      <c r="A446" s="277"/>
      <c r="B446" s="298" t="b">
        <v>0</v>
      </c>
      <c r="C446" s="278"/>
      <c r="D446" s="299" t="b">
        <v>0</v>
      </c>
      <c r="E446" s="277"/>
      <c r="F446" s="298" t="b">
        <v>0</v>
      </c>
      <c r="G446" s="278"/>
      <c r="H446" s="299" t="b">
        <v>0</v>
      </c>
      <c r="I446" s="277"/>
      <c r="J446" s="278"/>
      <c r="K446" s="277"/>
      <c r="L446" s="278"/>
      <c r="M446" s="277"/>
      <c r="N446" s="278"/>
      <c r="O446" s="277"/>
      <c r="P446" s="278"/>
      <c r="Q446" s="277"/>
      <c r="R446" s="278"/>
      <c r="S446" s="277"/>
      <c r="T446" s="278"/>
      <c r="U446" s="277"/>
      <c r="V446" s="278"/>
      <c r="W446" s="277"/>
      <c r="X446" s="278"/>
      <c r="Y446" s="277"/>
      <c r="Z446" s="278"/>
      <c r="AA446" s="277"/>
      <c r="AB446" s="278"/>
      <c r="AC446" s="277"/>
      <c r="AD446" s="278"/>
      <c r="AE446" s="277"/>
      <c r="AF446" s="278"/>
      <c r="AG446" s="277"/>
      <c r="AH446" s="278"/>
      <c r="AI446" s="277"/>
      <c r="AJ446" s="278"/>
      <c r="AK446" s="277"/>
      <c r="AL446" s="278"/>
      <c r="AM446" s="277"/>
      <c r="AN446" s="278"/>
      <c r="AO446" s="278"/>
      <c r="AP446" s="278"/>
      <c r="AQ446" s="278"/>
      <c r="AR446" s="278"/>
      <c r="AS446" s="278"/>
    </row>
    <row r="447" spans="1:45">
      <c r="A447" s="277"/>
      <c r="B447" s="298" t="b">
        <v>0</v>
      </c>
      <c r="C447" s="278"/>
      <c r="D447" s="299" t="b">
        <v>0</v>
      </c>
      <c r="E447" s="277"/>
      <c r="F447" s="298" t="b">
        <v>0</v>
      </c>
      <c r="G447" s="278"/>
      <c r="H447" s="299" t="b">
        <v>0</v>
      </c>
      <c r="I447" s="277"/>
      <c r="J447" s="278"/>
      <c r="K447" s="277"/>
      <c r="L447" s="278"/>
      <c r="M447" s="277"/>
      <c r="N447" s="278"/>
      <c r="O447" s="277"/>
      <c r="P447" s="278"/>
      <c r="Q447" s="277"/>
      <c r="R447" s="278"/>
      <c r="S447" s="277"/>
      <c r="T447" s="278"/>
      <c r="U447" s="277"/>
      <c r="V447" s="278"/>
      <c r="W447" s="277"/>
      <c r="X447" s="278"/>
      <c r="Y447" s="277"/>
      <c r="Z447" s="278"/>
      <c r="AA447" s="277"/>
      <c r="AB447" s="278"/>
      <c r="AC447" s="277"/>
      <c r="AD447" s="278"/>
      <c r="AE447" s="277"/>
      <c r="AF447" s="278"/>
      <c r="AG447" s="277"/>
      <c r="AH447" s="278"/>
      <c r="AI447" s="277"/>
      <c r="AJ447" s="278"/>
      <c r="AK447" s="277"/>
      <c r="AL447" s="278"/>
      <c r="AM447" s="277"/>
      <c r="AN447" s="278"/>
      <c r="AO447" s="278"/>
      <c r="AP447" s="278"/>
      <c r="AQ447" s="278"/>
      <c r="AR447" s="278"/>
      <c r="AS447" s="278"/>
    </row>
    <row r="448" spans="1:45">
      <c r="A448" s="277"/>
      <c r="B448" s="298" t="b">
        <v>0</v>
      </c>
      <c r="C448" s="278"/>
      <c r="D448" s="299" t="b">
        <v>0</v>
      </c>
      <c r="E448" s="277"/>
      <c r="F448" s="298" t="b">
        <v>0</v>
      </c>
      <c r="G448" s="278"/>
      <c r="H448" s="299" t="b">
        <v>0</v>
      </c>
      <c r="I448" s="277"/>
      <c r="J448" s="278"/>
      <c r="K448" s="277"/>
      <c r="L448" s="278"/>
      <c r="M448" s="277"/>
      <c r="N448" s="278"/>
      <c r="O448" s="277"/>
      <c r="P448" s="278"/>
      <c r="Q448" s="277"/>
      <c r="R448" s="278"/>
      <c r="S448" s="277"/>
      <c r="T448" s="278"/>
      <c r="U448" s="277"/>
      <c r="V448" s="278"/>
      <c r="W448" s="277"/>
      <c r="X448" s="278"/>
      <c r="Y448" s="277"/>
      <c r="Z448" s="278"/>
      <c r="AA448" s="277"/>
      <c r="AB448" s="278"/>
      <c r="AC448" s="277"/>
      <c r="AD448" s="278"/>
      <c r="AE448" s="277"/>
      <c r="AF448" s="278"/>
      <c r="AG448" s="277"/>
      <c r="AH448" s="278"/>
      <c r="AI448" s="277"/>
      <c r="AJ448" s="278"/>
      <c r="AK448" s="277"/>
      <c r="AL448" s="278"/>
      <c r="AM448" s="277"/>
      <c r="AN448" s="278"/>
      <c r="AO448" s="278"/>
      <c r="AP448" s="278"/>
      <c r="AQ448" s="278"/>
      <c r="AR448" s="278"/>
      <c r="AS448" s="278"/>
    </row>
    <row r="449" spans="1:45">
      <c r="A449" s="277"/>
      <c r="B449" s="298" t="b">
        <v>0</v>
      </c>
      <c r="C449" s="278"/>
      <c r="D449" s="299" t="b">
        <v>0</v>
      </c>
      <c r="E449" s="277"/>
      <c r="F449" s="298" t="b">
        <v>0</v>
      </c>
      <c r="G449" s="278"/>
      <c r="H449" s="299" t="b">
        <v>0</v>
      </c>
      <c r="I449" s="277"/>
      <c r="J449" s="278"/>
      <c r="K449" s="277"/>
      <c r="L449" s="278"/>
      <c r="M449" s="277"/>
      <c r="N449" s="278"/>
      <c r="O449" s="277"/>
      <c r="P449" s="278"/>
      <c r="Q449" s="277"/>
      <c r="R449" s="278"/>
      <c r="S449" s="277"/>
      <c r="T449" s="278"/>
      <c r="U449" s="277"/>
      <c r="V449" s="278"/>
      <c r="W449" s="277"/>
      <c r="X449" s="278"/>
      <c r="Y449" s="277"/>
      <c r="Z449" s="278"/>
      <c r="AA449" s="277"/>
      <c r="AB449" s="278"/>
      <c r="AC449" s="277"/>
      <c r="AD449" s="278"/>
      <c r="AE449" s="277"/>
      <c r="AF449" s="278"/>
      <c r="AG449" s="277"/>
      <c r="AH449" s="278"/>
      <c r="AI449" s="277"/>
      <c r="AJ449" s="278"/>
      <c r="AK449" s="277"/>
      <c r="AL449" s="278"/>
      <c r="AM449" s="277"/>
      <c r="AN449" s="278"/>
      <c r="AO449" s="278"/>
      <c r="AP449" s="278"/>
      <c r="AQ449" s="278"/>
      <c r="AR449" s="278"/>
      <c r="AS449" s="278"/>
    </row>
    <row r="450" spans="1:45">
      <c r="A450" s="277"/>
      <c r="B450" s="298" t="b">
        <v>0</v>
      </c>
      <c r="C450" s="278"/>
      <c r="D450" s="299" t="b">
        <v>0</v>
      </c>
      <c r="E450" s="277"/>
      <c r="F450" s="298" t="b">
        <v>0</v>
      </c>
      <c r="G450" s="278"/>
      <c r="H450" s="299" t="b">
        <v>0</v>
      </c>
      <c r="I450" s="277"/>
      <c r="J450" s="278"/>
      <c r="K450" s="277"/>
      <c r="L450" s="278"/>
      <c r="M450" s="277"/>
      <c r="N450" s="278"/>
      <c r="O450" s="277"/>
      <c r="P450" s="278"/>
      <c r="Q450" s="277"/>
      <c r="R450" s="278"/>
      <c r="S450" s="277"/>
      <c r="T450" s="278"/>
      <c r="U450" s="277"/>
      <c r="V450" s="278"/>
      <c r="W450" s="277"/>
      <c r="X450" s="278"/>
      <c r="Y450" s="277"/>
      <c r="Z450" s="278"/>
      <c r="AA450" s="277"/>
      <c r="AB450" s="278"/>
      <c r="AC450" s="277"/>
      <c r="AD450" s="278"/>
      <c r="AE450" s="277"/>
      <c r="AF450" s="278"/>
      <c r="AG450" s="277"/>
      <c r="AH450" s="278"/>
      <c r="AI450" s="277"/>
      <c r="AJ450" s="278"/>
      <c r="AK450" s="277"/>
      <c r="AL450" s="278"/>
      <c r="AM450" s="277"/>
      <c r="AN450" s="278"/>
      <c r="AO450" s="278"/>
      <c r="AP450" s="278"/>
      <c r="AQ450" s="278"/>
      <c r="AR450" s="278"/>
      <c r="AS450" s="278"/>
    </row>
    <row r="451" spans="1:45">
      <c r="A451" s="277"/>
      <c r="B451" s="298" t="b">
        <v>0</v>
      </c>
      <c r="C451" s="278"/>
      <c r="D451" s="299" t="b">
        <v>0</v>
      </c>
      <c r="E451" s="277"/>
      <c r="F451" s="298" t="b">
        <v>0</v>
      </c>
      <c r="G451" s="278"/>
      <c r="H451" s="299" t="b">
        <v>0</v>
      </c>
      <c r="I451" s="277"/>
      <c r="J451" s="278"/>
      <c r="K451" s="277"/>
      <c r="L451" s="278"/>
      <c r="M451" s="277"/>
      <c r="N451" s="278"/>
      <c r="O451" s="277"/>
      <c r="P451" s="278"/>
      <c r="Q451" s="277"/>
      <c r="R451" s="278"/>
      <c r="S451" s="277"/>
      <c r="T451" s="278"/>
      <c r="U451" s="277"/>
      <c r="V451" s="278"/>
      <c r="W451" s="277"/>
      <c r="X451" s="278"/>
      <c r="Y451" s="277"/>
      <c r="Z451" s="278"/>
      <c r="AA451" s="277"/>
      <c r="AB451" s="278"/>
      <c r="AC451" s="277"/>
      <c r="AD451" s="278"/>
      <c r="AE451" s="277"/>
      <c r="AF451" s="278"/>
      <c r="AG451" s="277"/>
      <c r="AH451" s="278"/>
      <c r="AI451" s="277"/>
      <c r="AJ451" s="278"/>
      <c r="AK451" s="277"/>
      <c r="AL451" s="278"/>
      <c r="AM451" s="277"/>
      <c r="AN451" s="278"/>
      <c r="AO451" s="278"/>
      <c r="AP451" s="278"/>
      <c r="AQ451" s="278"/>
      <c r="AR451" s="278"/>
      <c r="AS451" s="278"/>
    </row>
    <row r="452" spans="1:45">
      <c r="A452" s="277"/>
      <c r="B452" s="298" t="b">
        <v>0</v>
      </c>
      <c r="C452" s="278"/>
      <c r="D452" s="299" t="b">
        <v>0</v>
      </c>
      <c r="E452" s="277"/>
      <c r="F452" s="298" t="b">
        <v>0</v>
      </c>
      <c r="G452" s="278"/>
      <c r="H452" s="299" t="b">
        <v>0</v>
      </c>
      <c r="I452" s="277"/>
      <c r="J452" s="278"/>
      <c r="K452" s="277"/>
      <c r="L452" s="278"/>
      <c r="M452" s="277"/>
      <c r="N452" s="278"/>
      <c r="O452" s="277"/>
      <c r="P452" s="278"/>
      <c r="Q452" s="277"/>
      <c r="R452" s="278"/>
      <c r="S452" s="277"/>
      <c r="T452" s="278"/>
      <c r="U452" s="277"/>
      <c r="V452" s="278"/>
      <c r="W452" s="277"/>
      <c r="X452" s="278"/>
      <c r="Y452" s="277"/>
      <c r="Z452" s="278"/>
      <c r="AA452" s="277"/>
      <c r="AB452" s="278"/>
      <c r="AC452" s="277"/>
      <c r="AD452" s="278"/>
      <c r="AE452" s="277"/>
      <c r="AF452" s="278"/>
      <c r="AG452" s="277"/>
      <c r="AH452" s="278"/>
      <c r="AI452" s="277"/>
      <c r="AJ452" s="278"/>
      <c r="AK452" s="277"/>
      <c r="AL452" s="278"/>
      <c r="AM452" s="277"/>
      <c r="AN452" s="278"/>
      <c r="AO452" s="278"/>
      <c r="AP452" s="278"/>
      <c r="AQ452" s="278"/>
      <c r="AR452" s="278"/>
      <c r="AS452" s="278"/>
    </row>
    <row r="453" spans="1:45">
      <c r="A453" s="277"/>
      <c r="B453" s="298" t="b">
        <v>0</v>
      </c>
      <c r="C453" s="278"/>
      <c r="D453" s="299" t="b">
        <v>0</v>
      </c>
      <c r="E453" s="277"/>
      <c r="F453" s="298" t="b">
        <v>0</v>
      </c>
      <c r="G453" s="278"/>
      <c r="H453" s="299" t="b">
        <v>0</v>
      </c>
      <c r="I453" s="277"/>
      <c r="J453" s="278"/>
      <c r="K453" s="277"/>
      <c r="L453" s="278"/>
      <c r="M453" s="277"/>
      <c r="N453" s="278"/>
      <c r="O453" s="277"/>
      <c r="P453" s="278"/>
      <c r="Q453" s="277"/>
      <c r="R453" s="278"/>
      <c r="S453" s="277"/>
      <c r="T453" s="278"/>
      <c r="U453" s="277"/>
      <c r="V453" s="278"/>
      <c r="W453" s="277"/>
      <c r="X453" s="278"/>
      <c r="Y453" s="277"/>
      <c r="Z453" s="278"/>
      <c r="AA453" s="277"/>
      <c r="AB453" s="278"/>
      <c r="AC453" s="277"/>
      <c r="AD453" s="278"/>
      <c r="AE453" s="277"/>
      <c r="AF453" s="278"/>
      <c r="AG453" s="277"/>
      <c r="AH453" s="278"/>
      <c r="AI453" s="277"/>
      <c r="AJ453" s="278"/>
      <c r="AK453" s="277"/>
      <c r="AL453" s="278"/>
      <c r="AM453" s="277"/>
      <c r="AN453" s="278"/>
      <c r="AO453" s="278"/>
      <c r="AP453" s="278"/>
      <c r="AQ453" s="278"/>
      <c r="AR453" s="278"/>
      <c r="AS453" s="278"/>
    </row>
    <row r="454" spans="1:45">
      <c r="A454" s="277"/>
      <c r="B454" s="298" t="b">
        <v>0</v>
      </c>
      <c r="C454" s="278"/>
      <c r="D454" s="299" t="b">
        <v>0</v>
      </c>
      <c r="E454" s="277"/>
      <c r="F454" s="298" t="b">
        <v>0</v>
      </c>
      <c r="G454" s="278"/>
      <c r="H454" s="299" t="b">
        <v>0</v>
      </c>
      <c r="I454" s="277"/>
      <c r="J454" s="278"/>
      <c r="K454" s="277"/>
      <c r="L454" s="278"/>
      <c r="M454" s="277"/>
      <c r="N454" s="278"/>
      <c r="O454" s="277"/>
      <c r="P454" s="278"/>
      <c r="Q454" s="277"/>
      <c r="R454" s="278"/>
      <c r="S454" s="277"/>
      <c r="T454" s="278"/>
      <c r="U454" s="277"/>
      <c r="V454" s="278"/>
      <c r="W454" s="277"/>
      <c r="X454" s="278"/>
      <c r="Y454" s="277"/>
      <c r="Z454" s="278"/>
      <c r="AA454" s="277"/>
      <c r="AB454" s="278"/>
      <c r="AC454" s="277"/>
      <c r="AD454" s="278"/>
      <c r="AE454" s="277"/>
      <c r="AF454" s="278"/>
      <c r="AG454" s="277"/>
      <c r="AH454" s="278"/>
      <c r="AI454" s="277"/>
      <c r="AJ454" s="278"/>
      <c r="AK454" s="277"/>
      <c r="AL454" s="278"/>
      <c r="AM454" s="277"/>
      <c r="AN454" s="278"/>
      <c r="AO454" s="278"/>
      <c r="AP454" s="278"/>
      <c r="AQ454" s="278"/>
      <c r="AR454" s="278"/>
      <c r="AS454" s="278"/>
    </row>
    <row r="455" spans="1:45">
      <c r="A455" s="277"/>
      <c r="B455" s="298" t="b">
        <v>0</v>
      </c>
      <c r="C455" s="278"/>
      <c r="D455" s="299" t="b">
        <v>0</v>
      </c>
      <c r="E455" s="277"/>
      <c r="F455" s="298" t="b">
        <v>0</v>
      </c>
      <c r="G455" s="278"/>
      <c r="H455" s="299" t="b">
        <v>0</v>
      </c>
      <c r="I455" s="277"/>
      <c r="J455" s="278"/>
      <c r="K455" s="277"/>
      <c r="L455" s="278"/>
      <c r="M455" s="277"/>
      <c r="N455" s="278"/>
      <c r="O455" s="277"/>
      <c r="P455" s="278"/>
      <c r="Q455" s="277"/>
      <c r="R455" s="278"/>
      <c r="S455" s="277"/>
      <c r="T455" s="278"/>
      <c r="U455" s="277"/>
      <c r="V455" s="278"/>
      <c r="W455" s="277"/>
      <c r="X455" s="278"/>
      <c r="Y455" s="277"/>
      <c r="Z455" s="278"/>
      <c r="AA455" s="277"/>
      <c r="AB455" s="278"/>
      <c r="AC455" s="277"/>
      <c r="AD455" s="278"/>
      <c r="AE455" s="277"/>
      <c r="AF455" s="278"/>
      <c r="AG455" s="277"/>
      <c r="AH455" s="278"/>
      <c r="AI455" s="277"/>
      <c r="AJ455" s="278"/>
      <c r="AK455" s="277"/>
      <c r="AL455" s="278"/>
      <c r="AM455" s="277"/>
      <c r="AN455" s="278"/>
      <c r="AO455" s="278"/>
      <c r="AP455" s="278"/>
      <c r="AQ455" s="278"/>
      <c r="AR455" s="278"/>
      <c r="AS455" s="278"/>
    </row>
    <row r="456" spans="1:45">
      <c r="A456" s="277"/>
      <c r="B456" s="298" t="b">
        <v>0</v>
      </c>
      <c r="C456" s="278"/>
      <c r="D456" s="299" t="b">
        <v>0</v>
      </c>
      <c r="E456" s="277"/>
      <c r="F456" s="298" t="b">
        <v>0</v>
      </c>
      <c r="G456" s="278"/>
      <c r="H456" s="299" t="b">
        <v>0</v>
      </c>
      <c r="I456" s="277"/>
      <c r="J456" s="278"/>
      <c r="K456" s="277"/>
      <c r="L456" s="278"/>
      <c r="M456" s="277"/>
      <c r="N456" s="278"/>
      <c r="O456" s="277"/>
      <c r="P456" s="278"/>
      <c r="Q456" s="277"/>
      <c r="R456" s="278"/>
      <c r="S456" s="277"/>
      <c r="T456" s="278"/>
      <c r="U456" s="277"/>
      <c r="V456" s="278"/>
      <c r="W456" s="277"/>
      <c r="X456" s="278"/>
      <c r="Y456" s="277"/>
      <c r="Z456" s="278"/>
      <c r="AA456" s="277"/>
      <c r="AB456" s="278"/>
      <c r="AC456" s="277"/>
      <c r="AD456" s="278"/>
      <c r="AE456" s="277"/>
      <c r="AF456" s="278"/>
      <c r="AG456" s="277"/>
      <c r="AH456" s="278"/>
      <c r="AI456" s="277"/>
      <c r="AJ456" s="278"/>
      <c r="AK456" s="277"/>
      <c r="AL456" s="278"/>
      <c r="AM456" s="277"/>
      <c r="AN456" s="278"/>
      <c r="AO456" s="278"/>
      <c r="AP456" s="278"/>
      <c r="AQ456" s="278"/>
      <c r="AR456" s="278"/>
      <c r="AS456" s="278"/>
    </row>
    <row r="457" spans="1:45">
      <c r="A457" s="277"/>
      <c r="B457" s="298" t="b">
        <v>0</v>
      </c>
      <c r="C457" s="278"/>
      <c r="D457" s="299" t="b">
        <v>0</v>
      </c>
      <c r="E457" s="277"/>
      <c r="F457" s="298" t="b">
        <v>0</v>
      </c>
      <c r="G457" s="278"/>
      <c r="H457" s="299" t="b">
        <v>0</v>
      </c>
      <c r="I457" s="277"/>
      <c r="J457" s="278"/>
      <c r="K457" s="277"/>
      <c r="L457" s="278"/>
      <c r="M457" s="277"/>
      <c r="N457" s="278"/>
      <c r="O457" s="277"/>
      <c r="P457" s="278"/>
      <c r="Q457" s="277"/>
      <c r="R457" s="278"/>
      <c r="S457" s="277"/>
      <c r="T457" s="278"/>
      <c r="U457" s="277"/>
      <c r="V457" s="278"/>
      <c r="W457" s="277"/>
      <c r="X457" s="278"/>
      <c r="Y457" s="277"/>
      <c r="Z457" s="278"/>
      <c r="AA457" s="277"/>
      <c r="AB457" s="278"/>
      <c r="AC457" s="277"/>
      <c r="AD457" s="278"/>
      <c r="AE457" s="277"/>
      <c r="AF457" s="278"/>
      <c r="AG457" s="277"/>
      <c r="AH457" s="278"/>
      <c r="AI457" s="277"/>
      <c r="AJ457" s="278"/>
      <c r="AK457" s="277"/>
      <c r="AL457" s="278"/>
      <c r="AM457" s="277"/>
      <c r="AN457" s="278"/>
      <c r="AO457" s="278"/>
      <c r="AP457" s="278"/>
      <c r="AQ457" s="278"/>
      <c r="AR457" s="278"/>
      <c r="AS457" s="278"/>
    </row>
    <row r="458" spans="1:45">
      <c r="A458" s="277"/>
      <c r="B458" s="298" t="b">
        <v>0</v>
      </c>
      <c r="C458" s="278"/>
      <c r="D458" s="299" t="b">
        <v>0</v>
      </c>
      <c r="E458" s="277"/>
      <c r="F458" s="298" t="b">
        <v>0</v>
      </c>
      <c r="G458" s="278"/>
      <c r="H458" s="299" t="b">
        <v>0</v>
      </c>
      <c r="I458" s="277"/>
      <c r="J458" s="278"/>
      <c r="K458" s="277"/>
      <c r="L458" s="278"/>
      <c r="M458" s="277"/>
      <c r="N458" s="278"/>
      <c r="O458" s="277"/>
      <c r="P458" s="278"/>
      <c r="Q458" s="277"/>
      <c r="R458" s="278"/>
      <c r="S458" s="277"/>
      <c r="T458" s="278"/>
      <c r="U458" s="277"/>
      <c r="V458" s="278"/>
      <c r="W458" s="277"/>
      <c r="X458" s="278"/>
      <c r="Y458" s="277"/>
      <c r="Z458" s="278"/>
      <c r="AA458" s="277"/>
      <c r="AB458" s="278"/>
      <c r="AC458" s="277"/>
      <c r="AD458" s="278"/>
      <c r="AE458" s="277"/>
      <c r="AF458" s="278"/>
      <c r="AG458" s="277"/>
      <c r="AH458" s="278"/>
      <c r="AI458" s="277"/>
      <c r="AJ458" s="278"/>
      <c r="AK458" s="277"/>
      <c r="AL458" s="278"/>
      <c r="AM458" s="277"/>
      <c r="AN458" s="278"/>
      <c r="AO458" s="278"/>
      <c r="AP458" s="278"/>
      <c r="AQ458" s="278"/>
      <c r="AR458" s="278"/>
      <c r="AS458" s="278"/>
    </row>
    <row r="459" spans="1:45">
      <c r="A459" s="277"/>
      <c r="B459" s="298" t="b">
        <v>0</v>
      </c>
      <c r="C459" s="278"/>
      <c r="D459" s="299" t="b">
        <v>0</v>
      </c>
      <c r="E459" s="277"/>
      <c r="F459" s="298" t="b">
        <v>0</v>
      </c>
      <c r="G459" s="278"/>
      <c r="H459" s="299" t="b">
        <v>0</v>
      </c>
      <c r="I459" s="277"/>
      <c r="J459" s="278"/>
      <c r="K459" s="277"/>
      <c r="L459" s="278"/>
      <c r="M459" s="277"/>
      <c r="N459" s="278"/>
      <c r="O459" s="277"/>
      <c r="P459" s="278"/>
      <c r="Q459" s="277"/>
      <c r="R459" s="278"/>
      <c r="S459" s="277"/>
      <c r="T459" s="278"/>
      <c r="U459" s="277"/>
      <c r="V459" s="278"/>
      <c r="W459" s="277"/>
      <c r="X459" s="278"/>
      <c r="Y459" s="277"/>
      <c r="Z459" s="278"/>
      <c r="AA459" s="277"/>
      <c r="AB459" s="278"/>
      <c r="AC459" s="277"/>
      <c r="AD459" s="278"/>
      <c r="AE459" s="277"/>
      <c r="AF459" s="278"/>
      <c r="AG459" s="277"/>
      <c r="AH459" s="278"/>
      <c r="AI459" s="277"/>
      <c r="AJ459" s="278"/>
      <c r="AK459" s="277"/>
      <c r="AL459" s="278"/>
      <c r="AM459" s="277"/>
      <c r="AN459" s="278"/>
      <c r="AO459" s="278"/>
      <c r="AP459" s="278"/>
      <c r="AQ459" s="278"/>
      <c r="AR459" s="278"/>
      <c r="AS459" s="278"/>
    </row>
    <row r="460" spans="1:45">
      <c r="A460" s="277"/>
      <c r="B460" s="298" t="b">
        <v>0</v>
      </c>
      <c r="C460" s="278"/>
      <c r="D460" s="299" t="b">
        <v>0</v>
      </c>
      <c r="E460" s="277"/>
      <c r="F460" s="298" t="b">
        <v>0</v>
      </c>
      <c r="G460" s="278"/>
      <c r="H460" s="299" t="b">
        <v>0</v>
      </c>
      <c r="I460" s="277"/>
      <c r="J460" s="278"/>
      <c r="K460" s="277"/>
      <c r="L460" s="278"/>
      <c r="M460" s="277"/>
      <c r="N460" s="278"/>
      <c r="O460" s="277"/>
      <c r="P460" s="278"/>
      <c r="Q460" s="277"/>
      <c r="R460" s="278"/>
      <c r="S460" s="277"/>
      <c r="T460" s="278"/>
      <c r="U460" s="277"/>
      <c r="V460" s="278"/>
      <c r="W460" s="277"/>
      <c r="X460" s="278"/>
      <c r="Y460" s="277"/>
      <c r="Z460" s="278"/>
      <c r="AA460" s="277"/>
      <c r="AB460" s="278"/>
      <c r="AC460" s="277"/>
      <c r="AD460" s="278"/>
      <c r="AE460" s="277"/>
      <c r="AF460" s="278"/>
      <c r="AG460" s="277"/>
      <c r="AH460" s="278"/>
      <c r="AI460" s="277"/>
      <c r="AJ460" s="278"/>
      <c r="AK460" s="277"/>
      <c r="AL460" s="278"/>
      <c r="AM460" s="277"/>
      <c r="AN460" s="278"/>
      <c r="AO460" s="278"/>
      <c r="AP460" s="278"/>
      <c r="AQ460" s="278"/>
      <c r="AR460" s="278"/>
      <c r="AS460" s="278"/>
    </row>
    <row r="461" spans="1:45">
      <c r="A461" s="277"/>
      <c r="B461" s="298" t="b">
        <v>0</v>
      </c>
      <c r="C461" s="278"/>
      <c r="D461" s="299" t="b">
        <v>0</v>
      </c>
      <c r="E461" s="277"/>
      <c r="F461" s="298" t="b">
        <v>0</v>
      </c>
      <c r="G461" s="278"/>
      <c r="H461" s="299" t="b">
        <v>0</v>
      </c>
      <c r="I461" s="277"/>
      <c r="J461" s="278"/>
      <c r="K461" s="277"/>
      <c r="L461" s="278"/>
      <c r="M461" s="277"/>
      <c r="N461" s="278"/>
      <c r="O461" s="277"/>
      <c r="P461" s="278"/>
      <c r="Q461" s="277"/>
      <c r="R461" s="278"/>
      <c r="S461" s="277"/>
      <c r="T461" s="278"/>
      <c r="U461" s="277"/>
      <c r="V461" s="278"/>
      <c r="W461" s="277"/>
      <c r="X461" s="278"/>
      <c r="Y461" s="277"/>
      <c r="Z461" s="278"/>
      <c r="AA461" s="277"/>
      <c r="AB461" s="278"/>
      <c r="AC461" s="277"/>
      <c r="AD461" s="278"/>
      <c r="AE461" s="277"/>
      <c r="AF461" s="278"/>
      <c r="AG461" s="277"/>
      <c r="AH461" s="278"/>
      <c r="AI461" s="277"/>
      <c r="AJ461" s="278"/>
      <c r="AK461" s="277"/>
      <c r="AL461" s="278"/>
      <c r="AM461" s="277"/>
      <c r="AN461" s="278"/>
      <c r="AO461" s="278"/>
      <c r="AP461" s="278"/>
      <c r="AQ461" s="278"/>
      <c r="AR461" s="278"/>
      <c r="AS461" s="278"/>
    </row>
    <row r="462" spans="1:45">
      <c r="A462" s="277"/>
      <c r="B462" s="298" t="b">
        <v>0</v>
      </c>
      <c r="C462" s="278"/>
      <c r="D462" s="299" t="b">
        <v>0</v>
      </c>
      <c r="E462" s="277"/>
      <c r="F462" s="298" t="b">
        <v>0</v>
      </c>
      <c r="G462" s="278"/>
      <c r="H462" s="299" t="b">
        <v>0</v>
      </c>
      <c r="I462" s="277"/>
      <c r="J462" s="278"/>
      <c r="K462" s="277"/>
      <c r="L462" s="278"/>
      <c r="M462" s="277"/>
      <c r="N462" s="278"/>
      <c r="O462" s="277"/>
      <c r="P462" s="278"/>
      <c r="Q462" s="277"/>
      <c r="R462" s="278"/>
      <c r="S462" s="277"/>
      <c r="T462" s="278"/>
      <c r="U462" s="277"/>
      <c r="V462" s="278"/>
      <c r="W462" s="277"/>
      <c r="X462" s="278"/>
      <c r="Y462" s="277"/>
      <c r="Z462" s="278"/>
      <c r="AA462" s="277"/>
      <c r="AB462" s="278"/>
      <c r="AC462" s="277"/>
      <c r="AD462" s="278"/>
      <c r="AE462" s="277"/>
      <c r="AF462" s="278"/>
      <c r="AG462" s="277"/>
      <c r="AH462" s="278"/>
      <c r="AI462" s="277"/>
      <c r="AJ462" s="278"/>
      <c r="AK462" s="277"/>
      <c r="AL462" s="278"/>
      <c r="AM462" s="277"/>
      <c r="AN462" s="278"/>
      <c r="AO462" s="278"/>
      <c r="AP462" s="278"/>
      <c r="AQ462" s="278"/>
      <c r="AR462" s="278"/>
      <c r="AS462" s="278"/>
    </row>
    <row r="463" spans="1:45">
      <c r="A463" s="277"/>
      <c r="B463" s="298" t="b">
        <v>0</v>
      </c>
      <c r="C463" s="278"/>
      <c r="D463" s="299" t="b">
        <v>0</v>
      </c>
      <c r="E463" s="277"/>
      <c r="F463" s="298" t="b">
        <v>0</v>
      </c>
      <c r="G463" s="278"/>
      <c r="H463" s="299" t="b">
        <v>0</v>
      </c>
      <c r="I463" s="277"/>
      <c r="J463" s="278"/>
      <c r="K463" s="277"/>
      <c r="L463" s="278"/>
      <c r="M463" s="277"/>
      <c r="N463" s="278"/>
      <c r="O463" s="277"/>
      <c r="P463" s="278"/>
      <c r="Q463" s="277"/>
      <c r="R463" s="278"/>
      <c r="S463" s="277"/>
      <c r="T463" s="278"/>
      <c r="U463" s="277"/>
      <c r="V463" s="278"/>
      <c r="W463" s="277"/>
      <c r="X463" s="278"/>
      <c r="Y463" s="277"/>
      <c r="Z463" s="278"/>
      <c r="AA463" s="277"/>
      <c r="AB463" s="278"/>
      <c r="AC463" s="277"/>
      <c r="AD463" s="278"/>
      <c r="AE463" s="277"/>
      <c r="AF463" s="278"/>
      <c r="AG463" s="277"/>
      <c r="AH463" s="278"/>
      <c r="AI463" s="277"/>
      <c r="AJ463" s="278"/>
      <c r="AK463" s="277"/>
      <c r="AL463" s="278"/>
      <c r="AM463" s="277"/>
      <c r="AN463" s="278"/>
      <c r="AO463" s="278"/>
      <c r="AP463" s="278"/>
      <c r="AQ463" s="278"/>
      <c r="AR463" s="278"/>
      <c r="AS463" s="278"/>
    </row>
    <row r="464" spans="1:45">
      <c r="A464" s="277"/>
      <c r="B464" s="298" t="b">
        <v>0</v>
      </c>
      <c r="C464" s="278"/>
      <c r="D464" s="299" t="b">
        <v>0</v>
      </c>
      <c r="E464" s="277"/>
      <c r="F464" s="298" t="b">
        <v>0</v>
      </c>
      <c r="G464" s="278"/>
      <c r="H464" s="299" t="b">
        <v>0</v>
      </c>
      <c r="I464" s="277"/>
      <c r="J464" s="278"/>
      <c r="K464" s="277"/>
      <c r="L464" s="278"/>
      <c r="M464" s="277"/>
      <c r="N464" s="278"/>
      <c r="O464" s="277"/>
      <c r="P464" s="278"/>
      <c r="Q464" s="277"/>
      <c r="R464" s="278"/>
      <c r="S464" s="277"/>
      <c r="T464" s="278"/>
      <c r="U464" s="277"/>
      <c r="V464" s="278"/>
      <c r="W464" s="277"/>
      <c r="X464" s="278"/>
      <c r="Y464" s="277"/>
      <c r="Z464" s="278"/>
      <c r="AA464" s="277"/>
      <c r="AB464" s="278"/>
      <c r="AC464" s="277"/>
      <c r="AD464" s="278"/>
      <c r="AE464" s="277"/>
      <c r="AF464" s="278"/>
      <c r="AG464" s="277"/>
      <c r="AH464" s="278"/>
      <c r="AI464" s="277"/>
      <c r="AJ464" s="278"/>
      <c r="AK464" s="277"/>
      <c r="AL464" s="278"/>
      <c r="AM464" s="277"/>
      <c r="AN464" s="278"/>
      <c r="AO464" s="278"/>
      <c r="AP464" s="278"/>
      <c r="AQ464" s="278"/>
      <c r="AR464" s="278"/>
      <c r="AS464" s="278"/>
    </row>
    <row r="465" spans="1:45">
      <c r="A465" s="277"/>
      <c r="B465" s="298" t="b">
        <v>0</v>
      </c>
      <c r="C465" s="278"/>
      <c r="D465" s="299" t="b">
        <v>0</v>
      </c>
      <c r="E465" s="277"/>
      <c r="F465" s="298" t="b">
        <v>0</v>
      </c>
      <c r="G465" s="278"/>
      <c r="H465" s="299" t="b">
        <v>0</v>
      </c>
      <c r="I465" s="277"/>
      <c r="J465" s="278"/>
      <c r="K465" s="277"/>
      <c r="L465" s="278"/>
      <c r="M465" s="277"/>
      <c r="N465" s="278"/>
      <c r="O465" s="277"/>
      <c r="P465" s="278"/>
      <c r="Q465" s="277"/>
      <c r="R465" s="278"/>
      <c r="S465" s="277"/>
      <c r="T465" s="278"/>
      <c r="U465" s="277"/>
      <c r="V465" s="278"/>
      <c r="W465" s="277"/>
      <c r="X465" s="278"/>
      <c r="Y465" s="277"/>
      <c r="Z465" s="278"/>
      <c r="AA465" s="277"/>
      <c r="AB465" s="278"/>
      <c r="AC465" s="277"/>
      <c r="AD465" s="278"/>
      <c r="AE465" s="277"/>
      <c r="AF465" s="278"/>
      <c r="AG465" s="277"/>
      <c r="AH465" s="278"/>
      <c r="AI465" s="277"/>
      <c r="AJ465" s="278"/>
      <c r="AK465" s="277"/>
      <c r="AL465" s="278"/>
      <c r="AM465" s="277"/>
      <c r="AN465" s="278"/>
      <c r="AO465" s="278"/>
      <c r="AP465" s="278"/>
      <c r="AQ465" s="278"/>
      <c r="AR465" s="278"/>
      <c r="AS465" s="278"/>
    </row>
    <row r="466" spans="1:45">
      <c r="A466" s="277"/>
      <c r="B466" s="298" t="b">
        <v>0</v>
      </c>
      <c r="C466" s="278"/>
      <c r="D466" s="299" t="b">
        <v>0</v>
      </c>
      <c r="E466" s="277"/>
      <c r="F466" s="298" t="b">
        <v>0</v>
      </c>
      <c r="G466" s="278"/>
      <c r="H466" s="299" t="b">
        <v>0</v>
      </c>
      <c r="I466" s="277"/>
      <c r="J466" s="278"/>
      <c r="K466" s="277"/>
      <c r="L466" s="278"/>
      <c r="M466" s="277"/>
      <c r="N466" s="278"/>
      <c r="O466" s="277"/>
      <c r="P466" s="278"/>
      <c r="Q466" s="277"/>
      <c r="R466" s="278"/>
      <c r="S466" s="277"/>
      <c r="T466" s="278"/>
      <c r="U466" s="277"/>
      <c r="V466" s="278"/>
      <c r="W466" s="277"/>
      <c r="X466" s="278"/>
      <c r="Y466" s="277"/>
      <c r="Z466" s="278"/>
      <c r="AA466" s="277"/>
      <c r="AB466" s="278"/>
      <c r="AC466" s="277"/>
      <c r="AD466" s="278"/>
      <c r="AE466" s="277"/>
      <c r="AF466" s="278"/>
      <c r="AG466" s="277"/>
      <c r="AH466" s="278"/>
      <c r="AI466" s="277"/>
      <c r="AJ466" s="278"/>
      <c r="AK466" s="277"/>
      <c r="AL466" s="278"/>
      <c r="AM466" s="277"/>
      <c r="AN466" s="278"/>
      <c r="AO466" s="278"/>
      <c r="AP466" s="278"/>
      <c r="AQ466" s="278"/>
      <c r="AR466" s="278"/>
      <c r="AS466" s="278"/>
    </row>
    <row r="467" spans="1:45">
      <c r="A467" s="277"/>
      <c r="B467" s="298" t="b">
        <v>0</v>
      </c>
      <c r="C467" s="278"/>
      <c r="D467" s="299" t="b">
        <v>0</v>
      </c>
      <c r="E467" s="277"/>
      <c r="F467" s="298" t="b">
        <v>0</v>
      </c>
      <c r="G467" s="278"/>
      <c r="H467" s="299" t="b">
        <v>0</v>
      </c>
      <c r="I467" s="277"/>
      <c r="J467" s="278"/>
      <c r="K467" s="277"/>
      <c r="L467" s="278"/>
      <c r="M467" s="277"/>
      <c r="N467" s="278"/>
      <c r="O467" s="277"/>
      <c r="P467" s="278"/>
      <c r="Q467" s="277"/>
      <c r="R467" s="278"/>
      <c r="S467" s="277"/>
      <c r="T467" s="278"/>
      <c r="U467" s="277"/>
      <c r="V467" s="278"/>
      <c r="W467" s="277"/>
      <c r="X467" s="278"/>
      <c r="Y467" s="277"/>
      <c r="Z467" s="278"/>
      <c r="AA467" s="277"/>
      <c r="AB467" s="278"/>
      <c r="AC467" s="277"/>
      <c r="AD467" s="278"/>
      <c r="AE467" s="277"/>
      <c r="AF467" s="278"/>
      <c r="AG467" s="277"/>
      <c r="AH467" s="278"/>
      <c r="AI467" s="277"/>
      <c r="AJ467" s="278"/>
      <c r="AK467" s="277"/>
      <c r="AL467" s="278"/>
      <c r="AM467" s="277"/>
      <c r="AN467" s="278"/>
      <c r="AO467" s="278"/>
      <c r="AP467" s="278"/>
      <c r="AQ467" s="278"/>
      <c r="AR467" s="278"/>
      <c r="AS467" s="278"/>
    </row>
    <row r="468" spans="1:45">
      <c r="A468" s="277"/>
      <c r="B468" s="298" t="b">
        <v>0</v>
      </c>
      <c r="C468" s="278"/>
      <c r="D468" s="299" t="b">
        <v>0</v>
      </c>
      <c r="E468" s="277"/>
      <c r="F468" s="298" t="b">
        <v>0</v>
      </c>
      <c r="G468" s="278"/>
      <c r="H468" s="299" t="b">
        <v>0</v>
      </c>
      <c r="I468" s="277"/>
      <c r="J468" s="278"/>
      <c r="K468" s="277"/>
      <c r="L468" s="278"/>
      <c r="M468" s="277"/>
      <c r="N468" s="278"/>
      <c r="O468" s="277"/>
      <c r="P468" s="278"/>
      <c r="Q468" s="277"/>
      <c r="R468" s="278"/>
      <c r="S468" s="277"/>
      <c r="T468" s="278"/>
      <c r="U468" s="277"/>
      <c r="V468" s="278"/>
      <c r="W468" s="277"/>
      <c r="X468" s="278"/>
      <c r="Y468" s="277"/>
      <c r="Z468" s="278"/>
      <c r="AA468" s="277"/>
      <c r="AB468" s="278"/>
      <c r="AC468" s="277"/>
      <c r="AD468" s="278"/>
      <c r="AE468" s="277"/>
      <c r="AF468" s="278"/>
      <c r="AG468" s="277"/>
      <c r="AH468" s="278"/>
      <c r="AI468" s="277"/>
      <c r="AJ468" s="278"/>
      <c r="AK468" s="277"/>
      <c r="AL468" s="278"/>
      <c r="AM468" s="277"/>
      <c r="AN468" s="278"/>
      <c r="AO468" s="278"/>
      <c r="AP468" s="278"/>
      <c r="AQ468" s="278"/>
      <c r="AR468" s="278"/>
      <c r="AS468" s="278"/>
    </row>
    <row r="469" spans="1:45">
      <c r="A469" s="277"/>
      <c r="B469" s="298" t="b">
        <v>0</v>
      </c>
      <c r="C469" s="278"/>
      <c r="D469" s="299" t="b">
        <v>0</v>
      </c>
      <c r="E469" s="277"/>
      <c r="F469" s="298" t="b">
        <v>0</v>
      </c>
      <c r="G469" s="278"/>
      <c r="H469" s="299" t="b">
        <v>0</v>
      </c>
      <c r="I469" s="277"/>
      <c r="J469" s="278"/>
      <c r="K469" s="277"/>
      <c r="L469" s="278"/>
      <c r="M469" s="277"/>
      <c r="N469" s="278"/>
      <c r="O469" s="277"/>
      <c r="P469" s="278"/>
      <c r="Q469" s="277"/>
      <c r="R469" s="278"/>
      <c r="S469" s="277"/>
      <c r="T469" s="278"/>
      <c r="U469" s="277"/>
      <c r="V469" s="278"/>
      <c r="W469" s="277"/>
      <c r="X469" s="278"/>
      <c r="Y469" s="277"/>
      <c r="Z469" s="278"/>
      <c r="AA469" s="277"/>
      <c r="AB469" s="278"/>
      <c r="AC469" s="277"/>
      <c r="AD469" s="278"/>
      <c r="AE469" s="277"/>
      <c r="AF469" s="278"/>
      <c r="AG469" s="277"/>
      <c r="AH469" s="278"/>
      <c r="AI469" s="277"/>
      <c r="AJ469" s="278"/>
      <c r="AK469" s="277"/>
      <c r="AL469" s="278"/>
      <c r="AM469" s="277"/>
      <c r="AN469" s="278"/>
      <c r="AO469" s="278"/>
      <c r="AP469" s="278"/>
      <c r="AQ469" s="278"/>
      <c r="AR469" s="278"/>
      <c r="AS469" s="278"/>
    </row>
    <row r="470" spans="1:45">
      <c r="A470" s="277"/>
      <c r="B470" s="298" t="b">
        <v>0</v>
      </c>
      <c r="C470" s="278"/>
      <c r="D470" s="299" t="b">
        <v>0</v>
      </c>
      <c r="E470" s="277"/>
      <c r="F470" s="298" t="b">
        <v>0</v>
      </c>
      <c r="G470" s="278"/>
      <c r="H470" s="299" t="b">
        <v>0</v>
      </c>
      <c r="I470" s="277"/>
      <c r="J470" s="278"/>
      <c r="K470" s="277"/>
      <c r="L470" s="278"/>
      <c r="M470" s="277"/>
      <c r="N470" s="278"/>
      <c r="O470" s="277"/>
      <c r="P470" s="278"/>
      <c r="Q470" s="277"/>
      <c r="R470" s="278"/>
      <c r="S470" s="277"/>
      <c r="T470" s="278"/>
      <c r="U470" s="277"/>
      <c r="V470" s="278"/>
      <c r="W470" s="277"/>
      <c r="X470" s="278"/>
      <c r="Y470" s="277"/>
      <c r="Z470" s="278"/>
      <c r="AA470" s="277"/>
      <c r="AB470" s="278"/>
      <c r="AC470" s="277"/>
      <c r="AD470" s="278"/>
      <c r="AE470" s="277"/>
      <c r="AF470" s="278"/>
      <c r="AG470" s="277"/>
      <c r="AH470" s="278"/>
      <c r="AI470" s="277"/>
      <c r="AJ470" s="278"/>
      <c r="AK470" s="277"/>
      <c r="AL470" s="278"/>
      <c r="AM470" s="277"/>
      <c r="AN470" s="278"/>
      <c r="AO470" s="278"/>
      <c r="AP470" s="278"/>
      <c r="AQ470" s="278"/>
      <c r="AR470" s="278"/>
      <c r="AS470" s="278"/>
    </row>
    <row r="471" spans="1:45">
      <c r="A471" s="277"/>
      <c r="B471" s="298" t="b">
        <v>0</v>
      </c>
      <c r="C471" s="278"/>
      <c r="D471" s="299" t="b">
        <v>0</v>
      </c>
      <c r="E471" s="277"/>
      <c r="F471" s="298" t="b">
        <v>0</v>
      </c>
      <c r="G471" s="278"/>
      <c r="H471" s="299" t="b">
        <v>0</v>
      </c>
      <c r="I471" s="277"/>
      <c r="J471" s="278"/>
      <c r="K471" s="277"/>
      <c r="L471" s="278"/>
      <c r="M471" s="277"/>
      <c r="N471" s="278"/>
      <c r="O471" s="277"/>
      <c r="P471" s="278"/>
      <c r="Q471" s="277"/>
      <c r="R471" s="278"/>
      <c r="S471" s="277"/>
      <c r="T471" s="278"/>
      <c r="U471" s="277"/>
      <c r="V471" s="278"/>
      <c r="W471" s="277"/>
      <c r="X471" s="278"/>
      <c r="Y471" s="277"/>
      <c r="Z471" s="278"/>
      <c r="AA471" s="277"/>
      <c r="AB471" s="278"/>
      <c r="AC471" s="277"/>
      <c r="AD471" s="278"/>
      <c r="AE471" s="277"/>
      <c r="AF471" s="278"/>
      <c r="AG471" s="277"/>
      <c r="AH471" s="278"/>
      <c r="AI471" s="277"/>
      <c r="AJ471" s="278"/>
      <c r="AK471" s="277"/>
      <c r="AL471" s="278"/>
      <c r="AM471" s="277"/>
      <c r="AN471" s="278"/>
      <c r="AO471" s="278"/>
      <c r="AP471" s="278"/>
      <c r="AQ471" s="278"/>
      <c r="AR471" s="278"/>
      <c r="AS471" s="278"/>
    </row>
    <row r="472" spans="1:45">
      <c r="A472" s="277"/>
      <c r="B472" s="298" t="b">
        <v>0</v>
      </c>
      <c r="C472" s="278"/>
      <c r="D472" s="299" t="b">
        <v>0</v>
      </c>
      <c r="E472" s="277"/>
      <c r="F472" s="298" t="b">
        <v>0</v>
      </c>
      <c r="G472" s="278"/>
      <c r="H472" s="299" t="b">
        <v>0</v>
      </c>
      <c r="I472" s="277"/>
      <c r="J472" s="278"/>
      <c r="K472" s="277"/>
      <c r="L472" s="278"/>
      <c r="M472" s="277"/>
      <c r="N472" s="278"/>
      <c r="O472" s="277"/>
      <c r="P472" s="278"/>
      <c r="Q472" s="277"/>
      <c r="R472" s="278"/>
      <c r="S472" s="277"/>
      <c r="T472" s="278"/>
      <c r="U472" s="277"/>
      <c r="V472" s="278"/>
      <c r="W472" s="277"/>
      <c r="X472" s="278"/>
      <c r="Y472" s="277"/>
      <c r="Z472" s="278"/>
      <c r="AA472" s="277"/>
      <c r="AB472" s="278"/>
      <c r="AC472" s="277"/>
      <c r="AD472" s="278"/>
      <c r="AE472" s="277"/>
      <c r="AF472" s="278"/>
      <c r="AG472" s="277"/>
      <c r="AH472" s="278"/>
      <c r="AI472" s="277"/>
      <c r="AJ472" s="278"/>
      <c r="AK472" s="277"/>
      <c r="AL472" s="278"/>
      <c r="AM472" s="277"/>
      <c r="AN472" s="278"/>
      <c r="AO472" s="278"/>
      <c r="AP472" s="278"/>
      <c r="AQ472" s="278"/>
      <c r="AR472" s="278"/>
      <c r="AS472" s="278"/>
    </row>
    <row r="473" spans="1:45">
      <c r="A473" s="277"/>
      <c r="B473" s="298" t="b">
        <v>0</v>
      </c>
      <c r="C473" s="278"/>
      <c r="D473" s="299" t="b">
        <v>0</v>
      </c>
      <c r="E473" s="277"/>
      <c r="F473" s="298" t="b">
        <v>0</v>
      </c>
      <c r="G473" s="278"/>
      <c r="H473" s="299" t="b">
        <v>0</v>
      </c>
      <c r="I473" s="277"/>
      <c r="J473" s="278"/>
      <c r="K473" s="277"/>
      <c r="L473" s="278"/>
      <c r="M473" s="277"/>
      <c r="N473" s="278"/>
      <c r="O473" s="277"/>
      <c r="P473" s="278"/>
      <c r="Q473" s="277"/>
      <c r="R473" s="278"/>
      <c r="S473" s="277"/>
      <c r="T473" s="278"/>
      <c r="U473" s="277"/>
      <c r="V473" s="278"/>
      <c r="W473" s="277"/>
      <c r="X473" s="278"/>
      <c r="Y473" s="277"/>
      <c r="Z473" s="278"/>
      <c r="AA473" s="277"/>
      <c r="AB473" s="278"/>
      <c r="AC473" s="277"/>
      <c r="AD473" s="278"/>
      <c r="AE473" s="277"/>
      <c r="AF473" s="278"/>
      <c r="AG473" s="277"/>
      <c r="AH473" s="278"/>
      <c r="AI473" s="277"/>
      <c r="AJ473" s="278"/>
      <c r="AK473" s="277"/>
      <c r="AL473" s="278"/>
      <c r="AM473" s="277"/>
      <c r="AN473" s="278"/>
      <c r="AO473" s="278"/>
      <c r="AP473" s="278"/>
      <c r="AQ473" s="278"/>
      <c r="AR473" s="278"/>
      <c r="AS473" s="278"/>
    </row>
    <row r="474" spans="1:45">
      <c r="A474" s="277"/>
      <c r="B474" s="298" t="b">
        <v>0</v>
      </c>
      <c r="C474" s="278"/>
      <c r="D474" s="299" t="b">
        <v>0</v>
      </c>
      <c r="E474" s="277"/>
      <c r="F474" s="298" t="b">
        <v>0</v>
      </c>
      <c r="G474" s="278"/>
      <c r="H474" s="299" t="b">
        <v>0</v>
      </c>
      <c r="I474" s="277"/>
      <c r="J474" s="278"/>
      <c r="K474" s="277"/>
      <c r="L474" s="278"/>
      <c r="M474" s="277"/>
      <c r="N474" s="278"/>
      <c r="O474" s="277"/>
      <c r="P474" s="278"/>
      <c r="Q474" s="277"/>
      <c r="R474" s="278"/>
      <c r="S474" s="277"/>
      <c r="T474" s="278"/>
      <c r="U474" s="277"/>
      <c r="V474" s="278"/>
      <c r="W474" s="277"/>
      <c r="X474" s="278"/>
      <c r="Y474" s="277"/>
      <c r="Z474" s="278"/>
      <c r="AA474" s="277"/>
      <c r="AB474" s="278"/>
      <c r="AC474" s="277"/>
      <c r="AD474" s="278"/>
      <c r="AE474" s="277"/>
      <c r="AF474" s="278"/>
      <c r="AG474" s="277"/>
      <c r="AH474" s="278"/>
      <c r="AI474" s="277"/>
      <c r="AJ474" s="278"/>
      <c r="AK474" s="277"/>
      <c r="AL474" s="278"/>
      <c r="AM474" s="277"/>
      <c r="AN474" s="278"/>
      <c r="AO474" s="278"/>
      <c r="AP474" s="278"/>
      <c r="AQ474" s="278"/>
      <c r="AR474" s="278"/>
      <c r="AS474" s="278"/>
    </row>
    <row r="475" spans="1:45">
      <c r="A475" s="277"/>
      <c r="B475" s="298" t="b">
        <v>0</v>
      </c>
      <c r="C475" s="278"/>
      <c r="D475" s="299" t="b">
        <v>0</v>
      </c>
      <c r="E475" s="277"/>
      <c r="F475" s="298" t="b">
        <v>0</v>
      </c>
      <c r="G475" s="278"/>
      <c r="H475" s="299" t="b">
        <v>0</v>
      </c>
      <c r="I475" s="277"/>
      <c r="J475" s="278"/>
      <c r="K475" s="277"/>
      <c r="L475" s="278"/>
      <c r="M475" s="277"/>
      <c r="N475" s="278"/>
      <c r="O475" s="277"/>
      <c r="P475" s="278"/>
      <c r="Q475" s="277"/>
      <c r="R475" s="278"/>
      <c r="S475" s="277"/>
      <c r="T475" s="278"/>
      <c r="U475" s="277"/>
      <c r="V475" s="278"/>
      <c r="W475" s="277"/>
      <c r="X475" s="278"/>
      <c r="Y475" s="277"/>
      <c r="Z475" s="278"/>
      <c r="AA475" s="277"/>
      <c r="AB475" s="278"/>
      <c r="AC475" s="277"/>
      <c r="AD475" s="278"/>
      <c r="AE475" s="277"/>
      <c r="AF475" s="278"/>
      <c r="AG475" s="277"/>
      <c r="AH475" s="278"/>
      <c r="AI475" s="277"/>
      <c r="AJ475" s="278"/>
      <c r="AK475" s="277"/>
      <c r="AL475" s="278"/>
      <c r="AM475" s="277"/>
      <c r="AN475" s="278"/>
      <c r="AO475" s="278"/>
      <c r="AP475" s="278"/>
      <c r="AQ475" s="278"/>
      <c r="AR475" s="278"/>
      <c r="AS475" s="278"/>
    </row>
    <row r="476" spans="1:45">
      <c r="A476" s="277"/>
      <c r="B476" s="298" t="b">
        <v>0</v>
      </c>
      <c r="C476" s="278"/>
      <c r="D476" s="299" t="b">
        <v>0</v>
      </c>
      <c r="E476" s="277"/>
      <c r="F476" s="298" t="b">
        <v>0</v>
      </c>
      <c r="G476" s="278"/>
      <c r="H476" s="299" t="b">
        <v>0</v>
      </c>
      <c r="I476" s="277"/>
      <c r="J476" s="278"/>
      <c r="K476" s="277"/>
      <c r="L476" s="278"/>
      <c r="M476" s="277"/>
      <c r="N476" s="278"/>
      <c r="O476" s="277"/>
      <c r="P476" s="278"/>
      <c r="Q476" s="277"/>
      <c r="R476" s="278"/>
      <c r="S476" s="277"/>
      <c r="T476" s="278"/>
      <c r="U476" s="277"/>
      <c r="V476" s="278"/>
      <c r="W476" s="277"/>
      <c r="X476" s="278"/>
      <c r="Y476" s="277"/>
      <c r="Z476" s="278"/>
      <c r="AA476" s="277"/>
      <c r="AB476" s="278"/>
      <c r="AC476" s="277"/>
      <c r="AD476" s="278"/>
      <c r="AE476" s="277"/>
      <c r="AF476" s="278"/>
      <c r="AG476" s="277"/>
      <c r="AH476" s="278"/>
      <c r="AI476" s="277"/>
      <c r="AJ476" s="278"/>
      <c r="AK476" s="277"/>
      <c r="AL476" s="278"/>
      <c r="AM476" s="277"/>
      <c r="AN476" s="278"/>
      <c r="AO476" s="278"/>
      <c r="AP476" s="278"/>
      <c r="AQ476" s="278"/>
      <c r="AR476" s="278"/>
      <c r="AS476" s="278"/>
    </row>
    <row r="477" spans="1:45">
      <c r="A477" s="277"/>
      <c r="B477" s="298" t="b">
        <v>0</v>
      </c>
      <c r="C477" s="278"/>
      <c r="D477" s="299" t="b">
        <v>0</v>
      </c>
      <c r="E477" s="277"/>
      <c r="F477" s="298" t="b">
        <v>0</v>
      </c>
      <c r="G477" s="278"/>
      <c r="H477" s="299" t="b">
        <v>0</v>
      </c>
      <c r="I477" s="277"/>
      <c r="J477" s="278"/>
      <c r="K477" s="277"/>
      <c r="L477" s="278"/>
      <c r="M477" s="277"/>
      <c r="N477" s="278"/>
      <c r="O477" s="277"/>
      <c r="P477" s="278"/>
      <c r="Q477" s="277"/>
      <c r="R477" s="278"/>
      <c r="S477" s="277"/>
      <c r="T477" s="278"/>
      <c r="U477" s="277"/>
      <c r="V477" s="278"/>
      <c r="W477" s="277"/>
      <c r="X477" s="278"/>
      <c r="Y477" s="277"/>
      <c r="Z477" s="278"/>
      <c r="AA477" s="277"/>
      <c r="AB477" s="278"/>
      <c r="AC477" s="277"/>
      <c r="AD477" s="278"/>
      <c r="AE477" s="277"/>
      <c r="AF477" s="278"/>
      <c r="AG477" s="277"/>
      <c r="AH477" s="278"/>
      <c r="AI477" s="277"/>
      <c r="AJ477" s="278"/>
      <c r="AK477" s="277"/>
      <c r="AL477" s="278"/>
      <c r="AM477" s="277"/>
      <c r="AN477" s="278"/>
      <c r="AO477" s="278"/>
      <c r="AP477" s="278"/>
      <c r="AQ477" s="278"/>
      <c r="AR477" s="278"/>
      <c r="AS477" s="278"/>
    </row>
    <row r="478" spans="1:45">
      <c r="A478" s="277"/>
      <c r="B478" s="298" t="b">
        <v>0</v>
      </c>
      <c r="C478" s="278"/>
      <c r="D478" s="299" t="b">
        <v>0</v>
      </c>
      <c r="E478" s="277"/>
      <c r="F478" s="298" t="b">
        <v>0</v>
      </c>
      <c r="G478" s="278"/>
      <c r="H478" s="299" t="b">
        <v>0</v>
      </c>
      <c r="I478" s="277"/>
      <c r="J478" s="278"/>
      <c r="K478" s="277"/>
      <c r="L478" s="278"/>
      <c r="M478" s="277"/>
      <c r="N478" s="278"/>
      <c r="O478" s="277"/>
      <c r="P478" s="278"/>
      <c r="Q478" s="277"/>
      <c r="R478" s="278"/>
      <c r="S478" s="277"/>
      <c r="T478" s="278"/>
      <c r="U478" s="277"/>
      <c r="V478" s="278"/>
      <c r="W478" s="277"/>
      <c r="X478" s="278"/>
      <c r="Y478" s="277"/>
      <c r="Z478" s="278"/>
      <c r="AA478" s="277"/>
      <c r="AB478" s="278"/>
      <c r="AC478" s="277"/>
      <c r="AD478" s="278"/>
      <c r="AE478" s="277"/>
      <c r="AF478" s="278"/>
      <c r="AG478" s="277"/>
      <c r="AH478" s="278"/>
      <c r="AI478" s="277"/>
      <c r="AJ478" s="278"/>
      <c r="AK478" s="277"/>
      <c r="AL478" s="278"/>
      <c r="AM478" s="277"/>
      <c r="AN478" s="278"/>
      <c r="AO478" s="278"/>
      <c r="AP478" s="278"/>
      <c r="AQ478" s="278"/>
      <c r="AR478" s="278"/>
      <c r="AS478" s="278"/>
    </row>
    <row r="479" spans="1:45">
      <c r="A479" s="277"/>
      <c r="B479" s="298" t="b">
        <v>0</v>
      </c>
      <c r="C479" s="278"/>
      <c r="D479" s="299" t="b">
        <v>0</v>
      </c>
      <c r="E479" s="277"/>
      <c r="F479" s="298" t="b">
        <v>0</v>
      </c>
      <c r="G479" s="278"/>
      <c r="H479" s="299" t="b">
        <v>0</v>
      </c>
      <c r="I479" s="277"/>
      <c r="J479" s="278"/>
      <c r="K479" s="277"/>
      <c r="L479" s="278"/>
      <c r="M479" s="277"/>
      <c r="N479" s="278"/>
      <c r="O479" s="277"/>
      <c r="P479" s="278"/>
      <c r="Q479" s="277"/>
      <c r="R479" s="278"/>
      <c r="S479" s="277"/>
      <c r="T479" s="278"/>
      <c r="U479" s="277"/>
      <c r="V479" s="278"/>
      <c r="W479" s="277"/>
      <c r="X479" s="278"/>
      <c r="Y479" s="277"/>
      <c r="Z479" s="278"/>
      <c r="AA479" s="277"/>
      <c r="AB479" s="278"/>
      <c r="AC479" s="277"/>
      <c r="AD479" s="278"/>
      <c r="AE479" s="277"/>
      <c r="AF479" s="278"/>
      <c r="AG479" s="277"/>
      <c r="AH479" s="278"/>
      <c r="AI479" s="277"/>
      <c r="AJ479" s="278"/>
      <c r="AK479" s="277"/>
      <c r="AL479" s="278"/>
      <c r="AM479" s="277"/>
      <c r="AN479" s="278"/>
      <c r="AO479" s="278"/>
      <c r="AP479" s="278"/>
      <c r="AQ479" s="278"/>
      <c r="AR479" s="278"/>
      <c r="AS479" s="278"/>
    </row>
    <row r="480" spans="1:45">
      <c r="A480" s="277"/>
      <c r="B480" s="298" t="b">
        <v>0</v>
      </c>
      <c r="C480" s="278"/>
      <c r="D480" s="299" t="b">
        <v>0</v>
      </c>
      <c r="E480" s="277"/>
      <c r="F480" s="298" t="b">
        <v>0</v>
      </c>
      <c r="G480" s="278"/>
      <c r="H480" s="299" t="b">
        <v>0</v>
      </c>
      <c r="I480" s="277"/>
      <c r="J480" s="278"/>
      <c r="K480" s="277"/>
      <c r="L480" s="278"/>
      <c r="M480" s="277"/>
      <c r="N480" s="278"/>
      <c r="O480" s="277"/>
      <c r="P480" s="278"/>
      <c r="Q480" s="277"/>
      <c r="R480" s="278"/>
      <c r="S480" s="277"/>
      <c r="T480" s="278"/>
      <c r="U480" s="277"/>
      <c r="V480" s="278"/>
      <c r="W480" s="277"/>
      <c r="X480" s="278"/>
      <c r="Y480" s="277"/>
      <c r="Z480" s="278"/>
      <c r="AA480" s="277"/>
      <c r="AB480" s="278"/>
      <c r="AC480" s="277"/>
      <c r="AD480" s="278"/>
      <c r="AE480" s="277"/>
      <c r="AF480" s="278"/>
      <c r="AG480" s="277"/>
      <c r="AH480" s="278"/>
      <c r="AI480" s="277"/>
      <c r="AJ480" s="278"/>
      <c r="AK480" s="277"/>
      <c r="AL480" s="278"/>
      <c r="AM480" s="277"/>
      <c r="AN480" s="278"/>
      <c r="AO480" s="278"/>
      <c r="AP480" s="278"/>
      <c r="AQ480" s="278"/>
      <c r="AR480" s="278"/>
      <c r="AS480" s="278"/>
    </row>
    <row r="481" spans="1:45">
      <c r="A481" s="277"/>
      <c r="B481" s="298" t="b">
        <v>0</v>
      </c>
      <c r="C481" s="278"/>
      <c r="D481" s="299" t="b">
        <v>0</v>
      </c>
      <c r="E481" s="277"/>
      <c r="F481" s="298" t="b">
        <v>0</v>
      </c>
      <c r="G481" s="278"/>
      <c r="H481" s="299" t="b">
        <v>0</v>
      </c>
      <c r="I481" s="277"/>
      <c r="J481" s="278"/>
      <c r="K481" s="277"/>
      <c r="L481" s="278"/>
      <c r="M481" s="277"/>
      <c r="N481" s="278"/>
      <c r="O481" s="277"/>
      <c r="P481" s="278"/>
      <c r="Q481" s="277"/>
      <c r="R481" s="278"/>
      <c r="S481" s="277"/>
      <c r="T481" s="278"/>
      <c r="U481" s="277"/>
      <c r="V481" s="278"/>
      <c r="W481" s="277"/>
      <c r="X481" s="278"/>
      <c r="Y481" s="277"/>
      <c r="Z481" s="278"/>
      <c r="AA481" s="277"/>
      <c r="AB481" s="278"/>
      <c r="AC481" s="277"/>
      <c r="AD481" s="278"/>
      <c r="AE481" s="277"/>
      <c r="AF481" s="278"/>
      <c r="AG481" s="277"/>
      <c r="AH481" s="278"/>
      <c r="AI481" s="277"/>
      <c r="AJ481" s="278"/>
      <c r="AK481" s="277"/>
      <c r="AL481" s="278"/>
      <c r="AM481" s="277"/>
      <c r="AN481" s="278"/>
      <c r="AO481" s="278"/>
      <c r="AP481" s="278"/>
      <c r="AQ481" s="278"/>
      <c r="AR481" s="278"/>
      <c r="AS481" s="278"/>
    </row>
    <row r="482" spans="1:45">
      <c r="A482" s="277"/>
      <c r="B482" s="298" t="b">
        <v>0</v>
      </c>
      <c r="C482" s="278"/>
      <c r="D482" s="299" t="b">
        <v>0</v>
      </c>
      <c r="E482" s="277"/>
      <c r="F482" s="298" t="b">
        <v>0</v>
      </c>
      <c r="G482" s="278"/>
      <c r="H482" s="299" t="b">
        <v>0</v>
      </c>
      <c r="I482" s="277"/>
      <c r="J482" s="278"/>
      <c r="K482" s="277"/>
      <c r="L482" s="278"/>
      <c r="M482" s="277"/>
      <c r="N482" s="278"/>
      <c r="O482" s="277"/>
      <c r="P482" s="278"/>
      <c r="Q482" s="277"/>
      <c r="R482" s="278"/>
      <c r="S482" s="277"/>
      <c r="T482" s="278"/>
      <c r="U482" s="277"/>
      <c r="V482" s="278"/>
      <c r="W482" s="277"/>
      <c r="X482" s="278"/>
      <c r="Y482" s="277"/>
      <c r="Z482" s="278"/>
      <c r="AA482" s="277"/>
      <c r="AB482" s="278"/>
      <c r="AC482" s="277"/>
      <c r="AD482" s="278"/>
      <c r="AE482" s="277"/>
      <c r="AF482" s="278"/>
      <c r="AG482" s="277"/>
      <c r="AH482" s="278"/>
      <c r="AI482" s="277"/>
      <c r="AJ482" s="278"/>
      <c r="AK482" s="277"/>
      <c r="AL482" s="278"/>
      <c r="AM482" s="277"/>
      <c r="AN482" s="278"/>
      <c r="AO482" s="278"/>
      <c r="AP482" s="278"/>
      <c r="AQ482" s="278"/>
      <c r="AR482" s="278"/>
      <c r="AS482" s="278"/>
    </row>
    <row r="483" spans="1:45">
      <c r="A483" s="277"/>
      <c r="B483" s="298" t="b">
        <v>0</v>
      </c>
      <c r="C483" s="278"/>
      <c r="D483" s="299" t="b">
        <v>0</v>
      </c>
      <c r="E483" s="277"/>
      <c r="F483" s="298" t="b">
        <v>0</v>
      </c>
      <c r="G483" s="278"/>
      <c r="H483" s="299" t="b">
        <v>0</v>
      </c>
      <c r="I483" s="277"/>
      <c r="J483" s="278"/>
      <c r="K483" s="277"/>
      <c r="L483" s="278"/>
      <c r="M483" s="277"/>
      <c r="N483" s="278"/>
      <c r="O483" s="277"/>
      <c r="P483" s="278"/>
      <c r="Q483" s="277"/>
      <c r="R483" s="278"/>
      <c r="S483" s="277"/>
      <c r="T483" s="278"/>
      <c r="U483" s="277"/>
      <c r="V483" s="278"/>
      <c r="W483" s="277"/>
      <c r="X483" s="278"/>
      <c r="Y483" s="277"/>
      <c r="Z483" s="278"/>
      <c r="AA483" s="277"/>
      <c r="AB483" s="278"/>
      <c r="AC483" s="277"/>
      <c r="AD483" s="278"/>
      <c r="AE483" s="277"/>
      <c r="AF483" s="278"/>
      <c r="AG483" s="277"/>
      <c r="AH483" s="278"/>
      <c r="AI483" s="277"/>
      <c r="AJ483" s="278"/>
      <c r="AK483" s="277"/>
      <c r="AL483" s="278"/>
      <c r="AM483" s="277"/>
      <c r="AN483" s="278"/>
      <c r="AO483" s="278"/>
      <c r="AP483" s="278"/>
      <c r="AQ483" s="278"/>
      <c r="AR483" s="278"/>
      <c r="AS483" s="278"/>
    </row>
    <row r="484" spans="1:45">
      <c r="A484" s="277"/>
      <c r="B484" s="298" t="b">
        <v>0</v>
      </c>
      <c r="C484" s="278"/>
      <c r="D484" s="299" t="b">
        <v>0</v>
      </c>
      <c r="E484" s="277"/>
      <c r="F484" s="298" t="b">
        <v>0</v>
      </c>
      <c r="G484" s="278"/>
      <c r="H484" s="299" t="b">
        <v>0</v>
      </c>
      <c r="I484" s="277"/>
      <c r="J484" s="278"/>
      <c r="K484" s="277"/>
      <c r="L484" s="278"/>
      <c r="M484" s="277"/>
      <c r="N484" s="278"/>
      <c r="O484" s="277"/>
      <c r="P484" s="278"/>
      <c r="Q484" s="277"/>
      <c r="R484" s="278"/>
      <c r="S484" s="277"/>
      <c r="T484" s="278"/>
      <c r="U484" s="277"/>
      <c r="V484" s="278"/>
      <c r="W484" s="277"/>
      <c r="X484" s="278"/>
      <c r="Y484" s="277"/>
      <c r="Z484" s="278"/>
      <c r="AA484" s="277"/>
      <c r="AB484" s="278"/>
      <c r="AC484" s="277"/>
      <c r="AD484" s="278"/>
      <c r="AE484" s="277"/>
      <c r="AF484" s="278"/>
      <c r="AG484" s="277"/>
      <c r="AH484" s="278"/>
      <c r="AI484" s="277"/>
      <c r="AJ484" s="278"/>
      <c r="AK484" s="277"/>
      <c r="AL484" s="278"/>
      <c r="AM484" s="277"/>
      <c r="AN484" s="278"/>
      <c r="AO484" s="278"/>
      <c r="AP484" s="278"/>
      <c r="AQ484" s="278"/>
      <c r="AR484" s="278"/>
      <c r="AS484" s="278"/>
    </row>
    <row r="485" spans="1:45">
      <c r="A485" s="277"/>
      <c r="B485" s="298" t="b">
        <v>0</v>
      </c>
      <c r="C485" s="278"/>
      <c r="D485" s="299" t="b">
        <v>0</v>
      </c>
      <c r="E485" s="277"/>
      <c r="F485" s="298" t="b">
        <v>0</v>
      </c>
      <c r="G485" s="278"/>
      <c r="H485" s="299" t="b">
        <v>0</v>
      </c>
      <c r="I485" s="277"/>
      <c r="J485" s="278"/>
      <c r="K485" s="277"/>
      <c r="L485" s="278"/>
      <c r="M485" s="277"/>
      <c r="N485" s="278"/>
      <c r="O485" s="277"/>
      <c r="P485" s="278"/>
      <c r="Q485" s="277"/>
      <c r="R485" s="278"/>
      <c r="S485" s="277"/>
      <c r="T485" s="278"/>
      <c r="U485" s="277"/>
      <c r="V485" s="278"/>
      <c r="W485" s="277"/>
      <c r="X485" s="278"/>
      <c r="Y485" s="277"/>
      <c r="Z485" s="278"/>
      <c r="AA485" s="277"/>
      <c r="AB485" s="278"/>
      <c r="AC485" s="277"/>
      <c r="AD485" s="278"/>
      <c r="AE485" s="277"/>
      <c r="AF485" s="278"/>
      <c r="AG485" s="277"/>
      <c r="AH485" s="278"/>
      <c r="AI485" s="277"/>
      <c r="AJ485" s="278"/>
      <c r="AK485" s="277"/>
      <c r="AL485" s="278"/>
      <c r="AM485" s="277"/>
      <c r="AN485" s="278"/>
      <c r="AO485" s="278"/>
      <c r="AP485" s="278"/>
      <c r="AQ485" s="278"/>
      <c r="AR485" s="278"/>
      <c r="AS485" s="278"/>
    </row>
    <row r="486" spans="1:45">
      <c r="A486" s="277"/>
      <c r="B486" s="298" t="b">
        <v>0</v>
      </c>
      <c r="C486" s="278"/>
      <c r="D486" s="299" t="b">
        <v>0</v>
      </c>
      <c r="E486" s="277"/>
      <c r="F486" s="298" t="b">
        <v>0</v>
      </c>
      <c r="G486" s="278"/>
      <c r="H486" s="299" t="b">
        <v>0</v>
      </c>
      <c r="I486" s="277"/>
      <c r="J486" s="278"/>
      <c r="K486" s="277"/>
      <c r="L486" s="278"/>
      <c r="M486" s="277"/>
      <c r="N486" s="278"/>
      <c r="O486" s="277"/>
      <c r="P486" s="278"/>
      <c r="Q486" s="277"/>
      <c r="R486" s="278"/>
      <c r="S486" s="277"/>
      <c r="T486" s="278"/>
      <c r="U486" s="277"/>
      <c r="V486" s="278"/>
      <c r="W486" s="277"/>
      <c r="X486" s="278"/>
      <c r="Y486" s="277"/>
      <c r="Z486" s="278"/>
      <c r="AA486" s="277"/>
      <c r="AB486" s="278"/>
      <c r="AC486" s="277"/>
      <c r="AD486" s="278"/>
      <c r="AE486" s="277"/>
      <c r="AF486" s="278"/>
      <c r="AG486" s="277"/>
      <c r="AH486" s="278"/>
      <c r="AI486" s="277"/>
      <c r="AJ486" s="278"/>
      <c r="AK486" s="277"/>
      <c r="AL486" s="278"/>
      <c r="AM486" s="277"/>
      <c r="AN486" s="278"/>
      <c r="AO486" s="278"/>
      <c r="AP486" s="278"/>
      <c r="AQ486" s="278"/>
      <c r="AR486" s="278"/>
      <c r="AS486" s="278"/>
    </row>
    <row r="487" spans="1:45">
      <c r="A487" s="277"/>
      <c r="B487" s="298" t="b">
        <v>0</v>
      </c>
      <c r="C487" s="278"/>
      <c r="D487" s="299" t="b">
        <v>0</v>
      </c>
      <c r="E487" s="277"/>
      <c r="F487" s="298" t="b">
        <v>0</v>
      </c>
      <c r="G487" s="278"/>
      <c r="H487" s="299" t="b">
        <v>0</v>
      </c>
      <c r="I487" s="277"/>
      <c r="J487" s="278"/>
      <c r="K487" s="277"/>
      <c r="L487" s="278"/>
      <c r="M487" s="277"/>
      <c r="N487" s="278"/>
      <c r="O487" s="277"/>
      <c r="P487" s="278"/>
      <c r="Q487" s="277"/>
      <c r="R487" s="278"/>
      <c r="S487" s="277"/>
      <c r="T487" s="278"/>
      <c r="U487" s="277"/>
      <c r="V487" s="278"/>
      <c r="W487" s="277"/>
      <c r="X487" s="278"/>
      <c r="Y487" s="277"/>
      <c r="Z487" s="278"/>
      <c r="AA487" s="277"/>
      <c r="AB487" s="278"/>
      <c r="AC487" s="277"/>
      <c r="AD487" s="278"/>
      <c r="AE487" s="277"/>
      <c r="AF487" s="278"/>
      <c r="AG487" s="277"/>
      <c r="AH487" s="278"/>
      <c r="AI487" s="277"/>
      <c r="AJ487" s="278"/>
      <c r="AK487" s="277"/>
      <c r="AL487" s="278"/>
      <c r="AM487" s="277"/>
      <c r="AN487" s="278"/>
      <c r="AO487" s="278"/>
      <c r="AP487" s="278"/>
      <c r="AQ487" s="278"/>
      <c r="AR487" s="278"/>
      <c r="AS487" s="278"/>
    </row>
    <row r="488" spans="1:45">
      <c r="A488" s="277"/>
      <c r="B488" s="298" t="b">
        <v>0</v>
      </c>
      <c r="C488" s="278"/>
      <c r="D488" s="299" t="b">
        <v>0</v>
      </c>
      <c r="E488" s="277"/>
      <c r="F488" s="298" t="b">
        <v>0</v>
      </c>
      <c r="G488" s="278"/>
      <c r="H488" s="299" t="b">
        <v>0</v>
      </c>
      <c r="I488" s="277"/>
      <c r="J488" s="278"/>
      <c r="K488" s="277"/>
      <c r="L488" s="278"/>
      <c r="M488" s="277"/>
      <c r="N488" s="278"/>
      <c r="O488" s="277"/>
      <c r="P488" s="278"/>
      <c r="Q488" s="277"/>
      <c r="R488" s="278"/>
      <c r="S488" s="277"/>
      <c r="T488" s="278"/>
      <c r="U488" s="277"/>
      <c r="V488" s="278"/>
      <c r="W488" s="277"/>
      <c r="X488" s="278"/>
      <c r="Y488" s="277"/>
      <c r="Z488" s="278"/>
      <c r="AA488" s="277"/>
      <c r="AB488" s="278"/>
      <c r="AC488" s="277"/>
      <c r="AD488" s="278"/>
      <c r="AE488" s="277"/>
      <c r="AF488" s="278"/>
      <c r="AG488" s="277"/>
      <c r="AH488" s="278"/>
      <c r="AI488" s="277"/>
      <c r="AJ488" s="278"/>
      <c r="AK488" s="277"/>
      <c r="AL488" s="278"/>
      <c r="AM488" s="277"/>
      <c r="AN488" s="278"/>
      <c r="AO488" s="278"/>
      <c r="AP488" s="278"/>
      <c r="AQ488" s="278"/>
      <c r="AR488" s="278"/>
      <c r="AS488" s="278"/>
    </row>
    <row r="489" spans="1:45">
      <c r="A489" s="277"/>
      <c r="B489" s="298" t="b">
        <v>0</v>
      </c>
      <c r="C489" s="278"/>
      <c r="D489" s="299" t="b">
        <v>0</v>
      </c>
      <c r="E489" s="277"/>
      <c r="F489" s="298" t="b">
        <v>0</v>
      </c>
      <c r="G489" s="278"/>
      <c r="H489" s="299" t="b">
        <v>0</v>
      </c>
      <c r="I489" s="277"/>
      <c r="J489" s="278"/>
      <c r="K489" s="277"/>
      <c r="L489" s="278"/>
      <c r="M489" s="277"/>
      <c r="N489" s="278"/>
      <c r="O489" s="277"/>
      <c r="P489" s="278"/>
      <c r="Q489" s="277"/>
      <c r="R489" s="278"/>
      <c r="S489" s="277"/>
      <c r="T489" s="278"/>
      <c r="U489" s="277"/>
      <c r="V489" s="278"/>
      <c r="W489" s="277"/>
      <c r="X489" s="278"/>
      <c r="Y489" s="277"/>
      <c r="Z489" s="278"/>
      <c r="AA489" s="277"/>
      <c r="AB489" s="278"/>
      <c r="AC489" s="277"/>
      <c r="AD489" s="278"/>
      <c r="AE489" s="277"/>
      <c r="AF489" s="278"/>
      <c r="AG489" s="277"/>
      <c r="AH489" s="278"/>
      <c r="AI489" s="277"/>
      <c r="AJ489" s="278"/>
      <c r="AK489" s="277"/>
      <c r="AL489" s="278"/>
      <c r="AM489" s="277"/>
      <c r="AN489" s="278"/>
      <c r="AO489" s="278"/>
      <c r="AP489" s="278"/>
      <c r="AQ489" s="278"/>
      <c r="AR489" s="278"/>
      <c r="AS489" s="278"/>
    </row>
    <row r="490" spans="1:45">
      <c r="A490" s="277"/>
      <c r="B490" s="298" t="b">
        <v>0</v>
      </c>
      <c r="C490" s="278"/>
      <c r="D490" s="299" t="b">
        <v>0</v>
      </c>
      <c r="E490" s="277"/>
      <c r="F490" s="298" t="b">
        <v>0</v>
      </c>
      <c r="G490" s="278"/>
      <c r="H490" s="299" t="b">
        <v>0</v>
      </c>
      <c r="I490" s="277"/>
      <c r="J490" s="278"/>
      <c r="K490" s="277"/>
      <c r="L490" s="278"/>
      <c r="M490" s="277"/>
      <c r="N490" s="278"/>
      <c r="O490" s="277"/>
      <c r="P490" s="278"/>
      <c r="Q490" s="277"/>
      <c r="R490" s="278"/>
      <c r="S490" s="277"/>
      <c r="T490" s="278"/>
      <c r="U490" s="277"/>
      <c r="V490" s="278"/>
      <c r="W490" s="277"/>
      <c r="X490" s="278"/>
      <c r="Y490" s="277"/>
      <c r="Z490" s="278"/>
      <c r="AA490" s="277"/>
      <c r="AB490" s="278"/>
      <c r="AC490" s="277"/>
      <c r="AD490" s="278"/>
      <c r="AE490" s="277"/>
      <c r="AF490" s="278"/>
      <c r="AG490" s="277"/>
      <c r="AH490" s="278"/>
      <c r="AI490" s="277"/>
      <c r="AJ490" s="278"/>
      <c r="AK490" s="277"/>
      <c r="AL490" s="278"/>
      <c r="AM490" s="277"/>
      <c r="AN490" s="278"/>
      <c r="AO490" s="278"/>
      <c r="AP490" s="278"/>
      <c r="AQ490" s="278"/>
      <c r="AR490" s="278"/>
      <c r="AS490" s="278"/>
    </row>
    <row r="491" spans="1:45">
      <c r="A491" s="277"/>
      <c r="B491" s="298" t="b">
        <v>0</v>
      </c>
      <c r="C491" s="278"/>
      <c r="D491" s="299" t="b">
        <v>0</v>
      </c>
      <c r="E491" s="277"/>
      <c r="F491" s="298" t="b">
        <v>0</v>
      </c>
      <c r="G491" s="278"/>
      <c r="H491" s="299" t="b">
        <v>0</v>
      </c>
      <c r="I491" s="277"/>
      <c r="J491" s="278"/>
      <c r="K491" s="277"/>
      <c r="L491" s="278"/>
      <c r="M491" s="277"/>
      <c r="N491" s="278"/>
      <c r="O491" s="277"/>
      <c r="P491" s="278"/>
      <c r="Q491" s="277"/>
      <c r="R491" s="278"/>
      <c r="S491" s="277"/>
      <c r="T491" s="278"/>
      <c r="U491" s="277"/>
      <c r="V491" s="278"/>
      <c r="W491" s="277"/>
      <c r="X491" s="278"/>
      <c r="Y491" s="277"/>
      <c r="Z491" s="278"/>
      <c r="AA491" s="277"/>
      <c r="AB491" s="278"/>
      <c r="AC491" s="277"/>
      <c r="AD491" s="278"/>
      <c r="AE491" s="277"/>
      <c r="AF491" s="278"/>
      <c r="AG491" s="277"/>
      <c r="AH491" s="278"/>
      <c r="AI491" s="277"/>
      <c r="AJ491" s="278"/>
      <c r="AK491" s="277"/>
      <c r="AL491" s="278"/>
      <c r="AM491" s="277"/>
      <c r="AN491" s="278"/>
      <c r="AO491" s="278"/>
      <c r="AP491" s="278"/>
      <c r="AQ491" s="278"/>
      <c r="AR491" s="278"/>
      <c r="AS491" s="278"/>
    </row>
    <row r="492" spans="1:45">
      <c r="A492" s="277"/>
      <c r="B492" s="298" t="b">
        <v>0</v>
      </c>
      <c r="C492" s="278"/>
      <c r="D492" s="299" t="b">
        <v>0</v>
      </c>
      <c r="E492" s="277"/>
      <c r="F492" s="298" t="b">
        <v>0</v>
      </c>
      <c r="G492" s="278"/>
      <c r="H492" s="299" t="b">
        <v>0</v>
      </c>
      <c r="I492" s="277"/>
      <c r="J492" s="278"/>
      <c r="K492" s="277"/>
      <c r="L492" s="278"/>
      <c r="M492" s="277"/>
      <c r="N492" s="278"/>
      <c r="O492" s="277"/>
      <c r="P492" s="278"/>
      <c r="Q492" s="277"/>
      <c r="R492" s="278"/>
      <c r="S492" s="277"/>
      <c r="T492" s="278"/>
      <c r="U492" s="277"/>
      <c r="V492" s="278"/>
      <c r="W492" s="277"/>
      <c r="X492" s="278"/>
      <c r="Y492" s="277"/>
      <c r="Z492" s="278"/>
      <c r="AA492" s="277"/>
      <c r="AB492" s="278"/>
      <c r="AC492" s="277"/>
      <c r="AD492" s="278"/>
      <c r="AE492" s="277"/>
      <c r="AF492" s="278"/>
      <c r="AG492" s="277"/>
      <c r="AH492" s="278"/>
      <c r="AI492" s="277"/>
      <c r="AJ492" s="278"/>
      <c r="AK492" s="277"/>
      <c r="AL492" s="278"/>
      <c r="AM492" s="277"/>
      <c r="AN492" s="278"/>
      <c r="AO492" s="278"/>
      <c r="AP492" s="278"/>
      <c r="AQ492" s="278"/>
      <c r="AR492" s="278"/>
      <c r="AS492" s="278"/>
    </row>
    <row r="493" spans="1:45">
      <c r="A493" s="277"/>
      <c r="B493" s="298" t="b">
        <v>0</v>
      </c>
      <c r="C493" s="278"/>
      <c r="D493" s="299" t="b">
        <v>0</v>
      </c>
      <c r="E493" s="277"/>
      <c r="F493" s="298" t="b">
        <v>0</v>
      </c>
      <c r="G493" s="278"/>
      <c r="H493" s="299" t="b">
        <v>0</v>
      </c>
      <c r="I493" s="277"/>
      <c r="J493" s="278"/>
      <c r="K493" s="277"/>
      <c r="L493" s="278"/>
      <c r="M493" s="277"/>
      <c r="N493" s="278"/>
      <c r="O493" s="277"/>
      <c r="P493" s="278"/>
      <c r="Q493" s="277"/>
      <c r="R493" s="278"/>
      <c r="S493" s="277"/>
      <c r="T493" s="278"/>
      <c r="U493" s="277"/>
      <c r="V493" s="278"/>
      <c r="W493" s="277"/>
      <c r="X493" s="278"/>
      <c r="Y493" s="277"/>
      <c r="Z493" s="278"/>
      <c r="AA493" s="277"/>
      <c r="AB493" s="278"/>
      <c r="AC493" s="277"/>
      <c r="AD493" s="278"/>
      <c r="AE493" s="277"/>
      <c r="AF493" s="278"/>
      <c r="AG493" s="277"/>
      <c r="AH493" s="278"/>
      <c r="AI493" s="277"/>
      <c r="AJ493" s="278"/>
      <c r="AK493" s="277"/>
      <c r="AL493" s="278"/>
      <c r="AM493" s="277"/>
      <c r="AN493" s="278"/>
      <c r="AO493" s="278"/>
      <c r="AP493" s="278"/>
      <c r="AQ493" s="278"/>
      <c r="AR493" s="278"/>
      <c r="AS493" s="278"/>
    </row>
    <row r="494" spans="1:45">
      <c r="A494" s="277"/>
      <c r="B494" s="298" t="b">
        <v>0</v>
      </c>
      <c r="C494" s="278"/>
      <c r="D494" s="299" t="b">
        <v>0</v>
      </c>
      <c r="E494" s="277"/>
      <c r="F494" s="298" t="b">
        <v>0</v>
      </c>
      <c r="G494" s="278"/>
      <c r="H494" s="299" t="b">
        <v>0</v>
      </c>
      <c r="I494" s="277"/>
      <c r="J494" s="278"/>
      <c r="K494" s="277"/>
      <c r="L494" s="278"/>
      <c r="M494" s="277"/>
      <c r="N494" s="278"/>
      <c r="O494" s="277"/>
      <c r="P494" s="278"/>
      <c r="Q494" s="277"/>
      <c r="R494" s="278"/>
      <c r="S494" s="277"/>
      <c r="T494" s="278"/>
      <c r="U494" s="277"/>
      <c r="V494" s="278"/>
      <c r="W494" s="277"/>
      <c r="X494" s="278"/>
      <c r="Y494" s="277"/>
      <c r="Z494" s="278"/>
      <c r="AA494" s="277"/>
      <c r="AB494" s="278"/>
      <c r="AC494" s="277"/>
      <c r="AD494" s="278"/>
      <c r="AE494" s="277"/>
      <c r="AF494" s="278"/>
      <c r="AG494" s="277"/>
      <c r="AH494" s="278"/>
      <c r="AI494" s="277"/>
      <c r="AJ494" s="278"/>
      <c r="AK494" s="277"/>
      <c r="AL494" s="278"/>
      <c r="AM494" s="277"/>
      <c r="AN494" s="278"/>
      <c r="AO494" s="278"/>
      <c r="AP494" s="278"/>
      <c r="AQ494" s="278"/>
      <c r="AR494" s="278"/>
      <c r="AS494" s="278"/>
    </row>
    <row r="495" spans="1:45">
      <c r="A495" s="277"/>
      <c r="B495" s="298" t="b">
        <v>0</v>
      </c>
      <c r="C495" s="278"/>
      <c r="D495" s="299" t="b">
        <v>0</v>
      </c>
      <c r="E495" s="277"/>
      <c r="F495" s="298" t="b">
        <v>0</v>
      </c>
      <c r="G495" s="278"/>
      <c r="H495" s="299" t="b">
        <v>0</v>
      </c>
      <c r="I495" s="277"/>
      <c r="J495" s="278"/>
      <c r="K495" s="277"/>
      <c r="L495" s="278"/>
      <c r="M495" s="277"/>
      <c r="N495" s="278"/>
      <c r="O495" s="277"/>
      <c r="P495" s="278"/>
      <c r="Q495" s="277"/>
      <c r="R495" s="278"/>
      <c r="S495" s="277"/>
      <c r="T495" s="278"/>
      <c r="U495" s="277"/>
      <c r="V495" s="278"/>
      <c r="W495" s="277"/>
      <c r="X495" s="278"/>
      <c r="Y495" s="277"/>
      <c r="Z495" s="278"/>
      <c r="AA495" s="277"/>
      <c r="AB495" s="278"/>
      <c r="AC495" s="277"/>
      <c r="AD495" s="278"/>
      <c r="AE495" s="277"/>
      <c r="AF495" s="278"/>
      <c r="AG495" s="277"/>
      <c r="AH495" s="278"/>
      <c r="AI495" s="277"/>
      <c r="AJ495" s="278"/>
      <c r="AK495" s="277"/>
      <c r="AL495" s="278"/>
      <c r="AM495" s="277"/>
      <c r="AN495" s="278"/>
      <c r="AO495" s="278"/>
      <c r="AP495" s="278"/>
      <c r="AQ495" s="278"/>
      <c r="AR495" s="278"/>
      <c r="AS495" s="278"/>
    </row>
    <row r="496" spans="1:45">
      <c r="A496" s="277"/>
      <c r="B496" s="298" t="b">
        <v>0</v>
      </c>
      <c r="C496" s="278"/>
      <c r="D496" s="299" t="b">
        <v>0</v>
      </c>
      <c r="E496" s="277"/>
      <c r="F496" s="298" t="b">
        <v>0</v>
      </c>
      <c r="G496" s="278"/>
      <c r="H496" s="299" t="b">
        <v>0</v>
      </c>
      <c r="I496" s="277"/>
      <c r="J496" s="278"/>
      <c r="K496" s="277"/>
      <c r="L496" s="278"/>
      <c r="M496" s="277"/>
      <c r="N496" s="278"/>
      <c r="O496" s="277"/>
      <c r="P496" s="278"/>
      <c r="Q496" s="277"/>
      <c r="R496" s="278"/>
      <c r="S496" s="277"/>
      <c r="T496" s="278"/>
      <c r="U496" s="277"/>
      <c r="V496" s="278"/>
      <c r="W496" s="277"/>
      <c r="X496" s="278"/>
      <c r="Y496" s="277"/>
      <c r="Z496" s="278"/>
      <c r="AA496" s="277"/>
      <c r="AB496" s="278"/>
      <c r="AC496" s="277"/>
      <c r="AD496" s="278"/>
      <c r="AE496" s="277"/>
      <c r="AF496" s="278"/>
      <c r="AG496" s="277"/>
      <c r="AH496" s="278"/>
      <c r="AI496" s="277"/>
      <c r="AJ496" s="278"/>
      <c r="AK496" s="277"/>
      <c r="AL496" s="278"/>
      <c r="AM496" s="277"/>
      <c r="AN496" s="278"/>
      <c r="AO496" s="278"/>
      <c r="AP496" s="278"/>
      <c r="AQ496" s="278"/>
      <c r="AR496" s="278"/>
      <c r="AS496" s="278"/>
    </row>
    <row r="497" spans="1:45">
      <c r="A497" s="277"/>
      <c r="B497" s="298" t="b">
        <v>0</v>
      </c>
      <c r="C497" s="278"/>
      <c r="D497" s="299" t="b">
        <v>0</v>
      </c>
      <c r="E497" s="277"/>
      <c r="F497" s="298" t="b">
        <v>0</v>
      </c>
      <c r="G497" s="278"/>
      <c r="H497" s="299" t="b">
        <v>0</v>
      </c>
      <c r="I497" s="277"/>
      <c r="J497" s="278"/>
      <c r="K497" s="277"/>
      <c r="L497" s="278"/>
      <c r="M497" s="277"/>
      <c r="N497" s="278"/>
      <c r="O497" s="277"/>
      <c r="P497" s="278"/>
      <c r="Q497" s="277"/>
      <c r="R497" s="278"/>
      <c r="S497" s="277"/>
      <c r="T497" s="278"/>
      <c r="U497" s="277"/>
      <c r="V497" s="278"/>
      <c r="W497" s="277"/>
      <c r="X497" s="278"/>
      <c r="Y497" s="277"/>
      <c r="Z497" s="278"/>
      <c r="AA497" s="277"/>
      <c r="AB497" s="278"/>
      <c r="AC497" s="277"/>
      <c r="AD497" s="278"/>
      <c r="AE497" s="277"/>
      <c r="AF497" s="278"/>
      <c r="AG497" s="277"/>
      <c r="AH497" s="278"/>
      <c r="AI497" s="277"/>
      <c r="AJ497" s="278"/>
      <c r="AK497" s="277"/>
      <c r="AL497" s="278"/>
      <c r="AM497" s="277"/>
      <c r="AN497" s="278"/>
      <c r="AO497" s="278"/>
      <c r="AP497" s="278"/>
      <c r="AQ497" s="278"/>
      <c r="AR497" s="278"/>
      <c r="AS497" s="278"/>
    </row>
    <row r="498" spans="1:45">
      <c r="A498" s="277"/>
      <c r="B498" s="298" t="b">
        <v>0</v>
      </c>
      <c r="C498" s="278"/>
      <c r="D498" s="299" t="b">
        <v>0</v>
      </c>
      <c r="E498" s="277"/>
      <c r="F498" s="298" t="b">
        <v>0</v>
      </c>
      <c r="G498" s="278"/>
      <c r="H498" s="299" t="b">
        <v>0</v>
      </c>
      <c r="I498" s="277"/>
      <c r="J498" s="278"/>
      <c r="K498" s="277"/>
      <c r="L498" s="278"/>
      <c r="M498" s="277"/>
      <c r="N498" s="278"/>
      <c r="O498" s="277"/>
      <c r="P498" s="278"/>
      <c r="Q498" s="277"/>
      <c r="R498" s="278"/>
      <c r="S498" s="277"/>
      <c r="T498" s="278"/>
      <c r="U498" s="277"/>
      <c r="V498" s="278"/>
      <c r="W498" s="277"/>
      <c r="X498" s="278"/>
      <c r="Y498" s="277"/>
      <c r="Z498" s="278"/>
      <c r="AA498" s="277"/>
      <c r="AB498" s="278"/>
      <c r="AC498" s="277"/>
      <c r="AD498" s="278"/>
      <c r="AE498" s="277"/>
      <c r="AF498" s="278"/>
      <c r="AG498" s="277"/>
      <c r="AH498" s="278"/>
      <c r="AI498" s="277"/>
      <c r="AJ498" s="278"/>
      <c r="AK498" s="277"/>
      <c r="AL498" s="278"/>
      <c r="AM498" s="277"/>
      <c r="AN498" s="278"/>
      <c r="AO498" s="278"/>
      <c r="AP498" s="278"/>
      <c r="AQ498" s="278"/>
      <c r="AR498" s="278"/>
      <c r="AS498" s="278"/>
    </row>
    <row r="499" spans="1:45">
      <c r="A499" s="277"/>
      <c r="B499" s="298" t="b">
        <v>0</v>
      </c>
      <c r="C499" s="278"/>
      <c r="D499" s="299" t="b">
        <v>0</v>
      </c>
      <c r="E499" s="277"/>
      <c r="F499" s="298" t="b">
        <v>0</v>
      </c>
      <c r="G499" s="278"/>
      <c r="H499" s="299" t="b">
        <v>0</v>
      </c>
      <c r="I499" s="277"/>
      <c r="J499" s="278"/>
      <c r="K499" s="277"/>
      <c r="L499" s="278"/>
      <c r="M499" s="277"/>
      <c r="N499" s="278"/>
      <c r="O499" s="277"/>
      <c r="P499" s="278"/>
      <c r="Q499" s="277"/>
      <c r="R499" s="278"/>
      <c r="S499" s="277"/>
      <c r="T499" s="278"/>
      <c r="U499" s="277"/>
      <c r="V499" s="278"/>
      <c r="W499" s="277"/>
      <c r="X499" s="278"/>
      <c r="Y499" s="277"/>
      <c r="Z499" s="278"/>
      <c r="AA499" s="277"/>
      <c r="AB499" s="278"/>
      <c r="AC499" s="277"/>
      <c r="AD499" s="278"/>
      <c r="AE499" s="277"/>
      <c r="AF499" s="278"/>
      <c r="AG499" s="277"/>
      <c r="AH499" s="278"/>
      <c r="AI499" s="277"/>
      <c r="AJ499" s="278"/>
      <c r="AK499" s="277"/>
      <c r="AL499" s="278"/>
      <c r="AM499" s="277"/>
      <c r="AN499" s="278"/>
      <c r="AO499" s="278"/>
      <c r="AP499" s="278"/>
      <c r="AQ499" s="278"/>
      <c r="AR499" s="278"/>
      <c r="AS499" s="278"/>
    </row>
    <row r="500" spans="1:45">
      <c r="A500" s="277"/>
      <c r="B500" s="298" t="b">
        <v>0</v>
      </c>
      <c r="C500" s="278"/>
      <c r="D500" s="299" t="b">
        <v>0</v>
      </c>
      <c r="E500" s="277"/>
      <c r="F500" s="298" t="b">
        <v>0</v>
      </c>
      <c r="G500" s="278"/>
      <c r="H500" s="299" t="b">
        <v>0</v>
      </c>
      <c r="I500" s="277"/>
      <c r="J500" s="278"/>
      <c r="K500" s="277"/>
      <c r="L500" s="278"/>
      <c r="M500" s="277"/>
      <c r="N500" s="278"/>
      <c r="O500" s="277"/>
      <c r="P500" s="278"/>
      <c r="Q500" s="277"/>
      <c r="R500" s="278"/>
      <c r="S500" s="277"/>
      <c r="T500" s="278"/>
      <c r="U500" s="277"/>
      <c r="V500" s="278"/>
      <c r="W500" s="277"/>
      <c r="X500" s="278"/>
      <c r="Y500" s="277"/>
      <c r="Z500" s="278"/>
      <c r="AA500" s="277"/>
      <c r="AB500" s="278"/>
      <c r="AC500" s="277"/>
      <c r="AD500" s="278"/>
      <c r="AE500" s="277"/>
      <c r="AF500" s="278"/>
      <c r="AG500" s="277"/>
      <c r="AH500" s="278"/>
      <c r="AI500" s="277"/>
      <c r="AJ500" s="278"/>
      <c r="AK500" s="277"/>
      <c r="AL500" s="278"/>
      <c r="AM500" s="277"/>
      <c r="AN500" s="278"/>
      <c r="AO500" s="278"/>
      <c r="AP500" s="278"/>
      <c r="AQ500" s="278"/>
      <c r="AR500" s="278"/>
      <c r="AS500" s="278"/>
    </row>
    <row r="501" spans="1:45">
      <c r="A501" s="277"/>
      <c r="B501" s="298" t="b">
        <v>0</v>
      </c>
      <c r="C501" s="278"/>
      <c r="D501" s="299" t="b">
        <v>0</v>
      </c>
      <c r="E501" s="277"/>
      <c r="F501" s="298" t="b">
        <v>0</v>
      </c>
      <c r="G501" s="278"/>
      <c r="H501" s="299" t="b">
        <v>0</v>
      </c>
      <c r="I501" s="277"/>
      <c r="J501" s="278"/>
      <c r="K501" s="277"/>
      <c r="L501" s="278"/>
      <c r="M501" s="277"/>
      <c r="N501" s="278"/>
      <c r="O501" s="277"/>
      <c r="P501" s="278"/>
      <c r="Q501" s="277"/>
      <c r="R501" s="278"/>
      <c r="S501" s="277"/>
      <c r="T501" s="278"/>
      <c r="U501" s="277"/>
      <c r="V501" s="278"/>
      <c r="W501" s="277"/>
      <c r="X501" s="278"/>
      <c r="Y501" s="277"/>
      <c r="Z501" s="278"/>
      <c r="AA501" s="277"/>
      <c r="AB501" s="278"/>
      <c r="AC501" s="277"/>
      <c r="AD501" s="278"/>
      <c r="AE501" s="277"/>
      <c r="AF501" s="278"/>
      <c r="AG501" s="277"/>
      <c r="AH501" s="278"/>
      <c r="AI501" s="277"/>
      <c r="AJ501" s="278"/>
      <c r="AK501" s="277"/>
      <c r="AL501" s="278"/>
      <c r="AM501" s="277"/>
      <c r="AN501" s="278"/>
      <c r="AO501" s="278"/>
      <c r="AP501" s="278"/>
      <c r="AQ501" s="278"/>
      <c r="AR501" s="278"/>
      <c r="AS501" s="278"/>
    </row>
    <row r="502" spans="1:45">
      <c r="A502" s="277"/>
      <c r="B502" s="298" t="b">
        <v>0</v>
      </c>
      <c r="C502" s="278"/>
      <c r="D502" s="299" t="b">
        <v>0</v>
      </c>
      <c r="E502" s="277"/>
      <c r="F502" s="298" t="b">
        <v>0</v>
      </c>
      <c r="G502" s="278"/>
      <c r="H502" s="299" t="b">
        <v>0</v>
      </c>
      <c r="I502" s="277"/>
      <c r="J502" s="278"/>
      <c r="K502" s="277"/>
      <c r="L502" s="278"/>
      <c r="M502" s="277"/>
      <c r="N502" s="278"/>
      <c r="O502" s="277"/>
      <c r="P502" s="278"/>
      <c r="Q502" s="277"/>
      <c r="R502" s="278"/>
      <c r="S502" s="277"/>
      <c r="T502" s="278"/>
      <c r="U502" s="277"/>
      <c r="V502" s="278"/>
      <c r="W502" s="277"/>
      <c r="X502" s="278"/>
      <c r="Y502" s="277"/>
      <c r="Z502" s="278"/>
      <c r="AA502" s="277"/>
      <c r="AB502" s="278"/>
      <c r="AC502" s="277"/>
      <c r="AD502" s="278"/>
      <c r="AE502" s="277"/>
      <c r="AF502" s="278"/>
      <c r="AG502" s="277"/>
      <c r="AH502" s="278"/>
      <c r="AI502" s="277"/>
      <c r="AJ502" s="278"/>
      <c r="AK502" s="277"/>
      <c r="AL502" s="278"/>
      <c r="AM502" s="277"/>
      <c r="AN502" s="278"/>
      <c r="AO502" s="278"/>
      <c r="AP502" s="278"/>
      <c r="AQ502" s="278"/>
      <c r="AR502" s="278"/>
      <c r="AS502" s="278"/>
    </row>
    <row r="503" spans="1:45">
      <c r="A503" s="277"/>
      <c r="B503" s="298" t="b">
        <v>0</v>
      </c>
      <c r="C503" s="278"/>
      <c r="D503" s="299" t="b">
        <v>0</v>
      </c>
      <c r="E503" s="277"/>
      <c r="F503" s="298" t="b">
        <v>0</v>
      </c>
      <c r="G503" s="278"/>
      <c r="H503" s="299" t="b">
        <v>0</v>
      </c>
      <c r="I503" s="277"/>
      <c r="J503" s="278"/>
      <c r="K503" s="277"/>
      <c r="L503" s="278"/>
      <c r="M503" s="277"/>
      <c r="N503" s="278"/>
      <c r="O503" s="277"/>
      <c r="P503" s="278"/>
      <c r="Q503" s="277"/>
      <c r="R503" s="278"/>
      <c r="S503" s="277"/>
      <c r="T503" s="278"/>
      <c r="U503" s="277"/>
      <c r="V503" s="278"/>
      <c r="W503" s="277"/>
      <c r="X503" s="278"/>
      <c r="Y503" s="277"/>
      <c r="Z503" s="278"/>
      <c r="AA503" s="277"/>
      <c r="AB503" s="278"/>
      <c r="AC503" s="277"/>
      <c r="AD503" s="278"/>
      <c r="AE503" s="277"/>
      <c r="AF503" s="278"/>
      <c r="AG503" s="277"/>
      <c r="AH503" s="278"/>
      <c r="AI503" s="277"/>
      <c r="AJ503" s="278"/>
      <c r="AK503" s="277"/>
      <c r="AL503" s="278"/>
      <c r="AM503" s="277"/>
      <c r="AN503" s="278"/>
      <c r="AO503" s="278"/>
      <c r="AP503" s="278"/>
      <c r="AQ503" s="278"/>
      <c r="AR503" s="278"/>
      <c r="AS503" s="278"/>
    </row>
    <row r="504" spans="1:45">
      <c r="A504" s="277"/>
      <c r="B504" s="298" t="b">
        <v>0</v>
      </c>
      <c r="C504" s="278"/>
      <c r="D504" s="299" t="b">
        <v>0</v>
      </c>
      <c r="E504" s="277"/>
      <c r="F504" s="298" t="b">
        <v>0</v>
      </c>
      <c r="G504" s="278"/>
      <c r="H504" s="299" t="b">
        <v>0</v>
      </c>
      <c r="I504" s="277"/>
      <c r="J504" s="278"/>
      <c r="K504" s="277"/>
      <c r="L504" s="278"/>
      <c r="M504" s="277"/>
      <c r="N504" s="278"/>
      <c r="O504" s="277"/>
      <c r="P504" s="278"/>
      <c r="Q504" s="277"/>
      <c r="R504" s="278"/>
      <c r="S504" s="277"/>
      <c r="T504" s="278"/>
      <c r="U504" s="277"/>
      <c r="V504" s="278"/>
      <c r="W504" s="277"/>
      <c r="X504" s="278"/>
      <c r="Y504" s="277"/>
      <c r="Z504" s="278"/>
      <c r="AA504" s="277"/>
      <c r="AB504" s="278"/>
      <c r="AC504" s="277"/>
      <c r="AD504" s="278"/>
      <c r="AE504" s="277"/>
      <c r="AF504" s="278"/>
      <c r="AG504" s="277"/>
      <c r="AH504" s="278"/>
      <c r="AI504" s="277"/>
      <c r="AJ504" s="278"/>
      <c r="AK504" s="277"/>
      <c r="AL504" s="278"/>
      <c r="AM504" s="277"/>
      <c r="AN504" s="278"/>
      <c r="AO504" s="278"/>
      <c r="AP504" s="278"/>
      <c r="AQ504" s="278"/>
      <c r="AR504" s="278"/>
      <c r="AS504" s="278"/>
    </row>
    <row r="505" spans="1:45">
      <c r="A505" s="277"/>
      <c r="B505" s="298" t="b">
        <v>0</v>
      </c>
      <c r="C505" s="278"/>
      <c r="D505" s="299" t="b">
        <v>0</v>
      </c>
      <c r="E505" s="277"/>
      <c r="F505" s="298" t="b">
        <v>0</v>
      </c>
      <c r="G505" s="278"/>
      <c r="H505" s="299" t="b">
        <v>0</v>
      </c>
      <c r="I505" s="277"/>
      <c r="J505" s="278"/>
      <c r="K505" s="277"/>
      <c r="L505" s="278"/>
      <c r="M505" s="277"/>
      <c r="N505" s="278"/>
      <c r="O505" s="277"/>
      <c r="P505" s="278"/>
      <c r="Q505" s="277"/>
      <c r="R505" s="278"/>
      <c r="S505" s="277"/>
      <c r="T505" s="278"/>
      <c r="U505" s="277"/>
      <c r="V505" s="278"/>
      <c r="W505" s="277"/>
      <c r="X505" s="278"/>
      <c r="Y505" s="277"/>
      <c r="Z505" s="278"/>
      <c r="AA505" s="277"/>
      <c r="AB505" s="278"/>
      <c r="AC505" s="277"/>
      <c r="AD505" s="278"/>
      <c r="AE505" s="277"/>
      <c r="AF505" s="278"/>
      <c r="AG505" s="277"/>
      <c r="AH505" s="278"/>
      <c r="AI505" s="277"/>
      <c r="AJ505" s="278"/>
      <c r="AK505" s="277"/>
      <c r="AL505" s="278"/>
      <c r="AM505" s="277"/>
      <c r="AN505" s="278"/>
      <c r="AO505" s="278"/>
      <c r="AP505" s="278"/>
      <c r="AQ505" s="278"/>
      <c r="AR505" s="278"/>
      <c r="AS505" s="278"/>
    </row>
    <row r="506" spans="1:45">
      <c r="A506" s="277"/>
      <c r="B506" s="298" t="b">
        <v>0</v>
      </c>
      <c r="C506" s="278"/>
      <c r="D506" s="299" t="b">
        <v>0</v>
      </c>
      <c r="E506" s="277"/>
      <c r="F506" s="298" t="b">
        <v>0</v>
      </c>
      <c r="G506" s="278"/>
      <c r="H506" s="299" t="b">
        <v>0</v>
      </c>
      <c r="I506" s="277"/>
      <c r="J506" s="278"/>
      <c r="K506" s="277"/>
      <c r="L506" s="278"/>
      <c r="M506" s="277"/>
      <c r="N506" s="278"/>
      <c r="O506" s="277"/>
      <c r="P506" s="278"/>
      <c r="Q506" s="277"/>
      <c r="R506" s="278"/>
      <c r="S506" s="277"/>
      <c r="T506" s="278"/>
      <c r="U506" s="277"/>
      <c r="V506" s="278"/>
      <c r="W506" s="277"/>
      <c r="X506" s="278"/>
      <c r="Y506" s="277"/>
      <c r="Z506" s="278"/>
      <c r="AA506" s="277"/>
      <c r="AB506" s="278"/>
      <c r="AC506" s="277"/>
      <c r="AD506" s="278"/>
      <c r="AE506" s="277"/>
      <c r="AF506" s="278"/>
      <c r="AG506" s="277"/>
      <c r="AH506" s="278"/>
      <c r="AI506" s="277"/>
      <c r="AJ506" s="278"/>
      <c r="AK506" s="277"/>
      <c r="AL506" s="278"/>
      <c r="AM506" s="277"/>
      <c r="AN506" s="278"/>
      <c r="AO506" s="278"/>
      <c r="AP506" s="278"/>
      <c r="AQ506" s="278"/>
      <c r="AR506" s="278"/>
      <c r="AS506" s="278"/>
    </row>
    <row r="507" spans="1:45">
      <c r="A507" s="277"/>
      <c r="B507" s="298" t="b">
        <v>0</v>
      </c>
      <c r="C507" s="278"/>
      <c r="D507" s="299" t="b">
        <v>0</v>
      </c>
      <c r="E507" s="277"/>
      <c r="F507" s="298" t="b">
        <v>0</v>
      </c>
      <c r="G507" s="278"/>
      <c r="H507" s="299" t="b">
        <v>0</v>
      </c>
      <c r="I507" s="277"/>
      <c r="J507" s="278"/>
      <c r="K507" s="277"/>
      <c r="L507" s="278"/>
      <c r="M507" s="277"/>
      <c r="N507" s="278"/>
      <c r="O507" s="277"/>
      <c r="P507" s="278"/>
      <c r="Q507" s="277"/>
      <c r="R507" s="278"/>
      <c r="S507" s="277"/>
      <c r="T507" s="278"/>
      <c r="U507" s="277"/>
      <c r="V507" s="278"/>
      <c r="W507" s="277"/>
      <c r="X507" s="278"/>
      <c r="Y507" s="277"/>
      <c r="Z507" s="278"/>
      <c r="AA507" s="277"/>
      <c r="AB507" s="278"/>
      <c r="AC507" s="277"/>
      <c r="AD507" s="278"/>
      <c r="AE507" s="277"/>
      <c r="AF507" s="278"/>
      <c r="AG507" s="277"/>
      <c r="AH507" s="278"/>
      <c r="AI507" s="277"/>
      <c r="AJ507" s="278"/>
      <c r="AK507" s="277"/>
      <c r="AL507" s="278"/>
      <c r="AM507" s="277"/>
      <c r="AN507" s="278"/>
      <c r="AO507" s="278"/>
      <c r="AP507" s="278"/>
      <c r="AQ507" s="278"/>
      <c r="AR507" s="278"/>
      <c r="AS507" s="278"/>
    </row>
    <row r="508" spans="1:45">
      <c r="A508" s="277"/>
      <c r="B508" s="298" t="b">
        <v>0</v>
      </c>
      <c r="C508" s="278"/>
      <c r="D508" s="299" t="b">
        <v>0</v>
      </c>
      <c r="E508" s="277"/>
      <c r="F508" s="298" t="b">
        <v>0</v>
      </c>
      <c r="G508" s="278"/>
      <c r="H508" s="299" t="b">
        <v>0</v>
      </c>
      <c r="I508" s="277"/>
      <c r="J508" s="278"/>
      <c r="K508" s="277"/>
      <c r="L508" s="278"/>
      <c r="M508" s="277"/>
      <c r="N508" s="278"/>
      <c r="O508" s="277"/>
      <c r="P508" s="278"/>
      <c r="Q508" s="277"/>
      <c r="R508" s="278"/>
      <c r="S508" s="277"/>
      <c r="T508" s="278"/>
      <c r="U508" s="277"/>
      <c r="V508" s="278"/>
      <c r="W508" s="277"/>
      <c r="X508" s="278"/>
      <c r="Y508" s="277"/>
      <c r="Z508" s="278"/>
      <c r="AA508" s="277"/>
      <c r="AB508" s="278"/>
      <c r="AC508" s="277"/>
      <c r="AD508" s="278"/>
      <c r="AE508" s="277"/>
      <c r="AF508" s="278"/>
      <c r="AG508" s="277"/>
      <c r="AH508" s="278"/>
      <c r="AI508" s="277"/>
      <c r="AJ508" s="278"/>
      <c r="AK508" s="277"/>
      <c r="AL508" s="278"/>
      <c r="AM508" s="277"/>
      <c r="AN508" s="278"/>
      <c r="AO508" s="278"/>
      <c r="AP508" s="278"/>
      <c r="AQ508" s="278"/>
      <c r="AR508" s="278"/>
      <c r="AS508" s="278"/>
    </row>
    <row r="509" spans="1:45">
      <c r="A509" s="277"/>
      <c r="B509" s="298" t="b">
        <v>0</v>
      </c>
      <c r="C509" s="278"/>
      <c r="D509" s="299" t="b">
        <v>0</v>
      </c>
      <c r="E509" s="277"/>
      <c r="F509" s="298" t="b">
        <v>0</v>
      </c>
      <c r="G509" s="278"/>
      <c r="H509" s="299" t="b">
        <v>0</v>
      </c>
      <c r="I509" s="277"/>
      <c r="J509" s="278"/>
      <c r="K509" s="277"/>
      <c r="L509" s="278"/>
      <c r="M509" s="277"/>
      <c r="N509" s="278"/>
      <c r="O509" s="277"/>
      <c r="P509" s="278"/>
      <c r="Q509" s="277"/>
      <c r="R509" s="278"/>
      <c r="S509" s="277"/>
      <c r="T509" s="278"/>
      <c r="U509" s="277"/>
      <c r="V509" s="278"/>
      <c r="W509" s="277"/>
      <c r="X509" s="278"/>
      <c r="Y509" s="277"/>
      <c r="Z509" s="278"/>
      <c r="AA509" s="277"/>
      <c r="AB509" s="278"/>
      <c r="AC509" s="277"/>
      <c r="AD509" s="278"/>
      <c r="AE509" s="277"/>
      <c r="AF509" s="278"/>
      <c r="AG509" s="277"/>
      <c r="AH509" s="278"/>
      <c r="AI509" s="277"/>
      <c r="AJ509" s="278"/>
      <c r="AK509" s="277"/>
      <c r="AL509" s="278"/>
      <c r="AM509" s="277"/>
      <c r="AN509" s="278"/>
      <c r="AO509" s="278"/>
      <c r="AP509" s="278"/>
      <c r="AQ509" s="278"/>
      <c r="AR509" s="278"/>
      <c r="AS509" s="278"/>
    </row>
    <row r="510" spans="1:45">
      <c r="A510" s="277"/>
      <c r="B510" s="298" t="b">
        <v>0</v>
      </c>
      <c r="C510" s="278"/>
      <c r="D510" s="299" t="b">
        <v>0</v>
      </c>
      <c r="E510" s="277"/>
      <c r="F510" s="298" t="b">
        <v>0</v>
      </c>
      <c r="G510" s="278"/>
      <c r="H510" s="299" t="b">
        <v>0</v>
      </c>
      <c r="I510" s="277"/>
      <c r="J510" s="278"/>
      <c r="K510" s="277"/>
      <c r="L510" s="278"/>
      <c r="M510" s="277"/>
      <c r="N510" s="278"/>
      <c r="O510" s="277"/>
      <c r="P510" s="278"/>
      <c r="Q510" s="277"/>
      <c r="R510" s="278"/>
      <c r="S510" s="277"/>
      <c r="T510" s="278"/>
      <c r="U510" s="277"/>
      <c r="V510" s="278"/>
      <c r="W510" s="277"/>
      <c r="X510" s="278"/>
      <c r="Y510" s="277"/>
      <c r="Z510" s="278"/>
      <c r="AA510" s="277"/>
      <c r="AB510" s="278"/>
      <c r="AC510" s="277"/>
      <c r="AD510" s="278"/>
      <c r="AE510" s="277"/>
      <c r="AF510" s="278"/>
      <c r="AG510" s="277"/>
      <c r="AH510" s="278"/>
      <c r="AI510" s="277"/>
      <c r="AJ510" s="278"/>
      <c r="AK510" s="277"/>
      <c r="AL510" s="278"/>
      <c r="AM510" s="277"/>
      <c r="AN510" s="278"/>
      <c r="AO510" s="278"/>
      <c r="AP510" s="278"/>
      <c r="AQ510" s="278"/>
      <c r="AR510" s="278"/>
      <c r="AS510" s="278"/>
    </row>
    <row r="511" spans="1:45">
      <c r="A511" s="277"/>
      <c r="B511" s="298" t="b">
        <v>0</v>
      </c>
      <c r="C511" s="278"/>
      <c r="D511" s="299" t="b">
        <v>0</v>
      </c>
      <c r="E511" s="277"/>
      <c r="F511" s="298" t="b">
        <v>0</v>
      </c>
      <c r="G511" s="278"/>
      <c r="H511" s="299" t="b">
        <v>0</v>
      </c>
      <c r="I511" s="277"/>
      <c r="J511" s="278"/>
      <c r="K511" s="277"/>
      <c r="L511" s="278"/>
      <c r="M511" s="277"/>
      <c r="N511" s="278"/>
      <c r="O511" s="277"/>
      <c r="P511" s="278"/>
      <c r="Q511" s="277"/>
      <c r="R511" s="278"/>
      <c r="S511" s="277"/>
      <c r="T511" s="278"/>
      <c r="U511" s="277"/>
      <c r="V511" s="278"/>
      <c r="W511" s="277"/>
      <c r="X511" s="278"/>
      <c r="Y511" s="277"/>
      <c r="Z511" s="278"/>
      <c r="AA511" s="277"/>
      <c r="AB511" s="278"/>
      <c r="AC511" s="277"/>
      <c r="AD511" s="278"/>
      <c r="AE511" s="277"/>
      <c r="AF511" s="278"/>
      <c r="AG511" s="277"/>
      <c r="AH511" s="278"/>
      <c r="AI511" s="277"/>
      <c r="AJ511" s="278"/>
      <c r="AK511" s="277"/>
      <c r="AL511" s="278"/>
      <c r="AM511" s="277"/>
      <c r="AN511" s="278"/>
      <c r="AO511" s="278"/>
      <c r="AP511" s="278"/>
      <c r="AQ511" s="278"/>
      <c r="AR511" s="278"/>
      <c r="AS511" s="278"/>
    </row>
    <row r="512" spans="1:45">
      <c r="A512" s="277"/>
      <c r="B512" s="298" t="b">
        <v>0</v>
      </c>
      <c r="C512" s="278"/>
      <c r="D512" s="299" t="b">
        <v>0</v>
      </c>
      <c r="E512" s="277"/>
      <c r="F512" s="298" t="b">
        <v>0</v>
      </c>
      <c r="G512" s="278"/>
      <c r="H512" s="299" t="b">
        <v>0</v>
      </c>
      <c r="I512" s="277"/>
      <c r="J512" s="278"/>
      <c r="K512" s="277"/>
      <c r="L512" s="278"/>
      <c r="M512" s="277"/>
      <c r="N512" s="278"/>
      <c r="O512" s="277"/>
      <c r="P512" s="278"/>
      <c r="Q512" s="277"/>
      <c r="R512" s="278"/>
      <c r="S512" s="277"/>
      <c r="T512" s="278"/>
      <c r="U512" s="277"/>
      <c r="V512" s="278"/>
      <c r="W512" s="277"/>
      <c r="X512" s="278"/>
      <c r="Y512" s="277"/>
      <c r="Z512" s="278"/>
      <c r="AA512" s="277"/>
      <c r="AB512" s="278"/>
      <c r="AC512" s="277"/>
      <c r="AD512" s="278"/>
      <c r="AE512" s="277"/>
      <c r="AF512" s="278"/>
      <c r="AG512" s="277"/>
      <c r="AH512" s="278"/>
      <c r="AI512" s="277"/>
      <c r="AJ512" s="278"/>
      <c r="AK512" s="277"/>
      <c r="AL512" s="278"/>
      <c r="AM512" s="277"/>
      <c r="AN512" s="278"/>
      <c r="AO512" s="278"/>
      <c r="AP512" s="278"/>
      <c r="AQ512" s="278"/>
      <c r="AR512" s="278"/>
      <c r="AS512" s="278"/>
    </row>
    <row r="513" spans="1:45">
      <c r="A513" s="277"/>
      <c r="B513" s="298" t="b">
        <v>0</v>
      </c>
      <c r="C513" s="278"/>
      <c r="D513" s="299" t="b">
        <v>0</v>
      </c>
      <c r="E513" s="277"/>
      <c r="F513" s="298" t="b">
        <v>0</v>
      </c>
      <c r="G513" s="278"/>
      <c r="H513" s="299" t="b">
        <v>0</v>
      </c>
      <c r="I513" s="277"/>
      <c r="J513" s="278"/>
      <c r="K513" s="277"/>
      <c r="L513" s="278"/>
      <c r="M513" s="277"/>
      <c r="N513" s="278"/>
      <c r="O513" s="277"/>
      <c r="P513" s="278"/>
      <c r="Q513" s="277"/>
      <c r="R513" s="278"/>
      <c r="S513" s="277"/>
      <c r="T513" s="278"/>
      <c r="U513" s="277"/>
      <c r="V513" s="278"/>
      <c r="W513" s="277"/>
      <c r="X513" s="278"/>
      <c r="Y513" s="277"/>
      <c r="Z513" s="278"/>
      <c r="AA513" s="277"/>
      <c r="AB513" s="278"/>
      <c r="AC513" s="277"/>
      <c r="AD513" s="278"/>
      <c r="AE513" s="277"/>
      <c r="AF513" s="278"/>
      <c r="AG513" s="277"/>
      <c r="AH513" s="278"/>
      <c r="AI513" s="277"/>
      <c r="AJ513" s="278"/>
      <c r="AK513" s="277"/>
      <c r="AL513" s="278"/>
      <c r="AM513" s="277"/>
      <c r="AN513" s="278"/>
      <c r="AO513" s="278"/>
      <c r="AP513" s="278"/>
      <c r="AQ513" s="278"/>
      <c r="AR513" s="278"/>
      <c r="AS513" s="278"/>
    </row>
    <row r="514" spans="1:45">
      <c r="A514" s="277"/>
      <c r="B514" s="298" t="b">
        <v>0</v>
      </c>
      <c r="C514" s="278"/>
      <c r="D514" s="299" t="b">
        <v>0</v>
      </c>
      <c r="E514" s="277"/>
      <c r="F514" s="298" t="b">
        <v>0</v>
      </c>
      <c r="G514" s="278"/>
      <c r="H514" s="299" t="b">
        <v>0</v>
      </c>
      <c r="I514" s="277"/>
      <c r="J514" s="278"/>
      <c r="K514" s="277"/>
      <c r="L514" s="278"/>
      <c r="M514" s="277"/>
      <c r="N514" s="278"/>
      <c r="O514" s="277"/>
      <c r="P514" s="278"/>
      <c r="Q514" s="277"/>
      <c r="R514" s="278"/>
      <c r="S514" s="277"/>
      <c r="T514" s="278"/>
      <c r="U514" s="277"/>
      <c r="V514" s="278"/>
      <c r="W514" s="277"/>
      <c r="X514" s="278"/>
      <c r="Y514" s="277"/>
      <c r="Z514" s="278"/>
      <c r="AA514" s="277"/>
      <c r="AB514" s="278"/>
      <c r="AC514" s="277"/>
      <c r="AD514" s="278"/>
      <c r="AE514" s="277"/>
      <c r="AF514" s="278"/>
      <c r="AG514" s="277"/>
      <c r="AH514" s="278"/>
      <c r="AI514" s="277"/>
      <c r="AJ514" s="278"/>
      <c r="AK514" s="277"/>
      <c r="AL514" s="278"/>
      <c r="AM514" s="277"/>
      <c r="AN514" s="278"/>
      <c r="AO514" s="278"/>
      <c r="AP514" s="278"/>
      <c r="AQ514" s="278"/>
      <c r="AR514" s="278"/>
      <c r="AS514" s="278"/>
    </row>
    <row r="515" spans="1:45">
      <c r="A515" s="277"/>
      <c r="B515" s="298" t="b">
        <v>0</v>
      </c>
      <c r="C515" s="278"/>
      <c r="D515" s="299" t="b">
        <v>0</v>
      </c>
      <c r="E515" s="277"/>
      <c r="F515" s="298" t="b">
        <v>0</v>
      </c>
      <c r="G515" s="278"/>
      <c r="H515" s="299" t="b">
        <v>0</v>
      </c>
      <c r="I515" s="277"/>
      <c r="J515" s="278"/>
      <c r="K515" s="277"/>
      <c r="L515" s="278"/>
      <c r="M515" s="277"/>
      <c r="N515" s="278"/>
      <c r="O515" s="277"/>
      <c r="P515" s="278"/>
      <c r="Q515" s="277"/>
      <c r="R515" s="278"/>
      <c r="S515" s="277"/>
      <c r="T515" s="278"/>
      <c r="U515" s="277"/>
      <c r="V515" s="278"/>
      <c r="W515" s="277"/>
      <c r="X515" s="278"/>
      <c r="Y515" s="277"/>
      <c r="Z515" s="278"/>
      <c r="AA515" s="277"/>
      <c r="AB515" s="278"/>
      <c r="AC515" s="277"/>
      <c r="AD515" s="278"/>
      <c r="AE515" s="277"/>
      <c r="AF515" s="278"/>
      <c r="AG515" s="277"/>
      <c r="AH515" s="278"/>
      <c r="AI515" s="277"/>
      <c r="AJ515" s="278"/>
      <c r="AK515" s="277"/>
      <c r="AL515" s="278"/>
      <c r="AM515" s="277"/>
      <c r="AN515" s="278"/>
      <c r="AO515" s="278"/>
      <c r="AP515" s="278"/>
      <c r="AQ515" s="278"/>
      <c r="AR515" s="278"/>
      <c r="AS515" s="278"/>
    </row>
    <row r="516" spans="1:45">
      <c r="A516" s="277"/>
      <c r="B516" s="298" t="b">
        <v>0</v>
      </c>
      <c r="C516" s="278"/>
      <c r="D516" s="299" t="b">
        <v>0</v>
      </c>
      <c r="E516" s="277"/>
      <c r="F516" s="298" t="b">
        <v>0</v>
      </c>
      <c r="G516" s="278"/>
      <c r="H516" s="299" t="b">
        <v>0</v>
      </c>
      <c r="I516" s="277"/>
      <c r="J516" s="278"/>
      <c r="K516" s="277"/>
      <c r="L516" s="278"/>
      <c r="M516" s="277"/>
      <c r="N516" s="278"/>
      <c r="O516" s="277"/>
      <c r="P516" s="278"/>
      <c r="Q516" s="277"/>
      <c r="R516" s="278"/>
      <c r="S516" s="277"/>
      <c r="T516" s="278"/>
      <c r="U516" s="277"/>
      <c r="V516" s="278"/>
      <c r="W516" s="277"/>
      <c r="X516" s="278"/>
      <c r="Y516" s="277"/>
      <c r="Z516" s="278"/>
      <c r="AA516" s="277"/>
      <c r="AB516" s="278"/>
      <c r="AC516" s="277"/>
      <c r="AD516" s="278"/>
      <c r="AE516" s="277"/>
      <c r="AF516" s="278"/>
      <c r="AG516" s="277"/>
      <c r="AH516" s="278"/>
      <c r="AI516" s="277"/>
      <c r="AJ516" s="278"/>
      <c r="AK516" s="277"/>
      <c r="AL516" s="278"/>
      <c r="AM516" s="277"/>
      <c r="AN516" s="278"/>
      <c r="AO516" s="278"/>
      <c r="AP516" s="278"/>
      <c r="AQ516" s="278"/>
      <c r="AR516" s="278"/>
      <c r="AS516" s="278"/>
    </row>
    <row r="517" spans="1:45">
      <c r="A517" s="277"/>
      <c r="B517" s="298" t="b">
        <v>0</v>
      </c>
      <c r="C517" s="278"/>
      <c r="D517" s="299" t="b">
        <v>0</v>
      </c>
      <c r="E517" s="277"/>
      <c r="F517" s="298" t="b">
        <v>0</v>
      </c>
      <c r="G517" s="278"/>
      <c r="H517" s="299" t="b">
        <v>0</v>
      </c>
      <c r="I517" s="277"/>
      <c r="J517" s="278"/>
      <c r="K517" s="277"/>
      <c r="L517" s="278"/>
      <c r="M517" s="277"/>
      <c r="N517" s="278"/>
      <c r="O517" s="277"/>
      <c r="P517" s="278"/>
      <c r="Q517" s="277"/>
      <c r="R517" s="278"/>
      <c r="S517" s="277"/>
      <c r="T517" s="278"/>
      <c r="U517" s="277"/>
      <c r="V517" s="278"/>
      <c r="W517" s="277"/>
      <c r="X517" s="278"/>
      <c r="Y517" s="277"/>
      <c r="Z517" s="278"/>
      <c r="AA517" s="277"/>
      <c r="AB517" s="278"/>
      <c r="AC517" s="277"/>
      <c r="AD517" s="278"/>
      <c r="AE517" s="277"/>
      <c r="AF517" s="278"/>
      <c r="AG517" s="277"/>
      <c r="AH517" s="278"/>
      <c r="AI517" s="277"/>
      <c r="AJ517" s="278"/>
      <c r="AK517" s="277"/>
      <c r="AL517" s="278"/>
      <c r="AM517" s="277"/>
      <c r="AN517" s="278"/>
      <c r="AO517" s="278"/>
      <c r="AP517" s="278"/>
      <c r="AQ517" s="278"/>
      <c r="AR517" s="278"/>
      <c r="AS517" s="278"/>
    </row>
    <row r="518" spans="1:45">
      <c r="A518" s="277"/>
      <c r="B518" s="298" t="b">
        <v>0</v>
      </c>
      <c r="C518" s="278"/>
      <c r="D518" s="299" t="b">
        <v>0</v>
      </c>
      <c r="E518" s="277"/>
      <c r="F518" s="298" t="b">
        <v>0</v>
      </c>
      <c r="G518" s="278"/>
      <c r="H518" s="299" t="b">
        <v>0</v>
      </c>
      <c r="I518" s="277"/>
      <c r="J518" s="278"/>
      <c r="K518" s="277"/>
      <c r="L518" s="278"/>
      <c r="M518" s="277"/>
      <c r="N518" s="278"/>
      <c r="O518" s="277"/>
      <c r="P518" s="278"/>
      <c r="Q518" s="277"/>
      <c r="R518" s="278"/>
      <c r="S518" s="277"/>
      <c r="T518" s="278"/>
      <c r="U518" s="277"/>
      <c r="V518" s="278"/>
      <c r="W518" s="277"/>
      <c r="X518" s="278"/>
      <c r="Y518" s="277"/>
      <c r="Z518" s="278"/>
      <c r="AA518" s="277"/>
      <c r="AB518" s="278"/>
      <c r="AC518" s="277"/>
      <c r="AD518" s="278"/>
      <c r="AE518" s="277"/>
      <c r="AF518" s="278"/>
      <c r="AG518" s="277"/>
      <c r="AH518" s="278"/>
      <c r="AI518" s="277"/>
      <c r="AJ518" s="278"/>
      <c r="AK518" s="277"/>
      <c r="AL518" s="278"/>
      <c r="AM518" s="277"/>
      <c r="AN518" s="278"/>
      <c r="AO518" s="278"/>
      <c r="AP518" s="278"/>
      <c r="AQ518" s="278"/>
      <c r="AR518" s="278"/>
      <c r="AS518" s="278"/>
    </row>
    <row r="519" spans="1:45">
      <c r="A519" s="277"/>
      <c r="B519" s="298" t="b">
        <v>0</v>
      </c>
      <c r="C519" s="278"/>
      <c r="D519" s="299" t="b">
        <v>0</v>
      </c>
      <c r="E519" s="277"/>
      <c r="F519" s="298" t="b">
        <v>0</v>
      </c>
      <c r="G519" s="278"/>
      <c r="H519" s="299" t="b">
        <v>0</v>
      </c>
      <c r="I519" s="277"/>
      <c r="J519" s="278"/>
      <c r="K519" s="277"/>
      <c r="L519" s="278"/>
      <c r="M519" s="277"/>
      <c r="N519" s="278"/>
      <c r="O519" s="277"/>
      <c r="P519" s="278"/>
      <c r="Q519" s="277"/>
      <c r="R519" s="278"/>
      <c r="S519" s="277"/>
      <c r="T519" s="278"/>
      <c r="U519" s="277"/>
      <c r="V519" s="278"/>
      <c r="W519" s="277"/>
      <c r="X519" s="278"/>
      <c r="Y519" s="277"/>
      <c r="Z519" s="278"/>
      <c r="AA519" s="277"/>
      <c r="AB519" s="278"/>
      <c r="AC519" s="277"/>
      <c r="AD519" s="278"/>
      <c r="AE519" s="277"/>
      <c r="AF519" s="278"/>
      <c r="AG519" s="277"/>
      <c r="AH519" s="278"/>
      <c r="AI519" s="277"/>
      <c r="AJ519" s="278"/>
      <c r="AK519" s="277"/>
      <c r="AL519" s="278"/>
      <c r="AM519" s="277"/>
      <c r="AN519" s="278"/>
      <c r="AO519" s="278"/>
      <c r="AP519" s="278"/>
      <c r="AQ519" s="278"/>
      <c r="AR519" s="278"/>
      <c r="AS519" s="278"/>
    </row>
    <row r="520" spans="1:45">
      <c r="A520" s="277"/>
      <c r="B520" s="298" t="b">
        <v>0</v>
      </c>
      <c r="C520" s="278"/>
      <c r="D520" s="299" t="b">
        <v>0</v>
      </c>
      <c r="E520" s="277"/>
      <c r="F520" s="298" t="b">
        <v>0</v>
      </c>
      <c r="G520" s="278"/>
      <c r="H520" s="299" t="b">
        <v>0</v>
      </c>
      <c r="I520" s="277"/>
      <c r="J520" s="278"/>
      <c r="K520" s="277"/>
      <c r="L520" s="278"/>
      <c r="M520" s="277"/>
      <c r="N520" s="278"/>
      <c r="O520" s="277"/>
      <c r="P520" s="278"/>
      <c r="Q520" s="277"/>
      <c r="R520" s="278"/>
      <c r="S520" s="277"/>
      <c r="T520" s="278"/>
      <c r="U520" s="277"/>
      <c r="V520" s="278"/>
      <c r="W520" s="277"/>
      <c r="X520" s="278"/>
      <c r="Y520" s="277"/>
      <c r="Z520" s="278"/>
      <c r="AA520" s="277"/>
      <c r="AB520" s="278"/>
      <c r="AC520" s="277"/>
      <c r="AD520" s="278"/>
      <c r="AE520" s="277"/>
      <c r="AF520" s="278"/>
      <c r="AG520" s="277"/>
      <c r="AH520" s="278"/>
      <c r="AI520" s="277"/>
      <c r="AJ520" s="278"/>
      <c r="AK520" s="277"/>
      <c r="AL520" s="278"/>
      <c r="AM520" s="277"/>
      <c r="AN520" s="278"/>
      <c r="AO520" s="278"/>
      <c r="AP520" s="278"/>
      <c r="AQ520" s="278"/>
      <c r="AR520" s="278"/>
      <c r="AS520" s="278"/>
    </row>
    <row r="521" spans="1:45">
      <c r="A521" s="277"/>
      <c r="B521" s="298" t="b">
        <v>0</v>
      </c>
      <c r="C521" s="278"/>
      <c r="D521" s="299" t="b">
        <v>0</v>
      </c>
      <c r="E521" s="277"/>
      <c r="F521" s="298" t="b">
        <v>0</v>
      </c>
      <c r="G521" s="278"/>
      <c r="H521" s="299" t="b">
        <v>0</v>
      </c>
      <c r="I521" s="277"/>
      <c r="J521" s="278"/>
      <c r="K521" s="277"/>
      <c r="L521" s="278"/>
      <c r="M521" s="277"/>
      <c r="N521" s="278"/>
      <c r="O521" s="277"/>
      <c r="P521" s="278"/>
      <c r="Q521" s="277"/>
      <c r="R521" s="278"/>
      <c r="S521" s="277"/>
      <c r="T521" s="278"/>
      <c r="U521" s="277"/>
      <c r="V521" s="278"/>
      <c r="W521" s="277"/>
      <c r="X521" s="278"/>
      <c r="Y521" s="277"/>
      <c r="Z521" s="278"/>
      <c r="AA521" s="277"/>
      <c r="AB521" s="278"/>
      <c r="AC521" s="277"/>
      <c r="AD521" s="278"/>
      <c r="AE521" s="277"/>
      <c r="AF521" s="278"/>
      <c r="AG521" s="277"/>
      <c r="AH521" s="278"/>
      <c r="AI521" s="277"/>
      <c r="AJ521" s="278"/>
      <c r="AK521" s="277"/>
      <c r="AL521" s="278"/>
      <c r="AM521" s="277"/>
      <c r="AN521" s="278"/>
      <c r="AO521" s="278"/>
      <c r="AP521" s="278"/>
      <c r="AQ521" s="278"/>
      <c r="AR521" s="278"/>
      <c r="AS521" s="278"/>
    </row>
    <row r="522" spans="1:45">
      <c r="A522" s="277"/>
      <c r="B522" s="298" t="b">
        <v>0</v>
      </c>
      <c r="C522" s="278"/>
      <c r="D522" s="299" t="b">
        <v>0</v>
      </c>
      <c r="E522" s="277"/>
      <c r="F522" s="298" t="b">
        <v>0</v>
      </c>
      <c r="G522" s="278"/>
      <c r="H522" s="299" t="b">
        <v>0</v>
      </c>
      <c r="I522" s="277"/>
      <c r="J522" s="278"/>
      <c r="K522" s="277"/>
      <c r="L522" s="278"/>
      <c r="M522" s="277"/>
      <c r="N522" s="278"/>
      <c r="O522" s="277"/>
      <c r="P522" s="278"/>
      <c r="Q522" s="277"/>
      <c r="R522" s="278"/>
      <c r="S522" s="277"/>
      <c r="T522" s="278"/>
      <c r="U522" s="277"/>
      <c r="V522" s="278"/>
      <c r="W522" s="277"/>
      <c r="X522" s="278"/>
      <c r="Y522" s="277"/>
      <c r="Z522" s="278"/>
      <c r="AA522" s="277"/>
      <c r="AB522" s="278"/>
      <c r="AC522" s="277"/>
      <c r="AD522" s="278"/>
      <c r="AE522" s="277"/>
      <c r="AF522" s="278"/>
      <c r="AG522" s="277"/>
      <c r="AH522" s="278"/>
      <c r="AI522" s="277"/>
      <c r="AJ522" s="278"/>
      <c r="AK522" s="277"/>
      <c r="AL522" s="278"/>
      <c r="AM522" s="277"/>
      <c r="AN522" s="278"/>
      <c r="AO522" s="278"/>
      <c r="AP522" s="278"/>
      <c r="AQ522" s="278"/>
      <c r="AR522" s="278"/>
      <c r="AS522" s="278"/>
    </row>
    <row r="523" spans="1:45">
      <c r="A523" s="277"/>
      <c r="B523" s="298" t="b">
        <v>0</v>
      </c>
      <c r="C523" s="278"/>
      <c r="D523" s="299" t="b">
        <v>0</v>
      </c>
      <c r="E523" s="277"/>
      <c r="F523" s="298" t="b">
        <v>0</v>
      </c>
      <c r="G523" s="278"/>
      <c r="H523" s="299" t="b">
        <v>0</v>
      </c>
      <c r="I523" s="277"/>
      <c r="J523" s="278"/>
      <c r="K523" s="277"/>
      <c r="L523" s="278"/>
      <c r="M523" s="277"/>
      <c r="N523" s="278"/>
      <c r="O523" s="277"/>
      <c r="P523" s="278"/>
      <c r="Q523" s="277"/>
      <c r="R523" s="278"/>
      <c r="S523" s="277"/>
      <c r="T523" s="278"/>
      <c r="U523" s="277"/>
      <c r="V523" s="278"/>
      <c r="W523" s="277"/>
      <c r="X523" s="278"/>
      <c r="Y523" s="277"/>
      <c r="Z523" s="278"/>
      <c r="AA523" s="277"/>
      <c r="AB523" s="278"/>
      <c r="AC523" s="277"/>
      <c r="AD523" s="278"/>
      <c r="AE523" s="277"/>
      <c r="AF523" s="278"/>
      <c r="AG523" s="277"/>
      <c r="AH523" s="278"/>
      <c r="AI523" s="277"/>
      <c r="AJ523" s="278"/>
      <c r="AK523" s="277"/>
      <c r="AL523" s="278"/>
      <c r="AM523" s="277"/>
      <c r="AN523" s="278"/>
      <c r="AO523" s="278"/>
      <c r="AP523" s="278"/>
      <c r="AQ523" s="278"/>
      <c r="AR523" s="278"/>
      <c r="AS523" s="278"/>
    </row>
    <row r="524" spans="1:45">
      <c r="A524" s="277"/>
      <c r="B524" s="298" t="b">
        <v>0</v>
      </c>
      <c r="C524" s="278"/>
      <c r="D524" s="299" t="b">
        <v>0</v>
      </c>
      <c r="E524" s="277"/>
      <c r="F524" s="298" t="b">
        <v>0</v>
      </c>
      <c r="G524" s="278"/>
      <c r="H524" s="299" t="b">
        <v>0</v>
      </c>
      <c r="I524" s="277"/>
      <c r="J524" s="278"/>
      <c r="K524" s="277"/>
      <c r="L524" s="278"/>
      <c r="M524" s="277"/>
      <c r="N524" s="278"/>
      <c r="O524" s="277"/>
      <c r="P524" s="278"/>
      <c r="Q524" s="277"/>
      <c r="R524" s="278"/>
      <c r="S524" s="277"/>
      <c r="T524" s="278"/>
      <c r="U524" s="277"/>
      <c r="V524" s="278"/>
      <c r="W524" s="277"/>
      <c r="X524" s="278"/>
      <c r="Y524" s="277"/>
      <c r="Z524" s="278"/>
      <c r="AA524" s="277"/>
      <c r="AB524" s="278"/>
      <c r="AC524" s="277"/>
      <c r="AD524" s="278"/>
      <c r="AE524" s="277"/>
      <c r="AF524" s="278"/>
      <c r="AG524" s="277"/>
      <c r="AH524" s="278"/>
      <c r="AI524" s="277"/>
      <c r="AJ524" s="278"/>
      <c r="AK524" s="277"/>
      <c r="AL524" s="278"/>
      <c r="AM524" s="277"/>
      <c r="AN524" s="278"/>
      <c r="AO524" s="278"/>
      <c r="AP524" s="278"/>
      <c r="AQ524" s="278"/>
      <c r="AR524" s="278"/>
      <c r="AS524" s="278"/>
    </row>
    <row r="525" spans="1:45">
      <c r="A525" s="277"/>
      <c r="B525" s="298" t="b">
        <v>0</v>
      </c>
      <c r="C525" s="278"/>
      <c r="D525" s="299" t="b">
        <v>0</v>
      </c>
      <c r="E525" s="277"/>
      <c r="F525" s="298" t="b">
        <v>0</v>
      </c>
      <c r="G525" s="278"/>
      <c r="H525" s="299" t="b">
        <v>0</v>
      </c>
      <c r="I525" s="277"/>
      <c r="J525" s="278"/>
      <c r="K525" s="277"/>
      <c r="L525" s="278"/>
      <c r="M525" s="277"/>
      <c r="N525" s="278"/>
      <c r="O525" s="277"/>
      <c r="P525" s="278"/>
      <c r="Q525" s="277"/>
      <c r="R525" s="278"/>
      <c r="S525" s="277"/>
      <c r="T525" s="278"/>
      <c r="U525" s="277"/>
      <c r="V525" s="278"/>
      <c r="W525" s="277"/>
      <c r="X525" s="278"/>
      <c r="Y525" s="277"/>
      <c r="Z525" s="278"/>
      <c r="AA525" s="277"/>
      <c r="AB525" s="278"/>
      <c r="AC525" s="277"/>
      <c r="AD525" s="278"/>
      <c r="AE525" s="277"/>
      <c r="AF525" s="278"/>
      <c r="AG525" s="277"/>
      <c r="AH525" s="278"/>
      <c r="AI525" s="277"/>
      <c r="AJ525" s="278"/>
      <c r="AK525" s="277"/>
      <c r="AL525" s="278"/>
      <c r="AM525" s="277"/>
      <c r="AN525" s="278"/>
      <c r="AO525" s="278"/>
      <c r="AP525" s="278"/>
      <c r="AQ525" s="278"/>
      <c r="AR525" s="278"/>
      <c r="AS525" s="278"/>
    </row>
    <row r="526" spans="1:45">
      <c r="A526" s="277"/>
      <c r="B526" s="298" t="b">
        <v>0</v>
      </c>
      <c r="C526" s="278"/>
      <c r="D526" s="299" t="b">
        <v>0</v>
      </c>
      <c r="E526" s="277"/>
      <c r="F526" s="298" t="b">
        <v>0</v>
      </c>
      <c r="G526" s="278"/>
      <c r="H526" s="299" t="b">
        <v>0</v>
      </c>
      <c r="I526" s="277"/>
      <c r="J526" s="278"/>
      <c r="K526" s="277"/>
      <c r="L526" s="278"/>
      <c r="M526" s="277"/>
      <c r="N526" s="278"/>
      <c r="O526" s="277"/>
      <c r="P526" s="278"/>
      <c r="Q526" s="277"/>
      <c r="R526" s="278"/>
      <c r="S526" s="277"/>
      <c r="T526" s="278"/>
      <c r="U526" s="277"/>
      <c r="V526" s="278"/>
      <c r="W526" s="277"/>
      <c r="X526" s="278"/>
      <c r="Y526" s="277"/>
      <c r="Z526" s="278"/>
      <c r="AA526" s="277"/>
      <c r="AB526" s="278"/>
      <c r="AC526" s="277"/>
      <c r="AD526" s="278"/>
      <c r="AE526" s="277"/>
      <c r="AF526" s="278"/>
      <c r="AG526" s="277"/>
      <c r="AH526" s="278"/>
      <c r="AI526" s="277"/>
      <c r="AJ526" s="278"/>
      <c r="AK526" s="277"/>
      <c r="AL526" s="278"/>
      <c r="AM526" s="277"/>
      <c r="AN526" s="278"/>
      <c r="AO526" s="278"/>
      <c r="AP526" s="278"/>
      <c r="AQ526" s="278"/>
      <c r="AR526" s="278"/>
      <c r="AS526" s="278"/>
    </row>
    <row r="527" spans="1:45">
      <c r="A527" s="277"/>
      <c r="B527" s="298" t="b">
        <v>0</v>
      </c>
      <c r="C527" s="278"/>
      <c r="D527" s="299" t="b">
        <v>0</v>
      </c>
      <c r="E527" s="277"/>
      <c r="F527" s="298" t="b">
        <v>0</v>
      </c>
      <c r="G527" s="278"/>
      <c r="H527" s="299" t="b">
        <v>0</v>
      </c>
      <c r="I527" s="277"/>
      <c r="J527" s="278"/>
      <c r="K527" s="277"/>
      <c r="L527" s="278"/>
      <c r="M527" s="277"/>
      <c r="N527" s="278"/>
      <c r="O527" s="277"/>
      <c r="P527" s="278"/>
      <c r="Q527" s="277"/>
      <c r="R527" s="278"/>
      <c r="S527" s="277"/>
      <c r="T527" s="278"/>
      <c r="U527" s="277"/>
      <c r="V527" s="278"/>
      <c r="W527" s="277"/>
      <c r="X527" s="278"/>
      <c r="Y527" s="277"/>
      <c r="Z527" s="278"/>
      <c r="AA527" s="277"/>
      <c r="AB527" s="278"/>
      <c r="AC527" s="277"/>
      <c r="AD527" s="278"/>
      <c r="AE527" s="277"/>
      <c r="AF527" s="278"/>
      <c r="AG527" s="277"/>
      <c r="AH527" s="278"/>
      <c r="AI527" s="277"/>
      <c r="AJ527" s="278"/>
      <c r="AK527" s="277"/>
      <c r="AL527" s="278"/>
      <c r="AM527" s="277"/>
      <c r="AN527" s="278"/>
      <c r="AO527" s="278"/>
      <c r="AP527" s="278"/>
      <c r="AQ527" s="278"/>
      <c r="AR527" s="278"/>
      <c r="AS527" s="278"/>
    </row>
    <row r="528" spans="1:45">
      <c r="A528" s="277"/>
      <c r="B528" s="298" t="b">
        <v>0</v>
      </c>
      <c r="C528" s="278"/>
      <c r="D528" s="299" t="b">
        <v>0</v>
      </c>
      <c r="E528" s="277"/>
      <c r="F528" s="298" t="b">
        <v>0</v>
      </c>
      <c r="G528" s="278"/>
      <c r="H528" s="299" t="b">
        <v>0</v>
      </c>
      <c r="I528" s="277"/>
      <c r="J528" s="278"/>
      <c r="K528" s="277"/>
      <c r="L528" s="278"/>
      <c r="M528" s="277"/>
      <c r="N528" s="278"/>
      <c r="O528" s="277"/>
      <c r="P528" s="278"/>
      <c r="Q528" s="277"/>
      <c r="R528" s="278"/>
      <c r="S528" s="277"/>
      <c r="T528" s="278"/>
      <c r="U528" s="277"/>
      <c r="V528" s="278"/>
      <c r="W528" s="277"/>
      <c r="X528" s="278"/>
      <c r="Y528" s="277"/>
      <c r="Z528" s="278"/>
      <c r="AA528" s="277"/>
      <c r="AB528" s="278"/>
      <c r="AC528" s="277"/>
      <c r="AD528" s="278"/>
      <c r="AE528" s="277"/>
      <c r="AF528" s="278"/>
      <c r="AG528" s="277"/>
      <c r="AH528" s="278"/>
      <c r="AI528" s="277"/>
      <c r="AJ528" s="278"/>
      <c r="AK528" s="277"/>
      <c r="AL528" s="278"/>
      <c r="AM528" s="277"/>
      <c r="AN528" s="278"/>
      <c r="AO528" s="278"/>
      <c r="AP528" s="278"/>
      <c r="AQ528" s="278"/>
      <c r="AR528" s="278"/>
      <c r="AS528" s="278"/>
    </row>
    <row r="529" spans="1:45">
      <c r="A529" s="277"/>
      <c r="B529" s="298" t="b">
        <v>0</v>
      </c>
      <c r="C529" s="278"/>
      <c r="D529" s="299" t="b">
        <v>0</v>
      </c>
      <c r="E529" s="277"/>
      <c r="F529" s="298" t="b">
        <v>0</v>
      </c>
      <c r="G529" s="278"/>
      <c r="H529" s="299" t="b">
        <v>0</v>
      </c>
      <c r="I529" s="277"/>
      <c r="J529" s="278"/>
      <c r="K529" s="277"/>
      <c r="L529" s="278"/>
      <c r="M529" s="277"/>
      <c r="N529" s="278"/>
      <c r="O529" s="277"/>
      <c r="P529" s="278"/>
      <c r="Q529" s="277"/>
      <c r="R529" s="278"/>
      <c r="S529" s="277"/>
      <c r="T529" s="278"/>
      <c r="U529" s="277"/>
      <c r="V529" s="278"/>
      <c r="W529" s="277"/>
      <c r="X529" s="278"/>
      <c r="Y529" s="277"/>
      <c r="Z529" s="278"/>
      <c r="AA529" s="277"/>
      <c r="AB529" s="278"/>
      <c r="AC529" s="277"/>
      <c r="AD529" s="278"/>
      <c r="AE529" s="277"/>
      <c r="AF529" s="278"/>
      <c r="AG529" s="277"/>
      <c r="AH529" s="278"/>
      <c r="AI529" s="277"/>
      <c r="AJ529" s="278"/>
      <c r="AK529" s="277"/>
      <c r="AL529" s="278"/>
      <c r="AM529" s="277"/>
      <c r="AN529" s="278"/>
      <c r="AO529" s="278"/>
      <c r="AP529" s="278"/>
      <c r="AQ529" s="278"/>
      <c r="AR529" s="278"/>
      <c r="AS529" s="278"/>
    </row>
    <row r="530" spans="1:45">
      <c r="A530" s="277"/>
      <c r="B530" s="298" t="b">
        <v>0</v>
      </c>
      <c r="C530" s="278"/>
      <c r="D530" s="299" t="b">
        <v>0</v>
      </c>
      <c r="E530" s="277"/>
      <c r="F530" s="298" t="b">
        <v>0</v>
      </c>
      <c r="G530" s="278"/>
      <c r="H530" s="299" t="b">
        <v>0</v>
      </c>
      <c r="I530" s="277"/>
      <c r="J530" s="278"/>
      <c r="K530" s="277"/>
      <c r="L530" s="278"/>
      <c r="M530" s="277"/>
      <c r="N530" s="278"/>
      <c r="O530" s="277"/>
      <c r="P530" s="278"/>
      <c r="Q530" s="277"/>
      <c r="R530" s="278"/>
      <c r="S530" s="277"/>
      <c r="T530" s="278"/>
      <c r="U530" s="277"/>
      <c r="V530" s="278"/>
      <c r="W530" s="277"/>
      <c r="X530" s="278"/>
      <c r="Y530" s="277"/>
      <c r="Z530" s="278"/>
      <c r="AA530" s="277"/>
      <c r="AB530" s="278"/>
      <c r="AC530" s="277"/>
      <c r="AD530" s="278"/>
      <c r="AE530" s="277"/>
      <c r="AF530" s="278"/>
      <c r="AG530" s="277"/>
      <c r="AH530" s="278"/>
      <c r="AI530" s="277"/>
      <c r="AJ530" s="278"/>
      <c r="AK530" s="277"/>
      <c r="AL530" s="278"/>
      <c r="AM530" s="277"/>
      <c r="AN530" s="278"/>
      <c r="AO530" s="278"/>
      <c r="AP530" s="278"/>
      <c r="AQ530" s="278"/>
      <c r="AR530" s="278"/>
      <c r="AS530" s="278"/>
    </row>
    <row r="531" spans="1:45">
      <c r="A531" s="277"/>
      <c r="B531" s="298" t="b">
        <v>0</v>
      </c>
      <c r="C531" s="278"/>
      <c r="D531" s="299" t="b">
        <v>0</v>
      </c>
      <c r="E531" s="277"/>
      <c r="F531" s="298" t="b">
        <v>0</v>
      </c>
      <c r="G531" s="278"/>
      <c r="H531" s="299" t="b">
        <v>0</v>
      </c>
      <c r="I531" s="277"/>
      <c r="J531" s="278"/>
      <c r="K531" s="277"/>
      <c r="L531" s="278"/>
      <c r="M531" s="277"/>
      <c r="N531" s="278"/>
      <c r="O531" s="277"/>
      <c r="P531" s="278"/>
      <c r="Q531" s="277"/>
      <c r="R531" s="278"/>
      <c r="S531" s="277"/>
      <c r="T531" s="278"/>
      <c r="U531" s="277"/>
      <c r="V531" s="278"/>
      <c r="W531" s="277"/>
      <c r="X531" s="278"/>
      <c r="Y531" s="277"/>
      <c r="Z531" s="278"/>
      <c r="AA531" s="277"/>
      <c r="AB531" s="278"/>
      <c r="AC531" s="277"/>
      <c r="AD531" s="278"/>
      <c r="AE531" s="277"/>
      <c r="AF531" s="278"/>
      <c r="AG531" s="277"/>
      <c r="AH531" s="278"/>
      <c r="AI531" s="277"/>
      <c r="AJ531" s="278"/>
      <c r="AK531" s="277"/>
      <c r="AL531" s="278"/>
      <c r="AM531" s="277"/>
      <c r="AN531" s="278"/>
      <c r="AO531" s="278"/>
      <c r="AP531" s="278"/>
      <c r="AQ531" s="278"/>
      <c r="AR531" s="278"/>
      <c r="AS531" s="278"/>
    </row>
    <row r="532" spans="1:45">
      <c r="A532" s="277"/>
      <c r="B532" s="298" t="b">
        <v>0</v>
      </c>
      <c r="C532" s="278"/>
      <c r="D532" s="299" t="b">
        <v>0</v>
      </c>
      <c r="E532" s="277"/>
      <c r="F532" s="298" t="b">
        <v>0</v>
      </c>
      <c r="G532" s="278"/>
      <c r="H532" s="299" t="b">
        <v>0</v>
      </c>
      <c r="I532" s="277"/>
      <c r="J532" s="278"/>
      <c r="K532" s="277"/>
      <c r="L532" s="278"/>
      <c r="M532" s="277"/>
      <c r="N532" s="278"/>
      <c r="O532" s="277"/>
      <c r="P532" s="278"/>
      <c r="Q532" s="277"/>
      <c r="R532" s="278"/>
      <c r="S532" s="277"/>
      <c r="T532" s="278"/>
      <c r="U532" s="277"/>
      <c r="V532" s="278"/>
      <c r="W532" s="277"/>
      <c r="X532" s="278"/>
      <c r="Y532" s="277"/>
      <c r="Z532" s="278"/>
      <c r="AA532" s="277"/>
      <c r="AB532" s="278"/>
      <c r="AC532" s="277"/>
      <c r="AD532" s="278"/>
      <c r="AE532" s="277"/>
      <c r="AF532" s="278"/>
      <c r="AG532" s="277"/>
      <c r="AH532" s="278"/>
      <c r="AI532" s="277"/>
      <c r="AJ532" s="278"/>
      <c r="AK532" s="277"/>
      <c r="AL532" s="278"/>
      <c r="AM532" s="277"/>
      <c r="AN532" s="278"/>
      <c r="AO532" s="278"/>
      <c r="AP532" s="278"/>
      <c r="AQ532" s="278"/>
      <c r="AR532" s="278"/>
      <c r="AS532" s="278"/>
    </row>
    <row r="533" spans="1:45">
      <c r="A533" s="277"/>
      <c r="B533" s="298" t="b">
        <v>0</v>
      </c>
      <c r="C533" s="278"/>
      <c r="D533" s="299" t="b">
        <v>0</v>
      </c>
      <c r="E533" s="277"/>
      <c r="F533" s="298" t="b">
        <v>0</v>
      </c>
      <c r="G533" s="278"/>
      <c r="H533" s="299" t="b">
        <v>0</v>
      </c>
      <c r="I533" s="277"/>
      <c r="J533" s="278"/>
      <c r="K533" s="277"/>
      <c r="L533" s="278"/>
      <c r="M533" s="277"/>
      <c r="N533" s="278"/>
      <c r="O533" s="277"/>
      <c r="P533" s="278"/>
      <c r="Q533" s="277"/>
      <c r="R533" s="278"/>
      <c r="S533" s="277"/>
      <c r="T533" s="278"/>
      <c r="U533" s="277"/>
      <c r="V533" s="278"/>
      <c r="W533" s="277"/>
      <c r="X533" s="278"/>
      <c r="Y533" s="277"/>
      <c r="Z533" s="278"/>
      <c r="AA533" s="277"/>
      <c r="AB533" s="278"/>
      <c r="AC533" s="277"/>
      <c r="AD533" s="278"/>
      <c r="AE533" s="277"/>
      <c r="AF533" s="278"/>
      <c r="AG533" s="277"/>
      <c r="AH533" s="278"/>
      <c r="AI533" s="277"/>
      <c r="AJ533" s="278"/>
      <c r="AK533" s="277"/>
      <c r="AL533" s="278"/>
      <c r="AM533" s="277"/>
      <c r="AN533" s="278"/>
      <c r="AO533" s="278"/>
      <c r="AP533" s="278"/>
      <c r="AQ533" s="278"/>
      <c r="AR533" s="278"/>
      <c r="AS533" s="278"/>
    </row>
    <row r="534" spans="1:45">
      <c r="A534" s="277"/>
      <c r="B534" s="298" t="b">
        <v>0</v>
      </c>
      <c r="C534" s="278"/>
      <c r="D534" s="299" t="b">
        <v>0</v>
      </c>
      <c r="E534" s="277"/>
      <c r="F534" s="298" t="b">
        <v>0</v>
      </c>
      <c r="G534" s="278"/>
      <c r="H534" s="299" t="b">
        <v>0</v>
      </c>
      <c r="I534" s="277"/>
      <c r="J534" s="278"/>
      <c r="K534" s="277"/>
      <c r="L534" s="278"/>
      <c r="M534" s="277"/>
      <c r="N534" s="278"/>
      <c r="O534" s="277"/>
      <c r="P534" s="278"/>
      <c r="Q534" s="277"/>
      <c r="R534" s="278"/>
      <c r="S534" s="277"/>
      <c r="T534" s="278"/>
      <c r="U534" s="277"/>
      <c r="V534" s="278"/>
      <c r="W534" s="277"/>
      <c r="X534" s="278"/>
      <c r="Y534" s="277"/>
      <c r="Z534" s="278"/>
      <c r="AA534" s="277"/>
      <c r="AB534" s="278"/>
      <c r="AC534" s="277"/>
      <c r="AD534" s="278"/>
      <c r="AE534" s="277"/>
      <c r="AF534" s="278"/>
      <c r="AG534" s="277"/>
      <c r="AH534" s="278"/>
      <c r="AI534" s="277"/>
      <c r="AJ534" s="278"/>
      <c r="AK534" s="277"/>
      <c r="AL534" s="278"/>
      <c r="AM534" s="277"/>
      <c r="AN534" s="278"/>
      <c r="AO534" s="278"/>
      <c r="AP534" s="278"/>
      <c r="AQ534" s="278"/>
      <c r="AR534" s="278"/>
      <c r="AS534" s="278"/>
    </row>
    <row r="535" spans="1:45">
      <c r="A535" s="277"/>
      <c r="B535" s="298" t="b">
        <v>0</v>
      </c>
      <c r="C535" s="278"/>
      <c r="D535" s="299" t="b">
        <v>0</v>
      </c>
      <c r="E535" s="277"/>
      <c r="F535" s="298" t="b">
        <v>0</v>
      </c>
      <c r="G535" s="278"/>
      <c r="H535" s="299" t="b">
        <v>0</v>
      </c>
      <c r="I535" s="277"/>
      <c r="J535" s="278"/>
      <c r="K535" s="277"/>
      <c r="L535" s="278"/>
      <c r="M535" s="277"/>
      <c r="N535" s="278"/>
      <c r="O535" s="277"/>
      <c r="P535" s="278"/>
      <c r="Q535" s="277"/>
      <c r="R535" s="278"/>
      <c r="S535" s="277"/>
      <c r="T535" s="278"/>
      <c r="U535" s="277"/>
      <c r="V535" s="278"/>
      <c r="W535" s="277"/>
      <c r="X535" s="278"/>
      <c r="Y535" s="277"/>
      <c r="Z535" s="278"/>
      <c r="AA535" s="277"/>
      <c r="AB535" s="278"/>
      <c r="AC535" s="277"/>
      <c r="AD535" s="278"/>
      <c r="AE535" s="277"/>
      <c r="AF535" s="278"/>
      <c r="AG535" s="277"/>
      <c r="AH535" s="278"/>
      <c r="AI535" s="277"/>
      <c r="AJ535" s="278"/>
      <c r="AK535" s="277"/>
      <c r="AL535" s="278"/>
      <c r="AM535" s="277"/>
      <c r="AN535" s="278"/>
      <c r="AO535" s="278"/>
      <c r="AP535" s="278"/>
      <c r="AQ535" s="278"/>
      <c r="AR535" s="278"/>
      <c r="AS535" s="278"/>
    </row>
    <row r="536" spans="1:45">
      <c r="A536" s="277"/>
      <c r="B536" s="298" t="b">
        <v>0</v>
      </c>
      <c r="C536" s="278"/>
      <c r="D536" s="299" t="b">
        <v>0</v>
      </c>
      <c r="E536" s="277"/>
      <c r="F536" s="298" t="b">
        <v>0</v>
      </c>
      <c r="G536" s="278"/>
      <c r="H536" s="299" t="b">
        <v>0</v>
      </c>
      <c r="I536" s="277"/>
      <c r="J536" s="278"/>
      <c r="K536" s="277"/>
      <c r="L536" s="278"/>
      <c r="M536" s="277"/>
      <c r="N536" s="278"/>
      <c r="O536" s="277"/>
      <c r="P536" s="278"/>
      <c r="Q536" s="277"/>
      <c r="R536" s="278"/>
      <c r="S536" s="277"/>
      <c r="T536" s="278"/>
      <c r="U536" s="277"/>
      <c r="V536" s="278"/>
      <c r="W536" s="277"/>
      <c r="X536" s="278"/>
      <c r="Y536" s="277"/>
      <c r="Z536" s="278"/>
      <c r="AA536" s="277"/>
      <c r="AB536" s="278"/>
      <c r="AC536" s="277"/>
      <c r="AD536" s="278"/>
      <c r="AE536" s="277"/>
      <c r="AF536" s="278"/>
      <c r="AG536" s="277"/>
      <c r="AH536" s="278"/>
      <c r="AI536" s="277"/>
      <c r="AJ536" s="278"/>
      <c r="AK536" s="277"/>
      <c r="AL536" s="278"/>
      <c r="AM536" s="277"/>
      <c r="AN536" s="278"/>
      <c r="AO536" s="278"/>
      <c r="AP536" s="278"/>
      <c r="AQ536" s="278"/>
      <c r="AR536" s="278"/>
      <c r="AS536" s="278"/>
    </row>
    <row r="537" spans="1:45">
      <c r="A537" s="277"/>
      <c r="B537" s="298" t="b">
        <v>0</v>
      </c>
      <c r="C537" s="278"/>
      <c r="D537" s="299" t="b">
        <v>0</v>
      </c>
      <c r="E537" s="277"/>
      <c r="F537" s="298" t="b">
        <v>0</v>
      </c>
      <c r="G537" s="278"/>
      <c r="H537" s="299" t="b">
        <v>0</v>
      </c>
      <c r="I537" s="277"/>
      <c r="J537" s="278"/>
      <c r="K537" s="277"/>
      <c r="L537" s="278"/>
      <c r="M537" s="277"/>
      <c r="N537" s="278"/>
      <c r="O537" s="277"/>
      <c r="P537" s="278"/>
      <c r="Q537" s="277"/>
      <c r="R537" s="278"/>
      <c r="S537" s="277"/>
      <c r="T537" s="278"/>
      <c r="U537" s="277"/>
      <c r="V537" s="278"/>
      <c r="W537" s="277"/>
      <c r="X537" s="278"/>
      <c r="Y537" s="277"/>
      <c r="Z537" s="278"/>
      <c r="AA537" s="277"/>
      <c r="AB537" s="278"/>
      <c r="AC537" s="277"/>
      <c r="AD537" s="278"/>
      <c r="AE537" s="277"/>
      <c r="AF537" s="278"/>
      <c r="AG537" s="277"/>
      <c r="AH537" s="278"/>
      <c r="AI537" s="277"/>
      <c r="AJ537" s="278"/>
      <c r="AK537" s="277"/>
      <c r="AL537" s="278"/>
      <c r="AM537" s="277"/>
      <c r="AN537" s="278"/>
      <c r="AO537" s="278"/>
      <c r="AP537" s="278"/>
      <c r="AQ537" s="278"/>
      <c r="AR537" s="278"/>
      <c r="AS537" s="278"/>
    </row>
    <row r="538" spans="1:45">
      <c r="A538" s="277"/>
      <c r="B538" s="298" t="b">
        <v>0</v>
      </c>
      <c r="C538" s="278"/>
      <c r="D538" s="299" t="b">
        <v>0</v>
      </c>
      <c r="E538" s="277"/>
      <c r="F538" s="298" t="b">
        <v>0</v>
      </c>
      <c r="G538" s="278"/>
      <c r="H538" s="299" t="b">
        <v>0</v>
      </c>
      <c r="I538" s="277"/>
      <c r="J538" s="278"/>
      <c r="K538" s="277"/>
      <c r="L538" s="278"/>
      <c r="M538" s="277"/>
      <c r="N538" s="278"/>
      <c r="O538" s="277"/>
      <c r="P538" s="278"/>
      <c r="Q538" s="277"/>
      <c r="R538" s="278"/>
      <c r="S538" s="277"/>
      <c r="T538" s="278"/>
      <c r="U538" s="277"/>
      <c r="V538" s="278"/>
      <c r="W538" s="277"/>
      <c r="X538" s="278"/>
      <c r="Y538" s="277"/>
      <c r="Z538" s="278"/>
      <c r="AA538" s="277"/>
      <c r="AB538" s="278"/>
      <c r="AC538" s="277"/>
      <c r="AD538" s="278"/>
      <c r="AE538" s="277"/>
      <c r="AF538" s="278"/>
      <c r="AG538" s="277"/>
      <c r="AH538" s="278"/>
      <c r="AI538" s="277"/>
      <c r="AJ538" s="278"/>
      <c r="AK538" s="277"/>
      <c r="AL538" s="278"/>
      <c r="AM538" s="277"/>
      <c r="AN538" s="278"/>
      <c r="AO538" s="278"/>
      <c r="AP538" s="278"/>
      <c r="AQ538" s="278"/>
      <c r="AR538" s="278"/>
      <c r="AS538" s="278"/>
    </row>
    <row r="539" spans="1:45">
      <c r="A539" s="277"/>
      <c r="B539" s="298" t="b">
        <v>0</v>
      </c>
      <c r="C539" s="278"/>
      <c r="D539" s="299" t="b">
        <v>0</v>
      </c>
      <c r="E539" s="277"/>
      <c r="F539" s="298" t="b">
        <v>0</v>
      </c>
      <c r="G539" s="278"/>
      <c r="H539" s="299" t="b">
        <v>0</v>
      </c>
      <c r="I539" s="277"/>
      <c r="J539" s="278"/>
      <c r="K539" s="277"/>
      <c r="L539" s="278"/>
      <c r="M539" s="277"/>
      <c r="N539" s="278"/>
      <c r="O539" s="277"/>
      <c r="P539" s="278"/>
      <c r="Q539" s="277"/>
      <c r="R539" s="278"/>
      <c r="S539" s="277"/>
      <c r="T539" s="278"/>
      <c r="U539" s="277"/>
      <c r="V539" s="278"/>
      <c r="W539" s="277"/>
      <c r="X539" s="278"/>
      <c r="Y539" s="277"/>
      <c r="Z539" s="278"/>
      <c r="AA539" s="277"/>
      <c r="AB539" s="278"/>
      <c r="AC539" s="277"/>
      <c r="AD539" s="278"/>
      <c r="AE539" s="277"/>
      <c r="AF539" s="278"/>
      <c r="AG539" s="277"/>
      <c r="AH539" s="278"/>
      <c r="AI539" s="277"/>
      <c r="AJ539" s="278"/>
      <c r="AK539" s="277"/>
      <c r="AL539" s="278"/>
      <c r="AM539" s="277"/>
      <c r="AN539" s="278"/>
      <c r="AO539" s="278"/>
      <c r="AP539" s="278"/>
      <c r="AQ539" s="278"/>
      <c r="AR539" s="278"/>
      <c r="AS539" s="278"/>
    </row>
    <row r="540" spans="1:45">
      <c r="A540" s="277"/>
      <c r="B540" s="298" t="b">
        <v>0</v>
      </c>
      <c r="C540" s="278"/>
      <c r="D540" s="299" t="b">
        <v>0</v>
      </c>
      <c r="E540" s="277"/>
      <c r="F540" s="298" t="b">
        <v>0</v>
      </c>
      <c r="G540" s="278"/>
      <c r="H540" s="299" t="b">
        <v>0</v>
      </c>
      <c r="I540" s="277"/>
      <c r="J540" s="278"/>
      <c r="K540" s="277"/>
      <c r="L540" s="278"/>
      <c r="M540" s="277"/>
      <c r="N540" s="278"/>
      <c r="O540" s="277"/>
      <c r="P540" s="278"/>
      <c r="Q540" s="277"/>
      <c r="R540" s="278"/>
      <c r="S540" s="277"/>
      <c r="T540" s="278"/>
      <c r="U540" s="277"/>
      <c r="V540" s="278"/>
      <c r="W540" s="277"/>
      <c r="X540" s="278"/>
      <c r="Y540" s="277"/>
      <c r="Z540" s="278"/>
      <c r="AA540" s="277"/>
      <c r="AB540" s="278"/>
      <c r="AC540" s="277"/>
      <c r="AD540" s="278"/>
      <c r="AE540" s="277"/>
      <c r="AF540" s="278"/>
      <c r="AG540" s="277"/>
      <c r="AH540" s="278"/>
      <c r="AI540" s="277"/>
      <c r="AJ540" s="278"/>
      <c r="AK540" s="277"/>
      <c r="AL540" s="278"/>
      <c r="AM540" s="277"/>
      <c r="AN540" s="278"/>
      <c r="AO540" s="278"/>
      <c r="AP540" s="278"/>
      <c r="AQ540" s="278"/>
      <c r="AR540" s="278"/>
      <c r="AS540" s="278"/>
    </row>
    <row r="541" spans="1:45">
      <c r="A541" s="277"/>
      <c r="B541" s="298" t="b">
        <v>0</v>
      </c>
      <c r="C541" s="278"/>
      <c r="D541" s="299" t="b">
        <v>0</v>
      </c>
      <c r="E541" s="277"/>
      <c r="F541" s="298" t="b">
        <v>0</v>
      </c>
      <c r="G541" s="278"/>
      <c r="H541" s="299" t="b">
        <v>0</v>
      </c>
      <c r="I541" s="277"/>
      <c r="J541" s="278"/>
      <c r="K541" s="277"/>
      <c r="L541" s="278"/>
      <c r="M541" s="277"/>
      <c r="N541" s="278"/>
      <c r="O541" s="277"/>
      <c r="P541" s="278"/>
      <c r="Q541" s="277"/>
      <c r="R541" s="278"/>
      <c r="S541" s="277"/>
      <c r="T541" s="278"/>
      <c r="U541" s="277"/>
      <c r="V541" s="278"/>
      <c r="W541" s="277"/>
      <c r="X541" s="278"/>
      <c r="Y541" s="277"/>
      <c r="Z541" s="278"/>
      <c r="AA541" s="277"/>
      <c r="AB541" s="278"/>
      <c r="AC541" s="277"/>
      <c r="AD541" s="278"/>
      <c r="AE541" s="277"/>
      <c r="AF541" s="278"/>
      <c r="AG541" s="277"/>
      <c r="AH541" s="278"/>
      <c r="AI541" s="277"/>
      <c r="AJ541" s="278"/>
      <c r="AK541" s="277"/>
      <c r="AL541" s="278"/>
      <c r="AM541" s="277"/>
      <c r="AN541" s="278"/>
      <c r="AO541" s="278"/>
      <c r="AP541" s="278"/>
      <c r="AQ541" s="278"/>
      <c r="AR541" s="278"/>
      <c r="AS541" s="278"/>
    </row>
    <row r="542" spans="1:45">
      <c r="A542" s="277"/>
      <c r="B542" s="298" t="b">
        <v>0</v>
      </c>
      <c r="C542" s="278"/>
      <c r="D542" s="299" t="b">
        <v>0</v>
      </c>
      <c r="E542" s="277"/>
      <c r="F542" s="298" t="b">
        <v>0</v>
      </c>
      <c r="G542" s="278"/>
      <c r="H542" s="299" t="b">
        <v>0</v>
      </c>
      <c r="I542" s="277"/>
      <c r="J542" s="278"/>
      <c r="K542" s="277"/>
      <c r="L542" s="278"/>
      <c r="M542" s="277"/>
      <c r="N542" s="278"/>
      <c r="O542" s="277"/>
      <c r="P542" s="278"/>
      <c r="Q542" s="277"/>
      <c r="R542" s="278"/>
      <c r="S542" s="277"/>
      <c r="T542" s="278"/>
      <c r="U542" s="277"/>
      <c r="V542" s="278"/>
      <c r="W542" s="277"/>
      <c r="X542" s="278"/>
      <c r="Y542" s="277"/>
      <c r="Z542" s="278"/>
      <c r="AA542" s="277"/>
      <c r="AB542" s="278"/>
      <c r="AC542" s="277"/>
      <c r="AD542" s="278"/>
      <c r="AE542" s="277"/>
      <c r="AF542" s="278"/>
      <c r="AG542" s="277"/>
      <c r="AH542" s="278"/>
      <c r="AI542" s="277"/>
      <c r="AJ542" s="278"/>
      <c r="AK542" s="277"/>
      <c r="AL542" s="278"/>
      <c r="AM542" s="277"/>
      <c r="AN542" s="278"/>
      <c r="AO542" s="278"/>
      <c r="AP542" s="278"/>
      <c r="AQ542" s="278"/>
      <c r="AR542" s="278"/>
      <c r="AS542" s="278"/>
    </row>
    <row r="543" spans="1:45">
      <c r="A543" s="277"/>
      <c r="B543" s="298" t="b">
        <v>0</v>
      </c>
      <c r="C543" s="278"/>
      <c r="D543" s="299" t="b">
        <v>0</v>
      </c>
      <c r="E543" s="277"/>
      <c r="F543" s="298" t="b">
        <v>0</v>
      </c>
      <c r="G543" s="278"/>
      <c r="H543" s="299" t="b">
        <v>0</v>
      </c>
      <c r="I543" s="277"/>
      <c r="J543" s="278"/>
      <c r="K543" s="277"/>
      <c r="L543" s="278"/>
      <c r="M543" s="277"/>
      <c r="N543" s="278"/>
      <c r="O543" s="277"/>
      <c r="P543" s="278"/>
      <c r="Q543" s="277"/>
      <c r="R543" s="278"/>
      <c r="S543" s="277"/>
      <c r="T543" s="278"/>
      <c r="U543" s="277"/>
      <c r="V543" s="278"/>
      <c r="W543" s="277"/>
      <c r="X543" s="278"/>
      <c r="Y543" s="277"/>
      <c r="Z543" s="278"/>
      <c r="AA543" s="277"/>
      <c r="AB543" s="278"/>
      <c r="AC543" s="277"/>
      <c r="AD543" s="278"/>
      <c r="AE543" s="277"/>
      <c r="AF543" s="278"/>
      <c r="AG543" s="277"/>
      <c r="AH543" s="278"/>
      <c r="AI543" s="277"/>
      <c r="AJ543" s="278"/>
      <c r="AK543" s="277"/>
      <c r="AL543" s="278"/>
      <c r="AM543" s="277"/>
      <c r="AN543" s="278"/>
      <c r="AO543" s="278"/>
      <c r="AP543" s="278"/>
      <c r="AQ543" s="278"/>
      <c r="AR543" s="278"/>
      <c r="AS543" s="278"/>
    </row>
    <row r="544" spans="1:45">
      <c r="A544" s="277"/>
      <c r="B544" s="298" t="b">
        <v>0</v>
      </c>
      <c r="C544" s="278"/>
      <c r="D544" s="299" t="b">
        <v>0</v>
      </c>
      <c r="E544" s="277"/>
      <c r="F544" s="298" t="b">
        <v>0</v>
      </c>
      <c r="G544" s="278"/>
      <c r="H544" s="299" t="b">
        <v>0</v>
      </c>
      <c r="I544" s="277"/>
      <c r="J544" s="278"/>
      <c r="K544" s="277"/>
      <c r="L544" s="278"/>
      <c r="M544" s="277"/>
      <c r="N544" s="278"/>
      <c r="O544" s="277"/>
      <c r="P544" s="278"/>
      <c r="Q544" s="277"/>
      <c r="R544" s="278"/>
      <c r="S544" s="277"/>
      <c r="T544" s="278"/>
      <c r="U544" s="277"/>
      <c r="V544" s="278"/>
      <c r="W544" s="277"/>
      <c r="X544" s="278"/>
      <c r="Y544" s="277"/>
      <c r="Z544" s="278"/>
      <c r="AA544" s="277"/>
      <c r="AB544" s="278"/>
      <c r="AC544" s="277"/>
      <c r="AD544" s="278"/>
      <c r="AE544" s="277"/>
      <c r="AF544" s="278"/>
      <c r="AG544" s="277"/>
      <c r="AH544" s="278"/>
      <c r="AI544" s="277"/>
      <c r="AJ544" s="278"/>
      <c r="AK544" s="277"/>
      <c r="AL544" s="278"/>
      <c r="AM544" s="277"/>
      <c r="AN544" s="278"/>
      <c r="AO544" s="278"/>
      <c r="AP544" s="278"/>
      <c r="AQ544" s="278"/>
      <c r="AR544" s="278"/>
      <c r="AS544" s="278"/>
    </row>
    <row r="545" spans="1:45">
      <c r="A545" s="277"/>
      <c r="B545" s="298" t="b">
        <v>0</v>
      </c>
      <c r="C545" s="278"/>
      <c r="D545" s="299" t="b">
        <v>0</v>
      </c>
      <c r="E545" s="277"/>
      <c r="F545" s="298" t="b">
        <v>0</v>
      </c>
      <c r="G545" s="278"/>
      <c r="H545" s="299" t="b">
        <v>0</v>
      </c>
      <c r="I545" s="277"/>
      <c r="J545" s="278"/>
      <c r="K545" s="277"/>
      <c r="L545" s="278"/>
      <c r="M545" s="277"/>
      <c r="N545" s="278"/>
      <c r="O545" s="277"/>
      <c r="P545" s="278"/>
      <c r="Q545" s="277"/>
      <c r="R545" s="278"/>
      <c r="S545" s="277"/>
      <c r="T545" s="278"/>
      <c r="U545" s="277"/>
      <c r="V545" s="278"/>
      <c r="W545" s="277"/>
      <c r="X545" s="278"/>
      <c r="Y545" s="277"/>
      <c r="Z545" s="278"/>
      <c r="AA545" s="277"/>
      <c r="AB545" s="278"/>
      <c r="AC545" s="277"/>
      <c r="AD545" s="278"/>
      <c r="AE545" s="277"/>
      <c r="AF545" s="278"/>
      <c r="AG545" s="277"/>
      <c r="AH545" s="278"/>
      <c r="AI545" s="277"/>
      <c r="AJ545" s="278"/>
      <c r="AK545" s="277"/>
      <c r="AL545" s="278"/>
      <c r="AM545" s="277"/>
      <c r="AN545" s="278"/>
      <c r="AO545" s="278"/>
      <c r="AP545" s="278"/>
      <c r="AQ545" s="278"/>
      <c r="AR545" s="278"/>
      <c r="AS545" s="278"/>
    </row>
    <row r="546" spans="1:45">
      <c r="A546" s="277"/>
      <c r="B546" s="298" t="b">
        <v>0</v>
      </c>
      <c r="C546" s="278"/>
      <c r="D546" s="299" t="b">
        <v>0</v>
      </c>
      <c r="E546" s="277"/>
      <c r="F546" s="298" t="b">
        <v>0</v>
      </c>
      <c r="G546" s="278"/>
      <c r="H546" s="299" t="b">
        <v>0</v>
      </c>
      <c r="I546" s="277"/>
      <c r="J546" s="278"/>
      <c r="K546" s="277"/>
      <c r="L546" s="278"/>
      <c r="M546" s="277"/>
      <c r="N546" s="278"/>
      <c r="O546" s="277"/>
      <c r="P546" s="278"/>
      <c r="Q546" s="277"/>
      <c r="R546" s="278"/>
      <c r="S546" s="277"/>
      <c r="T546" s="278"/>
      <c r="U546" s="277"/>
      <c r="V546" s="278"/>
      <c r="W546" s="277"/>
      <c r="X546" s="278"/>
      <c r="Y546" s="277"/>
      <c r="Z546" s="278"/>
      <c r="AA546" s="277"/>
      <c r="AB546" s="278"/>
      <c r="AC546" s="277"/>
      <c r="AD546" s="278"/>
      <c r="AE546" s="277"/>
      <c r="AF546" s="278"/>
      <c r="AG546" s="277"/>
      <c r="AH546" s="278"/>
      <c r="AI546" s="277"/>
      <c r="AJ546" s="278"/>
      <c r="AK546" s="277"/>
      <c r="AL546" s="278"/>
      <c r="AM546" s="277"/>
      <c r="AN546" s="278"/>
      <c r="AO546" s="278"/>
      <c r="AP546" s="278"/>
      <c r="AQ546" s="278"/>
      <c r="AR546" s="278"/>
      <c r="AS546" s="278"/>
    </row>
    <row r="547" spans="1:45">
      <c r="A547" s="277"/>
      <c r="B547" s="298" t="b">
        <v>0</v>
      </c>
      <c r="C547" s="278"/>
      <c r="D547" s="299" t="b">
        <v>0</v>
      </c>
      <c r="E547" s="277"/>
      <c r="F547" s="298" t="b">
        <v>0</v>
      </c>
      <c r="G547" s="278"/>
      <c r="H547" s="299" t="b">
        <v>0</v>
      </c>
      <c r="I547" s="277"/>
      <c r="J547" s="278"/>
      <c r="K547" s="277"/>
      <c r="L547" s="278"/>
      <c r="M547" s="277"/>
      <c r="N547" s="278"/>
      <c r="O547" s="277"/>
      <c r="P547" s="278"/>
      <c r="Q547" s="277"/>
      <c r="R547" s="278"/>
      <c r="S547" s="277"/>
      <c r="T547" s="278"/>
      <c r="U547" s="277"/>
      <c r="V547" s="278"/>
      <c r="W547" s="277"/>
      <c r="X547" s="278"/>
      <c r="Y547" s="277"/>
      <c r="Z547" s="278"/>
      <c r="AA547" s="277"/>
      <c r="AB547" s="278"/>
      <c r="AC547" s="277"/>
      <c r="AD547" s="278"/>
      <c r="AE547" s="277"/>
      <c r="AF547" s="278"/>
      <c r="AG547" s="277"/>
      <c r="AH547" s="278"/>
      <c r="AI547" s="277"/>
      <c r="AJ547" s="278"/>
      <c r="AK547" s="277"/>
      <c r="AL547" s="278"/>
      <c r="AM547" s="277"/>
      <c r="AN547" s="278"/>
      <c r="AO547" s="278"/>
      <c r="AP547" s="278"/>
      <c r="AQ547" s="278"/>
      <c r="AR547" s="278"/>
      <c r="AS547" s="278"/>
    </row>
    <row r="548" spans="1:45">
      <c r="A548" s="277"/>
      <c r="B548" s="298" t="b">
        <v>0</v>
      </c>
      <c r="C548" s="278"/>
      <c r="D548" s="299" t="b">
        <v>0</v>
      </c>
      <c r="E548" s="277"/>
      <c r="F548" s="298" t="b">
        <v>0</v>
      </c>
      <c r="G548" s="278"/>
      <c r="H548" s="299" t="b">
        <v>0</v>
      </c>
      <c r="I548" s="277"/>
      <c r="J548" s="278"/>
      <c r="K548" s="277"/>
      <c r="L548" s="278"/>
      <c r="M548" s="277"/>
      <c r="N548" s="278"/>
      <c r="O548" s="277"/>
      <c r="P548" s="278"/>
      <c r="Q548" s="277"/>
      <c r="R548" s="278"/>
      <c r="S548" s="277"/>
      <c r="T548" s="278"/>
      <c r="U548" s="277"/>
      <c r="V548" s="278"/>
      <c r="W548" s="277"/>
      <c r="X548" s="278"/>
      <c r="Y548" s="277"/>
      <c r="Z548" s="278"/>
      <c r="AA548" s="277"/>
      <c r="AB548" s="278"/>
      <c r="AC548" s="277"/>
      <c r="AD548" s="278"/>
      <c r="AE548" s="277"/>
      <c r="AF548" s="278"/>
      <c r="AG548" s="277"/>
      <c r="AH548" s="278"/>
      <c r="AI548" s="277"/>
      <c r="AJ548" s="278"/>
      <c r="AK548" s="277"/>
      <c r="AL548" s="278"/>
      <c r="AM548" s="277"/>
      <c r="AN548" s="278"/>
      <c r="AO548" s="278"/>
      <c r="AP548" s="278"/>
      <c r="AQ548" s="278"/>
      <c r="AR548" s="278"/>
      <c r="AS548" s="278"/>
    </row>
    <row r="549" spans="1:45">
      <c r="A549" s="277"/>
      <c r="B549" s="298" t="b">
        <v>0</v>
      </c>
      <c r="C549" s="278"/>
      <c r="D549" s="299" t="b">
        <v>0</v>
      </c>
      <c r="E549" s="277"/>
      <c r="F549" s="298" t="b">
        <v>0</v>
      </c>
      <c r="G549" s="278"/>
      <c r="H549" s="299" t="b">
        <v>0</v>
      </c>
      <c r="I549" s="277"/>
      <c r="J549" s="278"/>
      <c r="K549" s="277"/>
      <c r="L549" s="278"/>
      <c r="M549" s="277"/>
      <c r="N549" s="278"/>
      <c r="O549" s="277"/>
      <c r="P549" s="278"/>
      <c r="Q549" s="277"/>
      <c r="R549" s="278"/>
      <c r="S549" s="277"/>
      <c r="T549" s="278"/>
      <c r="U549" s="277"/>
      <c r="V549" s="278"/>
      <c r="W549" s="277"/>
      <c r="X549" s="278"/>
      <c r="Y549" s="277"/>
      <c r="Z549" s="278"/>
      <c r="AA549" s="277"/>
      <c r="AB549" s="278"/>
      <c r="AC549" s="277"/>
      <c r="AD549" s="278"/>
      <c r="AE549" s="277"/>
      <c r="AF549" s="278"/>
      <c r="AG549" s="277"/>
      <c r="AH549" s="278"/>
      <c r="AI549" s="277"/>
      <c r="AJ549" s="278"/>
      <c r="AK549" s="277"/>
      <c r="AL549" s="278"/>
      <c r="AM549" s="277"/>
      <c r="AN549" s="278"/>
      <c r="AO549" s="278"/>
      <c r="AP549" s="278"/>
      <c r="AQ549" s="278"/>
      <c r="AR549" s="278"/>
      <c r="AS549" s="278"/>
    </row>
    <row r="550" spans="1:45">
      <c r="A550" s="277"/>
      <c r="B550" s="298" t="b">
        <v>0</v>
      </c>
      <c r="C550" s="278"/>
      <c r="D550" s="299" t="b">
        <v>0</v>
      </c>
      <c r="E550" s="277"/>
      <c r="F550" s="298" t="b">
        <v>0</v>
      </c>
      <c r="G550" s="278"/>
      <c r="H550" s="299" t="b">
        <v>0</v>
      </c>
      <c r="I550" s="277"/>
      <c r="J550" s="278"/>
      <c r="K550" s="277"/>
      <c r="L550" s="278"/>
      <c r="M550" s="277"/>
      <c r="N550" s="278"/>
      <c r="O550" s="277"/>
      <c r="P550" s="278"/>
      <c r="Q550" s="277"/>
      <c r="R550" s="278"/>
      <c r="S550" s="277"/>
      <c r="T550" s="278"/>
      <c r="U550" s="277"/>
      <c r="V550" s="278"/>
      <c r="W550" s="277"/>
      <c r="X550" s="278"/>
      <c r="Y550" s="277"/>
      <c r="Z550" s="278"/>
      <c r="AA550" s="277"/>
      <c r="AB550" s="278"/>
      <c r="AC550" s="277"/>
      <c r="AD550" s="278"/>
      <c r="AE550" s="277"/>
      <c r="AF550" s="278"/>
      <c r="AG550" s="277"/>
      <c r="AH550" s="278"/>
      <c r="AI550" s="277"/>
      <c r="AJ550" s="278"/>
      <c r="AK550" s="277"/>
      <c r="AL550" s="278"/>
      <c r="AM550" s="277"/>
      <c r="AN550" s="278"/>
      <c r="AO550" s="278"/>
      <c r="AP550" s="278"/>
      <c r="AQ550" s="278"/>
      <c r="AR550" s="278"/>
      <c r="AS550" s="278"/>
    </row>
    <row r="551" spans="1:45">
      <c r="A551" s="277"/>
      <c r="B551" s="298" t="b">
        <v>0</v>
      </c>
      <c r="C551" s="278"/>
      <c r="D551" s="299" t="b">
        <v>0</v>
      </c>
      <c r="E551" s="277"/>
      <c r="F551" s="298" t="b">
        <v>0</v>
      </c>
      <c r="G551" s="278"/>
      <c r="H551" s="299" t="b">
        <v>0</v>
      </c>
      <c r="I551" s="277"/>
      <c r="J551" s="278"/>
      <c r="K551" s="277"/>
      <c r="L551" s="278"/>
      <c r="M551" s="277"/>
      <c r="N551" s="278"/>
      <c r="O551" s="277"/>
      <c r="P551" s="278"/>
      <c r="Q551" s="277"/>
      <c r="R551" s="278"/>
      <c r="S551" s="277"/>
      <c r="T551" s="278"/>
      <c r="U551" s="277"/>
      <c r="V551" s="278"/>
      <c r="W551" s="277"/>
      <c r="X551" s="278"/>
      <c r="Y551" s="277"/>
      <c r="Z551" s="278"/>
      <c r="AA551" s="277"/>
      <c r="AB551" s="278"/>
      <c r="AC551" s="277"/>
      <c r="AD551" s="278"/>
      <c r="AE551" s="277"/>
      <c r="AF551" s="278"/>
      <c r="AG551" s="277"/>
      <c r="AH551" s="278"/>
      <c r="AI551" s="277"/>
      <c r="AJ551" s="278"/>
      <c r="AK551" s="277"/>
      <c r="AL551" s="278"/>
      <c r="AM551" s="277"/>
      <c r="AN551" s="278"/>
      <c r="AO551" s="278"/>
      <c r="AP551" s="278"/>
      <c r="AQ551" s="278"/>
      <c r="AR551" s="278"/>
      <c r="AS551" s="278"/>
    </row>
    <row r="552" spans="1:45">
      <c r="A552" s="277"/>
      <c r="B552" s="298" t="b">
        <v>0</v>
      </c>
      <c r="C552" s="278"/>
      <c r="D552" s="299" t="b">
        <v>0</v>
      </c>
      <c r="E552" s="277"/>
      <c r="F552" s="298" t="b">
        <v>0</v>
      </c>
      <c r="G552" s="278"/>
      <c r="H552" s="299" t="b">
        <v>0</v>
      </c>
      <c r="I552" s="277"/>
      <c r="J552" s="278"/>
      <c r="K552" s="277"/>
      <c r="L552" s="278"/>
      <c r="M552" s="277"/>
      <c r="N552" s="278"/>
      <c r="O552" s="277"/>
      <c r="P552" s="278"/>
      <c r="Q552" s="277"/>
      <c r="R552" s="278"/>
      <c r="S552" s="277"/>
      <c r="T552" s="278"/>
      <c r="U552" s="277"/>
      <c r="V552" s="278"/>
      <c r="W552" s="277"/>
      <c r="X552" s="278"/>
      <c r="Y552" s="277"/>
      <c r="Z552" s="278"/>
      <c r="AA552" s="277"/>
      <c r="AB552" s="278"/>
      <c r="AC552" s="277"/>
      <c r="AD552" s="278"/>
      <c r="AE552" s="277"/>
      <c r="AF552" s="278"/>
      <c r="AG552" s="277"/>
      <c r="AH552" s="278"/>
      <c r="AI552" s="277"/>
      <c r="AJ552" s="278"/>
      <c r="AK552" s="277"/>
      <c r="AL552" s="278"/>
      <c r="AM552" s="277"/>
      <c r="AN552" s="278"/>
      <c r="AO552" s="278"/>
      <c r="AP552" s="278"/>
      <c r="AQ552" s="278"/>
      <c r="AR552" s="278"/>
      <c r="AS552" s="278"/>
    </row>
    <row r="553" spans="1:45">
      <c r="A553" s="277"/>
      <c r="B553" s="298" t="b">
        <v>0</v>
      </c>
      <c r="C553" s="278"/>
      <c r="D553" s="299" t="b">
        <v>0</v>
      </c>
      <c r="E553" s="277"/>
      <c r="F553" s="298" t="b">
        <v>0</v>
      </c>
      <c r="G553" s="278"/>
      <c r="H553" s="299" t="b">
        <v>0</v>
      </c>
      <c r="I553" s="277"/>
      <c r="J553" s="278"/>
      <c r="K553" s="277"/>
      <c r="L553" s="278"/>
      <c r="M553" s="277"/>
      <c r="N553" s="278"/>
      <c r="O553" s="277"/>
      <c r="P553" s="278"/>
      <c r="Q553" s="277"/>
      <c r="R553" s="278"/>
      <c r="S553" s="277"/>
      <c r="T553" s="278"/>
      <c r="U553" s="277"/>
      <c r="V553" s="278"/>
      <c r="W553" s="277"/>
      <c r="X553" s="278"/>
      <c r="Y553" s="277"/>
      <c r="Z553" s="278"/>
      <c r="AA553" s="277"/>
      <c r="AB553" s="278"/>
      <c r="AC553" s="277"/>
      <c r="AD553" s="278"/>
      <c r="AE553" s="277"/>
      <c r="AF553" s="278"/>
      <c r="AG553" s="277"/>
      <c r="AH553" s="278"/>
      <c r="AI553" s="277"/>
      <c r="AJ553" s="278"/>
      <c r="AK553" s="277"/>
      <c r="AL553" s="278"/>
      <c r="AM553" s="277"/>
      <c r="AN553" s="278"/>
      <c r="AO553" s="278"/>
      <c r="AP553" s="278"/>
      <c r="AQ553" s="278"/>
      <c r="AR553" s="278"/>
      <c r="AS553" s="278"/>
    </row>
    <row r="554" spans="1:45">
      <c r="A554" s="277"/>
      <c r="B554" s="298" t="b">
        <v>0</v>
      </c>
      <c r="C554" s="278"/>
      <c r="D554" s="299" t="b">
        <v>0</v>
      </c>
      <c r="E554" s="277"/>
      <c r="F554" s="298" t="b">
        <v>0</v>
      </c>
      <c r="G554" s="278"/>
      <c r="H554" s="299" t="b">
        <v>0</v>
      </c>
      <c r="I554" s="277"/>
      <c r="J554" s="278"/>
      <c r="K554" s="277"/>
      <c r="L554" s="278"/>
      <c r="M554" s="277"/>
      <c r="N554" s="278"/>
      <c r="O554" s="277"/>
      <c r="P554" s="278"/>
      <c r="Q554" s="277"/>
      <c r="R554" s="278"/>
      <c r="S554" s="277"/>
      <c r="T554" s="278"/>
      <c r="U554" s="277"/>
      <c r="V554" s="278"/>
      <c r="W554" s="277"/>
      <c r="X554" s="278"/>
      <c r="Y554" s="277"/>
      <c r="Z554" s="278"/>
      <c r="AA554" s="277"/>
      <c r="AB554" s="278"/>
      <c r="AC554" s="277"/>
      <c r="AD554" s="278"/>
      <c r="AE554" s="277"/>
      <c r="AF554" s="278"/>
      <c r="AG554" s="277"/>
      <c r="AH554" s="278"/>
      <c r="AI554" s="277"/>
      <c r="AJ554" s="278"/>
      <c r="AK554" s="277"/>
      <c r="AL554" s="278"/>
      <c r="AM554" s="277"/>
      <c r="AN554" s="278"/>
      <c r="AO554" s="278"/>
      <c r="AP554" s="278"/>
      <c r="AQ554" s="278"/>
      <c r="AR554" s="278"/>
      <c r="AS554" s="278"/>
    </row>
    <row r="555" spans="1:45">
      <c r="A555" s="277"/>
      <c r="B555" s="298" t="b">
        <v>0</v>
      </c>
      <c r="C555" s="278"/>
      <c r="D555" s="299" t="b">
        <v>0</v>
      </c>
      <c r="E555" s="277"/>
      <c r="F555" s="298" t="b">
        <v>0</v>
      </c>
      <c r="G555" s="278"/>
      <c r="H555" s="299" t="b">
        <v>0</v>
      </c>
      <c r="I555" s="277"/>
      <c r="J555" s="278"/>
      <c r="K555" s="277"/>
      <c r="L555" s="278"/>
      <c r="M555" s="277"/>
      <c r="N555" s="278"/>
      <c r="O555" s="277"/>
      <c r="P555" s="278"/>
      <c r="Q555" s="277"/>
      <c r="R555" s="278"/>
      <c r="S555" s="277"/>
      <c r="T555" s="278"/>
      <c r="U555" s="277"/>
      <c r="V555" s="278"/>
      <c r="W555" s="277"/>
      <c r="X555" s="278"/>
      <c r="Y555" s="277"/>
      <c r="Z555" s="278"/>
      <c r="AA555" s="277"/>
      <c r="AB555" s="278"/>
      <c r="AC555" s="277"/>
      <c r="AD555" s="278"/>
      <c r="AE555" s="277"/>
      <c r="AF555" s="278"/>
      <c r="AG555" s="277"/>
      <c r="AH555" s="278"/>
      <c r="AI555" s="277"/>
      <c r="AJ555" s="278"/>
      <c r="AK555" s="277"/>
      <c r="AL555" s="278"/>
      <c r="AM555" s="277"/>
      <c r="AN555" s="278"/>
      <c r="AO555" s="278"/>
      <c r="AP555" s="278"/>
      <c r="AQ555" s="278"/>
      <c r="AR555" s="278"/>
      <c r="AS555" s="278"/>
    </row>
    <row r="556" spans="1:45">
      <c r="A556" s="277"/>
      <c r="B556" s="298" t="b">
        <v>0</v>
      </c>
      <c r="C556" s="278"/>
      <c r="D556" s="299" t="b">
        <v>0</v>
      </c>
      <c r="E556" s="277"/>
      <c r="F556" s="298" t="b">
        <v>0</v>
      </c>
      <c r="G556" s="278"/>
      <c r="H556" s="299" t="b">
        <v>0</v>
      </c>
      <c r="I556" s="277"/>
      <c r="J556" s="278"/>
      <c r="K556" s="277"/>
      <c r="L556" s="278"/>
      <c r="M556" s="277"/>
      <c r="N556" s="278"/>
      <c r="O556" s="277"/>
      <c r="P556" s="278"/>
      <c r="Q556" s="277"/>
      <c r="R556" s="278"/>
      <c r="S556" s="277"/>
      <c r="T556" s="278"/>
      <c r="U556" s="277"/>
      <c r="V556" s="278"/>
      <c r="W556" s="277"/>
      <c r="X556" s="278"/>
      <c r="Y556" s="277"/>
      <c r="Z556" s="278"/>
      <c r="AA556" s="277"/>
      <c r="AB556" s="278"/>
      <c r="AC556" s="277"/>
      <c r="AD556" s="278"/>
      <c r="AE556" s="277"/>
      <c r="AF556" s="278"/>
      <c r="AG556" s="277"/>
      <c r="AH556" s="278"/>
      <c r="AI556" s="277"/>
      <c r="AJ556" s="278"/>
      <c r="AK556" s="277"/>
      <c r="AL556" s="278"/>
      <c r="AM556" s="277"/>
      <c r="AN556" s="278"/>
      <c r="AO556" s="278"/>
      <c r="AP556" s="278"/>
      <c r="AQ556" s="278"/>
      <c r="AR556" s="278"/>
      <c r="AS556" s="278"/>
    </row>
    <row r="557" spans="1:45">
      <c r="A557" s="277"/>
      <c r="B557" s="298" t="b">
        <v>0</v>
      </c>
      <c r="C557" s="278"/>
      <c r="D557" s="299" t="b">
        <v>0</v>
      </c>
      <c r="E557" s="277"/>
      <c r="F557" s="298" t="b">
        <v>0</v>
      </c>
      <c r="G557" s="278"/>
      <c r="H557" s="299" t="b">
        <v>0</v>
      </c>
      <c r="I557" s="277"/>
      <c r="J557" s="278"/>
      <c r="K557" s="277"/>
      <c r="L557" s="278"/>
      <c r="M557" s="277"/>
      <c r="N557" s="278"/>
      <c r="O557" s="277"/>
      <c r="P557" s="278"/>
      <c r="Q557" s="277"/>
      <c r="R557" s="278"/>
      <c r="S557" s="277"/>
      <c r="T557" s="278"/>
      <c r="U557" s="277"/>
      <c r="V557" s="278"/>
      <c r="W557" s="277"/>
      <c r="X557" s="278"/>
      <c r="Y557" s="277"/>
      <c r="Z557" s="278"/>
      <c r="AA557" s="277"/>
      <c r="AB557" s="278"/>
      <c r="AC557" s="277"/>
      <c r="AD557" s="278"/>
      <c r="AE557" s="277"/>
      <c r="AF557" s="278"/>
      <c r="AG557" s="277"/>
      <c r="AH557" s="278"/>
      <c r="AI557" s="277"/>
      <c r="AJ557" s="278"/>
      <c r="AK557" s="277"/>
      <c r="AL557" s="278"/>
      <c r="AM557" s="277"/>
      <c r="AN557" s="278"/>
      <c r="AO557" s="278"/>
      <c r="AP557" s="278"/>
      <c r="AQ557" s="278"/>
      <c r="AR557" s="278"/>
      <c r="AS557" s="278"/>
    </row>
    <row r="558" spans="1:45">
      <c r="A558" s="277"/>
      <c r="B558" s="298" t="b">
        <v>0</v>
      </c>
      <c r="C558" s="278"/>
      <c r="D558" s="299" t="b">
        <v>0</v>
      </c>
      <c r="E558" s="277"/>
      <c r="F558" s="298" t="b">
        <v>0</v>
      </c>
      <c r="G558" s="278"/>
      <c r="H558" s="299" t="b">
        <v>0</v>
      </c>
      <c r="I558" s="277"/>
      <c r="J558" s="278"/>
      <c r="K558" s="277"/>
      <c r="L558" s="278"/>
      <c r="M558" s="277"/>
      <c r="N558" s="278"/>
      <c r="O558" s="277"/>
      <c r="P558" s="278"/>
      <c r="Q558" s="277"/>
      <c r="R558" s="278"/>
      <c r="S558" s="277"/>
      <c r="T558" s="278"/>
      <c r="U558" s="277"/>
      <c r="V558" s="278"/>
      <c r="W558" s="277"/>
      <c r="X558" s="278"/>
      <c r="Y558" s="277"/>
      <c r="Z558" s="278"/>
      <c r="AA558" s="277"/>
      <c r="AB558" s="278"/>
      <c r="AC558" s="277"/>
      <c r="AD558" s="278"/>
      <c r="AE558" s="277"/>
      <c r="AF558" s="278"/>
      <c r="AG558" s="277"/>
      <c r="AH558" s="278"/>
      <c r="AI558" s="277"/>
      <c r="AJ558" s="278"/>
      <c r="AK558" s="277"/>
      <c r="AL558" s="278"/>
      <c r="AM558" s="277"/>
      <c r="AN558" s="278"/>
      <c r="AO558" s="278"/>
      <c r="AP558" s="278"/>
      <c r="AQ558" s="278"/>
      <c r="AR558" s="278"/>
      <c r="AS558" s="278"/>
    </row>
    <row r="559" spans="1:45">
      <c r="A559" s="277"/>
      <c r="B559" s="298" t="b">
        <v>0</v>
      </c>
      <c r="C559" s="278"/>
      <c r="D559" s="299" t="b">
        <v>0</v>
      </c>
      <c r="E559" s="277"/>
      <c r="F559" s="298" t="b">
        <v>0</v>
      </c>
      <c r="G559" s="278"/>
      <c r="H559" s="299" t="b">
        <v>0</v>
      </c>
      <c r="I559" s="277"/>
      <c r="J559" s="278"/>
      <c r="K559" s="277"/>
      <c r="L559" s="278"/>
      <c r="M559" s="277"/>
      <c r="N559" s="278"/>
      <c r="O559" s="277"/>
      <c r="P559" s="278"/>
      <c r="Q559" s="277"/>
      <c r="R559" s="278"/>
      <c r="S559" s="277"/>
      <c r="T559" s="278"/>
      <c r="U559" s="277"/>
      <c r="V559" s="278"/>
      <c r="W559" s="277"/>
      <c r="X559" s="278"/>
      <c r="Y559" s="277"/>
      <c r="Z559" s="278"/>
      <c r="AA559" s="277"/>
      <c r="AB559" s="278"/>
      <c r="AC559" s="277"/>
      <c r="AD559" s="278"/>
      <c r="AE559" s="277"/>
      <c r="AF559" s="278"/>
      <c r="AG559" s="277"/>
      <c r="AH559" s="278"/>
      <c r="AI559" s="277"/>
      <c r="AJ559" s="278"/>
      <c r="AK559" s="277"/>
      <c r="AL559" s="278"/>
      <c r="AM559" s="277"/>
      <c r="AN559" s="278"/>
      <c r="AO559" s="278"/>
      <c r="AP559" s="278"/>
      <c r="AQ559" s="278"/>
      <c r="AR559" s="278"/>
      <c r="AS559" s="278"/>
    </row>
    <row r="560" spans="1:45">
      <c r="A560" s="277"/>
      <c r="B560" s="298" t="b">
        <v>0</v>
      </c>
      <c r="C560" s="278"/>
      <c r="D560" s="299" t="b">
        <v>0</v>
      </c>
      <c r="E560" s="277"/>
      <c r="F560" s="298" t="b">
        <v>0</v>
      </c>
      <c r="G560" s="278"/>
      <c r="H560" s="299" t="b">
        <v>0</v>
      </c>
      <c r="I560" s="277"/>
      <c r="J560" s="278"/>
      <c r="K560" s="277"/>
      <c r="L560" s="278"/>
      <c r="M560" s="277"/>
      <c r="N560" s="278"/>
      <c r="O560" s="277"/>
      <c r="P560" s="278"/>
      <c r="Q560" s="277"/>
      <c r="R560" s="278"/>
      <c r="S560" s="277"/>
      <c r="T560" s="278"/>
      <c r="U560" s="277"/>
      <c r="V560" s="278"/>
      <c r="W560" s="277"/>
      <c r="X560" s="278"/>
      <c r="Y560" s="277"/>
      <c r="Z560" s="278"/>
      <c r="AA560" s="277"/>
      <c r="AB560" s="278"/>
      <c r="AC560" s="277"/>
      <c r="AD560" s="278"/>
      <c r="AE560" s="277"/>
      <c r="AF560" s="278"/>
      <c r="AG560" s="277"/>
      <c r="AH560" s="278"/>
      <c r="AI560" s="277"/>
      <c r="AJ560" s="278"/>
      <c r="AK560" s="277"/>
      <c r="AL560" s="278"/>
      <c r="AM560" s="277"/>
      <c r="AN560" s="278"/>
      <c r="AO560" s="278"/>
      <c r="AP560" s="278"/>
      <c r="AQ560" s="278"/>
      <c r="AR560" s="278"/>
      <c r="AS560" s="278"/>
    </row>
    <row r="561" spans="1:45">
      <c r="A561" s="277"/>
      <c r="B561" s="298" t="b">
        <v>0</v>
      </c>
      <c r="C561" s="278"/>
      <c r="D561" s="299" t="b">
        <v>0</v>
      </c>
      <c r="E561" s="277"/>
      <c r="F561" s="298" t="b">
        <v>0</v>
      </c>
      <c r="G561" s="278"/>
      <c r="H561" s="299" t="b">
        <v>0</v>
      </c>
      <c r="I561" s="277"/>
      <c r="J561" s="278"/>
      <c r="K561" s="277"/>
      <c r="L561" s="278"/>
      <c r="M561" s="277"/>
      <c r="N561" s="278"/>
      <c r="O561" s="277"/>
      <c r="P561" s="278"/>
      <c r="Q561" s="277"/>
      <c r="R561" s="278"/>
      <c r="S561" s="277"/>
      <c r="T561" s="278"/>
      <c r="U561" s="277"/>
      <c r="V561" s="278"/>
      <c r="W561" s="277"/>
      <c r="X561" s="278"/>
      <c r="Y561" s="277"/>
      <c r="Z561" s="278"/>
      <c r="AA561" s="277"/>
      <c r="AB561" s="278"/>
      <c r="AC561" s="277"/>
      <c r="AD561" s="278"/>
      <c r="AE561" s="277"/>
      <c r="AF561" s="278"/>
      <c r="AG561" s="277"/>
      <c r="AH561" s="278"/>
      <c r="AI561" s="277"/>
      <c r="AJ561" s="278"/>
      <c r="AK561" s="277"/>
      <c r="AL561" s="278"/>
      <c r="AM561" s="277"/>
      <c r="AN561" s="278"/>
      <c r="AO561" s="278"/>
      <c r="AP561" s="278"/>
      <c r="AQ561" s="278"/>
      <c r="AR561" s="278"/>
      <c r="AS561" s="278"/>
    </row>
    <row r="562" spans="1:45">
      <c r="A562" s="277"/>
      <c r="B562" s="298" t="b">
        <v>0</v>
      </c>
      <c r="C562" s="278"/>
      <c r="D562" s="299" t="b">
        <v>0</v>
      </c>
      <c r="E562" s="277"/>
      <c r="F562" s="298" t="b">
        <v>0</v>
      </c>
      <c r="G562" s="278"/>
      <c r="H562" s="299" t="b">
        <v>0</v>
      </c>
      <c r="I562" s="277"/>
      <c r="J562" s="278"/>
      <c r="K562" s="277"/>
      <c r="L562" s="278"/>
      <c r="M562" s="277"/>
      <c r="N562" s="278"/>
      <c r="O562" s="277"/>
      <c r="P562" s="278"/>
      <c r="Q562" s="277"/>
      <c r="R562" s="278"/>
      <c r="S562" s="277"/>
      <c r="T562" s="278"/>
      <c r="U562" s="277"/>
      <c r="V562" s="278"/>
      <c r="W562" s="277"/>
      <c r="X562" s="278"/>
      <c r="Y562" s="277"/>
      <c r="Z562" s="278"/>
      <c r="AA562" s="277"/>
      <c r="AB562" s="278"/>
      <c r="AC562" s="277"/>
      <c r="AD562" s="278"/>
      <c r="AE562" s="277"/>
      <c r="AF562" s="278"/>
      <c r="AG562" s="277"/>
      <c r="AH562" s="278"/>
      <c r="AI562" s="277"/>
      <c r="AJ562" s="278"/>
      <c r="AK562" s="277"/>
      <c r="AL562" s="278"/>
      <c r="AM562" s="277"/>
      <c r="AN562" s="278"/>
      <c r="AO562" s="278"/>
      <c r="AP562" s="278"/>
      <c r="AQ562" s="278"/>
      <c r="AR562" s="278"/>
      <c r="AS562" s="278"/>
    </row>
    <row r="563" spans="1:45">
      <c r="A563" s="277"/>
      <c r="B563" s="298" t="b">
        <v>0</v>
      </c>
      <c r="C563" s="278"/>
      <c r="D563" s="299" t="b">
        <v>0</v>
      </c>
      <c r="E563" s="277"/>
      <c r="F563" s="298" t="b">
        <v>0</v>
      </c>
      <c r="G563" s="278"/>
      <c r="H563" s="299" t="b">
        <v>0</v>
      </c>
      <c r="I563" s="277"/>
      <c r="J563" s="278"/>
      <c r="K563" s="277"/>
      <c r="L563" s="278"/>
      <c r="M563" s="277"/>
      <c r="N563" s="278"/>
      <c r="O563" s="277"/>
      <c r="P563" s="278"/>
      <c r="Q563" s="277"/>
      <c r="R563" s="278"/>
      <c r="S563" s="277"/>
      <c r="T563" s="278"/>
      <c r="U563" s="277"/>
      <c r="V563" s="278"/>
      <c r="W563" s="277"/>
      <c r="X563" s="278"/>
      <c r="Y563" s="277"/>
      <c r="Z563" s="278"/>
      <c r="AA563" s="277"/>
      <c r="AB563" s="278"/>
      <c r="AC563" s="277"/>
      <c r="AD563" s="278"/>
      <c r="AE563" s="277"/>
      <c r="AF563" s="278"/>
      <c r="AG563" s="277"/>
      <c r="AH563" s="278"/>
      <c r="AI563" s="277"/>
      <c r="AJ563" s="278"/>
      <c r="AK563" s="277"/>
      <c r="AL563" s="278"/>
      <c r="AM563" s="277"/>
      <c r="AN563" s="278"/>
      <c r="AO563" s="278"/>
      <c r="AP563" s="278"/>
      <c r="AQ563" s="278"/>
      <c r="AR563" s="278"/>
      <c r="AS563" s="278"/>
    </row>
    <row r="564" spans="1:45">
      <c r="A564" s="277"/>
      <c r="B564" s="298" t="b">
        <v>0</v>
      </c>
      <c r="C564" s="278"/>
      <c r="D564" s="299" t="b">
        <v>0</v>
      </c>
      <c r="E564" s="277"/>
      <c r="F564" s="298" t="b">
        <v>0</v>
      </c>
      <c r="G564" s="278"/>
      <c r="H564" s="299" t="b">
        <v>0</v>
      </c>
      <c r="I564" s="277"/>
      <c r="J564" s="278"/>
      <c r="K564" s="277"/>
      <c r="L564" s="278"/>
      <c r="M564" s="277"/>
      <c r="N564" s="278"/>
      <c r="O564" s="277"/>
      <c r="P564" s="278"/>
      <c r="Q564" s="277"/>
      <c r="R564" s="278"/>
      <c r="S564" s="277"/>
      <c r="T564" s="278"/>
      <c r="U564" s="277"/>
      <c r="V564" s="278"/>
      <c r="W564" s="277"/>
      <c r="X564" s="278"/>
      <c r="Y564" s="277"/>
      <c r="Z564" s="278"/>
      <c r="AA564" s="277"/>
      <c r="AB564" s="278"/>
      <c r="AC564" s="277"/>
      <c r="AD564" s="278"/>
      <c r="AE564" s="277"/>
      <c r="AF564" s="278"/>
      <c r="AG564" s="277"/>
      <c r="AH564" s="278"/>
      <c r="AI564" s="277"/>
      <c r="AJ564" s="278"/>
      <c r="AK564" s="277"/>
      <c r="AL564" s="278"/>
      <c r="AM564" s="277"/>
      <c r="AN564" s="278"/>
      <c r="AO564" s="278"/>
      <c r="AP564" s="278"/>
      <c r="AQ564" s="278"/>
      <c r="AR564" s="278"/>
      <c r="AS564" s="278"/>
    </row>
    <row r="565" spans="1:45">
      <c r="A565" s="277"/>
      <c r="B565" s="298" t="b">
        <v>0</v>
      </c>
      <c r="C565" s="278"/>
      <c r="D565" s="299" t="b">
        <v>0</v>
      </c>
      <c r="E565" s="277"/>
      <c r="F565" s="298" t="b">
        <v>0</v>
      </c>
      <c r="G565" s="278"/>
      <c r="H565" s="299" t="b">
        <v>0</v>
      </c>
      <c r="I565" s="277"/>
      <c r="J565" s="278"/>
      <c r="K565" s="277"/>
      <c r="L565" s="278"/>
      <c r="M565" s="277"/>
      <c r="N565" s="278"/>
      <c r="O565" s="277"/>
      <c r="P565" s="278"/>
      <c r="Q565" s="277"/>
      <c r="R565" s="278"/>
      <c r="S565" s="277"/>
      <c r="T565" s="278"/>
      <c r="U565" s="277"/>
      <c r="V565" s="278"/>
      <c r="W565" s="277"/>
      <c r="X565" s="278"/>
      <c r="Y565" s="277"/>
      <c r="Z565" s="278"/>
      <c r="AA565" s="277"/>
      <c r="AB565" s="278"/>
      <c r="AC565" s="277"/>
      <c r="AD565" s="278"/>
      <c r="AE565" s="277"/>
      <c r="AF565" s="278"/>
      <c r="AG565" s="277"/>
      <c r="AH565" s="278"/>
      <c r="AI565" s="277"/>
      <c r="AJ565" s="278"/>
      <c r="AK565" s="277"/>
      <c r="AL565" s="278"/>
      <c r="AM565" s="277"/>
      <c r="AN565" s="278"/>
      <c r="AO565" s="278"/>
      <c r="AP565" s="278"/>
      <c r="AQ565" s="278"/>
      <c r="AR565" s="278"/>
      <c r="AS565" s="278"/>
    </row>
    <row r="566" spans="1:45">
      <c r="A566" s="277"/>
      <c r="B566" s="298" t="b">
        <v>0</v>
      </c>
      <c r="C566" s="278"/>
      <c r="D566" s="299" t="b">
        <v>0</v>
      </c>
      <c r="E566" s="277"/>
      <c r="F566" s="298" t="b">
        <v>0</v>
      </c>
      <c r="G566" s="278"/>
      <c r="H566" s="299" t="b">
        <v>0</v>
      </c>
      <c r="I566" s="277"/>
      <c r="J566" s="278"/>
      <c r="K566" s="277"/>
      <c r="L566" s="278"/>
      <c r="M566" s="277"/>
      <c r="N566" s="278"/>
      <c r="O566" s="277"/>
      <c r="P566" s="278"/>
      <c r="Q566" s="277"/>
      <c r="R566" s="278"/>
      <c r="S566" s="277"/>
      <c r="T566" s="278"/>
      <c r="U566" s="277"/>
      <c r="V566" s="278"/>
      <c r="W566" s="277"/>
      <c r="X566" s="278"/>
      <c r="Y566" s="277"/>
      <c r="Z566" s="278"/>
      <c r="AA566" s="277"/>
      <c r="AB566" s="278"/>
      <c r="AC566" s="277"/>
      <c r="AD566" s="278"/>
      <c r="AE566" s="277"/>
      <c r="AF566" s="278"/>
      <c r="AG566" s="277"/>
      <c r="AH566" s="278"/>
      <c r="AI566" s="277"/>
      <c r="AJ566" s="278"/>
      <c r="AK566" s="277"/>
      <c r="AL566" s="278"/>
      <c r="AM566" s="277"/>
      <c r="AN566" s="278"/>
      <c r="AO566" s="278"/>
      <c r="AP566" s="278"/>
      <c r="AQ566" s="278"/>
      <c r="AR566" s="278"/>
      <c r="AS566" s="278"/>
    </row>
    <row r="567" spans="1:45">
      <c r="A567" s="277"/>
      <c r="B567" s="298" t="b">
        <v>0</v>
      </c>
      <c r="C567" s="278"/>
      <c r="D567" s="299" t="b">
        <v>0</v>
      </c>
      <c r="E567" s="277"/>
      <c r="F567" s="298" t="b">
        <v>0</v>
      </c>
      <c r="G567" s="278"/>
      <c r="H567" s="299" t="b">
        <v>0</v>
      </c>
      <c r="I567" s="277"/>
      <c r="J567" s="278"/>
      <c r="K567" s="277"/>
      <c r="L567" s="278"/>
      <c r="M567" s="277"/>
      <c r="N567" s="278"/>
      <c r="O567" s="277"/>
      <c r="P567" s="278"/>
      <c r="Q567" s="277"/>
      <c r="R567" s="278"/>
      <c r="S567" s="277"/>
      <c r="T567" s="278"/>
      <c r="U567" s="277"/>
      <c r="V567" s="278"/>
      <c r="W567" s="277"/>
      <c r="X567" s="278"/>
      <c r="Y567" s="277"/>
      <c r="Z567" s="278"/>
      <c r="AA567" s="277"/>
      <c r="AB567" s="278"/>
      <c r="AC567" s="277"/>
      <c r="AD567" s="278"/>
      <c r="AE567" s="277"/>
      <c r="AF567" s="278"/>
      <c r="AG567" s="277"/>
      <c r="AH567" s="278"/>
      <c r="AI567" s="277"/>
      <c r="AJ567" s="278"/>
      <c r="AK567" s="277"/>
      <c r="AL567" s="278"/>
      <c r="AM567" s="277"/>
      <c r="AN567" s="278"/>
      <c r="AO567" s="278"/>
      <c r="AP567" s="278"/>
      <c r="AQ567" s="278"/>
      <c r="AR567" s="278"/>
      <c r="AS567" s="278"/>
    </row>
    <row r="568" spans="1:45">
      <c r="A568" s="277"/>
      <c r="B568" s="298" t="b">
        <v>0</v>
      </c>
      <c r="C568" s="278"/>
      <c r="D568" s="299" t="b">
        <v>0</v>
      </c>
      <c r="E568" s="277"/>
      <c r="F568" s="298" t="b">
        <v>0</v>
      </c>
      <c r="G568" s="278"/>
      <c r="H568" s="299" t="b">
        <v>0</v>
      </c>
      <c r="I568" s="277"/>
      <c r="J568" s="278"/>
      <c r="K568" s="277"/>
      <c r="L568" s="278"/>
      <c r="M568" s="277"/>
      <c r="N568" s="278"/>
      <c r="O568" s="277"/>
      <c r="P568" s="278"/>
      <c r="Q568" s="277"/>
      <c r="R568" s="278"/>
      <c r="S568" s="277"/>
      <c r="T568" s="278"/>
      <c r="U568" s="277"/>
      <c r="V568" s="278"/>
      <c r="W568" s="277"/>
      <c r="X568" s="278"/>
      <c r="Y568" s="277"/>
      <c r="Z568" s="278"/>
      <c r="AA568" s="277"/>
      <c r="AB568" s="278"/>
      <c r="AC568" s="277"/>
      <c r="AD568" s="278"/>
      <c r="AE568" s="277"/>
      <c r="AF568" s="278"/>
      <c r="AG568" s="277"/>
      <c r="AH568" s="278"/>
      <c r="AI568" s="277"/>
      <c r="AJ568" s="278"/>
      <c r="AK568" s="277"/>
      <c r="AL568" s="278"/>
      <c r="AM568" s="277"/>
      <c r="AN568" s="278"/>
      <c r="AO568" s="278"/>
      <c r="AP568" s="278"/>
      <c r="AQ568" s="278"/>
      <c r="AR568" s="278"/>
      <c r="AS568" s="278"/>
    </row>
    <row r="569" spans="1:45">
      <c r="A569" s="277"/>
      <c r="B569" s="298" t="b">
        <v>0</v>
      </c>
      <c r="C569" s="278"/>
      <c r="D569" s="299" t="b">
        <v>0</v>
      </c>
      <c r="E569" s="277"/>
      <c r="F569" s="298" t="b">
        <v>0</v>
      </c>
      <c r="G569" s="278"/>
      <c r="H569" s="299" t="b">
        <v>0</v>
      </c>
      <c r="I569" s="277"/>
      <c r="J569" s="278"/>
      <c r="K569" s="277"/>
      <c r="L569" s="278"/>
      <c r="M569" s="277"/>
      <c r="N569" s="278"/>
      <c r="O569" s="277"/>
      <c r="P569" s="278"/>
      <c r="Q569" s="277"/>
      <c r="R569" s="278"/>
      <c r="S569" s="277"/>
      <c r="T569" s="278"/>
      <c r="U569" s="277"/>
      <c r="V569" s="278"/>
      <c r="W569" s="277"/>
      <c r="X569" s="278"/>
      <c r="Y569" s="277"/>
      <c r="Z569" s="278"/>
      <c r="AA569" s="277"/>
      <c r="AB569" s="278"/>
      <c r="AC569" s="277"/>
      <c r="AD569" s="278"/>
      <c r="AE569" s="277"/>
      <c r="AF569" s="278"/>
      <c r="AG569" s="277"/>
      <c r="AH569" s="278"/>
      <c r="AI569" s="277"/>
      <c r="AJ569" s="278"/>
      <c r="AK569" s="277"/>
      <c r="AL569" s="278"/>
      <c r="AM569" s="277"/>
      <c r="AN569" s="278"/>
      <c r="AO569" s="278"/>
      <c r="AP569" s="278"/>
      <c r="AQ569" s="278"/>
      <c r="AR569" s="278"/>
      <c r="AS569" s="278"/>
    </row>
    <row r="570" spans="1:45">
      <c r="A570" s="277"/>
      <c r="B570" s="298" t="b">
        <v>0</v>
      </c>
      <c r="C570" s="278"/>
      <c r="D570" s="299" t="b">
        <v>0</v>
      </c>
      <c r="E570" s="277"/>
      <c r="F570" s="298" t="b">
        <v>0</v>
      </c>
      <c r="G570" s="278"/>
      <c r="H570" s="299" t="b">
        <v>0</v>
      </c>
      <c r="I570" s="277"/>
      <c r="J570" s="278"/>
      <c r="K570" s="277"/>
      <c r="L570" s="278"/>
      <c r="M570" s="277"/>
      <c r="N570" s="278"/>
      <c r="O570" s="277"/>
      <c r="P570" s="278"/>
      <c r="Q570" s="277"/>
      <c r="R570" s="278"/>
      <c r="S570" s="277"/>
      <c r="T570" s="278"/>
      <c r="U570" s="277"/>
      <c r="V570" s="278"/>
      <c r="W570" s="277"/>
      <c r="X570" s="278"/>
      <c r="Y570" s="277"/>
      <c r="Z570" s="278"/>
      <c r="AA570" s="277"/>
      <c r="AB570" s="278"/>
      <c r="AC570" s="277"/>
      <c r="AD570" s="278"/>
      <c r="AE570" s="277"/>
      <c r="AF570" s="278"/>
      <c r="AG570" s="277"/>
      <c r="AH570" s="278"/>
      <c r="AI570" s="277"/>
      <c r="AJ570" s="278"/>
      <c r="AK570" s="277"/>
      <c r="AL570" s="278"/>
      <c r="AM570" s="277"/>
      <c r="AN570" s="278"/>
      <c r="AO570" s="278"/>
      <c r="AP570" s="278"/>
      <c r="AQ570" s="278"/>
      <c r="AR570" s="278"/>
      <c r="AS570" s="278"/>
    </row>
    <row r="571" spans="1:45">
      <c r="A571" s="277"/>
      <c r="B571" s="298" t="b">
        <v>0</v>
      </c>
      <c r="C571" s="278"/>
      <c r="D571" s="299" t="b">
        <v>0</v>
      </c>
      <c r="E571" s="277"/>
      <c r="F571" s="298" t="b">
        <v>0</v>
      </c>
      <c r="G571" s="278"/>
      <c r="H571" s="299" t="b">
        <v>0</v>
      </c>
      <c r="I571" s="277"/>
      <c r="J571" s="278"/>
      <c r="K571" s="277"/>
      <c r="L571" s="278"/>
      <c r="M571" s="277"/>
      <c r="N571" s="278"/>
      <c r="O571" s="277"/>
      <c r="P571" s="278"/>
      <c r="Q571" s="277"/>
      <c r="R571" s="278"/>
      <c r="S571" s="277"/>
      <c r="T571" s="278"/>
      <c r="U571" s="277"/>
      <c r="V571" s="278"/>
      <c r="W571" s="277"/>
      <c r="X571" s="278"/>
      <c r="Y571" s="277"/>
      <c r="Z571" s="278"/>
      <c r="AA571" s="277"/>
      <c r="AB571" s="278"/>
      <c r="AC571" s="277"/>
      <c r="AD571" s="278"/>
      <c r="AE571" s="277"/>
      <c r="AF571" s="278"/>
      <c r="AG571" s="277"/>
      <c r="AH571" s="278"/>
      <c r="AI571" s="277"/>
      <c r="AJ571" s="278"/>
      <c r="AK571" s="277"/>
      <c r="AL571" s="278"/>
      <c r="AM571" s="277"/>
      <c r="AN571" s="278"/>
      <c r="AO571" s="278"/>
      <c r="AP571" s="278"/>
      <c r="AQ571" s="278"/>
      <c r="AR571" s="278"/>
      <c r="AS571" s="278"/>
    </row>
    <row r="572" spans="1:45">
      <c r="A572" s="277"/>
      <c r="B572" s="298" t="b">
        <v>0</v>
      </c>
      <c r="C572" s="278"/>
      <c r="D572" s="299" t="b">
        <v>0</v>
      </c>
      <c r="E572" s="277"/>
      <c r="F572" s="298" t="b">
        <v>0</v>
      </c>
      <c r="G572" s="278"/>
      <c r="H572" s="299" t="b">
        <v>0</v>
      </c>
      <c r="I572" s="277"/>
      <c r="J572" s="278"/>
      <c r="K572" s="277"/>
      <c r="L572" s="278"/>
      <c r="M572" s="277"/>
      <c r="N572" s="278"/>
      <c r="O572" s="277"/>
      <c r="P572" s="278"/>
      <c r="Q572" s="277"/>
      <c r="R572" s="278"/>
      <c r="S572" s="277"/>
      <c r="T572" s="278"/>
      <c r="U572" s="277"/>
      <c r="V572" s="278"/>
      <c r="W572" s="277"/>
      <c r="X572" s="278"/>
      <c r="Y572" s="277"/>
      <c r="Z572" s="278"/>
      <c r="AA572" s="277"/>
      <c r="AB572" s="278"/>
      <c r="AC572" s="277"/>
      <c r="AD572" s="278"/>
      <c r="AE572" s="277"/>
      <c r="AF572" s="278"/>
      <c r="AG572" s="277"/>
      <c r="AH572" s="278"/>
      <c r="AI572" s="277"/>
      <c r="AJ572" s="278"/>
      <c r="AK572" s="277"/>
      <c r="AL572" s="278"/>
      <c r="AM572" s="277"/>
      <c r="AN572" s="278"/>
      <c r="AO572" s="278"/>
      <c r="AP572" s="278"/>
      <c r="AQ572" s="278"/>
      <c r="AR572" s="278"/>
      <c r="AS572" s="278"/>
    </row>
    <row r="573" spans="1:45">
      <c r="A573" s="277"/>
      <c r="B573" s="298" t="b">
        <v>0</v>
      </c>
      <c r="C573" s="278"/>
      <c r="D573" s="299" t="b">
        <v>0</v>
      </c>
      <c r="E573" s="277"/>
      <c r="F573" s="298" t="b">
        <v>0</v>
      </c>
      <c r="G573" s="278"/>
      <c r="H573" s="299" t="b">
        <v>0</v>
      </c>
      <c r="I573" s="277"/>
      <c r="J573" s="278"/>
      <c r="K573" s="277"/>
      <c r="L573" s="278"/>
      <c r="M573" s="277"/>
      <c r="N573" s="278"/>
      <c r="O573" s="277"/>
      <c r="P573" s="278"/>
      <c r="Q573" s="277"/>
      <c r="R573" s="278"/>
      <c r="S573" s="277"/>
      <c r="T573" s="278"/>
      <c r="U573" s="277"/>
      <c r="V573" s="278"/>
      <c r="W573" s="277"/>
      <c r="X573" s="278"/>
      <c r="Y573" s="277"/>
      <c r="Z573" s="278"/>
      <c r="AA573" s="277"/>
      <c r="AB573" s="278"/>
      <c r="AC573" s="277"/>
      <c r="AD573" s="278"/>
      <c r="AE573" s="277"/>
      <c r="AF573" s="278"/>
      <c r="AG573" s="277"/>
      <c r="AH573" s="278"/>
      <c r="AI573" s="277"/>
      <c r="AJ573" s="278"/>
      <c r="AK573" s="277"/>
      <c r="AL573" s="278"/>
      <c r="AM573" s="277"/>
      <c r="AN573" s="278"/>
      <c r="AO573" s="278"/>
      <c r="AP573" s="278"/>
      <c r="AQ573" s="278"/>
      <c r="AR573" s="278"/>
      <c r="AS573" s="278"/>
    </row>
    <row r="574" spans="1:45">
      <c r="A574" s="277"/>
      <c r="B574" s="298" t="b">
        <v>0</v>
      </c>
      <c r="C574" s="278"/>
      <c r="D574" s="299" t="b">
        <v>0</v>
      </c>
      <c r="E574" s="277"/>
      <c r="F574" s="298" t="b">
        <v>0</v>
      </c>
      <c r="G574" s="278"/>
      <c r="H574" s="299" t="b">
        <v>0</v>
      </c>
      <c r="I574" s="277"/>
      <c r="J574" s="278"/>
      <c r="K574" s="277"/>
      <c r="L574" s="278"/>
      <c r="M574" s="277"/>
      <c r="N574" s="278"/>
      <c r="O574" s="277"/>
      <c r="P574" s="278"/>
      <c r="Q574" s="277"/>
      <c r="R574" s="278"/>
      <c r="S574" s="277"/>
      <c r="T574" s="278"/>
      <c r="U574" s="277"/>
      <c r="V574" s="278"/>
      <c r="W574" s="277"/>
      <c r="X574" s="278"/>
      <c r="Y574" s="277"/>
      <c r="Z574" s="278"/>
      <c r="AA574" s="277"/>
      <c r="AB574" s="278"/>
      <c r="AC574" s="277"/>
      <c r="AD574" s="278"/>
      <c r="AE574" s="277"/>
      <c r="AF574" s="278"/>
      <c r="AG574" s="277"/>
      <c r="AH574" s="278"/>
      <c r="AI574" s="277"/>
      <c r="AJ574" s="278"/>
      <c r="AK574" s="277"/>
      <c r="AL574" s="278"/>
      <c r="AM574" s="277"/>
      <c r="AN574" s="278"/>
      <c r="AO574" s="278"/>
      <c r="AP574" s="278"/>
      <c r="AQ574" s="278"/>
      <c r="AR574" s="278"/>
      <c r="AS574" s="278"/>
    </row>
    <row r="575" spans="1:45">
      <c r="A575" s="277"/>
      <c r="B575" s="298" t="b">
        <v>0</v>
      </c>
      <c r="C575" s="278"/>
      <c r="D575" s="299" t="b">
        <v>0</v>
      </c>
      <c r="E575" s="277"/>
      <c r="F575" s="298" t="b">
        <v>0</v>
      </c>
      <c r="G575" s="278"/>
      <c r="H575" s="299" t="b">
        <v>0</v>
      </c>
      <c r="I575" s="277"/>
      <c r="J575" s="278"/>
      <c r="K575" s="277"/>
      <c r="L575" s="278"/>
      <c r="M575" s="277"/>
      <c r="N575" s="278"/>
      <c r="O575" s="277"/>
      <c r="P575" s="278"/>
      <c r="Q575" s="277"/>
      <c r="R575" s="278"/>
      <c r="S575" s="277"/>
      <c r="T575" s="278"/>
      <c r="U575" s="277"/>
      <c r="V575" s="278"/>
      <c r="W575" s="277"/>
      <c r="X575" s="278"/>
      <c r="Y575" s="277"/>
      <c r="Z575" s="278"/>
      <c r="AA575" s="277"/>
      <c r="AB575" s="278"/>
      <c r="AC575" s="277"/>
      <c r="AD575" s="278"/>
      <c r="AE575" s="277"/>
      <c r="AF575" s="278"/>
      <c r="AG575" s="277"/>
      <c r="AH575" s="278"/>
      <c r="AI575" s="277"/>
      <c r="AJ575" s="278"/>
      <c r="AK575" s="277"/>
      <c r="AL575" s="278"/>
      <c r="AM575" s="277"/>
      <c r="AN575" s="278"/>
      <c r="AO575" s="278"/>
      <c r="AP575" s="278"/>
      <c r="AQ575" s="278"/>
      <c r="AR575" s="278"/>
      <c r="AS575" s="278"/>
    </row>
    <row r="576" spans="1:45">
      <c r="A576" s="277"/>
      <c r="B576" s="298" t="b">
        <v>0</v>
      </c>
      <c r="C576" s="278"/>
      <c r="D576" s="299" t="b">
        <v>0</v>
      </c>
      <c r="E576" s="277"/>
      <c r="F576" s="298" t="b">
        <v>0</v>
      </c>
      <c r="G576" s="278"/>
      <c r="H576" s="299" t="b">
        <v>0</v>
      </c>
      <c r="I576" s="277"/>
      <c r="J576" s="278"/>
      <c r="K576" s="277"/>
      <c r="L576" s="278"/>
      <c r="M576" s="277"/>
      <c r="N576" s="278"/>
      <c r="O576" s="277"/>
      <c r="P576" s="278"/>
      <c r="Q576" s="277"/>
      <c r="R576" s="278"/>
      <c r="S576" s="277"/>
      <c r="T576" s="278"/>
      <c r="U576" s="277"/>
      <c r="V576" s="278"/>
      <c r="W576" s="277"/>
      <c r="X576" s="278"/>
      <c r="Y576" s="277"/>
      <c r="Z576" s="278"/>
      <c r="AA576" s="277"/>
      <c r="AB576" s="278"/>
      <c r="AC576" s="277"/>
      <c r="AD576" s="278"/>
      <c r="AE576" s="277"/>
      <c r="AF576" s="278"/>
      <c r="AG576" s="277"/>
      <c r="AH576" s="278"/>
      <c r="AI576" s="277"/>
      <c r="AJ576" s="278"/>
      <c r="AK576" s="277"/>
      <c r="AL576" s="278"/>
      <c r="AM576" s="277"/>
      <c r="AN576" s="278"/>
      <c r="AO576" s="278"/>
      <c r="AP576" s="278"/>
      <c r="AQ576" s="278"/>
      <c r="AR576" s="278"/>
      <c r="AS576" s="278"/>
    </row>
    <row r="577" spans="1:45">
      <c r="A577" s="277"/>
      <c r="B577" s="298" t="b">
        <v>0</v>
      </c>
      <c r="C577" s="278"/>
      <c r="D577" s="299" t="b">
        <v>0</v>
      </c>
      <c r="E577" s="277"/>
      <c r="F577" s="298" t="b">
        <v>0</v>
      </c>
      <c r="G577" s="278"/>
      <c r="H577" s="299" t="b">
        <v>0</v>
      </c>
      <c r="I577" s="277"/>
      <c r="J577" s="278"/>
      <c r="K577" s="277"/>
      <c r="L577" s="278"/>
      <c r="M577" s="277"/>
      <c r="N577" s="278"/>
      <c r="O577" s="277"/>
      <c r="P577" s="278"/>
      <c r="Q577" s="277"/>
      <c r="R577" s="278"/>
      <c r="S577" s="277"/>
      <c r="T577" s="278"/>
      <c r="U577" s="277"/>
      <c r="V577" s="278"/>
      <c r="W577" s="277"/>
      <c r="X577" s="278"/>
      <c r="Y577" s="277"/>
      <c r="Z577" s="278"/>
      <c r="AA577" s="277"/>
      <c r="AB577" s="278"/>
      <c r="AC577" s="277"/>
      <c r="AD577" s="278"/>
      <c r="AE577" s="277"/>
      <c r="AF577" s="278"/>
      <c r="AG577" s="277"/>
      <c r="AH577" s="278"/>
      <c r="AI577" s="277"/>
      <c r="AJ577" s="278"/>
      <c r="AK577" s="277"/>
      <c r="AL577" s="278"/>
      <c r="AM577" s="277"/>
      <c r="AN577" s="278"/>
      <c r="AO577" s="278"/>
      <c r="AP577" s="278"/>
      <c r="AQ577" s="278"/>
      <c r="AR577" s="278"/>
      <c r="AS577" s="278"/>
    </row>
    <row r="578" spans="1:45">
      <c r="A578" s="277"/>
      <c r="B578" s="298" t="b">
        <v>0</v>
      </c>
      <c r="C578" s="278"/>
      <c r="D578" s="299" t="b">
        <v>0</v>
      </c>
      <c r="E578" s="277"/>
      <c r="F578" s="298" t="b">
        <v>0</v>
      </c>
      <c r="G578" s="278"/>
      <c r="H578" s="299" t="b">
        <v>0</v>
      </c>
      <c r="I578" s="277"/>
      <c r="J578" s="278"/>
      <c r="K578" s="277"/>
      <c r="L578" s="278"/>
      <c r="M578" s="277"/>
      <c r="N578" s="278"/>
      <c r="O578" s="277"/>
      <c r="P578" s="278"/>
      <c r="Q578" s="277"/>
      <c r="R578" s="278"/>
      <c r="S578" s="277"/>
      <c r="T578" s="278"/>
      <c r="U578" s="277"/>
      <c r="V578" s="278"/>
      <c r="W578" s="277"/>
      <c r="X578" s="278"/>
      <c r="Y578" s="277"/>
      <c r="Z578" s="278"/>
      <c r="AA578" s="277"/>
      <c r="AB578" s="278"/>
      <c r="AC578" s="277"/>
      <c r="AD578" s="278"/>
      <c r="AE578" s="277"/>
      <c r="AF578" s="278"/>
      <c r="AG578" s="277"/>
      <c r="AH578" s="278"/>
      <c r="AI578" s="277"/>
      <c r="AJ578" s="278"/>
      <c r="AK578" s="277"/>
      <c r="AL578" s="278"/>
      <c r="AM578" s="277"/>
      <c r="AN578" s="278"/>
      <c r="AO578" s="278"/>
      <c r="AP578" s="278"/>
      <c r="AQ578" s="278"/>
      <c r="AR578" s="278"/>
      <c r="AS578" s="278"/>
    </row>
    <row r="579" spans="1:45">
      <c r="A579" s="277"/>
      <c r="B579" s="298" t="b">
        <v>0</v>
      </c>
      <c r="C579" s="278"/>
      <c r="D579" s="299" t="b">
        <v>0</v>
      </c>
      <c r="E579" s="277"/>
      <c r="F579" s="298" t="b">
        <v>0</v>
      </c>
      <c r="G579" s="278"/>
      <c r="H579" s="299" t="b">
        <v>0</v>
      </c>
      <c r="I579" s="277"/>
      <c r="J579" s="278"/>
      <c r="K579" s="277"/>
      <c r="L579" s="278"/>
      <c r="M579" s="277"/>
      <c r="N579" s="278"/>
      <c r="O579" s="277"/>
      <c r="P579" s="278"/>
      <c r="Q579" s="277"/>
      <c r="R579" s="278"/>
      <c r="S579" s="277"/>
      <c r="T579" s="278"/>
      <c r="U579" s="277"/>
      <c r="V579" s="278"/>
      <c r="W579" s="277"/>
      <c r="X579" s="278"/>
      <c r="Y579" s="277"/>
      <c r="Z579" s="278"/>
      <c r="AA579" s="277"/>
      <c r="AB579" s="278"/>
      <c r="AC579" s="277"/>
      <c r="AD579" s="278"/>
      <c r="AE579" s="277"/>
      <c r="AF579" s="278"/>
      <c r="AG579" s="277"/>
      <c r="AH579" s="278"/>
      <c r="AI579" s="277"/>
      <c r="AJ579" s="278"/>
      <c r="AK579" s="277"/>
      <c r="AL579" s="278"/>
      <c r="AM579" s="277"/>
      <c r="AN579" s="278"/>
      <c r="AO579" s="278"/>
      <c r="AP579" s="278"/>
      <c r="AQ579" s="278"/>
      <c r="AR579" s="278"/>
      <c r="AS579" s="278"/>
    </row>
    <row r="580" spans="1:45">
      <c r="A580" s="277"/>
      <c r="B580" s="298" t="b">
        <v>0</v>
      </c>
      <c r="C580" s="278"/>
      <c r="D580" s="299" t="b">
        <v>0</v>
      </c>
      <c r="E580" s="277"/>
      <c r="F580" s="298" t="b">
        <v>0</v>
      </c>
      <c r="G580" s="278"/>
      <c r="H580" s="299" t="b">
        <v>0</v>
      </c>
      <c r="I580" s="277"/>
      <c r="J580" s="278"/>
      <c r="K580" s="277"/>
      <c r="L580" s="278"/>
      <c r="M580" s="277"/>
      <c r="N580" s="278"/>
      <c r="O580" s="277"/>
      <c r="P580" s="278"/>
      <c r="Q580" s="277"/>
      <c r="R580" s="278"/>
      <c r="S580" s="277"/>
      <c r="T580" s="278"/>
      <c r="U580" s="277"/>
      <c r="V580" s="278"/>
      <c r="W580" s="277"/>
      <c r="X580" s="278"/>
      <c r="Y580" s="277"/>
      <c r="Z580" s="278"/>
      <c r="AA580" s="277"/>
      <c r="AB580" s="278"/>
      <c r="AC580" s="277"/>
      <c r="AD580" s="278"/>
      <c r="AE580" s="277"/>
      <c r="AF580" s="278"/>
      <c r="AG580" s="277"/>
      <c r="AH580" s="278"/>
      <c r="AI580" s="277"/>
      <c r="AJ580" s="278"/>
      <c r="AK580" s="277"/>
      <c r="AL580" s="278"/>
      <c r="AM580" s="277"/>
      <c r="AN580" s="278"/>
      <c r="AO580" s="278"/>
      <c r="AP580" s="278"/>
      <c r="AQ580" s="278"/>
      <c r="AR580" s="278"/>
      <c r="AS580" s="278"/>
    </row>
    <row r="581" spans="1:45">
      <c r="A581" s="277"/>
      <c r="B581" s="298" t="b">
        <v>0</v>
      </c>
      <c r="C581" s="278"/>
      <c r="D581" s="299" t="b">
        <v>0</v>
      </c>
      <c r="E581" s="277"/>
      <c r="F581" s="298" t="b">
        <v>0</v>
      </c>
      <c r="G581" s="278"/>
      <c r="H581" s="299" t="b">
        <v>0</v>
      </c>
      <c r="I581" s="277"/>
      <c r="J581" s="278"/>
      <c r="K581" s="277"/>
      <c r="L581" s="278"/>
      <c r="M581" s="277"/>
      <c r="N581" s="278"/>
      <c r="O581" s="277"/>
      <c r="P581" s="278"/>
      <c r="Q581" s="277"/>
      <c r="R581" s="278"/>
      <c r="S581" s="277"/>
      <c r="T581" s="278"/>
      <c r="U581" s="277"/>
      <c r="V581" s="278"/>
      <c r="W581" s="277"/>
      <c r="X581" s="278"/>
      <c r="Y581" s="277"/>
      <c r="Z581" s="278"/>
      <c r="AA581" s="277"/>
      <c r="AB581" s="278"/>
      <c r="AC581" s="277"/>
      <c r="AD581" s="278"/>
      <c r="AE581" s="277"/>
      <c r="AF581" s="278"/>
      <c r="AG581" s="277"/>
      <c r="AH581" s="278"/>
      <c r="AI581" s="277"/>
      <c r="AJ581" s="278"/>
      <c r="AK581" s="277"/>
      <c r="AL581" s="278"/>
      <c r="AM581" s="277"/>
      <c r="AN581" s="278"/>
      <c r="AO581" s="278"/>
      <c r="AP581" s="278"/>
      <c r="AQ581" s="278"/>
      <c r="AR581" s="278"/>
      <c r="AS581" s="278"/>
    </row>
    <row r="582" spans="1:45">
      <c r="A582" s="277"/>
      <c r="B582" s="298" t="b">
        <v>0</v>
      </c>
      <c r="C582" s="278"/>
      <c r="D582" s="299" t="b">
        <v>0</v>
      </c>
      <c r="E582" s="277"/>
      <c r="F582" s="298" t="b">
        <v>0</v>
      </c>
      <c r="G582" s="278"/>
      <c r="H582" s="299" t="b">
        <v>0</v>
      </c>
      <c r="I582" s="277"/>
      <c r="J582" s="278"/>
      <c r="K582" s="277"/>
      <c r="L582" s="278"/>
      <c r="M582" s="277"/>
      <c r="N582" s="278"/>
      <c r="O582" s="277"/>
      <c r="P582" s="278"/>
      <c r="Q582" s="277"/>
      <c r="R582" s="278"/>
      <c r="S582" s="277"/>
      <c r="T582" s="278"/>
      <c r="U582" s="277"/>
      <c r="V582" s="278"/>
      <c r="W582" s="277"/>
      <c r="X582" s="278"/>
      <c r="Y582" s="277"/>
      <c r="Z582" s="278"/>
      <c r="AA582" s="277"/>
      <c r="AB582" s="278"/>
      <c r="AC582" s="277"/>
      <c r="AD582" s="278"/>
      <c r="AE582" s="277"/>
      <c r="AF582" s="278"/>
      <c r="AG582" s="277"/>
      <c r="AH582" s="278"/>
      <c r="AI582" s="277"/>
      <c r="AJ582" s="278"/>
      <c r="AK582" s="277"/>
      <c r="AL582" s="278"/>
      <c r="AM582" s="277"/>
      <c r="AN582" s="278"/>
      <c r="AO582" s="278"/>
      <c r="AP582" s="278"/>
      <c r="AQ582" s="278"/>
      <c r="AR582" s="278"/>
      <c r="AS582" s="278"/>
    </row>
    <row r="583" spans="1:45">
      <c r="A583" s="277"/>
      <c r="B583" s="298" t="b">
        <v>0</v>
      </c>
      <c r="C583" s="278"/>
      <c r="D583" s="299" t="b">
        <v>0</v>
      </c>
      <c r="E583" s="277"/>
      <c r="F583" s="298" t="b">
        <v>0</v>
      </c>
      <c r="G583" s="278"/>
      <c r="H583" s="299" t="b">
        <v>0</v>
      </c>
      <c r="I583" s="277"/>
      <c r="J583" s="278"/>
      <c r="K583" s="277"/>
      <c r="L583" s="278"/>
      <c r="M583" s="277"/>
      <c r="N583" s="278"/>
      <c r="O583" s="277"/>
      <c r="P583" s="278"/>
      <c r="Q583" s="277"/>
      <c r="R583" s="278"/>
      <c r="S583" s="277"/>
      <c r="T583" s="278"/>
      <c r="U583" s="277"/>
      <c r="V583" s="278"/>
      <c r="W583" s="277"/>
      <c r="X583" s="278"/>
      <c r="Y583" s="277"/>
      <c r="Z583" s="278"/>
      <c r="AA583" s="277"/>
      <c r="AB583" s="278"/>
      <c r="AC583" s="277"/>
      <c r="AD583" s="278"/>
      <c r="AE583" s="277"/>
      <c r="AF583" s="278"/>
      <c r="AG583" s="277"/>
      <c r="AH583" s="278"/>
      <c r="AI583" s="277"/>
      <c r="AJ583" s="278"/>
      <c r="AK583" s="277"/>
      <c r="AL583" s="278"/>
      <c r="AM583" s="277"/>
      <c r="AN583" s="278"/>
      <c r="AO583" s="278"/>
      <c r="AP583" s="278"/>
      <c r="AQ583" s="278"/>
      <c r="AR583" s="278"/>
      <c r="AS583" s="278"/>
    </row>
    <row r="584" spans="1:45">
      <c r="A584" s="277"/>
      <c r="B584" s="298" t="b">
        <v>0</v>
      </c>
      <c r="C584" s="278"/>
      <c r="D584" s="299" t="b">
        <v>0</v>
      </c>
      <c r="E584" s="277"/>
      <c r="F584" s="298" t="b">
        <v>0</v>
      </c>
      <c r="G584" s="278"/>
      <c r="H584" s="299" t="b">
        <v>0</v>
      </c>
      <c r="I584" s="277"/>
      <c r="J584" s="278"/>
      <c r="K584" s="277"/>
      <c r="L584" s="278"/>
      <c r="M584" s="277"/>
      <c r="N584" s="278"/>
      <c r="O584" s="277"/>
      <c r="P584" s="278"/>
      <c r="Q584" s="277"/>
      <c r="R584" s="278"/>
      <c r="S584" s="277"/>
      <c r="T584" s="278"/>
      <c r="U584" s="277"/>
      <c r="V584" s="278"/>
      <c r="W584" s="277"/>
      <c r="X584" s="278"/>
      <c r="Y584" s="277"/>
      <c r="Z584" s="278"/>
      <c r="AA584" s="277"/>
      <c r="AB584" s="278"/>
      <c r="AC584" s="277"/>
      <c r="AD584" s="278"/>
      <c r="AE584" s="277"/>
      <c r="AF584" s="278"/>
      <c r="AG584" s="277"/>
      <c r="AH584" s="278"/>
      <c r="AI584" s="277"/>
      <c r="AJ584" s="278"/>
      <c r="AK584" s="277"/>
      <c r="AL584" s="278"/>
      <c r="AM584" s="277"/>
      <c r="AN584" s="278"/>
      <c r="AO584" s="278"/>
      <c r="AP584" s="278"/>
      <c r="AQ584" s="278"/>
      <c r="AR584" s="278"/>
      <c r="AS584" s="278"/>
    </row>
    <row r="585" spans="1:45">
      <c r="A585" s="277"/>
      <c r="B585" s="298" t="b">
        <v>0</v>
      </c>
      <c r="C585" s="278"/>
      <c r="D585" s="299" t="b">
        <v>0</v>
      </c>
      <c r="E585" s="277"/>
      <c r="F585" s="298" t="b">
        <v>0</v>
      </c>
      <c r="G585" s="278"/>
      <c r="H585" s="299" t="b">
        <v>0</v>
      </c>
      <c r="I585" s="277"/>
      <c r="J585" s="278"/>
      <c r="K585" s="277"/>
      <c r="L585" s="278"/>
      <c r="M585" s="277"/>
      <c r="N585" s="278"/>
      <c r="O585" s="277"/>
      <c r="P585" s="278"/>
      <c r="Q585" s="277"/>
      <c r="R585" s="278"/>
      <c r="S585" s="277"/>
      <c r="T585" s="278"/>
      <c r="U585" s="277"/>
      <c r="V585" s="278"/>
      <c r="W585" s="277"/>
      <c r="X585" s="278"/>
      <c r="Y585" s="277"/>
      <c r="Z585" s="278"/>
      <c r="AA585" s="277"/>
      <c r="AB585" s="278"/>
      <c r="AC585" s="277"/>
      <c r="AD585" s="278"/>
      <c r="AE585" s="277"/>
      <c r="AF585" s="278"/>
      <c r="AG585" s="277"/>
      <c r="AH585" s="278"/>
      <c r="AI585" s="277"/>
      <c r="AJ585" s="278"/>
      <c r="AK585" s="277"/>
      <c r="AL585" s="278"/>
      <c r="AM585" s="277"/>
      <c r="AN585" s="278"/>
      <c r="AO585" s="278"/>
      <c r="AP585" s="278"/>
      <c r="AQ585" s="278"/>
      <c r="AR585" s="278"/>
      <c r="AS585" s="278"/>
    </row>
    <row r="586" spans="1:45">
      <c r="A586" s="277"/>
      <c r="B586" s="298" t="b">
        <v>0</v>
      </c>
      <c r="C586" s="278"/>
      <c r="D586" s="299" t="b">
        <v>0</v>
      </c>
      <c r="E586" s="277"/>
      <c r="F586" s="298" t="b">
        <v>0</v>
      </c>
      <c r="G586" s="278"/>
      <c r="H586" s="299" t="b">
        <v>0</v>
      </c>
      <c r="I586" s="277"/>
      <c r="J586" s="278"/>
      <c r="K586" s="277"/>
      <c r="L586" s="278"/>
      <c r="M586" s="277"/>
      <c r="N586" s="278"/>
      <c r="O586" s="277"/>
      <c r="P586" s="278"/>
      <c r="Q586" s="277"/>
      <c r="R586" s="278"/>
      <c r="S586" s="277"/>
      <c r="T586" s="278"/>
      <c r="U586" s="277"/>
      <c r="V586" s="278"/>
      <c r="W586" s="277"/>
      <c r="X586" s="278"/>
      <c r="Y586" s="277"/>
      <c r="Z586" s="278"/>
      <c r="AA586" s="277"/>
      <c r="AB586" s="278"/>
      <c r="AC586" s="277"/>
      <c r="AD586" s="278"/>
      <c r="AE586" s="277"/>
      <c r="AF586" s="278"/>
      <c r="AG586" s="277"/>
      <c r="AH586" s="278"/>
      <c r="AI586" s="277"/>
      <c r="AJ586" s="278"/>
      <c r="AK586" s="277"/>
      <c r="AL586" s="278"/>
      <c r="AM586" s="277"/>
      <c r="AN586" s="278"/>
      <c r="AO586" s="278"/>
      <c r="AP586" s="278"/>
      <c r="AQ586" s="278"/>
      <c r="AR586" s="278"/>
      <c r="AS586" s="278"/>
    </row>
    <row r="587" spans="1:45">
      <c r="A587" s="277"/>
      <c r="B587" s="298" t="b">
        <v>0</v>
      </c>
      <c r="C587" s="278"/>
      <c r="D587" s="299" t="b">
        <v>0</v>
      </c>
      <c r="E587" s="277"/>
      <c r="F587" s="298" t="b">
        <v>0</v>
      </c>
      <c r="G587" s="278"/>
      <c r="H587" s="299" t="b">
        <v>0</v>
      </c>
      <c r="I587" s="277"/>
      <c r="J587" s="278"/>
      <c r="K587" s="277"/>
      <c r="L587" s="278"/>
      <c r="M587" s="277"/>
      <c r="N587" s="278"/>
      <c r="O587" s="277"/>
      <c r="P587" s="278"/>
      <c r="Q587" s="277"/>
      <c r="R587" s="278"/>
      <c r="S587" s="277"/>
      <c r="T587" s="278"/>
      <c r="U587" s="277"/>
      <c r="V587" s="278"/>
      <c r="W587" s="277"/>
      <c r="X587" s="278"/>
      <c r="Y587" s="277"/>
      <c r="Z587" s="278"/>
      <c r="AA587" s="277"/>
      <c r="AB587" s="278"/>
      <c r="AC587" s="277"/>
      <c r="AD587" s="278"/>
      <c r="AE587" s="277"/>
      <c r="AF587" s="278"/>
      <c r="AG587" s="277"/>
      <c r="AH587" s="278"/>
      <c r="AI587" s="277"/>
      <c r="AJ587" s="278"/>
      <c r="AK587" s="277"/>
      <c r="AL587" s="278"/>
      <c r="AM587" s="277"/>
      <c r="AN587" s="278"/>
      <c r="AO587" s="278"/>
      <c r="AP587" s="278"/>
      <c r="AQ587" s="278"/>
      <c r="AR587" s="278"/>
      <c r="AS587" s="278"/>
    </row>
    <row r="588" spans="1:45">
      <c r="A588" s="277"/>
      <c r="B588" s="298" t="b">
        <v>0</v>
      </c>
      <c r="C588" s="278"/>
      <c r="D588" s="299" t="b">
        <v>0</v>
      </c>
      <c r="E588" s="277"/>
      <c r="F588" s="298" t="b">
        <v>0</v>
      </c>
      <c r="G588" s="278"/>
      <c r="H588" s="299" t="b">
        <v>0</v>
      </c>
      <c r="I588" s="277"/>
      <c r="J588" s="278"/>
      <c r="K588" s="277"/>
      <c r="L588" s="278"/>
      <c r="M588" s="277"/>
      <c r="N588" s="278"/>
      <c r="O588" s="277"/>
      <c r="P588" s="278"/>
      <c r="Q588" s="277"/>
      <c r="R588" s="278"/>
      <c r="S588" s="277"/>
      <c r="T588" s="278"/>
      <c r="U588" s="277"/>
      <c r="V588" s="278"/>
      <c r="W588" s="277"/>
      <c r="X588" s="278"/>
      <c r="Y588" s="277"/>
      <c r="Z588" s="278"/>
      <c r="AA588" s="277"/>
      <c r="AB588" s="278"/>
      <c r="AC588" s="277"/>
      <c r="AD588" s="278"/>
      <c r="AE588" s="277"/>
      <c r="AF588" s="278"/>
      <c r="AG588" s="277"/>
      <c r="AH588" s="278"/>
      <c r="AI588" s="277"/>
      <c r="AJ588" s="278"/>
      <c r="AK588" s="277"/>
      <c r="AL588" s="278"/>
      <c r="AM588" s="277"/>
      <c r="AN588" s="278"/>
      <c r="AO588" s="278"/>
      <c r="AP588" s="278"/>
      <c r="AQ588" s="278"/>
      <c r="AR588" s="278"/>
      <c r="AS588" s="278"/>
    </row>
    <row r="589" spans="1:45">
      <c r="A589" s="277"/>
      <c r="B589" s="298" t="b">
        <v>0</v>
      </c>
      <c r="C589" s="278"/>
      <c r="D589" s="299" t="b">
        <v>0</v>
      </c>
      <c r="E589" s="277"/>
      <c r="F589" s="298" t="b">
        <v>0</v>
      </c>
      <c r="G589" s="278"/>
      <c r="H589" s="299" t="b">
        <v>0</v>
      </c>
      <c r="I589" s="277"/>
      <c r="J589" s="278"/>
      <c r="K589" s="277"/>
      <c r="L589" s="278"/>
      <c r="M589" s="277"/>
      <c r="N589" s="278"/>
      <c r="O589" s="277"/>
      <c r="P589" s="278"/>
      <c r="Q589" s="277"/>
      <c r="R589" s="278"/>
      <c r="S589" s="277"/>
      <c r="T589" s="278"/>
      <c r="U589" s="277"/>
      <c r="V589" s="278"/>
      <c r="W589" s="277"/>
      <c r="X589" s="278"/>
      <c r="Y589" s="277"/>
      <c r="Z589" s="278"/>
      <c r="AA589" s="277"/>
      <c r="AB589" s="278"/>
      <c r="AC589" s="277"/>
      <c r="AD589" s="278"/>
      <c r="AE589" s="277"/>
      <c r="AF589" s="278"/>
      <c r="AG589" s="277"/>
      <c r="AH589" s="278"/>
      <c r="AI589" s="277"/>
      <c r="AJ589" s="278"/>
      <c r="AK589" s="277"/>
      <c r="AL589" s="278"/>
      <c r="AM589" s="277"/>
      <c r="AN589" s="278"/>
      <c r="AO589" s="278"/>
      <c r="AP589" s="278"/>
      <c r="AQ589" s="278"/>
      <c r="AR589" s="278"/>
      <c r="AS589" s="278"/>
    </row>
    <row r="590" spans="1:45">
      <c r="A590" s="277"/>
      <c r="B590" s="298" t="b">
        <v>0</v>
      </c>
      <c r="C590" s="278"/>
      <c r="D590" s="299" t="b">
        <v>0</v>
      </c>
      <c r="E590" s="277"/>
      <c r="F590" s="298" t="b">
        <v>0</v>
      </c>
      <c r="G590" s="278"/>
      <c r="H590" s="299" t="b">
        <v>0</v>
      </c>
      <c r="I590" s="277"/>
      <c r="J590" s="278"/>
      <c r="K590" s="277"/>
      <c r="L590" s="278"/>
      <c r="M590" s="277"/>
      <c r="N590" s="278"/>
      <c r="O590" s="277"/>
      <c r="P590" s="278"/>
      <c r="Q590" s="277"/>
      <c r="R590" s="278"/>
      <c r="S590" s="277"/>
      <c r="T590" s="278"/>
      <c r="U590" s="277"/>
      <c r="V590" s="278"/>
      <c r="W590" s="277"/>
      <c r="X590" s="278"/>
      <c r="Y590" s="277"/>
      <c r="Z590" s="278"/>
      <c r="AA590" s="277"/>
      <c r="AB590" s="278"/>
      <c r="AC590" s="277"/>
      <c r="AD590" s="278"/>
      <c r="AE590" s="277"/>
      <c r="AF590" s="278"/>
      <c r="AG590" s="277"/>
      <c r="AH590" s="278"/>
      <c r="AI590" s="277"/>
      <c r="AJ590" s="278"/>
      <c r="AK590" s="277"/>
      <c r="AL590" s="278"/>
      <c r="AM590" s="277"/>
      <c r="AN590" s="278"/>
      <c r="AO590" s="278"/>
      <c r="AP590" s="278"/>
      <c r="AQ590" s="278"/>
      <c r="AR590" s="278"/>
      <c r="AS590" s="278"/>
    </row>
    <row r="591" spans="1:45">
      <c r="A591" s="277"/>
      <c r="B591" s="298" t="b">
        <v>0</v>
      </c>
      <c r="C591" s="278"/>
      <c r="D591" s="299" t="b">
        <v>0</v>
      </c>
      <c r="E591" s="277"/>
      <c r="F591" s="298" t="b">
        <v>0</v>
      </c>
      <c r="G591" s="278"/>
      <c r="H591" s="299" t="b">
        <v>0</v>
      </c>
      <c r="I591" s="277"/>
      <c r="J591" s="278"/>
      <c r="K591" s="277"/>
      <c r="L591" s="278"/>
      <c r="M591" s="277"/>
      <c r="N591" s="278"/>
      <c r="O591" s="277"/>
      <c r="P591" s="278"/>
      <c r="Q591" s="277"/>
      <c r="R591" s="278"/>
      <c r="S591" s="277"/>
      <c r="T591" s="278"/>
      <c r="U591" s="277"/>
      <c r="V591" s="278"/>
      <c r="W591" s="277"/>
      <c r="X591" s="278"/>
      <c r="Y591" s="277"/>
      <c r="Z591" s="278"/>
      <c r="AA591" s="277"/>
      <c r="AB591" s="278"/>
      <c r="AC591" s="277"/>
      <c r="AD591" s="278"/>
      <c r="AE591" s="277"/>
      <c r="AF591" s="278"/>
      <c r="AG591" s="277"/>
      <c r="AH591" s="278"/>
      <c r="AI591" s="277"/>
      <c r="AJ591" s="278"/>
      <c r="AK591" s="277"/>
      <c r="AL591" s="278"/>
      <c r="AM591" s="277"/>
      <c r="AN591" s="278"/>
      <c r="AO591" s="278"/>
      <c r="AP591" s="278"/>
      <c r="AQ591" s="278"/>
      <c r="AR591" s="278"/>
      <c r="AS591" s="278"/>
    </row>
    <row r="592" spans="1:45">
      <c r="A592" s="277"/>
      <c r="B592" s="298" t="b">
        <v>0</v>
      </c>
      <c r="C592" s="278"/>
      <c r="D592" s="299" t="b">
        <v>0</v>
      </c>
      <c r="E592" s="277"/>
      <c r="F592" s="298" t="b">
        <v>0</v>
      </c>
      <c r="G592" s="278"/>
      <c r="H592" s="299" t="b">
        <v>0</v>
      </c>
      <c r="I592" s="277"/>
      <c r="J592" s="278"/>
      <c r="K592" s="277"/>
      <c r="L592" s="278"/>
      <c r="M592" s="277"/>
      <c r="N592" s="278"/>
      <c r="O592" s="277"/>
      <c r="P592" s="278"/>
      <c r="Q592" s="277"/>
      <c r="R592" s="278"/>
      <c r="S592" s="277"/>
      <c r="T592" s="278"/>
      <c r="U592" s="277"/>
      <c r="V592" s="278"/>
      <c r="W592" s="277"/>
      <c r="X592" s="278"/>
      <c r="Y592" s="277"/>
      <c r="Z592" s="278"/>
      <c r="AA592" s="277"/>
      <c r="AB592" s="278"/>
      <c r="AC592" s="277"/>
      <c r="AD592" s="278"/>
      <c r="AE592" s="277"/>
      <c r="AF592" s="278"/>
      <c r="AG592" s="277"/>
      <c r="AH592" s="278"/>
      <c r="AI592" s="277"/>
      <c r="AJ592" s="278"/>
      <c r="AK592" s="277"/>
      <c r="AL592" s="278"/>
      <c r="AM592" s="277"/>
      <c r="AN592" s="278"/>
      <c r="AO592" s="278"/>
      <c r="AP592" s="278"/>
      <c r="AQ592" s="278"/>
      <c r="AR592" s="278"/>
      <c r="AS592" s="278"/>
    </row>
    <row r="593" spans="1:45">
      <c r="A593" s="277"/>
      <c r="B593" s="298" t="b">
        <v>0</v>
      </c>
      <c r="C593" s="278"/>
      <c r="D593" s="299" t="b">
        <v>0</v>
      </c>
      <c r="E593" s="277"/>
      <c r="F593" s="298" t="b">
        <v>0</v>
      </c>
      <c r="G593" s="278"/>
      <c r="H593" s="299" t="b">
        <v>0</v>
      </c>
      <c r="I593" s="277"/>
      <c r="J593" s="278"/>
      <c r="K593" s="277"/>
      <c r="L593" s="278"/>
      <c r="M593" s="277"/>
      <c r="N593" s="278"/>
      <c r="O593" s="277"/>
      <c r="P593" s="278"/>
      <c r="Q593" s="277"/>
      <c r="R593" s="278"/>
      <c r="S593" s="277"/>
      <c r="T593" s="278"/>
      <c r="U593" s="277"/>
      <c r="V593" s="278"/>
      <c r="W593" s="277"/>
      <c r="X593" s="278"/>
      <c r="Y593" s="277"/>
      <c r="Z593" s="278"/>
      <c r="AA593" s="277"/>
      <c r="AB593" s="278"/>
      <c r="AC593" s="277"/>
      <c r="AD593" s="278"/>
      <c r="AE593" s="277"/>
      <c r="AF593" s="278"/>
      <c r="AG593" s="277"/>
      <c r="AH593" s="278"/>
      <c r="AI593" s="277"/>
      <c r="AJ593" s="278"/>
      <c r="AK593" s="277"/>
      <c r="AL593" s="278"/>
      <c r="AM593" s="277"/>
      <c r="AN593" s="278"/>
      <c r="AO593" s="278"/>
      <c r="AP593" s="278"/>
      <c r="AQ593" s="278"/>
      <c r="AR593" s="278"/>
      <c r="AS593" s="278"/>
    </row>
    <row r="594" spans="1:45">
      <c r="A594" s="277"/>
      <c r="B594" s="298" t="b">
        <v>0</v>
      </c>
      <c r="C594" s="278"/>
      <c r="D594" s="299" t="b">
        <v>0</v>
      </c>
      <c r="E594" s="277"/>
      <c r="F594" s="298" t="b">
        <v>0</v>
      </c>
      <c r="G594" s="278"/>
      <c r="H594" s="299" t="b">
        <v>0</v>
      </c>
      <c r="I594" s="277"/>
      <c r="J594" s="278"/>
      <c r="K594" s="277"/>
      <c r="L594" s="278"/>
      <c r="M594" s="277"/>
      <c r="N594" s="278"/>
      <c r="O594" s="277"/>
      <c r="P594" s="278"/>
      <c r="Q594" s="277"/>
      <c r="R594" s="278"/>
      <c r="S594" s="277"/>
      <c r="T594" s="278"/>
      <c r="U594" s="277"/>
      <c r="V594" s="278"/>
      <c r="W594" s="277"/>
      <c r="X594" s="278"/>
      <c r="Y594" s="277"/>
      <c r="Z594" s="278"/>
      <c r="AA594" s="277"/>
      <c r="AB594" s="278"/>
      <c r="AC594" s="277"/>
      <c r="AD594" s="278"/>
      <c r="AE594" s="277"/>
      <c r="AF594" s="278"/>
      <c r="AG594" s="277"/>
      <c r="AH594" s="278"/>
      <c r="AI594" s="277"/>
      <c r="AJ594" s="278"/>
      <c r="AK594" s="277"/>
      <c r="AL594" s="278"/>
      <c r="AM594" s="277"/>
      <c r="AN594" s="278"/>
      <c r="AO594" s="278"/>
      <c r="AP594" s="278"/>
      <c r="AQ594" s="278"/>
      <c r="AR594" s="278"/>
      <c r="AS594" s="278"/>
    </row>
    <row r="595" spans="1:45">
      <c r="A595" s="277"/>
      <c r="B595" s="298" t="b">
        <v>0</v>
      </c>
      <c r="C595" s="278"/>
      <c r="D595" s="299" t="b">
        <v>0</v>
      </c>
      <c r="E595" s="277"/>
      <c r="F595" s="298" t="b">
        <v>0</v>
      </c>
      <c r="G595" s="278"/>
      <c r="H595" s="299" t="b">
        <v>0</v>
      </c>
      <c r="I595" s="277"/>
      <c r="J595" s="278"/>
      <c r="K595" s="277"/>
      <c r="L595" s="278"/>
      <c r="M595" s="277"/>
      <c r="N595" s="278"/>
      <c r="O595" s="277"/>
      <c r="P595" s="278"/>
      <c r="Q595" s="277"/>
      <c r="R595" s="278"/>
      <c r="S595" s="277"/>
      <c r="T595" s="278"/>
      <c r="U595" s="277"/>
      <c r="V595" s="278"/>
      <c r="W595" s="277"/>
      <c r="X595" s="278"/>
      <c r="Y595" s="277"/>
      <c r="Z595" s="278"/>
      <c r="AA595" s="277"/>
      <c r="AB595" s="278"/>
      <c r="AC595" s="277"/>
      <c r="AD595" s="278"/>
      <c r="AE595" s="277"/>
      <c r="AF595" s="278"/>
      <c r="AG595" s="277"/>
      <c r="AH595" s="278"/>
      <c r="AI595" s="277"/>
      <c r="AJ595" s="278"/>
      <c r="AK595" s="277"/>
      <c r="AL595" s="278"/>
      <c r="AM595" s="277"/>
      <c r="AN595" s="278"/>
      <c r="AO595" s="278"/>
      <c r="AP595" s="278"/>
      <c r="AQ595" s="278"/>
      <c r="AR595" s="278"/>
      <c r="AS595" s="278"/>
    </row>
    <row r="596" spans="1:45">
      <c r="A596" s="277"/>
      <c r="B596" s="298" t="b">
        <v>0</v>
      </c>
      <c r="C596" s="278"/>
      <c r="D596" s="299" t="b">
        <v>0</v>
      </c>
      <c r="E596" s="277"/>
      <c r="F596" s="298" t="b">
        <v>0</v>
      </c>
      <c r="G596" s="278"/>
      <c r="H596" s="299" t="b">
        <v>0</v>
      </c>
      <c r="I596" s="277"/>
      <c r="J596" s="278"/>
      <c r="K596" s="277"/>
      <c r="L596" s="278"/>
      <c r="M596" s="277"/>
      <c r="N596" s="278"/>
      <c r="O596" s="277"/>
      <c r="P596" s="278"/>
      <c r="Q596" s="277"/>
      <c r="R596" s="278"/>
      <c r="S596" s="277"/>
      <c r="T596" s="278"/>
      <c r="U596" s="277"/>
      <c r="V596" s="278"/>
      <c r="W596" s="277"/>
      <c r="X596" s="278"/>
      <c r="Y596" s="277"/>
      <c r="Z596" s="278"/>
      <c r="AA596" s="277"/>
      <c r="AB596" s="278"/>
      <c r="AC596" s="277"/>
      <c r="AD596" s="278"/>
      <c r="AE596" s="277"/>
      <c r="AF596" s="278"/>
      <c r="AG596" s="277"/>
      <c r="AH596" s="278"/>
      <c r="AI596" s="277"/>
      <c r="AJ596" s="278"/>
      <c r="AK596" s="277"/>
      <c r="AL596" s="278"/>
      <c r="AM596" s="277"/>
      <c r="AN596" s="278"/>
      <c r="AO596" s="278"/>
      <c r="AP596" s="278"/>
      <c r="AQ596" s="278"/>
      <c r="AR596" s="278"/>
      <c r="AS596" s="278"/>
    </row>
    <row r="597" spans="1:45">
      <c r="A597" s="277"/>
      <c r="B597" s="298" t="b">
        <v>0</v>
      </c>
      <c r="C597" s="278"/>
      <c r="D597" s="299" t="b">
        <v>0</v>
      </c>
      <c r="E597" s="277"/>
      <c r="F597" s="298" t="b">
        <v>0</v>
      </c>
      <c r="G597" s="278"/>
      <c r="H597" s="299" t="b">
        <v>0</v>
      </c>
      <c r="I597" s="277"/>
      <c r="J597" s="278"/>
      <c r="K597" s="277"/>
      <c r="L597" s="278"/>
      <c r="M597" s="277"/>
      <c r="N597" s="278"/>
      <c r="O597" s="277"/>
      <c r="P597" s="278"/>
      <c r="Q597" s="277"/>
      <c r="R597" s="278"/>
      <c r="S597" s="277"/>
      <c r="T597" s="278"/>
      <c r="U597" s="277"/>
      <c r="V597" s="278"/>
      <c r="W597" s="277"/>
      <c r="X597" s="278"/>
      <c r="Y597" s="277"/>
      <c r="Z597" s="278"/>
      <c r="AA597" s="277"/>
      <c r="AB597" s="278"/>
      <c r="AC597" s="277"/>
      <c r="AD597" s="278"/>
      <c r="AE597" s="277"/>
      <c r="AF597" s="278"/>
      <c r="AG597" s="277"/>
      <c r="AH597" s="278"/>
      <c r="AI597" s="277"/>
      <c r="AJ597" s="278"/>
      <c r="AK597" s="277"/>
      <c r="AL597" s="278"/>
      <c r="AM597" s="277"/>
      <c r="AN597" s="278"/>
      <c r="AO597" s="278"/>
      <c r="AP597" s="278"/>
      <c r="AQ597" s="278"/>
      <c r="AR597" s="278"/>
      <c r="AS597" s="278"/>
    </row>
    <row r="598" spans="1:45">
      <c r="A598" s="277"/>
      <c r="B598" s="298" t="b">
        <v>0</v>
      </c>
      <c r="C598" s="278"/>
      <c r="D598" s="299" t="b">
        <v>0</v>
      </c>
      <c r="E598" s="277"/>
      <c r="F598" s="298" t="b">
        <v>0</v>
      </c>
      <c r="G598" s="278"/>
      <c r="H598" s="299" t="b">
        <v>0</v>
      </c>
      <c r="I598" s="277"/>
      <c r="J598" s="278"/>
      <c r="K598" s="277"/>
      <c r="L598" s="278"/>
      <c r="M598" s="277"/>
      <c r="N598" s="278"/>
      <c r="O598" s="277"/>
      <c r="P598" s="278"/>
      <c r="Q598" s="277"/>
      <c r="R598" s="278"/>
      <c r="S598" s="277"/>
      <c r="T598" s="278"/>
      <c r="U598" s="277"/>
      <c r="V598" s="278"/>
      <c r="W598" s="277"/>
      <c r="X598" s="278"/>
      <c r="Y598" s="277"/>
      <c r="Z598" s="278"/>
      <c r="AA598" s="277"/>
      <c r="AB598" s="278"/>
      <c r="AC598" s="277"/>
      <c r="AD598" s="278"/>
      <c r="AE598" s="277"/>
      <c r="AF598" s="278"/>
      <c r="AG598" s="277"/>
      <c r="AH598" s="278"/>
      <c r="AI598" s="277"/>
      <c r="AJ598" s="278"/>
      <c r="AK598" s="277"/>
      <c r="AL598" s="278"/>
      <c r="AM598" s="277"/>
      <c r="AN598" s="278"/>
      <c r="AO598" s="278"/>
      <c r="AP598" s="278"/>
      <c r="AQ598" s="278"/>
      <c r="AR598" s="278"/>
      <c r="AS598" s="278"/>
    </row>
    <row r="599" spans="1:45">
      <c r="A599" s="277"/>
      <c r="B599" s="298" t="b">
        <v>0</v>
      </c>
      <c r="C599" s="278"/>
      <c r="D599" s="299" t="b">
        <v>0</v>
      </c>
      <c r="E599" s="277"/>
      <c r="F599" s="298" t="b">
        <v>0</v>
      </c>
      <c r="G599" s="278"/>
      <c r="H599" s="299" t="b">
        <v>0</v>
      </c>
      <c r="I599" s="277"/>
      <c r="J599" s="278"/>
      <c r="K599" s="277"/>
      <c r="L599" s="278"/>
      <c r="M599" s="277"/>
      <c r="N599" s="278"/>
      <c r="O599" s="277"/>
      <c r="P599" s="278"/>
      <c r="Q599" s="277"/>
      <c r="R599" s="278"/>
      <c r="S599" s="277"/>
      <c r="T599" s="278"/>
      <c r="U599" s="277"/>
      <c r="V599" s="278"/>
      <c r="W599" s="277"/>
      <c r="X599" s="278"/>
      <c r="Y599" s="277"/>
      <c r="Z599" s="278"/>
      <c r="AA599" s="277"/>
      <c r="AB599" s="278"/>
      <c r="AC599" s="277"/>
      <c r="AD599" s="278"/>
      <c r="AE599" s="277"/>
      <c r="AF599" s="278"/>
      <c r="AG599" s="277"/>
      <c r="AH599" s="278"/>
      <c r="AI599" s="277"/>
      <c r="AJ599" s="278"/>
      <c r="AK599" s="277"/>
      <c r="AL599" s="278"/>
      <c r="AM599" s="277"/>
      <c r="AN599" s="278"/>
      <c r="AO599" s="278"/>
      <c r="AP599" s="278"/>
      <c r="AQ599" s="278"/>
      <c r="AR599" s="278"/>
      <c r="AS599" s="278"/>
    </row>
    <row r="600" spans="1:45">
      <c r="A600" s="277"/>
      <c r="B600" s="298" t="b">
        <v>0</v>
      </c>
      <c r="C600" s="278"/>
      <c r="D600" s="299" t="b">
        <v>0</v>
      </c>
      <c r="E600" s="277"/>
      <c r="F600" s="298" t="b">
        <v>0</v>
      </c>
      <c r="G600" s="278"/>
      <c r="H600" s="299" t="b">
        <v>0</v>
      </c>
      <c r="I600" s="277"/>
      <c r="J600" s="278"/>
      <c r="K600" s="277"/>
      <c r="L600" s="278"/>
      <c r="M600" s="277"/>
      <c r="N600" s="278"/>
      <c r="O600" s="277"/>
      <c r="P600" s="278"/>
      <c r="Q600" s="277"/>
      <c r="R600" s="278"/>
      <c r="S600" s="277"/>
      <c r="T600" s="278"/>
      <c r="U600" s="277"/>
      <c r="V600" s="278"/>
      <c r="W600" s="277"/>
      <c r="X600" s="278"/>
      <c r="Y600" s="277"/>
      <c r="Z600" s="278"/>
      <c r="AA600" s="277"/>
      <c r="AB600" s="278"/>
      <c r="AC600" s="277"/>
      <c r="AD600" s="278"/>
      <c r="AE600" s="277"/>
      <c r="AF600" s="278"/>
      <c r="AG600" s="277"/>
      <c r="AH600" s="278"/>
      <c r="AI600" s="277"/>
      <c r="AJ600" s="278"/>
      <c r="AK600" s="277"/>
      <c r="AL600" s="278"/>
      <c r="AM600" s="277"/>
      <c r="AN600" s="278"/>
      <c r="AO600" s="278"/>
      <c r="AP600" s="278"/>
      <c r="AQ600" s="278"/>
      <c r="AR600" s="278"/>
      <c r="AS600" s="278"/>
    </row>
    <row r="601" spans="1:45">
      <c r="A601" s="277"/>
      <c r="B601" s="298" t="b">
        <v>0</v>
      </c>
      <c r="C601" s="278"/>
      <c r="D601" s="299" t="b">
        <v>0</v>
      </c>
      <c r="E601" s="277"/>
      <c r="F601" s="298" t="b">
        <v>0</v>
      </c>
      <c r="G601" s="278"/>
      <c r="H601" s="299" t="b">
        <v>0</v>
      </c>
      <c r="I601" s="277"/>
      <c r="J601" s="278"/>
      <c r="K601" s="277"/>
      <c r="L601" s="278"/>
      <c r="M601" s="277"/>
      <c r="N601" s="278"/>
      <c r="O601" s="277"/>
      <c r="P601" s="278"/>
      <c r="Q601" s="277"/>
      <c r="R601" s="278"/>
      <c r="S601" s="277"/>
      <c r="T601" s="278"/>
      <c r="U601" s="277"/>
      <c r="V601" s="278"/>
      <c r="W601" s="277"/>
      <c r="X601" s="278"/>
      <c r="Y601" s="277"/>
      <c r="Z601" s="278"/>
      <c r="AA601" s="277"/>
      <c r="AB601" s="278"/>
      <c r="AC601" s="277"/>
      <c r="AD601" s="278"/>
      <c r="AE601" s="277"/>
      <c r="AF601" s="278"/>
      <c r="AG601" s="277"/>
      <c r="AH601" s="278"/>
      <c r="AI601" s="277"/>
      <c r="AJ601" s="278"/>
      <c r="AK601" s="277"/>
      <c r="AL601" s="278"/>
      <c r="AM601" s="277"/>
      <c r="AN601" s="278"/>
      <c r="AO601" s="278"/>
      <c r="AP601" s="278"/>
      <c r="AQ601" s="278"/>
      <c r="AR601" s="278"/>
      <c r="AS601" s="278"/>
    </row>
    <row r="602" spans="1:45">
      <c r="A602" s="277"/>
      <c r="B602" s="298" t="b">
        <v>0</v>
      </c>
      <c r="C602" s="278"/>
      <c r="D602" s="299" t="b">
        <v>0</v>
      </c>
      <c r="E602" s="277"/>
      <c r="F602" s="298" t="b">
        <v>0</v>
      </c>
      <c r="G602" s="278"/>
      <c r="H602" s="299" t="b">
        <v>0</v>
      </c>
      <c r="I602" s="277"/>
      <c r="J602" s="278"/>
      <c r="K602" s="277"/>
      <c r="L602" s="278"/>
      <c r="M602" s="277"/>
      <c r="N602" s="278"/>
      <c r="O602" s="277"/>
      <c r="P602" s="278"/>
      <c r="Q602" s="277"/>
      <c r="R602" s="278"/>
      <c r="S602" s="277"/>
      <c r="T602" s="278"/>
      <c r="U602" s="277"/>
      <c r="V602" s="278"/>
      <c r="W602" s="277"/>
      <c r="X602" s="278"/>
      <c r="Y602" s="277"/>
      <c r="Z602" s="278"/>
      <c r="AA602" s="277"/>
      <c r="AB602" s="278"/>
      <c r="AC602" s="277"/>
      <c r="AD602" s="278"/>
      <c r="AE602" s="277"/>
      <c r="AF602" s="278"/>
      <c r="AG602" s="277"/>
      <c r="AH602" s="278"/>
      <c r="AI602" s="277"/>
      <c r="AJ602" s="278"/>
      <c r="AK602" s="277"/>
      <c r="AL602" s="278"/>
      <c r="AM602" s="277"/>
      <c r="AN602" s="278"/>
      <c r="AO602" s="278"/>
      <c r="AP602" s="278"/>
      <c r="AQ602" s="278"/>
      <c r="AR602" s="278"/>
      <c r="AS602" s="278"/>
    </row>
    <row r="603" spans="1:45">
      <c r="A603" s="277"/>
      <c r="B603" s="298" t="b">
        <v>0</v>
      </c>
      <c r="C603" s="278"/>
      <c r="D603" s="299" t="b">
        <v>0</v>
      </c>
      <c r="E603" s="277"/>
      <c r="F603" s="298" t="b">
        <v>0</v>
      </c>
      <c r="G603" s="278"/>
      <c r="H603" s="299" t="b">
        <v>0</v>
      </c>
      <c r="I603" s="277"/>
      <c r="J603" s="278"/>
      <c r="K603" s="277"/>
      <c r="L603" s="278"/>
      <c r="M603" s="277"/>
      <c r="N603" s="278"/>
      <c r="O603" s="277"/>
      <c r="P603" s="278"/>
      <c r="Q603" s="277"/>
      <c r="R603" s="278"/>
      <c r="S603" s="277"/>
      <c r="T603" s="278"/>
      <c r="U603" s="277"/>
      <c r="V603" s="278"/>
      <c r="W603" s="277"/>
      <c r="X603" s="278"/>
      <c r="Y603" s="277"/>
      <c r="Z603" s="278"/>
      <c r="AA603" s="277"/>
      <c r="AB603" s="278"/>
      <c r="AC603" s="277"/>
      <c r="AD603" s="278"/>
      <c r="AE603" s="277"/>
      <c r="AF603" s="278"/>
      <c r="AG603" s="277"/>
      <c r="AH603" s="278"/>
      <c r="AI603" s="277"/>
      <c r="AJ603" s="278"/>
      <c r="AK603" s="277"/>
      <c r="AL603" s="278"/>
      <c r="AM603" s="277"/>
      <c r="AN603" s="278"/>
      <c r="AO603" s="278"/>
      <c r="AP603" s="278"/>
      <c r="AQ603" s="278"/>
      <c r="AR603" s="278"/>
      <c r="AS603" s="278"/>
    </row>
    <row r="604" spans="1:45">
      <c r="A604" s="277"/>
      <c r="B604" s="298" t="b">
        <v>0</v>
      </c>
      <c r="C604" s="278"/>
      <c r="D604" s="299" t="b">
        <v>0</v>
      </c>
      <c r="E604" s="277"/>
      <c r="F604" s="298" t="b">
        <v>0</v>
      </c>
      <c r="G604" s="278"/>
      <c r="H604" s="299" t="b">
        <v>0</v>
      </c>
      <c r="I604" s="277"/>
      <c r="J604" s="278"/>
      <c r="K604" s="277"/>
      <c r="L604" s="278"/>
      <c r="M604" s="277"/>
      <c r="N604" s="278"/>
      <c r="O604" s="277"/>
      <c r="P604" s="278"/>
      <c r="Q604" s="277"/>
      <c r="R604" s="278"/>
      <c r="S604" s="277"/>
      <c r="T604" s="278"/>
      <c r="U604" s="277"/>
      <c r="V604" s="278"/>
      <c r="W604" s="277"/>
      <c r="X604" s="278"/>
      <c r="Y604" s="277"/>
      <c r="Z604" s="278"/>
      <c r="AA604" s="277"/>
      <c r="AB604" s="278"/>
      <c r="AC604" s="277"/>
      <c r="AD604" s="278"/>
      <c r="AE604" s="277"/>
      <c r="AF604" s="278"/>
      <c r="AG604" s="277"/>
      <c r="AH604" s="278"/>
      <c r="AI604" s="277"/>
      <c r="AJ604" s="278"/>
      <c r="AK604" s="277"/>
      <c r="AL604" s="278"/>
      <c r="AM604" s="277"/>
      <c r="AN604" s="278"/>
      <c r="AO604" s="278"/>
      <c r="AP604" s="278"/>
      <c r="AQ604" s="278"/>
      <c r="AR604" s="278"/>
      <c r="AS604" s="278"/>
    </row>
    <row r="605" spans="1:45">
      <c r="A605" s="277"/>
      <c r="B605" s="298" t="b">
        <v>0</v>
      </c>
      <c r="C605" s="278"/>
      <c r="D605" s="299" t="b">
        <v>0</v>
      </c>
      <c r="E605" s="277"/>
      <c r="F605" s="298" t="b">
        <v>0</v>
      </c>
      <c r="G605" s="278"/>
      <c r="H605" s="299" t="b">
        <v>0</v>
      </c>
      <c r="I605" s="277"/>
      <c r="J605" s="278"/>
      <c r="K605" s="277"/>
      <c r="L605" s="278"/>
      <c r="M605" s="277"/>
      <c r="N605" s="278"/>
      <c r="O605" s="277"/>
      <c r="P605" s="278"/>
      <c r="Q605" s="277"/>
      <c r="R605" s="278"/>
      <c r="S605" s="277"/>
      <c r="T605" s="278"/>
      <c r="U605" s="277"/>
      <c r="V605" s="278"/>
      <c r="W605" s="277"/>
      <c r="X605" s="278"/>
      <c r="Y605" s="277"/>
      <c r="Z605" s="278"/>
      <c r="AA605" s="277"/>
      <c r="AB605" s="278"/>
      <c r="AC605" s="277"/>
      <c r="AD605" s="278"/>
      <c r="AE605" s="277"/>
      <c r="AF605" s="278"/>
      <c r="AG605" s="277"/>
      <c r="AH605" s="278"/>
      <c r="AI605" s="277"/>
      <c r="AJ605" s="278"/>
      <c r="AK605" s="277"/>
      <c r="AL605" s="278"/>
      <c r="AM605" s="277"/>
      <c r="AN605" s="278"/>
      <c r="AO605" s="278"/>
      <c r="AP605" s="278"/>
      <c r="AQ605" s="278"/>
      <c r="AR605" s="278"/>
      <c r="AS605" s="278"/>
    </row>
    <row r="606" spans="1:45">
      <c r="A606" s="277"/>
      <c r="B606" s="298" t="b">
        <v>0</v>
      </c>
      <c r="C606" s="278"/>
      <c r="D606" s="299" t="b">
        <v>0</v>
      </c>
      <c r="E606" s="277"/>
      <c r="F606" s="298" t="b">
        <v>0</v>
      </c>
      <c r="G606" s="278"/>
      <c r="H606" s="299" t="b">
        <v>0</v>
      </c>
      <c r="I606" s="277"/>
      <c r="J606" s="278"/>
      <c r="K606" s="277"/>
      <c r="L606" s="278"/>
      <c r="M606" s="277"/>
      <c r="N606" s="278"/>
      <c r="O606" s="277"/>
      <c r="P606" s="278"/>
      <c r="Q606" s="277"/>
      <c r="R606" s="278"/>
      <c r="S606" s="277"/>
      <c r="T606" s="278"/>
      <c r="U606" s="277"/>
      <c r="V606" s="278"/>
      <c r="W606" s="277"/>
      <c r="X606" s="278"/>
      <c r="Y606" s="277"/>
      <c r="Z606" s="278"/>
      <c r="AA606" s="277"/>
      <c r="AB606" s="278"/>
      <c r="AC606" s="277"/>
      <c r="AD606" s="278"/>
      <c r="AE606" s="277"/>
      <c r="AF606" s="278"/>
      <c r="AG606" s="277"/>
      <c r="AH606" s="278"/>
      <c r="AI606" s="277"/>
      <c r="AJ606" s="278"/>
      <c r="AK606" s="277"/>
      <c r="AL606" s="278"/>
      <c r="AM606" s="277"/>
      <c r="AN606" s="278"/>
      <c r="AO606" s="278"/>
      <c r="AP606" s="278"/>
      <c r="AQ606" s="278"/>
      <c r="AR606" s="278"/>
      <c r="AS606" s="278"/>
    </row>
    <row r="607" spans="1:45">
      <c r="A607" s="277"/>
      <c r="B607" s="298" t="b">
        <v>0</v>
      </c>
      <c r="C607" s="278"/>
      <c r="D607" s="299" t="b">
        <v>0</v>
      </c>
      <c r="E607" s="277"/>
      <c r="F607" s="298" t="b">
        <v>0</v>
      </c>
      <c r="G607" s="278"/>
      <c r="H607" s="299" t="b">
        <v>0</v>
      </c>
      <c r="I607" s="277"/>
      <c r="J607" s="278"/>
      <c r="K607" s="277"/>
      <c r="L607" s="278"/>
      <c r="M607" s="277"/>
      <c r="N607" s="278"/>
      <c r="O607" s="277"/>
      <c r="P607" s="278"/>
      <c r="Q607" s="277"/>
      <c r="R607" s="278"/>
      <c r="S607" s="277"/>
      <c r="T607" s="278"/>
      <c r="U607" s="277"/>
      <c r="V607" s="278"/>
      <c r="W607" s="277"/>
      <c r="X607" s="278"/>
      <c r="Y607" s="277"/>
      <c r="Z607" s="278"/>
      <c r="AA607" s="277"/>
      <c r="AB607" s="278"/>
      <c r="AC607" s="277"/>
      <c r="AD607" s="278"/>
      <c r="AE607" s="277"/>
      <c r="AF607" s="278"/>
      <c r="AG607" s="277"/>
      <c r="AH607" s="278"/>
      <c r="AI607" s="277"/>
      <c r="AJ607" s="278"/>
      <c r="AK607" s="277"/>
      <c r="AL607" s="278"/>
      <c r="AM607" s="277"/>
      <c r="AN607" s="278"/>
      <c r="AO607" s="278"/>
      <c r="AP607" s="278"/>
      <c r="AQ607" s="278"/>
      <c r="AR607" s="278"/>
      <c r="AS607" s="278"/>
    </row>
    <row r="608" spans="1:45">
      <c r="A608" s="277"/>
      <c r="B608" s="298" t="b">
        <v>0</v>
      </c>
      <c r="C608" s="278"/>
      <c r="D608" s="299" t="b">
        <v>0</v>
      </c>
      <c r="E608" s="277"/>
      <c r="F608" s="298" t="b">
        <v>0</v>
      </c>
      <c r="G608" s="278"/>
      <c r="H608" s="299" t="b">
        <v>0</v>
      </c>
      <c r="I608" s="277"/>
      <c r="J608" s="278"/>
      <c r="K608" s="277"/>
      <c r="L608" s="278"/>
      <c r="M608" s="277"/>
      <c r="N608" s="278"/>
      <c r="O608" s="277"/>
      <c r="P608" s="278"/>
      <c r="Q608" s="277"/>
      <c r="R608" s="278"/>
      <c r="S608" s="277"/>
      <c r="T608" s="278"/>
      <c r="U608" s="277"/>
      <c r="V608" s="278"/>
      <c r="W608" s="277"/>
      <c r="X608" s="278"/>
      <c r="Y608" s="277"/>
      <c r="Z608" s="278"/>
      <c r="AA608" s="277"/>
      <c r="AB608" s="278"/>
      <c r="AC608" s="277"/>
      <c r="AD608" s="278"/>
      <c r="AE608" s="277"/>
      <c r="AF608" s="278"/>
      <c r="AG608" s="277"/>
      <c r="AH608" s="278"/>
      <c r="AI608" s="277"/>
      <c r="AJ608" s="278"/>
      <c r="AK608" s="277"/>
      <c r="AL608" s="278"/>
      <c r="AM608" s="277"/>
      <c r="AN608" s="278"/>
      <c r="AO608" s="278"/>
      <c r="AP608" s="278"/>
      <c r="AQ608" s="278"/>
      <c r="AR608" s="278"/>
      <c r="AS608" s="278"/>
    </row>
    <row r="609" spans="1:45">
      <c r="A609" s="277"/>
      <c r="B609" s="298" t="b">
        <v>0</v>
      </c>
      <c r="C609" s="278"/>
      <c r="D609" s="299" t="b">
        <v>0</v>
      </c>
      <c r="E609" s="277"/>
      <c r="F609" s="298" t="b">
        <v>0</v>
      </c>
      <c r="G609" s="278"/>
      <c r="H609" s="299" t="b">
        <v>0</v>
      </c>
      <c r="I609" s="277"/>
      <c r="J609" s="278"/>
      <c r="K609" s="277"/>
      <c r="L609" s="278"/>
      <c r="M609" s="277"/>
      <c r="N609" s="278"/>
      <c r="O609" s="277"/>
      <c r="P609" s="278"/>
      <c r="Q609" s="277"/>
      <c r="R609" s="278"/>
      <c r="S609" s="277"/>
      <c r="T609" s="278"/>
      <c r="U609" s="277"/>
      <c r="V609" s="278"/>
      <c r="W609" s="277"/>
      <c r="X609" s="278"/>
      <c r="Y609" s="277"/>
      <c r="Z609" s="278"/>
      <c r="AA609" s="277"/>
      <c r="AB609" s="278"/>
      <c r="AC609" s="277"/>
      <c r="AD609" s="278"/>
      <c r="AE609" s="277"/>
      <c r="AF609" s="278"/>
      <c r="AG609" s="277"/>
      <c r="AH609" s="278"/>
      <c r="AI609" s="277"/>
      <c r="AJ609" s="278"/>
      <c r="AK609" s="277"/>
      <c r="AL609" s="278"/>
      <c r="AM609" s="277"/>
      <c r="AN609" s="278"/>
      <c r="AO609" s="278"/>
      <c r="AP609" s="278"/>
      <c r="AQ609" s="278"/>
      <c r="AR609" s="278"/>
      <c r="AS609" s="278"/>
    </row>
    <row r="610" spans="1:45">
      <c r="A610" s="277"/>
      <c r="B610" s="298" t="b">
        <v>0</v>
      </c>
      <c r="C610" s="278"/>
      <c r="D610" s="299" t="b">
        <v>0</v>
      </c>
      <c r="E610" s="277"/>
      <c r="F610" s="298" t="b">
        <v>0</v>
      </c>
      <c r="G610" s="278"/>
      <c r="H610" s="299" t="b">
        <v>0</v>
      </c>
      <c r="I610" s="277"/>
      <c r="J610" s="278"/>
      <c r="K610" s="277"/>
      <c r="L610" s="278"/>
      <c r="M610" s="277"/>
      <c r="N610" s="278"/>
      <c r="O610" s="277"/>
      <c r="P610" s="278"/>
      <c r="Q610" s="277"/>
      <c r="R610" s="278"/>
      <c r="S610" s="277"/>
      <c r="T610" s="278"/>
      <c r="U610" s="277"/>
      <c r="V610" s="278"/>
      <c r="W610" s="277"/>
      <c r="X610" s="278"/>
      <c r="Y610" s="277"/>
      <c r="Z610" s="278"/>
      <c r="AA610" s="277"/>
      <c r="AB610" s="278"/>
      <c r="AC610" s="277"/>
      <c r="AD610" s="278"/>
      <c r="AE610" s="277"/>
      <c r="AF610" s="278"/>
      <c r="AG610" s="277"/>
      <c r="AH610" s="278"/>
      <c r="AI610" s="277"/>
      <c r="AJ610" s="278"/>
      <c r="AK610" s="277"/>
      <c r="AL610" s="278"/>
      <c r="AM610" s="277"/>
      <c r="AN610" s="278"/>
      <c r="AO610" s="278"/>
      <c r="AP610" s="278"/>
      <c r="AQ610" s="278"/>
      <c r="AR610" s="278"/>
      <c r="AS610" s="278"/>
    </row>
    <row r="611" spans="1:45">
      <c r="A611" s="277"/>
      <c r="B611" s="298" t="b">
        <v>0</v>
      </c>
      <c r="C611" s="278"/>
      <c r="D611" s="299" t="b">
        <v>0</v>
      </c>
      <c r="E611" s="277"/>
      <c r="F611" s="298" t="b">
        <v>0</v>
      </c>
      <c r="G611" s="278"/>
      <c r="H611" s="299" t="b">
        <v>0</v>
      </c>
      <c r="I611" s="277"/>
      <c r="J611" s="278"/>
      <c r="K611" s="277"/>
      <c r="L611" s="278"/>
      <c r="M611" s="277"/>
      <c r="N611" s="278"/>
      <c r="O611" s="277"/>
      <c r="P611" s="278"/>
      <c r="Q611" s="277"/>
      <c r="R611" s="278"/>
      <c r="S611" s="277"/>
      <c r="T611" s="278"/>
      <c r="U611" s="277"/>
      <c r="V611" s="278"/>
      <c r="W611" s="277"/>
      <c r="X611" s="278"/>
      <c r="Y611" s="277"/>
      <c r="Z611" s="278"/>
      <c r="AA611" s="277"/>
      <c r="AB611" s="278"/>
      <c r="AC611" s="277"/>
      <c r="AD611" s="278"/>
      <c r="AE611" s="277"/>
      <c r="AF611" s="278"/>
      <c r="AG611" s="277"/>
      <c r="AH611" s="278"/>
      <c r="AI611" s="277"/>
      <c r="AJ611" s="278"/>
      <c r="AK611" s="277"/>
      <c r="AL611" s="278"/>
      <c r="AM611" s="277"/>
      <c r="AN611" s="278"/>
      <c r="AO611" s="278"/>
      <c r="AP611" s="278"/>
      <c r="AQ611" s="278"/>
      <c r="AR611" s="278"/>
      <c r="AS611" s="278"/>
    </row>
    <row r="612" spans="1:45">
      <c r="A612" s="277"/>
      <c r="B612" s="298" t="b">
        <v>0</v>
      </c>
      <c r="C612" s="278"/>
      <c r="D612" s="299" t="b">
        <v>0</v>
      </c>
      <c r="E612" s="277"/>
      <c r="F612" s="298" t="b">
        <v>0</v>
      </c>
      <c r="G612" s="278"/>
      <c r="H612" s="299" t="b">
        <v>0</v>
      </c>
      <c r="I612" s="277"/>
      <c r="J612" s="278"/>
      <c r="K612" s="277"/>
      <c r="L612" s="278"/>
      <c r="M612" s="277"/>
      <c r="N612" s="278"/>
      <c r="O612" s="277"/>
      <c r="P612" s="278"/>
      <c r="Q612" s="277"/>
      <c r="R612" s="278"/>
      <c r="S612" s="277"/>
      <c r="T612" s="278"/>
      <c r="U612" s="277"/>
      <c r="V612" s="278"/>
      <c r="W612" s="277"/>
      <c r="X612" s="278"/>
      <c r="Y612" s="277"/>
      <c r="Z612" s="278"/>
      <c r="AA612" s="277"/>
      <c r="AB612" s="278"/>
      <c r="AC612" s="277"/>
      <c r="AD612" s="278"/>
      <c r="AE612" s="277"/>
      <c r="AF612" s="278"/>
      <c r="AG612" s="277"/>
      <c r="AH612" s="278"/>
      <c r="AI612" s="277"/>
      <c r="AJ612" s="278"/>
      <c r="AK612" s="277"/>
      <c r="AL612" s="278"/>
      <c r="AM612" s="277"/>
      <c r="AN612" s="278"/>
      <c r="AO612" s="278"/>
      <c r="AP612" s="278"/>
      <c r="AQ612" s="278"/>
      <c r="AR612" s="278"/>
      <c r="AS612" s="278"/>
    </row>
    <row r="613" spans="1:45">
      <c r="A613" s="277"/>
      <c r="B613" s="298" t="b">
        <v>0</v>
      </c>
      <c r="C613" s="278"/>
      <c r="D613" s="299" t="b">
        <v>0</v>
      </c>
      <c r="E613" s="277"/>
      <c r="F613" s="298" t="b">
        <v>0</v>
      </c>
      <c r="G613" s="278"/>
      <c r="H613" s="299" t="b">
        <v>0</v>
      </c>
      <c r="I613" s="277"/>
      <c r="J613" s="278"/>
      <c r="K613" s="277"/>
      <c r="L613" s="278"/>
      <c r="M613" s="277"/>
      <c r="N613" s="278"/>
      <c r="O613" s="277"/>
      <c r="P613" s="278"/>
      <c r="Q613" s="277"/>
      <c r="R613" s="278"/>
      <c r="S613" s="277"/>
      <c r="T613" s="278"/>
      <c r="U613" s="277"/>
      <c r="V613" s="278"/>
      <c r="W613" s="277"/>
      <c r="X613" s="278"/>
      <c r="Y613" s="277"/>
      <c r="Z613" s="278"/>
      <c r="AA613" s="277"/>
      <c r="AB613" s="278"/>
      <c r="AC613" s="277"/>
      <c r="AD613" s="278"/>
      <c r="AE613" s="277"/>
      <c r="AF613" s="278"/>
      <c r="AG613" s="277"/>
      <c r="AH613" s="278"/>
      <c r="AI613" s="277"/>
      <c r="AJ613" s="278"/>
      <c r="AK613" s="277"/>
      <c r="AL613" s="278"/>
      <c r="AM613" s="277"/>
      <c r="AN613" s="278"/>
      <c r="AO613" s="278"/>
      <c r="AP613" s="278"/>
      <c r="AQ613" s="278"/>
      <c r="AR613" s="278"/>
      <c r="AS613" s="278"/>
    </row>
    <row r="614" spans="1:45">
      <c r="A614" s="277"/>
      <c r="B614" s="298" t="b">
        <v>0</v>
      </c>
      <c r="C614" s="278"/>
      <c r="D614" s="299" t="b">
        <v>0</v>
      </c>
      <c r="E614" s="277"/>
      <c r="F614" s="298" t="b">
        <v>0</v>
      </c>
      <c r="G614" s="278"/>
      <c r="H614" s="299" t="b">
        <v>0</v>
      </c>
      <c r="I614" s="277"/>
      <c r="J614" s="278"/>
      <c r="K614" s="277"/>
      <c r="L614" s="278"/>
      <c r="M614" s="277"/>
      <c r="N614" s="278"/>
      <c r="O614" s="277"/>
      <c r="P614" s="278"/>
      <c r="Q614" s="277"/>
      <c r="R614" s="278"/>
      <c r="S614" s="277"/>
      <c r="T614" s="278"/>
      <c r="U614" s="277"/>
      <c r="V614" s="278"/>
      <c r="W614" s="277"/>
      <c r="X614" s="278"/>
      <c r="Y614" s="277"/>
      <c r="Z614" s="278"/>
      <c r="AA614" s="277"/>
      <c r="AB614" s="278"/>
      <c r="AC614" s="277"/>
      <c r="AD614" s="278"/>
      <c r="AE614" s="277"/>
      <c r="AF614" s="278"/>
      <c r="AG614" s="277"/>
      <c r="AH614" s="278"/>
      <c r="AI614" s="277"/>
      <c r="AJ614" s="278"/>
      <c r="AK614" s="277"/>
      <c r="AL614" s="278"/>
      <c r="AM614" s="277"/>
      <c r="AN614" s="278"/>
      <c r="AO614" s="278"/>
      <c r="AP614" s="278"/>
      <c r="AQ614" s="278"/>
      <c r="AR614" s="278"/>
      <c r="AS614" s="278"/>
    </row>
    <row r="615" spans="1:45">
      <c r="A615" s="277"/>
      <c r="B615" s="298" t="b">
        <v>0</v>
      </c>
      <c r="C615" s="278"/>
      <c r="D615" s="299" t="b">
        <v>0</v>
      </c>
      <c r="E615" s="277"/>
      <c r="F615" s="298" t="b">
        <v>0</v>
      </c>
      <c r="G615" s="278"/>
      <c r="H615" s="299" t="b">
        <v>0</v>
      </c>
      <c r="I615" s="277"/>
      <c r="J615" s="278"/>
      <c r="K615" s="277"/>
      <c r="L615" s="278"/>
      <c r="M615" s="277"/>
      <c r="N615" s="278"/>
      <c r="O615" s="277"/>
      <c r="P615" s="278"/>
      <c r="Q615" s="277"/>
      <c r="R615" s="278"/>
      <c r="S615" s="277"/>
      <c r="T615" s="278"/>
      <c r="U615" s="277"/>
      <c r="V615" s="278"/>
      <c r="W615" s="277"/>
      <c r="X615" s="278"/>
      <c r="Y615" s="277"/>
      <c r="Z615" s="278"/>
      <c r="AA615" s="277"/>
      <c r="AB615" s="278"/>
      <c r="AC615" s="277"/>
      <c r="AD615" s="278"/>
      <c r="AE615" s="277"/>
      <c r="AF615" s="278"/>
      <c r="AG615" s="277"/>
      <c r="AH615" s="278"/>
      <c r="AI615" s="277"/>
      <c r="AJ615" s="278"/>
      <c r="AK615" s="277"/>
      <c r="AL615" s="278"/>
      <c r="AM615" s="277"/>
      <c r="AN615" s="278"/>
      <c r="AO615" s="278"/>
      <c r="AP615" s="278"/>
      <c r="AQ615" s="278"/>
      <c r="AR615" s="278"/>
      <c r="AS615" s="278"/>
    </row>
    <row r="616" spans="1:45">
      <c r="A616" s="277"/>
      <c r="B616" s="298" t="b">
        <v>0</v>
      </c>
      <c r="C616" s="278"/>
      <c r="D616" s="299" t="b">
        <v>0</v>
      </c>
      <c r="E616" s="277"/>
      <c r="F616" s="298" t="b">
        <v>0</v>
      </c>
      <c r="G616" s="278"/>
      <c r="H616" s="299" t="b">
        <v>0</v>
      </c>
      <c r="I616" s="277"/>
      <c r="J616" s="278"/>
      <c r="K616" s="277"/>
      <c r="L616" s="278"/>
      <c r="M616" s="277"/>
      <c r="N616" s="278"/>
      <c r="O616" s="277"/>
      <c r="P616" s="278"/>
      <c r="Q616" s="277"/>
      <c r="R616" s="278"/>
      <c r="S616" s="277"/>
      <c r="T616" s="278"/>
      <c r="U616" s="277"/>
      <c r="V616" s="278"/>
      <c r="W616" s="277"/>
      <c r="X616" s="278"/>
      <c r="Y616" s="277"/>
      <c r="Z616" s="278"/>
      <c r="AA616" s="277"/>
      <c r="AB616" s="278"/>
      <c r="AC616" s="277"/>
      <c r="AD616" s="278"/>
      <c r="AE616" s="277"/>
      <c r="AF616" s="278"/>
      <c r="AG616" s="277"/>
      <c r="AH616" s="278"/>
      <c r="AI616" s="277"/>
      <c r="AJ616" s="278"/>
      <c r="AK616" s="277"/>
      <c r="AL616" s="278"/>
      <c r="AM616" s="277"/>
      <c r="AN616" s="278"/>
      <c r="AO616" s="278"/>
      <c r="AP616" s="278"/>
      <c r="AQ616" s="278"/>
      <c r="AR616" s="278"/>
      <c r="AS616" s="278"/>
    </row>
    <row r="617" spans="1:45">
      <c r="A617" s="277"/>
      <c r="B617" s="298" t="b">
        <v>0</v>
      </c>
      <c r="C617" s="278"/>
      <c r="D617" s="299" t="b">
        <v>0</v>
      </c>
      <c r="E617" s="277"/>
      <c r="F617" s="298" t="b">
        <v>0</v>
      </c>
      <c r="G617" s="278"/>
      <c r="H617" s="299" t="b">
        <v>0</v>
      </c>
      <c r="I617" s="277"/>
      <c r="J617" s="278"/>
      <c r="K617" s="277"/>
      <c r="L617" s="278"/>
      <c r="M617" s="277"/>
      <c r="N617" s="278"/>
      <c r="O617" s="277"/>
      <c r="P617" s="278"/>
      <c r="Q617" s="277"/>
      <c r="R617" s="278"/>
      <c r="S617" s="277"/>
      <c r="T617" s="278"/>
      <c r="U617" s="277"/>
      <c r="V617" s="278"/>
      <c r="W617" s="277"/>
      <c r="X617" s="278"/>
      <c r="Y617" s="277"/>
      <c r="Z617" s="278"/>
      <c r="AA617" s="277"/>
      <c r="AB617" s="278"/>
      <c r="AC617" s="277"/>
      <c r="AD617" s="278"/>
      <c r="AE617" s="277"/>
      <c r="AF617" s="278"/>
      <c r="AG617" s="277"/>
      <c r="AH617" s="278"/>
      <c r="AI617" s="277"/>
      <c r="AJ617" s="278"/>
      <c r="AK617" s="277"/>
      <c r="AL617" s="278"/>
      <c r="AM617" s="277"/>
      <c r="AN617" s="278"/>
      <c r="AO617" s="278"/>
      <c r="AP617" s="278"/>
      <c r="AQ617" s="278"/>
      <c r="AR617" s="278"/>
      <c r="AS617" s="278"/>
    </row>
    <row r="618" spans="1:45">
      <c r="A618" s="277"/>
      <c r="B618" s="298" t="b">
        <v>0</v>
      </c>
      <c r="C618" s="278"/>
      <c r="D618" s="299" t="b">
        <v>0</v>
      </c>
      <c r="E618" s="277"/>
      <c r="F618" s="298" t="b">
        <v>0</v>
      </c>
      <c r="G618" s="278"/>
      <c r="H618" s="299" t="b">
        <v>0</v>
      </c>
      <c r="I618" s="277"/>
      <c r="J618" s="278"/>
      <c r="K618" s="277"/>
      <c r="L618" s="278"/>
      <c r="M618" s="277"/>
      <c r="N618" s="278"/>
      <c r="O618" s="277"/>
      <c r="P618" s="278"/>
      <c r="Q618" s="277"/>
      <c r="R618" s="278"/>
      <c r="S618" s="277"/>
      <c r="T618" s="278"/>
      <c r="U618" s="277"/>
      <c r="V618" s="278"/>
      <c r="W618" s="277"/>
      <c r="X618" s="278"/>
      <c r="Y618" s="277"/>
      <c r="Z618" s="278"/>
      <c r="AA618" s="277"/>
      <c r="AB618" s="278"/>
      <c r="AC618" s="277"/>
      <c r="AD618" s="278"/>
      <c r="AE618" s="277"/>
      <c r="AF618" s="278"/>
      <c r="AG618" s="277"/>
      <c r="AH618" s="278"/>
      <c r="AI618" s="277"/>
      <c r="AJ618" s="278"/>
      <c r="AK618" s="277"/>
      <c r="AL618" s="278"/>
      <c r="AM618" s="277"/>
      <c r="AN618" s="278"/>
      <c r="AO618" s="278"/>
      <c r="AP618" s="278"/>
      <c r="AQ618" s="278"/>
      <c r="AR618" s="278"/>
      <c r="AS618" s="278"/>
    </row>
    <row r="619" spans="1:45">
      <c r="A619" s="277"/>
      <c r="B619" s="298" t="b">
        <v>0</v>
      </c>
      <c r="C619" s="278"/>
      <c r="D619" s="299" t="b">
        <v>0</v>
      </c>
      <c r="E619" s="277"/>
      <c r="F619" s="298" t="b">
        <v>0</v>
      </c>
      <c r="G619" s="278"/>
      <c r="H619" s="299" t="b">
        <v>0</v>
      </c>
      <c r="I619" s="277"/>
      <c r="J619" s="278"/>
      <c r="K619" s="277"/>
      <c r="L619" s="278"/>
      <c r="M619" s="277"/>
      <c r="N619" s="278"/>
      <c r="O619" s="277"/>
      <c r="P619" s="278"/>
      <c r="Q619" s="277"/>
      <c r="R619" s="278"/>
      <c r="S619" s="277"/>
      <c r="T619" s="278"/>
      <c r="U619" s="277"/>
      <c r="V619" s="278"/>
      <c r="W619" s="277"/>
      <c r="X619" s="278"/>
      <c r="Y619" s="277"/>
      <c r="Z619" s="278"/>
      <c r="AA619" s="277"/>
      <c r="AB619" s="278"/>
      <c r="AC619" s="277"/>
      <c r="AD619" s="278"/>
      <c r="AE619" s="277"/>
      <c r="AF619" s="278"/>
      <c r="AG619" s="277"/>
      <c r="AH619" s="278"/>
      <c r="AI619" s="277"/>
      <c r="AJ619" s="278"/>
      <c r="AK619" s="277"/>
      <c r="AL619" s="278"/>
      <c r="AM619" s="277"/>
      <c r="AN619" s="278"/>
      <c r="AO619" s="278"/>
      <c r="AP619" s="278"/>
      <c r="AQ619" s="278"/>
      <c r="AR619" s="278"/>
      <c r="AS619" s="278"/>
    </row>
    <row r="620" spans="1:45">
      <c r="A620" s="277"/>
      <c r="B620" s="298" t="b">
        <v>0</v>
      </c>
      <c r="C620" s="278"/>
      <c r="D620" s="299" t="b">
        <v>0</v>
      </c>
      <c r="E620" s="277"/>
      <c r="F620" s="298" t="b">
        <v>0</v>
      </c>
      <c r="G620" s="278"/>
      <c r="H620" s="299" t="b">
        <v>0</v>
      </c>
      <c r="I620" s="277"/>
      <c r="J620" s="278"/>
      <c r="K620" s="277"/>
      <c r="L620" s="278"/>
      <c r="M620" s="277"/>
      <c r="N620" s="278"/>
      <c r="O620" s="277"/>
      <c r="P620" s="278"/>
      <c r="Q620" s="277"/>
      <c r="R620" s="278"/>
      <c r="S620" s="277"/>
      <c r="T620" s="278"/>
      <c r="U620" s="277"/>
      <c r="V620" s="278"/>
      <c r="W620" s="277"/>
      <c r="X620" s="278"/>
      <c r="Y620" s="277"/>
      <c r="Z620" s="278"/>
      <c r="AA620" s="277"/>
      <c r="AB620" s="278"/>
      <c r="AC620" s="277"/>
      <c r="AD620" s="278"/>
      <c r="AE620" s="277"/>
      <c r="AF620" s="278"/>
      <c r="AG620" s="277"/>
      <c r="AH620" s="278"/>
      <c r="AI620" s="277"/>
      <c r="AJ620" s="278"/>
      <c r="AK620" s="277"/>
      <c r="AL620" s="278"/>
      <c r="AM620" s="277"/>
      <c r="AN620" s="278"/>
      <c r="AO620" s="278"/>
      <c r="AP620" s="278"/>
      <c r="AQ620" s="278"/>
      <c r="AR620" s="278"/>
      <c r="AS620" s="278"/>
    </row>
    <row r="621" spans="1:45">
      <c r="A621" s="277"/>
      <c r="B621" s="298" t="b">
        <v>0</v>
      </c>
      <c r="C621" s="278"/>
      <c r="D621" s="299" t="b">
        <v>0</v>
      </c>
      <c r="E621" s="277"/>
      <c r="F621" s="298" t="b">
        <v>0</v>
      </c>
      <c r="G621" s="278"/>
      <c r="H621" s="299" t="b">
        <v>0</v>
      </c>
      <c r="I621" s="277"/>
      <c r="J621" s="278"/>
      <c r="K621" s="277"/>
      <c r="L621" s="278"/>
      <c r="M621" s="277"/>
      <c r="N621" s="278"/>
      <c r="O621" s="277"/>
      <c r="P621" s="278"/>
      <c r="Q621" s="277"/>
      <c r="R621" s="278"/>
      <c r="S621" s="277"/>
      <c r="T621" s="278"/>
      <c r="U621" s="277"/>
      <c r="V621" s="278"/>
      <c r="W621" s="277"/>
      <c r="X621" s="278"/>
      <c r="Y621" s="277"/>
      <c r="Z621" s="278"/>
      <c r="AA621" s="277"/>
      <c r="AB621" s="278"/>
      <c r="AC621" s="277"/>
      <c r="AD621" s="278"/>
      <c r="AE621" s="277"/>
      <c r="AF621" s="278"/>
      <c r="AG621" s="277"/>
      <c r="AH621" s="278"/>
      <c r="AI621" s="277"/>
      <c r="AJ621" s="278"/>
      <c r="AK621" s="277"/>
      <c r="AL621" s="278"/>
      <c r="AM621" s="277"/>
      <c r="AN621" s="278"/>
      <c r="AO621" s="278"/>
      <c r="AP621" s="278"/>
      <c r="AQ621" s="278"/>
      <c r="AR621" s="278"/>
      <c r="AS621" s="278"/>
    </row>
    <row r="622" spans="1:45">
      <c r="A622" s="277"/>
      <c r="B622" s="298" t="b">
        <v>0</v>
      </c>
      <c r="C622" s="278"/>
      <c r="D622" s="299" t="b">
        <v>0</v>
      </c>
      <c r="E622" s="277"/>
      <c r="F622" s="298" t="b">
        <v>0</v>
      </c>
      <c r="G622" s="278"/>
      <c r="H622" s="299" t="b">
        <v>0</v>
      </c>
      <c r="I622" s="277"/>
      <c r="J622" s="278"/>
      <c r="K622" s="277"/>
      <c r="L622" s="278"/>
      <c r="M622" s="277"/>
      <c r="N622" s="278"/>
      <c r="O622" s="277"/>
      <c r="P622" s="278"/>
      <c r="Q622" s="277"/>
      <c r="R622" s="278"/>
      <c r="S622" s="277"/>
      <c r="T622" s="278"/>
      <c r="U622" s="277"/>
      <c r="V622" s="278"/>
      <c r="W622" s="277"/>
      <c r="X622" s="278"/>
      <c r="Y622" s="277"/>
      <c r="Z622" s="278"/>
      <c r="AA622" s="277"/>
      <c r="AB622" s="278"/>
      <c r="AC622" s="277"/>
      <c r="AD622" s="278"/>
      <c r="AE622" s="277"/>
      <c r="AF622" s="278"/>
      <c r="AG622" s="277"/>
      <c r="AH622" s="278"/>
      <c r="AI622" s="277"/>
      <c r="AJ622" s="278"/>
      <c r="AK622" s="277"/>
      <c r="AL622" s="278"/>
      <c r="AM622" s="277"/>
      <c r="AN622" s="278"/>
      <c r="AO622" s="278"/>
      <c r="AP622" s="278"/>
      <c r="AQ622" s="278"/>
      <c r="AR622" s="278"/>
      <c r="AS622" s="278"/>
    </row>
    <row r="623" spans="1:45">
      <c r="A623" s="277"/>
      <c r="B623" s="298" t="b">
        <v>0</v>
      </c>
      <c r="C623" s="278"/>
      <c r="D623" s="299" t="b">
        <v>0</v>
      </c>
      <c r="E623" s="277"/>
      <c r="F623" s="298" t="b">
        <v>0</v>
      </c>
      <c r="G623" s="278"/>
      <c r="H623" s="299" t="b">
        <v>0</v>
      </c>
      <c r="I623" s="277"/>
      <c r="J623" s="278"/>
      <c r="K623" s="277"/>
      <c r="L623" s="278"/>
      <c r="M623" s="277"/>
      <c r="N623" s="278"/>
      <c r="O623" s="277"/>
      <c r="P623" s="278"/>
      <c r="Q623" s="277"/>
      <c r="R623" s="278"/>
      <c r="S623" s="277"/>
      <c r="T623" s="278"/>
      <c r="U623" s="277"/>
      <c r="V623" s="278"/>
      <c r="W623" s="277"/>
      <c r="X623" s="278"/>
      <c r="Y623" s="277"/>
      <c r="Z623" s="278"/>
      <c r="AA623" s="277"/>
      <c r="AB623" s="278"/>
      <c r="AC623" s="277"/>
      <c r="AD623" s="278"/>
      <c r="AE623" s="277"/>
      <c r="AF623" s="278"/>
      <c r="AG623" s="277"/>
      <c r="AH623" s="278"/>
      <c r="AI623" s="277"/>
      <c r="AJ623" s="278"/>
      <c r="AK623" s="277"/>
      <c r="AL623" s="278"/>
      <c r="AM623" s="277"/>
      <c r="AN623" s="278"/>
      <c r="AO623" s="278"/>
      <c r="AP623" s="278"/>
      <c r="AQ623" s="278"/>
      <c r="AR623" s="278"/>
      <c r="AS623" s="278"/>
    </row>
    <row r="624" spans="1:45">
      <c r="A624" s="277"/>
      <c r="B624" s="298" t="b">
        <v>0</v>
      </c>
      <c r="C624" s="278"/>
      <c r="D624" s="299" t="b">
        <v>0</v>
      </c>
      <c r="E624" s="277"/>
      <c r="F624" s="298" t="b">
        <v>0</v>
      </c>
      <c r="G624" s="278"/>
      <c r="H624" s="299" t="b">
        <v>0</v>
      </c>
      <c r="I624" s="277"/>
      <c r="J624" s="278"/>
      <c r="K624" s="277"/>
      <c r="L624" s="278"/>
      <c r="M624" s="277"/>
      <c r="N624" s="278"/>
      <c r="O624" s="277"/>
      <c r="P624" s="278"/>
      <c r="Q624" s="277"/>
      <c r="R624" s="278"/>
      <c r="S624" s="277"/>
      <c r="T624" s="278"/>
      <c r="U624" s="277"/>
      <c r="V624" s="278"/>
      <c r="W624" s="277"/>
      <c r="X624" s="278"/>
      <c r="Y624" s="277"/>
      <c r="Z624" s="278"/>
      <c r="AA624" s="277"/>
      <c r="AB624" s="278"/>
      <c r="AC624" s="277"/>
      <c r="AD624" s="278"/>
      <c r="AE624" s="277"/>
      <c r="AF624" s="278"/>
      <c r="AG624" s="277"/>
      <c r="AH624" s="278"/>
      <c r="AI624" s="277"/>
      <c r="AJ624" s="278"/>
      <c r="AK624" s="277"/>
      <c r="AL624" s="278"/>
      <c r="AM624" s="277"/>
      <c r="AN624" s="278"/>
      <c r="AO624" s="278"/>
      <c r="AP624" s="278"/>
      <c r="AQ624" s="278"/>
      <c r="AR624" s="278"/>
      <c r="AS624" s="278"/>
    </row>
    <row r="625" spans="1:45">
      <c r="A625" s="277"/>
      <c r="B625" s="298" t="b">
        <v>0</v>
      </c>
      <c r="C625" s="278"/>
      <c r="D625" s="299" t="b">
        <v>0</v>
      </c>
      <c r="E625" s="277"/>
      <c r="F625" s="298" t="b">
        <v>0</v>
      </c>
      <c r="G625" s="278"/>
      <c r="H625" s="299" t="b">
        <v>0</v>
      </c>
      <c r="I625" s="277"/>
      <c r="J625" s="278"/>
      <c r="K625" s="277"/>
      <c r="L625" s="278"/>
      <c r="M625" s="277"/>
      <c r="N625" s="278"/>
      <c r="O625" s="277"/>
      <c r="P625" s="278"/>
      <c r="Q625" s="277"/>
      <c r="R625" s="278"/>
      <c r="S625" s="277"/>
      <c r="T625" s="278"/>
      <c r="U625" s="277"/>
      <c r="V625" s="278"/>
      <c r="W625" s="277"/>
      <c r="X625" s="278"/>
      <c r="Y625" s="277"/>
      <c r="Z625" s="278"/>
      <c r="AA625" s="277"/>
      <c r="AB625" s="278"/>
      <c r="AC625" s="277"/>
      <c r="AD625" s="278"/>
      <c r="AE625" s="277"/>
      <c r="AF625" s="278"/>
      <c r="AG625" s="277"/>
      <c r="AH625" s="278"/>
      <c r="AI625" s="277"/>
      <c r="AJ625" s="278"/>
      <c r="AK625" s="277"/>
      <c r="AL625" s="278"/>
      <c r="AM625" s="277"/>
      <c r="AN625" s="278"/>
      <c r="AO625" s="278"/>
      <c r="AP625" s="278"/>
      <c r="AQ625" s="278"/>
      <c r="AR625" s="278"/>
      <c r="AS625" s="278"/>
    </row>
    <row r="626" spans="1:45">
      <c r="A626" s="277"/>
      <c r="B626" s="298" t="b">
        <v>0</v>
      </c>
      <c r="C626" s="278"/>
      <c r="D626" s="299" t="b">
        <v>0</v>
      </c>
      <c r="E626" s="277"/>
      <c r="F626" s="298" t="b">
        <v>0</v>
      </c>
      <c r="G626" s="278"/>
      <c r="H626" s="299" t="b">
        <v>0</v>
      </c>
      <c r="I626" s="277"/>
      <c r="J626" s="278"/>
      <c r="K626" s="277"/>
      <c r="L626" s="278"/>
      <c r="M626" s="277"/>
      <c r="N626" s="278"/>
      <c r="O626" s="277"/>
      <c r="P626" s="278"/>
      <c r="Q626" s="277"/>
      <c r="R626" s="278"/>
      <c r="S626" s="277"/>
      <c r="T626" s="278"/>
      <c r="U626" s="277"/>
      <c r="V626" s="278"/>
      <c r="W626" s="277"/>
      <c r="X626" s="278"/>
      <c r="Y626" s="277"/>
      <c r="Z626" s="278"/>
      <c r="AA626" s="277"/>
      <c r="AB626" s="278"/>
      <c r="AC626" s="277"/>
      <c r="AD626" s="278"/>
      <c r="AE626" s="277"/>
      <c r="AF626" s="278"/>
      <c r="AG626" s="277"/>
      <c r="AH626" s="278"/>
      <c r="AI626" s="277"/>
      <c r="AJ626" s="278"/>
      <c r="AK626" s="277"/>
      <c r="AL626" s="278"/>
      <c r="AM626" s="277"/>
      <c r="AN626" s="278"/>
      <c r="AO626" s="278"/>
      <c r="AP626" s="278"/>
      <c r="AQ626" s="278"/>
      <c r="AR626" s="278"/>
      <c r="AS626" s="278"/>
    </row>
    <row r="627" spans="1:45">
      <c r="A627" s="277"/>
      <c r="B627" s="298" t="b">
        <v>0</v>
      </c>
      <c r="C627" s="278"/>
      <c r="D627" s="299" t="b">
        <v>0</v>
      </c>
      <c r="E627" s="277"/>
      <c r="F627" s="298" t="b">
        <v>0</v>
      </c>
      <c r="G627" s="278"/>
      <c r="H627" s="299" t="b">
        <v>0</v>
      </c>
      <c r="I627" s="277"/>
      <c r="J627" s="278"/>
      <c r="K627" s="277"/>
      <c r="L627" s="278"/>
      <c r="M627" s="277"/>
      <c r="N627" s="278"/>
      <c r="O627" s="277"/>
      <c r="P627" s="278"/>
      <c r="Q627" s="277"/>
      <c r="R627" s="278"/>
      <c r="S627" s="277"/>
      <c r="T627" s="278"/>
      <c r="U627" s="277"/>
      <c r="V627" s="278"/>
      <c r="W627" s="277"/>
      <c r="X627" s="278"/>
      <c r="Y627" s="277"/>
      <c r="Z627" s="278"/>
      <c r="AA627" s="277"/>
      <c r="AB627" s="278"/>
      <c r="AC627" s="277"/>
      <c r="AD627" s="278"/>
      <c r="AE627" s="277"/>
      <c r="AF627" s="278"/>
      <c r="AG627" s="277"/>
      <c r="AH627" s="278"/>
      <c r="AI627" s="277"/>
      <c r="AJ627" s="278"/>
      <c r="AK627" s="277"/>
      <c r="AL627" s="278"/>
      <c r="AM627" s="277"/>
      <c r="AN627" s="278"/>
      <c r="AO627" s="278"/>
      <c r="AP627" s="278"/>
      <c r="AQ627" s="278"/>
      <c r="AR627" s="278"/>
      <c r="AS627" s="278"/>
    </row>
    <row r="628" spans="1:45">
      <c r="A628" s="277"/>
      <c r="B628" s="298" t="b">
        <v>0</v>
      </c>
      <c r="C628" s="278"/>
      <c r="D628" s="299" t="b">
        <v>0</v>
      </c>
      <c r="E628" s="277"/>
      <c r="F628" s="298" t="b">
        <v>0</v>
      </c>
      <c r="G628" s="278"/>
      <c r="H628" s="299" t="b">
        <v>0</v>
      </c>
      <c r="I628" s="277"/>
      <c r="J628" s="278"/>
      <c r="K628" s="277"/>
      <c r="L628" s="278"/>
      <c r="M628" s="277"/>
      <c r="N628" s="278"/>
      <c r="O628" s="277"/>
      <c r="P628" s="278"/>
      <c r="Q628" s="277"/>
      <c r="R628" s="278"/>
      <c r="S628" s="277"/>
      <c r="T628" s="278"/>
      <c r="U628" s="277"/>
      <c r="V628" s="278"/>
      <c r="W628" s="277"/>
      <c r="X628" s="278"/>
      <c r="Y628" s="277"/>
      <c r="Z628" s="278"/>
      <c r="AA628" s="277"/>
      <c r="AB628" s="278"/>
      <c r="AC628" s="277"/>
      <c r="AD628" s="278"/>
      <c r="AE628" s="277"/>
      <c r="AF628" s="278"/>
      <c r="AG628" s="277"/>
      <c r="AH628" s="278"/>
      <c r="AI628" s="277"/>
      <c r="AJ628" s="278"/>
      <c r="AK628" s="277"/>
      <c r="AL628" s="278"/>
      <c r="AM628" s="277"/>
      <c r="AN628" s="278"/>
      <c r="AO628" s="278"/>
      <c r="AP628" s="278"/>
      <c r="AQ628" s="278"/>
      <c r="AR628" s="278"/>
      <c r="AS628" s="278"/>
    </row>
    <row r="629" spans="1:45">
      <c r="A629" s="277"/>
      <c r="B629" s="298" t="b">
        <v>0</v>
      </c>
      <c r="C629" s="278"/>
      <c r="D629" s="299" t="b">
        <v>0</v>
      </c>
      <c r="E629" s="277"/>
      <c r="F629" s="298" t="b">
        <v>0</v>
      </c>
      <c r="G629" s="278"/>
      <c r="H629" s="299" t="b">
        <v>0</v>
      </c>
      <c r="I629" s="277"/>
      <c r="J629" s="278"/>
      <c r="K629" s="277"/>
      <c r="L629" s="278"/>
      <c r="M629" s="277"/>
      <c r="N629" s="278"/>
      <c r="O629" s="277"/>
      <c r="P629" s="278"/>
      <c r="Q629" s="277"/>
      <c r="R629" s="278"/>
      <c r="S629" s="277"/>
      <c r="T629" s="278"/>
      <c r="U629" s="277"/>
      <c r="V629" s="278"/>
      <c r="W629" s="277"/>
      <c r="X629" s="278"/>
      <c r="Y629" s="277"/>
      <c r="Z629" s="278"/>
      <c r="AA629" s="277"/>
      <c r="AB629" s="278"/>
      <c r="AC629" s="277"/>
      <c r="AD629" s="278"/>
      <c r="AE629" s="277"/>
      <c r="AF629" s="278"/>
      <c r="AG629" s="277"/>
      <c r="AH629" s="278"/>
      <c r="AI629" s="277"/>
      <c r="AJ629" s="278"/>
      <c r="AK629" s="277"/>
      <c r="AL629" s="278"/>
      <c r="AM629" s="277"/>
      <c r="AN629" s="278"/>
      <c r="AO629" s="278"/>
      <c r="AP629" s="278"/>
      <c r="AQ629" s="278"/>
      <c r="AR629" s="278"/>
      <c r="AS629" s="278"/>
    </row>
    <row r="630" spans="1:45">
      <c r="A630" s="277"/>
      <c r="B630" s="298" t="b">
        <v>0</v>
      </c>
      <c r="C630" s="278"/>
      <c r="D630" s="299" t="b">
        <v>0</v>
      </c>
      <c r="E630" s="277"/>
      <c r="F630" s="298" t="b">
        <v>0</v>
      </c>
      <c r="G630" s="278"/>
      <c r="H630" s="299" t="b">
        <v>0</v>
      </c>
      <c r="I630" s="277"/>
      <c r="J630" s="278"/>
      <c r="K630" s="277"/>
      <c r="L630" s="278"/>
      <c r="M630" s="277"/>
      <c r="N630" s="278"/>
      <c r="O630" s="277"/>
      <c r="P630" s="278"/>
      <c r="Q630" s="277"/>
      <c r="R630" s="278"/>
      <c r="S630" s="277"/>
      <c r="T630" s="278"/>
      <c r="U630" s="277"/>
      <c r="V630" s="278"/>
      <c r="W630" s="277"/>
      <c r="X630" s="278"/>
      <c r="Y630" s="277"/>
      <c r="Z630" s="278"/>
      <c r="AA630" s="277"/>
      <c r="AB630" s="278"/>
      <c r="AC630" s="277"/>
      <c r="AD630" s="278"/>
      <c r="AE630" s="277"/>
      <c r="AF630" s="278"/>
      <c r="AG630" s="277"/>
      <c r="AH630" s="278"/>
      <c r="AI630" s="277"/>
      <c r="AJ630" s="278"/>
      <c r="AK630" s="277"/>
      <c r="AL630" s="278"/>
      <c r="AM630" s="277"/>
      <c r="AN630" s="278"/>
      <c r="AO630" s="278"/>
      <c r="AP630" s="278"/>
      <c r="AQ630" s="278"/>
      <c r="AR630" s="278"/>
      <c r="AS630" s="278"/>
    </row>
    <row r="631" spans="1:45">
      <c r="A631" s="277"/>
      <c r="B631" s="298" t="b">
        <v>0</v>
      </c>
      <c r="C631" s="278"/>
      <c r="D631" s="299" t="b">
        <v>0</v>
      </c>
      <c r="E631" s="277"/>
      <c r="F631" s="298" t="b">
        <v>0</v>
      </c>
      <c r="G631" s="278"/>
      <c r="H631" s="299" t="b">
        <v>0</v>
      </c>
      <c r="I631" s="277"/>
      <c r="J631" s="278"/>
      <c r="K631" s="277"/>
      <c r="L631" s="278"/>
      <c r="M631" s="277"/>
      <c r="N631" s="278"/>
      <c r="O631" s="277"/>
      <c r="P631" s="278"/>
      <c r="Q631" s="277"/>
      <c r="R631" s="278"/>
      <c r="S631" s="277"/>
      <c r="T631" s="278"/>
      <c r="U631" s="277"/>
      <c r="V631" s="278"/>
      <c r="W631" s="277"/>
      <c r="X631" s="278"/>
      <c r="Y631" s="277"/>
      <c r="Z631" s="278"/>
      <c r="AA631" s="277"/>
      <c r="AB631" s="278"/>
      <c r="AC631" s="277"/>
      <c r="AD631" s="278"/>
      <c r="AE631" s="277"/>
      <c r="AF631" s="278"/>
      <c r="AG631" s="277"/>
      <c r="AH631" s="278"/>
      <c r="AI631" s="277"/>
      <c r="AJ631" s="278"/>
      <c r="AK631" s="277"/>
      <c r="AL631" s="278"/>
      <c r="AM631" s="277"/>
      <c r="AN631" s="278"/>
      <c r="AO631" s="278"/>
      <c r="AP631" s="278"/>
      <c r="AQ631" s="278"/>
      <c r="AR631" s="278"/>
      <c r="AS631" s="278"/>
    </row>
    <row r="632" spans="1:45">
      <c r="A632" s="277"/>
      <c r="B632" s="298" t="b">
        <v>0</v>
      </c>
      <c r="C632" s="278"/>
      <c r="D632" s="299" t="b">
        <v>0</v>
      </c>
      <c r="E632" s="277"/>
      <c r="F632" s="298" t="b">
        <v>0</v>
      </c>
      <c r="G632" s="278"/>
      <c r="H632" s="299" t="b">
        <v>0</v>
      </c>
      <c r="I632" s="277"/>
      <c r="J632" s="278"/>
      <c r="K632" s="277"/>
      <c r="L632" s="278"/>
      <c r="M632" s="277"/>
      <c r="N632" s="278"/>
      <c r="O632" s="277"/>
      <c r="P632" s="278"/>
      <c r="Q632" s="277"/>
      <c r="R632" s="278"/>
      <c r="S632" s="277"/>
      <c r="T632" s="278"/>
      <c r="U632" s="277"/>
      <c r="V632" s="278"/>
      <c r="W632" s="277"/>
      <c r="X632" s="278"/>
      <c r="Y632" s="277"/>
      <c r="Z632" s="278"/>
      <c r="AA632" s="277"/>
      <c r="AB632" s="278"/>
      <c r="AC632" s="277"/>
      <c r="AD632" s="278"/>
      <c r="AE632" s="277"/>
      <c r="AF632" s="278"/>
      <c r="AG632" s="277"/>
      <c r="AH632" s="278"/>
      <c r="AI632" s="277"/>
      <c r="AJ632" s="278"/>
      <c r="AK632" s="277"/>
      <c r="AL632" s="278"/>
      <c r="AM632" s="277"/>
      <c r="AN632" s="278"/>
      <c r="AO632" s="278"/>
      <c r="AP632" s="278"/>
      <c r="AQ632" s="278"/>
      <c r="AR632" s="278"/>
      <c r="AS632" s="278"/>
    </row>
    <row r="633" spans="1:45">
      <c r="A633" s="277"/>
      <c r="B633" s="298" t="b">
        <v>0</v>
      </c>
      <c r="C633" s="278"/>
      <c r="D633" s="299" t="b">
        <v>0</v>
      </c>
      <c r="E633" s="277"/>
      <c r="F633" s="298" t="b">
        <v>0</v>
      </c>
      <c r="G633" s="278"/>
      <c r="H633" s="299" t="b">
        <v>0</v>
      </c>
      <c r="I633" s="277"/>
      <c r="J633" s="278"/>
      <c r="K633" s="277"/>
      <c r="L633" s="278"/>
      <c r="M633" s="277"/>
      <c r="N633" s="278"/>
      <c r="O633" s="277"/>
      <c r="P633" s="278"/>
      <c r="Q633" s="277"/>
      <c r="R633" s="278"/>
      <c r="S633" s="277"/>
      <c r="T633" s="278"/>
      <c r="U633" s="277"/>
      <c r="V633" s="278"/>
      <c r="W633" s="277"/>
      <c r="X633" s="278"/>
      <c r="Y633" s="277"/>
      <c r="Z633" s="278"/>
      <c r="AA633" s="277"/>
      <c r="AB633" s="278"/>
      <c r="AC633" s="277"/>
      <c r="AD633" s="278"/>
      <c r="AE633" s="277"/>
      <c r="AF633" s="278"/>
      <c r="AG633" s="277"/>
      <c r="AH633" s="278"/>
      <c r="AI633" s="277"/>
      <c r="AJ633" s="278"/>
      <c r="AK633" s="277"/>
      <c r="AL633" s="278"/>
      <c r="AM633" s="277"/>
      <c r="AN633" s="278"/>
      <c r="AO633" s="278"/>
      <c r="AP633" s="278"/>
      <c r="AQ633" s="278"/>
      <c r="AR633" s="278"/>
      <c r="AS633" s="278"/>
    </row>
    <row r="634" spans="1:45">
      <c r="A634" s="277"/>
      <c r="B634" s="298" t="b">
        <v>0</v>
      </c>
      <c r="C634" s="278"/>
      <c r="D634" s="299" t="b">
        <v>0</v>
      </c>
      <c r="E634" s="277"/>
      <c r="F634" s="298" t="b">
        <v>0</v>
      </c>
      <c r="G634" s="278"/>
      <c r="H634" s="299" t="b">
        <v>0</v>
      </c>
      <c r="I634" s="277"/>
      <c r="J634" s="278"/>
      <c r="K634" s="277"/>
      <c r="L634" s="278"/>
      <c r="M634" s="277"/>
      <c r="N634" s="278"/>
      <c r="O634" s="277"/>
      <c r="P634" s="278"/>
      <c r="Q634" s="277"/>
      <c r="R634" s="278"/>
      <c r="S634" s="277"/>
      <c r="T634" s="278"/>
      <c r="U634" s="277"/>
      <c r="V634" s="278"/>
      <c r="W634" s="277"/>
      <c r="X634" s="278"/>
      <c r="Y634" s="277"/>
      <c r="Z634" s="278"/>
      <c r="AA634" s="277"/>
      <c r="AB634" s="278"/>
      <c r="AC634" s="277"/>
      <c r="AD634" s="278"/>
      <c r="AE634" s="277"/>
      <c r="AF634" s="278"/>
      <c r="AG634" s="277"/>
      <c r="AH634" s="278"/>
      <c r="AI634" s="277"/>
      <c r="AJ634" s="278"/>
      <c r="AK634" s="277"/>
      <c r="AL634" s="278"/>
      <c r="AM634" s="277"/>
      <c r="AN634" s="278"/>
      <c r="AO634" s="278"/>
      <c r="AP634" s="278"/>
      <c r="AQ634" s="278"/>
      <c r="AR634" s="278"/>
      <c r="AS634" s="278"/>
    </row>
    <row r="635" spans="1:45">
      <c r="A635" s="277"/>
      <c r="B635" s="298" t="b">
        <v>0</v>
      </c>
      <c r="C635" s="278"/>
      <c r="D635" s="299" t="b">
        <v>0</v>
      </c>
      <c r="E635" s="277"/>
      <c r="F635" s="298" t="b">
        <v>0</v>
      </c>
      <c r="G635" s="278"/>
      <c r="H635" s="299" t="b">
        <v>0</v>
      </c>
      <c r="I635" s="277"/>
      <c r="J635" s="278"/>
      <c r="K635" s="277"/>
      <c r="L635" s="278"/>
      <c r="M635" s="277"/>
      <c r="N635" s="278"/>
      <c r="O635" s="277"/>
      <c r="P635" s="278"/>
      <c r="Q635" s="277"/>
      <c r="R635" s="278"/>
      <c r="S635" s="277"/>
      <c r="T635" s="278"/>
      <c r="U635" s="277"/>
      <c r="V635" s="278"/>
      <c r="W635" s="277"/>
      <c r="X635" s="278"/>
      <c r="Y635" s="277"/>
      <c r="Z635" s="278"/>
      <c r="AA635" s="277"/>
      <c r="AB635" s="278"/>
      <c r="AC635" s="277"/>
      <c r="AD635" s="278"/>
      <c r="AE635" s="277"/>
      <c r="AF635" s="278"/>
      <c r="AG635" s="277"/>
      <c r="AH635" s="278"/>
      <c r="AI635" s="277"/>
      <c r="AJ635" s="278"/>
      <c r="AK635" s="277"/>
      <c r="AL635" s="278"/>
      <c r="AM635" s="277"/>
      <c r="AN635" s="278"/>
      <c r="AO635" s="278"/>
      <c r="AP635" s="278"/>
      <c r="AQ635" s="278"/>
      <c r="AR635" s="278"/>
      <c r="AS635" s="278"/>
    </row>
    <row r="636" spans="1:45">
      <c r="A636" s="277"/>
      <c r="B636" s="298" t="b">
        <v>0</v>
      </c>
      <c r="C636" s="278"/>
      <c r="D636" s="299" t="b">
        <v>0</v>
      </c>
      <c r="E636" s="277"/>
      <c r="F636" s="298" t="b">
        <v>0</v>
      </c>
      <c r="G636" s="278"/>
      <c r="H636" s="299" t="b">
        <v>0</v>
      </c>
      <c r="I636" s="277"/>
      <c r="J636" s="278"/>
      <c r="K636" s="277"/>
      <c r="L636" s="278"/>
      <c r="M636" s="277"/>
      <c r="N636" s="278"/>
      <c r="O636" s="277"/>
      <c r="P636" s="278"/>
      <c r="Q636" s="277"/>
      <c r="R636" s="278"/>
      <c r="S636" s="277"/>
      <c r="T636" s="278"/>
      <c r="U636" s="277"/>
      <c r="V636" s="278"/>
      <c r="W636" s="277"/>
      <c r="X636" s="278"/>
      <c r="Y636" s="277"/>
      <c r="Z636" s="278"/>
      <c r="AA636" s="277"/>
      <c r="AB636" s="278"/>
      <c r="AC636" s="277"/>
      <c r="AD636" s="278"/>
      <c r="AE636" s="277"/>
      <c r="AF636" s="278"/>
      <c r="AG636" s="277"/>
      <c r="AH636" s="278"/>
      <c r="AI636" s="277"/>
      <c r="AJ636" s="278"/>
      <c r="AK636" s="277"/>
      <c r="AL636" s="278"/>
      <c r="AM636" s="277"/>
      <c r="AN636" s="278"/>
      <c r="AO636" s="278"/>
      <c r="AP636" s="278"/>
      <c r="AQ636" s="278"/>
      <c r="AR636" s="278"/>
      <c r="AS636" s="278"/>
    </row>
    <row r="637" spans="1:45">
      <c r="A637" s="277"/>
      <c r="B637" s="298" t="b">
        <v>0</v>
      </c>
      <c r="C637" s="278"/>
      <c r="D637" s="299" t="b">
        <v>0</v>
      </c>
      <c r="E637" s="277"/>
      <c r="F637" s="298" t="b">
        <v>0</v>
      </c>
      <c r="G637" s="278"/>
      <c r="H637" s="299" t="b">
        <v>0</v>
      </c>
      <c r="I637" s="277"/>
      <c r="J637" s="278"/>
      <c r="K637" s="277"/>
      <c r="L637" s="278"/>
      <c r="M637" s="277"/>
      <c r="N637" s="278"/>
      <c r="O637" s="277"/>
      <c r="P637" s="278"/>
      <c r="Q637" s="277"/>
      <c r="R637" s="278"/>
      <c r="S637" s="277"/>
      <c r="T637" s="278"/>
      <c r="U637" s="277"/>
      <c r="V637" s="278"/>
      <c r="W637" s="277"/>
      <c r="X637" s="278"/>
      <c r="Y637" s="277"/>
      <c r="Z637" s="278"/>
      <c r="AA637" s="277"/>
      <c r="AB637" s="278"/>
      <c r="AC637" s="277"/>
      <c r="AD637" s="278"/>
      <c r="AE637" s="277"/>
      <c r="AF637" s="278"/>
      <c r="AG637" s="277"/>
      <c r="AH637" s="278"/>
      <c r="AI637" s="277"/>
      <c r="AJ637" s="278"/>
      <c r="AK637" s="277"/>
      <c r="AL637" s="278"/>
      <c r="AM637" s="277"/>
      <c r="AN637" s="278"/>
      <c r="AO637" s="278"/>
      <c r="AP637" s="278"/>
      <c r="AQ637" s="278"/>
      <c r="AR637" s="278"/>
      <c r="AS637" s="278"/>
    </row>
    <row r="638" spans="1:45">
      <c r="A638" s="277"/>
      <c r="B638" s="298" t="b">
        <v>0</v>
      </c>
      <c r="C638" s="278"/>
      <c r="D638" s="299" t="b">
        <v>0</v>
      </c>
      <c r="E638" s="277"/>
      <c r="F638" s="298" t="b">
        <v>0</v>
      </c>
      <c r="G638" s="278"/>
      <c r="H638" s="299" t="b">
        <v>0</v>
      </c>
      <c r="I638" s="277"/>
      <c r="J638" s="278"/>
      <c r="K638" s="277"/>
      <c r="L638" s="278"/>
      <c r="M638" s="277"/>
      <c r="N638" s="278"/>
      <c r="O638" s="277"/>
      <c r="P638" s="278"/>
      <c r="Q638" s="277"/>
      <c r="R638" s="278"/>
      <c r="S638" s="277"/>
      <c r="T638" s="278"/>
      <c r="U638" s="277"/>
      <c r="V638" s="278"/>
      <c r="W638" s="277"/>
      <c r="X638" s="278"/>
      <c r="Y638" s="277"/>
      <c r="Z638" s="278"/>
      <c r="AA638" s="277"/>
      <c r="AB638" s="278"/>
      <c r="AC638" s="277"/>
      <c r="AD638" s="278"/>
      <c r="AE638" s="277"/>
      <c r="AF638" s="278"/>
      <c r="AG638" s="277"/>
      <c r="AH638" s="278"/>
      <c r="AI638" s="277"/>
      <c r="AJ638" s="278"/>
      <c r="AK638" s="277"/>
      <c r="AL638" s="278"/>
      <c r="AM638" s="277"/>
      <c r="AN638" s="278"/>
      <c r="AO638" s="278"/>
      <c r="AP638" s="278"/>
      <c r="AQ638" s="278"/>
      <c r="AR638" s="278"/>
      <c r="AS638" s="278"/>
    </row>
    <row r="639" spans="1:45">
      <c r="A639" s="277"/>
      <c r="B639" s="298" t="b">
        <v>0</v>
      </c>
      <c r="C639" s="278"/>
      <c r="D639" s="299" t="b">
        <v>0</v>
      </c>
      <c r="E639" s="277"/>
      <c r="F639" s="298" t="b">
        <v>0</v>
      </c>
      <c r="G639" s="278"/>
      <c r="H639" s="299" t="b">
        <v>0</v>
      </c>
      <c r="I639" s="277"/>
      <c r="J639" s="278"/>
      <c r="K639" s="277"/>
      <c r="L639" s="278"/>
      <c r="M639" s="277"/>
      <c r="N639" s="278"/>
      <c r="O639" s="277"/>
      <c r="P639" s="278"/>
      <c r="Q639" s="277"/>
      <c r="R639" s="278"/>
      <c r="S639" s="277"/>
      <c r="T639" s="278"/>
      <c r="U639" s="277"/>
      <c r="V639" s="278"/>
      <c r="W639" s="277"/>
      <c r="X639" s="278"/>
      <c r="Y639" s="277"/>
      <c r="Z639" s="278"/>
      <c r="AA639" s="277"/>
      <c r="AB639" s="278"/>
      <c r="AC639" s="277"/>
      <c r="AD639" s="278"/>
      <c r="AE639" s="277"/>
      <c r="AF639" s="278"/>
      <c r="AG639" s="277"/>
      <c r="AH639" s="278"/>
      <c r="AI639" s="277"/>
      <c r="AJ639" s="278"/>
      <c r="AK639" s="277"/>
      <c r="AL639" s="278"/>
      <c r="AM639" s="277"/>
      <c r="AN639" s="278"/>
      <c r="AO639" s="278"/>
      <c r="AP639" s="278"/>
      <c r="AQ639" s="278"/>
      <c r="AR639" s="278"/>
      <c r="AS639" s="278"/>
    </row>
    <row r="640" spans="1:45">
      <c r="A640" s="277"/>
      <c r="B640" s="298" t="b">
        <v>0</v>
      </c>
      <c r="C640" s="278"/>
      <c r="D640" s="299" t="b">
        <v>0</v>
      </c>
      <c r="E640" s="277"/>
      <c r="F640" s="298" t="b">
        <v>0</v>
      </c>
      <c r="G640" s="278"/>
      <c r="H640" s="299" t="b">
        <v>0</v>
      </c>
      <c r="I640" s="277"/>
      <c r="J640" s="278"/>
      <c r="K640" s="277"/>
      <c r="L640" s="278"/>
      <c r="M640" s="277"/>
      <c r="N640" s="278"/>
      <c r="O640" s="277"/>
      <c r="P640" s="278"/>
      <c r="Q640" s="277"/>
      <c r="R640" s="278"/>
      <c r="S640" s="277"/>
      <c r="T640" s="278"/>
      <c r="U640" s="277"/>
      <c r="V640" s="278"/>
      <c r="W640" s="277"/>
      <c r="X640" s="278"/>
      <c r="Y640" s="277"/>
      <c r="Z640" s="278"/>
      <c r="AA640" s="277"/>
      <c r="AB640" s="278"/>
      <c r="AC640" s="277"/>
      <c r="AD640" s="278"/>
      <c r="AE640" s="277"/>
      <c r="AF640" s="278"/>
      <c r="AG640" s="277"/>
      <c r="AH640" s="278"/>
      <c r="AI640" s="277"/>
      <c r="AJ640" s="278"/>
      <c r="AK640" s="277"/>
      <c r="AL640" s="278"/>
      <c r="AM640" s="277"/>
      <c r="AN640" s="278"/>
      <c r="AO640" s="278"/>
      <c r="AP640" s="278"/>
      <c r="AQ640" s="278"/>
      <c r="AR640" s="278"/>
      <c r="AS640" s="278"/>
    </row>
    <row r="641" spans="1:45">
      <c r="A641" s="277"/>
      <c r="B641" s="298" t="b">
        <v>0</v>
      </c>
      <c r="C641" s="278"/>
      <c r="D641" s="299" t="b">
        <v>0</v>
      </c>
      <c r="E641" s="277"/>
      <c r="F641" s="298" t="b">
        <v>0</v>
      </c>
      <c r="G641" s="278"/>
      <c r="H641" s="299" t="b">
        <v>0</v>
      </c>
      <c r="I641" s="277"/>
      <c r="J641" s="278"/>
      <c r="K641" s="277"/>
      <c r="L641" s="278"/>
      <c r="M641" s="277"/>
      <c r="N641" s="278"/>
      <c r="O641" s="277"/>
      <c r="P641" s="278"/>
      <c r="Q641" s="277"/>
      <c r="R641" s="278"/>
      <c r="S641" s="277"/>
      <c r="T641" s="278"/>
      <c r="U641" s="277"/>
      <c r="V641" s="278"/>
      <c r="W641" s="277"/>
      <c r="X641" s="278"/>
      <c r="Y641" s="277"/>
      <c r="Z641" s="278"/>
      <c r="AA641" s="277"/>
      <c r="AB641" s="278"/>
      <c r="AC641" s="277"/>
      <c r="AD641" s="278"/>
      <c r="AE641" s="277"/>
      <c r="AF641" s="278"/>
      <c r="AG641" s="277"/>
      <c r="AH641" s="278"/>
      <c r="AI641" s="277"/>
      <c r="AJ641" s="278"/>
      <c r="AK641" s="277"/>
      <c r="AL641" s="278"/>
      <c r="AM641" s="277"/>
      <c r="AN641" s="278"/>
      <c r="AO641" s="278"/>
      <c r="AP641" s="278"/>
      <c r="AQ641" s="278"/>
      <c r="AR641" s="278"/>
      <c r="AS641" s="278"/>
    </row>
    <row r="642" spans="1:45">
      <c r="A642" s="277"/>
      <c r="B642" s="298" t="b">
        <v>0</v>
      </c>
      <c r="C642" s="278"/>
      <c r="D642" s="299" t="b">
        <v>0</v>
      </c>
      <c r="E642" s="277"/>
      <c r="F642" s="298" t="b">
        <v>0</v>
      </c>
      <c r="G642" s="278"/>
      <c r="H642" s="299" t="b">
        <v>0</v>
      </c>
      <c r="I642" s="277"/>
      <c r="J642" s="278"/>
      <c r="K642" s="277"/>
      <c r="L642" s="278"/>
      <c r="M642" s="277"/>
      <c r="N642" s="278"/>
      <c r="O642" s="277"/>
      <c r="P642" s="278"/>
      <c r="Q642" s="277"/>
      <c r="R642" s="278"/>
      <c r="S642" s="277"/>
      <c r="T642" s="278"/>
      <c r="U642" s="277"/>
      <c r="V642" s="278"/>
      <c r="W642" s="277"/>
      <c r="X642" s="278"/>
      <c r="Y642" s="277"/>
      <c r="Z642" s="278"/>
      <c r="AA642" s="277"/>
      <c r="AB642" s="278"/>
      <c r="AC642" s="277"/>
      <c r="AD642" s="278"/>
      <c r="AE642" s="277"/>
      <c r="AF642" s="278"/>
      <c r="AG642" s="277"/>
      <c r="AH642" s="278"/>
      <c r="AI642" s="277"/>
      <c r="AJ642" s="278"/>
      <c r="AK642" s="277"/>
      <c r="AL642" s="278"/>
      <c r="AM642" s="277"/>
      <c r="AN642" s="278"/>
      <c r="AO642" s="278"/>
      <c r="AP642" s="278"/>
      <c r="AQ642" s="278"/>
      <c r="AR642" s="278"/>
      <c r="AS642" s="278"/>
    </row>
    <row r="643" spans="1:45">
      <c r="A643" s="277"/>
      <c r="B643" s="298" t="b">
        <v>0</v>
      </c>
      <c r="C643" s="278"/>
      <c r="D643" s="299" t="b">
        <v>0</v>
      </c>
      <c r="E643" s="277"/>
      <c r="F643" s="298" t="b">
        <v>0</v>
      </c>
      <c r="G643" s="278"/>
      <c r="H643" s="299" t="b">
        <v>0</v>
      </c>
      <c r="I643" s="277"/>
      <c r="J643" s="278"/>
      <c r="K643" s="277"/>
      <c r="L643" s="278"/>
      <c r="M643" s="277"/>
      <c r="N643" s="278"/>
      <c r="O643" s="277"/>
      <c r="P643" s="278"/>
      <c r="Q643" s="277"/>
      <c r="R643" s="278"/>
      <c r="S643" s="277"/>
      <c r="T643" s="278"/>
      <c r="U643" s="277"/>
      <c r="V643" s="278"/>
      <c r="W643" s="277"/>
      <c r="X643" s="278"/>
      <c r="Y643" s="277"/>
      <c r="Z643" s="278"/>
      <c r="AA643" s="277"/>
      <c r="AB643" s="278"/>
      <c r="AC643" s="277"/>
      <c r="AD643" s="278"/>
      <c r="AE643" s="277"/>
      <c r="AF643" s="278"/>
      <c r="AG643" s="277"/>
      <c r="AH643" s="278"/>
      <c r="AI643" s="277"/>
      <c r="AJ643" s="278"/>
      <c r="AK643" s="277"/>
      <c r="AL643" s="278"/>
      <c r="AM643" s="277"/>
      <c r="AN643" s="278"/>
      <c r="AO643" s="278"/>
      <c r="AP643" s="278"/>
      <c r="AQ643" s="278"/>
      <c r="AR643" s="278"/>
      <c r="AS643" s="278"/>
    </row>
    <row r="644" spans="1:45">
      <c r="A644" s="277"/>
      <c r="B644" s="298" t="b">
        <v>0</v>
      </c>
      <c r="C644" s="278"/>
      <c r="D644" s="299" t="b">
        <v>0</v>
      </c>
      <c r="E644" s="277"/>
      <c r="F644" s="298" t="b">
        <v>0</v>
      </c>
      <c r="G644" s="278"/>
      <c r="H644" s="299" t="b">
        <v>0</v>
      </c>
      <c r="I644" s="277"/>
      <c r="J644" s="278"/>
      <c r="K644" s="277"/>
      <c r="L644" s="278"/>
      <c r="M644" s="277"/>
      <c r="N644" s="278"/>
      <c r="O644" s="277"/>
      <c r="P644" s="278"/>
      <c r="Q644" s="277"/>
      <c r="R644" s="278"/>
      <c r="S644" s="277"/>
      <c r="T644" s="278"/>
      <c r="U644" s="277"/>
      <c r="V644" s="278"/>
      <c r="W644" s="277"/>
      <c r="X644" s="278"/>
      <c r="Y644" s="277"/>
      <c r="Z644" s="278"/>
      <c r="AA644" s="277"/>
      <c r="AB644" s="278"/>
      <c r="AC644" s="277"/>
      <c r="AD644" s="278"/>
      <c r="AE644" s="277"/>
      <c r="AF644" s="278"/>
      <c r="AG644" s="277"/>
      <c r="AH644" s="278"/>
      <c r="AI644" s="277"/>
      <c r="AJ644" s="278"/>
      <c r="AK644" s="277"/>
      <c r="AL644" s="278"/>
      <c r="AM644" s="277"/>
      <c r="AN644" s="278"/>
      <c r="AO644" s="278"/>
      <c r="AP644" s="278"/>
      <c r="AQ644" s="278"/>
      <c r="AR644" s="278"/>
      <c r="AS644" s="278"/>
    </row>
    <row r="645" spans="1:45">
      <c r="A645" s="277"/>
      <c r="B645" s="298" t="b">
        <v>0</v>
      </c>
      <c r="C645" s="278"/>
      <c r="D645" s="299" t="b">
        <v>0</v>
      </c>
      <c r="E645" s="277"/>
      <c r="F645" s="298" t="b">
        <v>0</v>
      </c>
      <c r="G645" s="278"/>
      <c r="H645" s="299" t="b">
        <v>0</v>
      </c>
      <c r="I645" s="277"/>
      <c r="J645" s="278"/>
      <c r="K645" s="277"/>
      <c r="L645" s="278"/>
      <c r="M645" s="277"/>
      <c r="N645" s="278"/>
      <c r="O645" s="277"/>
      <c r="P645" s="278"/>
      <c r="Q645" s="277"/>
      <c r="R645" s="278"/>
      <c r="S645" s="277"/>
      <c r="T645" s="278"/>
      <c r="U645" s="277"/>
      <c r="V645" s="278"/>
      <c r="W645" s="277"/>
      <c r="X645" s="278"/>
      <c r="Y645" s="277"/>
      <c r="Z645" s="278"/>
      <c r="AA645" s="277"/>
      <c r="AB645" s="278"/>
      <c r="AC645" s="277"/>
      <c r="AD645" s="278"/>
      <c r="AE645" s="277"/>
      <c r="AF645" s="278"/>
      <c r="AG645" s="277"/>
      <c r="AH645" s="278"/>
      <c r="AI645" s="277"/>
      <c r="AJ645" s="278"/>
      <c r="AK645" s="277"/>
      <c r="AL645" s="278"/>
      <c r="AM645" s="277"/>
      <c r="AN645" s="278"/>
      <c r="AO645" s="278"/>
      <c r="AP645" s="278"/>
      <c r="AQ645" s="278"/>
      <c r="AR645" s="278"/>
      <c r="AS645" s="278"/>
    </row>
    <row r="646" spans="1:45">
      <c r="A646" s="277"/>
      <c r="B646" s="298" t="b">
        <v>0</v>
      </c>
      <c r="C646" s="278"/>
      <c r="D646" s="299" t="b">
        <v>0</v>
      </c>
      <c r="E646" s="277"/>
      <c r="F646" s="298" t="b">
        <v>0</v>
      </c>
      <c r="G646" s="278"/>
      <c r="H646" s="299" t="b">
        <v>0</v>
      </c>
      <c r="I646" s="277"/>
      <c r="J646" s="278"/>
      <c r="K646" s="277"/>
      <c r="L646" s="278"/>
      <c r="M646" s="277"/>
      <c r="N646" s="278"/>
      <c r="O646" s="277"/>
      <c r="P646" s="278"/>
      <c r="Q646" s="277"/>
      <c r="R646" s="278"/>
      <c r="S646" s="277"/>
      <c r="T646" s="278"/>
      <c r="U646" s="277"/>
      <c r="V646" s="278"/>
      <c r="W646" s="277"/>
      <c r="X646" s="278"/>
      <c r="Y646" s="277"/>
      <c r="Z646" s="278"/>
      <c r="AA646" s="277"/>
      <c r="AB646" s="278"/>
      <c r="AC646" s="277"/>
      <c r="AD646" s="278"/>
      <c r="AE646" s="277"/>
      <c r="AF646" s="278"/>
      <c r="AG646" s="277"/>
      <c r="AH646" s="278"/>
      <c r="AI646" s="277"/>
      <c r="AJ646" s="278"/>
      <c r="AK646" s="277"/>
      <c r="AL646" s="278"/>
      <c r="AM646" s="277"/>
      <c r="AN646" s="278"/>
      <c r="AO646" s="278"/>
      <c r="AP646" s="278"/>
      <c r="AQ646" s="278"/>
      <c r="AR646" s="278"/>
      <c r="AS646" s="278"/>
    </row>
    <row r="647" spans="1:45">
      <c r="A647" s="277"/>
      <c r="B647" s="298" t="b">
        <v>0</v>
      </c>
      <c r="C647" s="278"/>
      <c r="D647" s="299" t="b">
        <v>0</v>
      </c>
      <c r="E647" s="277"/>
      <c r="F647" s="298" t="b">
        <v>0</v>
      </c>
      <c r="G647" s="278"/>
      <c r="H647" s="299" t="b">
        <v>0</v>
      </c>
      <c r="I647" s="277"/>
      <c r="J647" s="278"/>
      <c r="K647" s="277"/>
      <c r="L647" s="278"/>
      <c r="M647" s="277"/>
      <c r="N647" s="278"/>
      <c r="O647" s="277"/>
      <c r="P647" s="278"/>
      <c r="Q647" s="277"/>
      <c r="R647" s="278"/>
      <c r="S647" s="277"/>
      <c r="T647" s="278"/>
      <c r="U647" s="277"/>
      <c r="V647" s="278"/>
      <c r="W647" s="277"/>
      <c r="X647" s="278"/>
      <c r="Y647" s="277"/>
      <c r="Z647" s="278"/>
      <c r="AA647" s="277"/>
      <c r="AB647" s="278"/>
      <c r="AC647" s="277"/>
      <c r="AD647" s="278"/>
      <c r="AE647" s="277"/>
      <c r="AF647" s="278"/>
      <c r="AG647" s="277"/>
      <c r="AH647" s="278"/>
      <c r="AI647" s="277"/>
      <c r="AJ647" s="278"/>
      <c r="AK647" s="277"/>
      <c r="AL647" s="278"/>
      <c r="AM647" s="277"/>
      <c r="AN647" s="278"/>
      <c r="AO647" s="278"/>
      <c r="AP647" s="278"/>
      <c r="AQ647" s="278"/>
      <c r="AR647" s="278"/>
      <c r="AS647" s="278"/>
    </row>
    <row r="648" spans="1:45">
      <c r="A648" s="277"/>
      <c r="B648" s="298" t="b">
        <v>0</v>
      </c>
      <c r="C648" s="278"/>
      <c r="D648" s="299" t="b">
        <v>0</v>
      </c>
      <c r="E648" s="277"/>
      <c r="F648" s="298" t="b">
        <v>0</v>
      </c>
      <c r="G648" s="278"/>
      <c r="H648" s="299" t="b">
        <v>0</v>
      </c>
      <c r="I648" s="277"/>
      <c r="J648" s="278"/>
      <c r="K648" s="277"/>
      <c r="L648" s="278"/>
      <c r="M648" s="277"/>
      <c r="N648" s="278"/>
      <c r="O648" s="277"/>
      <c r="P648" s="278"/>
      <c r="Q648" s="277"/>
      <c r="R648" s="278"/>
      <c r="S648" s="277"/>
      <c r="T648" s="278"/>
      <c r="U648" s="277"/>
      <c r="V648" s="278"/>
      <c r="W648" s="277"/>
      <c r="X648" s="278"/>
      <c r="Y648" s="277"/>
      <c r="Z648" s="278"/>
      <c r="AA648" s="277"/>
      <c r="AB648" s="278"/>
      <c r="AC648" s="277"/>
      <c r="AD648" s="278"/>
      <c r="AE648" s="277"/>
      <c r="AF648" s="278"/>
      <c r="AG648" s="277"/>
      <c r="AH648" s="278"/>
      <c r="AI648" s="277"/>
      <c r="AJ648" s="278"/>
      <c r="AK648" s="277"/>
      <c r="AL648" s="278"/>
      <c r="AM648" s="277"/>
      <c r="AN648" s="278"/>
      <c r="AO648" s="278"/>
      <c r="AP648" s="278"/>
      <c r="AQ648" s="278"/>
      <c r="AR648" s="278"/>
      <c r="AS648" s="278"/>
    </row>
    <row r="649" spans="1:45">
      <c r="A649" s="277"/>
      <c r="B649" s="298" t="b">
        <v>0</v>
      </c>
      <c r="C649" s="278"/>
      <c r="D649" s="299" t="b">
        <v>0</v>
      </c>
      <c r="E649" s="277"/>
      <c r="F649" s="298" t="b">
        <v>0</v>
      </c>
      <c r="G649" s="278"/>
      <c r="H649" s="299" t="b">
        <v>0</v>
      </c>
      <c r="I649" s="277"/>
      <c r="J649" s="278"/>
      <c r="K649" s="277"/>
      <c r="L649" s="278"/>
      <c r="M649" s="277"/>
      <c r="N649" s="278"/>
      <c r="O649" s="277"/>
      <c r="P649" s="278"/>
      <c r="Q649" s="277"/>
      <c r="R649" s="278"/>
      <c r="S649" s="277"/>
      <c r="T649" s="278"/>
      <c r="U649" s="277"/>
      <c r="V649" s="278"/>
      <c r="W649" s="277"/>
      <c r="X649" s="278"/>
      <c r="Y649" s="277"/>
      <c r="Z649" s="278"/>
      <c r="AA649" s="277"/>
      <c r="AB649" s="278"/>
      <c r="AC649" s="277"/>
      <c r="AD649" s="278"/>
      <c r="AE649" s="277"/>
      <c r="AF649" s="278"/>
      <c r="AG649" s="277"/>
      <c r="AH649" s="278"/>
      <c r="AI649" s="277"/>
      <c r="AJ649" s="278"/>
      <c r="AK649" s="277"/>
      <c r="AL649" s="278"/>
      <c r="AM649" s="277"/>
      <c r="AN649" s="278"/>
      <c r="AO649" s="278"/>
      <c r="AP649" s="278"/>
      <c r="AQ649" s="278"/>
      <c r="AR649" s="278"/>
      <c r="AS649" s="278"/>
    </row>
    <row r="650" spans="1:45">
      <c r="A650" s="277"/>
      <c r="B650" s="298" t="b">
        <v>0</v>
      </c>
      <c r="C650" s="278"/>
      <c r="D650" s="299" t="b">
        <v>0</v>
      </c>
      <c r="E650" s="277"/>
      <c r="F650" s="298" t="b">
        <v>0</v>
      </c>
      <c r="G650" s="278"/>
      <c r="H650" s="299" t="b">
        <v>0</v>
      </c>
      <c r="I650" s="277"/>
      <c r="J650" s="278"/>
      <c r="K650" s="277"/>
      <c r="L650" s="278"/>
      <c r="M650" s="277"/>
      <c r="N650" s="278"/>
      <c r="O650" s="277"/>
      <c r="P650" s="278"/>
      <c r="Q650" s="277"/>
      <c r="R650" s="278"/>
      <c r="S650" s="277"/>
      <c r="T650" s="278"/>
      <c r="U650" s="277"/>
      <c r="V650" s="278"/>
      <c r="W650" s="277"/>
      <c r="X650" s="278"/>
      <c r="Y650" s="277"/>
      <c r="Z650" s="278"/>
      <c r="AA650" s="277"/>
      <c r="AB650" s="278"/>
      <c r="AC650" s="277"/>
      <c r="AD650" s="278"/>
      <c r="AE650" s="277"/>
      <c r="AF650" s="278"/>
      <c r="AG650" s="277"/>
      <c r="AH650" s="278"/>
      <c r="AI650" s="277"/>
      <c r="AJ650" s="278"/>
      <c r="AK650" s="277"/>
      <c r="AL650" s="278"/>
      <c r="AM650" s="277"/>
      <c r="AN650" s="278"/>
      <c r="AO650" s="278"/>
      <c r="AP650" s="278"/>
      <c r="AQ650" s="278"/>
      <c r="AR650" s="278"/>
      <c r="AS650" s="278"/>
    </row>
    <row r="651" spans="1:45">
      <c r="A651" s="277"/>
      <c r="B651" s="298" t="b">
        <v>0</v>
      </c>
      <c r="C651" s="278"/>
      <c r="D651" s="299" t="b">
        <v>0</v>
      </c>
      <c r="E651" s="277"/>
      <c r="F651" s="298" t="b">
        <v>0</v>
      </c>
      <c r="G651" s="278"/>
      <c r="H651" s="299" t="b">
        <v>0</v>
      </c>
      <c r="I651" s="277"/>
      <c r="J651" s="278"/>
      <c r="K651" s="277"/>
      <c r="L651" s="278"/>
      <c r="M651" s="277"/>
      <c r="N651" s="278"/>
      <c r="O651" s="277"/>
      <c r="P651" s="278"/>
      <c r="Q651" s="277"/>
      <c r="R651" s="278"/>
      <c r="S651" s="277"/>
      <c r="T651" s="278"/>
      <c r="U651" s="277"/>
      <c r="V651" s="278"/>
      <c r="W651" s="277"/>
      <c r="X651" s="278"/>
      <c r="Y651" s="277"/>
      <c r="Z651" s="278"/>
      <c r="AA651" s="277"/>
      <c r="AB651" s="278"/>
      <c r="AC651" s="277"/>
      <c r="AD651" s="278"/>
      <c r="AE651" s="277"/>
      <c r="AF651" s="278"/>
      <c r="AG651" s="277"/>
      <c r="AH651" s="278"/>
      <c r="AI651" s="277"/>
      <c r="AJ651" s="278"/>
      <c r="AK651" s="277"/>
      <c r="AL651" s="278"/>
      <c r="AM651" s="277"/>
      <c r="AN651" s="278"/>
      <c r="AO651" s="278"/>
      <c r="AP651" s="278"/>
      <c r="AQ651" s="278"/>
      <c r="AR651" s="278"/>
      <c r="AS651" s="278"/>
    </row>
    <row r="652" spans="1:45">
      <c r="A652" s="277"/>
      <c r="B652" s="298" t="b">
        <v>0</v>
      </c>
      <c r="C652" s="278"/>
      <c r="D652" s="299" t="b">
        <v>0</v>
      </c>
      <c r="E652" s="277"/>
      <c r="F652" s="298" t="b">
        <v>0</v>
      </c>
      <c r="G652" s="278"/>
      <c r="H652" s="299" t="b">
        <v>0</v>
      </c>
      <c r="I652" s="277"/>
      <c r="J652" s="278"/>
      <c r="K652" s="277"/>
      <c r="L652" s="278"/>
      <c r="M652" s="277"/>
      <c r="N652" s="278"/>
      <c r="O652" s="277"/>
      <c r="P652" s="278"/>
      <c r="Q652" s="277"/>
      <c r="R652" s="278"/>
      <c r="S652" s="277"/>
      <c r="T652" s="278"/>
      <c r="U652" s="277"/>
      <c r="V652" s="278"/>
      <c r="W652" s="277"/>
      <c r="X652" s="278"/>
      <c r="Y652" s="277"/>
      <c r="Z652" s="278"/>
      <c r="AA652" s="277"/>
      <c r="AB652" s="278"/>
      <c r="AC652" s="277"/>
      <c r="AD652" s="278"/>
      <c r="AE652" s="277"/>
      <c r="AF652" s="278"/>
      <c r="AG652" s="277"/>
      <c r="AH652" s="278"/>
      <c r="AI652" s="277"/>
      <c r="AJ652" s="278"/>
      <c r="AK652" s="277"/>
      <c r="AL652" s="278"/>
      <c r="AM652" s="277"/>
      <c r="AN652" s="278"/>
      <c r="AO652" s="278"/>
      <c r="AP652" s="278"/>
      <c r="AQ652" s="278"/>
      <c r="AR652" s="278"/>
      <c r="AS652" s="278"/>
    </row>
    <row r="653" spans="1:45">
      <c r="A653" s="277"/>
      <c r="B653" s="298" t="b">
        <v>0</v>
      </c>
      <c r="C653" s="278"/>
      <c r="D653" s="299" t="b">
        <v>0</v>
      </c>
      <c r="E653" s="277"/>
      <c r="F653" s="298" t="b">
        <v>0</v>
      </c>
      <c r="G653" s="278"/>
      <c r="H653" s="299" t="b">
        <v>0</v>
      </c>
      <c r="I653" s="277"/>
      <c r="J653" s="278"/>
      <c r="K653" s="277"/>
      <c r="L653" s="278"/>
      <c r="M653" s="277"/>
      <c r="N653" s="278"/>
      <c r="O653" s="277"/>
      <c r="P653" s="278"/>
      <c r="Q653" s="277"/>
      <c r="R653" s="278"/>
      <c r="S653" s="277"/>
      <c r="T653" s="278"/>
      <c r="U653" s="277"/>
      <c r="V653" s="278"/>
      <c r="W653" s="277"/>
      <c r="X653" s="278"/>
      <c r="Y653" s="277"/>
      <c r="Z653" s="278"/>
      <c r="AA653" s="277"/>
      <c r="AB653" s="278"/>
      <c r="AC653" s="277"/>
      <c r="AD653" s="278"/>
      <c r="AE653" s="277"/>
      <c r="AF653" s="278"/>
      <c r="AG653" s="277"/>
      <c r="AH653" s="278"/>
      <c r="AI653" s="277"/>
      <c r="AJ653" s="278"/>
      <c r="AK653" s="277"/>
      <c r="AL653" s="278"/>
      <c r="AM653" s="277"/>
      <c r="AN653" s="278"/>
      <c r="AO653" s="278"/>
      <c r="AP653" s="278"/>
      <c r="AQ653" s="278"/>
      <c r="AR653" s="278"/>
      <c r="AS653" s="278"/>
    </row>
    <row r="654" spans="1:45">
      <c r="A654" s="277"/>
      <c r="B654" s="298" t="b">
        <v>0</v>
      </c>
      <c r="C654" s="278"/>
      <c r="D654" s="299" t="b">
        <v>0</v>
      </c>
      <c r="E654" s="277"/>
      <c r="F654" s="298" t="b">
        <v>0</v>
      </c>
      <c r="G654" s="278"/>
      <c r="H654" s="299" t="b">
        <v>0</v>
      </c>
      <c r="I654" s="277"/>
      <c r="J654" s="278"/>
      <c r="K654" s="277"/>
      <c r="L654" s="278"/>
      <c r="M654" s="277"/>
      <c r="N654" s="278"/>
      <c r="O654" s="277"/>
      <c r="P654" s="278"/>
      <c r="Q654" s="277"/>
      <c r="R654" s="278"/>
      <c r="S654" s="277"/>
      <c r="T654" s="278"/>
      <c r="U654" s="277"/>
      <c r="V654" s="278"/>
      <c r="W654" s="277"/>
      <c r="X654" s="278"/>
      <c r="Y654" s="277"/>
      <c r="Z654" s="278"/>
      <c r="AA654" s="277"/>
      <c r="AB654" s="278"/>
      <c r="AC654" s="277"/>
      <c r="AD654" s="278"/>
      <c r="AE654" s="277"/>
      <c r="AF654" s="278"/>
      <c r="AG654" s="277"/>
      <c r="AH654" s="278"/>
      <c r="AI654" s="277"/>
      <c r="AJ654" s="278"/>
      <c r="AK654" s="277"/>
      <c r="AL654" s="278"/>
      <c r="AM654" s="277"/>
      <c r="AN654" s="278"/>
      <c r="AO654" s="278"/>
      <c r="AP654" s="278"/>
      <c r="AQ654" s="278"/>
      <c r="AR654" s="278"/>
      <c r="AS654" s="278"/>
    </row>
    <row r="655" spans="1:45">
      <c r="A655" s="277"/>
      <c r="B655" s="298" t="b">
        <v>0</v>
      </c>
      <c r="C655" s="278"/>
      <c r="D655" s="299" t="b">
        <v>0</v>
      </c>
      <c r="E655" s="277"/>
      <c r="F655" s="298" t="b">
        <v>0</v>
      </c>
      <c r="G655" s="278"/>
      <c r="H655" s="299" t="b">
        <v>0</v>
      </c>
      <c r="I655" s="277"/>
      <c r="J655" s="278"/>
      <c r="K655" s="277"/>
      <c r="L655" s="278"/>
      <c r="M655" s="277"/>
      <c r="N655" s="278"/>
      <c r="O655" s="277"/>
      <c r="P655" s="278"/>
      <c r="Q655" s="277"/>
      <c r="R655" s="278"/>
      <c r="S655" s="277"/>
      <c r="T655" s="278"/>
      <c r="U655" s="277"/>
      <c r="V655" s="278"/>
      <c r="W655" s="277"/>
      <c r="X655" s="278"/>
      <c r="Y655" s="277"/>
      <c r="Z655" s="278"/>
      <c r="AA655" s="277"/>
      <c r="AB655" s="278"/>
      <c r="AC655" s="277"/>
      <c r="AD655" s="278"/>
      <c r="AE655" s="277"/>
      <c r="AF655" s="278"/>
      <c r="AG655" s="277"/>
      <c r="AH655" s="278"/>
      <c r="AI655" s="277"/>
      <c r="AJ655" s="278"/>
      <c r="AK655" s="277"/>
      <c r="AL655" s="278"/>
      <c r="AM655" s="277"/>
      <c r="AN655" s="278"/>
      <c r="AO655" s="278"/>
      <c r="AP655" s="278"/>
      <c r="AQ655" s="278"/>
      <c r="AR655" s="278"/>
      <c r="AS655" s="278"/>
    </row>
    <row r="656" spans="1:45">
      <c r="A656" s="277"/>
      <c r="B656" s="298" t="b">
        <v>0</v>
      </c>
      <c r="C656" s="278"/>
      <c r="D656" s="299" t="b">
        <v>0</v>
      </c>
      <c r="E656" s="277"/>
      <c r="F656" s="298" t="b">
        <v>0</v>
      </c>
      <c r="G656" s="278"/>
      <c r="H656" s="299" t="b">
        <v>0</v>
      </c>
      <c r="I656" s="277"/>
      <c r="J656" s="278"/>
      <c r="K656" s="277"/>
      <c r="L656" s="278"/>
      <c r="M656" s="277"/>
      <c r="N656" s="278"/>
      <c r="O656" s="277"/>
      <c r="P656" s="278"/>
      <c r="Q656" s="277"/>
      <c r="R656" s="278"/>
      <c r="S656" s="277"/>
      <c r="T656" s="278"/>
      <c r="U656" s="277"/>
      <c r="V656" s="278"/>
      <c r="W656" s="277"/>
      <c r="X656" s="278"/>
      <c r="Y656" s="277"/>
      <c r="Z656" s="278"/>
      <c r="AA656" s="277"/>
      <c r="AB656" s="278"/>
      <c r="AC656" s="277"/>
      <c r="AD656" s="278"/>
      <c r="AE656" s="277"/>
      <c r="AF656" s="278"/>
      <c r="AG656" s="277"/>
      <c r="AH656" s="278"/>
      <c r="AI656" s="277"/>
      <c r="AJ656" s="278"/>
      <c r="AK656" s="277"/>
      <c r="AL656" s="278"/>
      <c r="AM656" s="277"/>
      <c r="AN656" s="278"/>
      <c r="AO656" s="278"/>
      <c r="AP656" s="278"/>
      <c r="AQ656" s="278"/>
      <c r="AR656" s="278"/>
      <c r="AS656" s="278"/>
    </row>
    <row r="657" spans="1:45">
      <c r="A657" s="277"/>
      <c r="B657" s="298" t="b">
        <v>0</v>
      </c>
      <c r="C657" s="278"/>
      <c r="D657" s="299" t="b">
        <v>0</v>
      </c>
      <c r="E657" s="277"/>
      <c r="F657" s="298" t="b">
        <v>0</v>
      </c>
      <c r="G657" s="278"/>
      <c r="H657" s="299" t="b">
        <v>0</v>
      </c>
      <c r="I657" s="277"/>
      <c r="J657" s="278"/>
      <c r="K657" s="277"/>
      <c r="L657" s="278"/>
      <c r="M657" s="277"/>
      <c r="N657" s="278"/>
      <c r="O657" s="277"/>
      <c r="P657" s="278"/>
      <c r="Q657" s="277"/>
      <c r="R657" s="278"/>
      <c r="S657" s="277"/>
      <c r="T657" s="278"/>
      <c r="U657" s="277"/>
      <c r="V657" s="278"/>
      <c r="W657" s="277"/>
      <c r="X657" s="278"/>
      <c r="Y657" s="277"/>
      <c r="Z657" s="278"/>
      <c r="AA657" s="277"/>
      <c r="AB657" s="278"/>
      <c r="AC657" s="277"/>
      <c r="AD657" s="278"/>
      <c r="AE657" s="277"/>
      <c r="AF657" s="278"/>
      <c r="AG657" s="277"/>
      <c r="AH657" s="278"/>
      <c r="AI657" s="277"/>
      <c r="AJ657" s="278"/>
      <c r="AK657" s="277"/>
      <c r="AL657" s="278"/>
      <c r="AM657" s="277"/>
      <c r="AN657" s="278"/>
      <c r="AO657" s="278"/>
      <c r="AP657" s="278"/>
      <c r="AQ657" s="278"/>
      <c r="AR657" s="278"/>
      <c r="AS657" s="278"/>
    </row>
    <row r="658" spans="1:45">
      <c r="A658" s="277"/>
      <c r="B658" s="298" t="b">
        <v>0</v>
      </c>
      <c r="C658" s="278"/>
      <c r="D658" s="299" t="b">
        <v>0</v>
      </c>
      <c r="E658" s="277"/>
      <c r="F658" s="298" t="b">
        <v>0</v>
      </c>
      <c r="G658" s="278"/>
      <c r="H658" s="299" t="b">
        <v>0</v>
      </c>
      <c r="I658" s="277"/>
      <c r="J658" s="278"/>
      <c r="K658" s="277"/>
      <c r="L658" s="278"/>
      <c r="M658" s="277"/>
      <c r="N658" s="278"/>
      <c r="O658" s="277"/>
      <c r="P658" s="278"/>
      <c r="Q658" s="277"/>
      <c r="R658" s="278"/>
      <c r="S658" s="277"/>
      <c r="T658" s="278"/>
      <c r="U658" s="277"/>
      <c r="V658" s="278"/>
      <c r="W658" s="277"/>
      <c r="X658" s="278"/>
      <c r="Y658" s="277"/>
      <c r="Z658" s="278"/>
      <c r="AA658" s="277"/>
      <c r="AB658" s="278"/>
      <c r="AC658" s="277"/>
      <c r="AD658" s="278"/>
      <c r="AE658" s="277"/>
      <c r="AF658" s="278"/>
      <c r="AG658" s="277"/>
      <c r="AH658" s="278"/>
      <c r="AI658" s="277"/>
      <c r="AJ658" s="278"/>
      <c r="AK658" s="277"/>
      <c r="AL658" s="278"/>
      <c r="AM658" s="277"/>
      <c r="AN658" s="278"/>
      <c r="AO658" s="278"/>
      <c r="AP658" s="278"/>
      <c r="AQ658" s="278"/>
      <c r="AR658" s="278"/>
      <c r="AS658" s="278"/>
    </row>
    <row r="659" spans="1:45">
      <c r="A659" s="277"/>
      <c r="B659" s="298" t="b">
        <v>0</v>
      </c>
      <c r="C659" s="278"/>
      <c r="D659" s="299" t="b">
        <v>0</v>
      </c>
      <c r="E659" s="277"/>
      <c r="F659" s="298" t="b">
        <v>0</v>
      </c>
      <c r="G659" s="278"/>
      <c r="H659" s="299" t="b">
        <v>0</v>
      </c>
      <c r="I659" s="277"/>
      <c r="J659" s="278"/>
      <c r="K659" s="277"/>
      <c r="L659" s="278"/>
      <c r="M659" s="277"/>
      <c r="N659" s="278"/>
      <c r="O659" s="277"/>
      <c r="P659" s="278"/>
      <c r="Q659" s="277"/>
      <c r="R659" s="278"/>
      <c r="S659" s="277"/>
      <c r="T659" s="278"/>
      <c r="U659" s="277"/>
      <c r="V659" s="278"/>
      <c r="W659" s="277"/>
      <c r="X659" s="278"/>
      <c r="Y659" s="277"/>
      <c r="Z659" s="278"/>
      <c r="AA659" s="277"/>
      <c r="AB659" s="278"/>
      <c r="AC659" s="277"/>
      <c r="AD659" s="278"/>
      <c r="AE659" s="277"/>
      <c r="AF659" s="278"/>
      <c r="AG659" s="277"/>
      <c r="AH659" s="278"/>
      <c r="AI659" s="277"/>
      <c r="AJ659" s="278"/>
      <c r="AK659" s="277"/>
      <c r="AL659" s="278"/>
      <c r="AM659" s="277"/>
      <c r="AN659" s="278"/>
      <c r="AO659" s="278"/>
      <c r="AP659" s="278"/>
      <c r="AQ659" s="278"/>
      <c r="AR659" s="278"/>
      <c r="AS659" s="278"/>
    </row>
    <row r="660" spans="1:45">
      <c r="A660" s="277"/>
      <c r="B660" s="298" t="b">
        <v>0</v>
      </c>
      <c r="C660" s="278"/>
      <c r="D660" s="299" t="b">
        <v>0</v>
      </c>
      <c r="E660" s="277"/>
      <c r="F660" s="298" t="b">
        <v>0</v>
      </c>
      <c r="G660" s="278"/>
      <c r="H660" s="299" t="b">
        <v>0</v>
      </c>
      <c r="I660" s="277"/>
      <c r="J660" s="278"/>
      <c r="K660" s="277"/>
      <c r="L660" s="278"/>
      <c r="M660" s="277"/>
      <c r="N660" s="278"/>
      <c r="O660" s="277"/>
      <c r="P660" s="278"/>
      <c r="Q660" s="277"/>
      <c r="R660" s="278"/>
      <c r="S660" s="277"/>
      <c r="T660" s="278"/>
      <c r="U660" s="277"/>
      <c r="V660" s="278"/>
      <c r="W660" s="277"/>
      <c r="X660" s="278"/>
      <c r="Y660" s="277"/>
      <c r="Z660" s="278"/>
      <c r="AA660" s="277"/>
      <c r="AB660" s="278"/>
      <c r="AC660" s="277"/>
      <c r="AD660" s="278"/>
      <c r="AE660" s="277"/>
      <c r="AF660" s="278"/>
      <c r="AG660" s="277"/>
      <c r="AH660" s="278"/>
      <c r="AI660" s="277"/>
      <c r="AJ660" s="278"/>
      <c r="AK660" s="277"/>
      <c r="AL660" s="278"/>
      <c r="AM660" s="277"/>
      <c r="AN660" s="278"/>
      <c r="AO660" s="278"/>
      <c r="AP660" s="278"/>
      <c r="AQ660" s="278"/>
      <c r="AR660" s="278"/>
      <c r="AS660" s="278"/>
    </row>
    <row r="661" spans="1:45">
      <c r="A661" s="277"/>
      <c r="B661" s="298" t="b">
        <v>0</v>
      </c>
      <c r="C661" s="278"/>
      <c r="D661" s="299" t="b">
        <v>0</v>
      </c>
      <c r="E661" s="277"/>
      <c r="F661" s="298" t="b">
        <v>0</v>
      </c>
      <c r="G661" s="278"/>
      <c r="H661" s="299" t="b">
        <v>0</v>
      </c>
      <c r="I661" s="277"/>
      <c r="J661" s="278"/>
      <c r="K661" s="277"/>
      <c r="L661" s="278"/>
      <c r="M661" s="277"/>
      <c r="N661" s="278"/>
      <c r="O661" s="277"/>
      <c r="P661" s="278"/>
      <c r="Q661" s="277"/>
      <c r="R661" s="278"/>
      <c r="S661" s="277"/>
      <c r="T661" s="278"/>
      <c r="U661" s="277"/>
      <c r="V661" s="278"/>
      <c r="W661" s="277"/>
      <c r="X661" s="278"/>
      <c r="Y661" s="277"/>
      <c r="Z661" s="278"/>
      <c r="AA661" s="277"/>
      <c r="AB661" s="278"/>
      <c r="AC661" s="277"/>
      <c r="AD661" s="278"/>
      <c r="AE661" s="277"/>
      <c r="AF661" s="278"/>
      <c r="AG661" s="277"/>
      <c r="AH661" s="278"/>
      <c r="AI661" s="277"/>
      <c r="AJ661" s="278"/>
      <c r="AK661" s="277"/>
      <c r="AL661" s="278"/>
      <c r="AM661" s="277"/>
      <c r="AN661" s="278"/>
      <c r="AO661" s="278"/>
      <c r="AP661" s="278"/>
      <c r="AQ661" s="278"/>
      <c r="AR661" s="278"/>
      <c r="AS661" s="278"/>
    </row>
    <row r="662" spans="1:45">
      <c r="A662" s="277"/>
      <c r="B662" s="298" t="b">
        <v>0</v>
      </c>
      <c r="C662" s="278"/>
      <c r="D662" s="299" t="b">
        <v>0</v>
      </c>
      <c r="E662" s="277"/>
      <c r="F662" s="298" t="b">
        <v>0</v>
      </c>
      <c r="G662" s="278"/>
      <c r="H662" s="299" t="b">
        <v>0</v>
      </c>
      <c r="I662" s="277"/>
      <c r="J662" s="278"/>
      <c r="K662" s="277"/>
      <c r="L662" s="278"/>
      <c r="M662" s="277"/>
      <c r="N662" s="278"/>
      <c r="O662" s="277"/>
      <c r="P662" s="278"/>
      <c r="Q662" s="277"/>
      <c r="R662" s="278"/>
      <c r="S662" s="277"/>
      <c r="T662" s="278"/>
      <c r="U662" s="277"/>
      <c r="V662" s="278"/>
      <c r="W662" s="277"/>
      <c r="X662" s="278"/>
      <c r="Y662" s="277"/>
      <c r="Z662" s="278"/>
      <c r="AA662" s="277"/>
      <c r="AB662" s="278"/>
      <c r="AC662" s="277"/>
      <c r="AD662" s="278"/>
      <c r="AE662" s="277"/>
      <c r="AF662" s="278"/>
      <c r="AG662" s="277"/>
      <c r="AH662" s="278"/>
      <c r="AI662" s="277"/>
      <c r="AJ662" s="278"/>
      <c r="AK662" s="277"/>
      <c r="AL662" s="278"/>
      <c r="AM662" s="277"/>
      <c r="AN662" s="278"/>
      <c r="AO662" s="278"/>
      <c r="AP662" s="278"/>
      <c r="AQ662" s="278"/>
      <c r="AR662" s="278"/>
      <c r="AS662" s="278"/>
    </row>
    <row r="663" spans="1:45">
      <c r="A663" s="277"/>
      <c r="B663" s="298" t="b">
        <v>0</v>
      </c>
      <c r="C663" s="278"/>
      <c r="D663" s="299" t="b">
        <v>0</v>
      </c>
      <c r="E663" s="277"/>
      <c r="F663" s="298" t="b">
        <v>0</v>
      </c>
      <c r="G663" s="278"/>
      <c r="H663" s="299" t="b">
        <v>0</v>
      </c>
      <c r="I663" s="277"/>
      <c r="J663" s="278"/>
      <c r="K663" s="277"/>
      <c r="L663" s="278"/>
      <c r="M663" s="277"/>
      <c r="N663" s="278"/>
      <c r="O663" s="277"/>
      <c r="P663" s="278"/>
      <c r="Q663" s="277"/>
      <c r="R663" s="278"/>
      <c r="S663" s="277"/>
      <c r="T663" s="278"/>
      <c r="U663" s="277"/>
      <c r="V663" s="278"/>
      <c r="W663" s="277"/>
      <c r="X663" s="278"/>
      <c r="Y663" s="277"/>
      <c r="Z663" s="278"/>
      <c r="AA663" s="277"/>
      <c r="AB663" s="278"/>
      <c r="AC663" s="277"/>
      <c r="AD663" s="278"/>
      <c r="AE663" s="277"/>
      <c r="AF663" s="278"/>
      <c r="AG663" s="277"/>
      <c r="AH663" s="278"/>
      <c r="AI663" s="277"/>
      <c r="AJ663" s="278"/>
      <c r="AK663" s="277"/>
      <c r="AL663" s="278"/>
      <c r="AM663" s="277"/>
      <c r="AN663" s="278"/>
      <c r="AO663" s="278"/>
      <c r="AP663" s="278"/>
      <c r="AQ663" s="278"/>
      <c r="AR663" s="278"/>
      <c r="AS663" s="278"/>
    </row>
    <row r="664" spans="1:45">
      <c r="A664" s="277"/>
      <c r="B664" s="298" t="b">
        <v>0</v>
      </c>
      <c r="C664" s="278"/>
      <c r="D664" s="299" t="b">
        <v>0</v>
      </c>
      <c r="E664" s="277"/>
      <c r="F664" s="298" t="b">
        <v>0</v>
      </c>
      <c r="G664" s="278"/>
      <c r="H664" s="299" t="b">
        <v>0</v>
      </c>
      <c r="I664" s="277"/>
      <c r="J664" s="278"/>
      <c r="K664" s="277"/>
      <c r="L664" s="278"/>
      <c r="M664" s="277"/>
      <c r="N664" s="278"/>
      <c r="O664" s="277"/>
      <c r="P664" s="278"/>
      <c r="Q664" s="277"/>
      <c r="R664" s="278"/>
      <c r="S664" s="277"/>
      <c r="T664" s="278"/>
      <c r="U664" s="277"/>
      <c r="V664" s="278"/>
      <c r="W664" s="277"/>
      <c r="X664" s="278"/>
      <c r="Y664" s="277"/>
      <c r="Z664" s="278"/>
      <c r="AA664" s="277"/>
      <c r="AB664" s="278"/>
      <c r="AC664" s="277"/>
      <c r="AD664" s="278"/>
      <c r="AE664" s="277"/>
      <c r="AF664" s="278"/>
      <c r="AG664" s="277"/>
      <c r="AH664" s="278"/>
      <c r="AI664" s="277"/>
      <c r="AJ664" s="278"/>
      <c r="AK664" s="277"/>
      <c r="AL664" s="278"/>
      <c r="AM664" s="277"/>
      <c r="AN664" s="278"/>
      <c r="AO664" s="278"/>
      <c r="AP664" s="278"/>
      <c r="AQ664" s="278"/>
      <c r="AR664" s="278"/>
      <c r="AS664" s="278"/>
    </row>
    <row r="665" spans="1:45">
      <c r="A665" s="277"/>
      <c r="B665" s="298" t="b">
        <v>0</v>
      </c>
      <c r="C665" s="278"/>
      <c r="D665" s="299" t="b">
        <v>0</v>
      </c>
      <c r="E665" s="277"/>
      <c r="F665" s="298" t="b">
        <v>0</v>
      </c>
      <c r="G665" s="278"/>
      <c r="H665" s="299" t="b">
        <v>0</v>
      </c>
      <c r="I665" s="277"/>
      <c r="J665" s="278"/>
      <c r="K665" s="277"/>
      <c r="L665" s="278"/>
      <c r="M665" s="277"/>
      <c r="N665" s="278"/>
      <c r="O665" s="277"/>
      <c r="P665" s="278"/>
      <c r="Q665" s="277"/>
      <c r="R665" s="278"/>
      <c r="S665" s="277"/>
      <c r="T665" s="278"/>
      <c r="U665" s="277"/>
      <c r="V665" s="278"/>
      <c r="W665" s="277"/>
      <c r="X665" s="278"/>
      <c r="Y665" s="277"/>
      <c r="Z665" s="278"/>
      <c r="AA665" s="277"/>
      <c r="AB665" s="278"/>
      <c r="AC665" s="277"/>
      <c r="AD665" s="278"/>
      <c r="AE665" s="277"/>
      <c r="AF665" s="278"/>
      <c r="AG665" s="277"/>
      <c r="AH665" s="278"/>
      <c r="AI665" s="277"/>
      <c r="AJ665" s="278"/>
      <c r="AK665" s="277"/>
      <c r="AL665" s="278"/>
      <c r="AM665" s="277"/>
      <c r="AN665" s="278"/>
      <c r="AO665" s="278"/>
      <c r="AP665" s="278"/>
      <c r="AQ665" s="278"/>
      <c r="AR665" s="278"/>
      <c r="AS665" s="278"/>
    </row>
    <row r="666" spans="1:45">
      <c r="A666" s="277"/>
      <c r="B666" s="298" t="b">
        <v>0</v>
      </c>
      <c r="C666" s="278"/>
      <c r="D666" s="299" t="b">
        <v>0</v>
      </c>
      <c r="E666" s="277"/>
      <c r="F666" s="298" t="b">
        <v>0</v>
      </c>
      <c r="G666" s="278"/>
      <c r="H666" s="299" t="b">
        <v>0</v>
      </c>
      <c r="I666" s="277"/>
      <c r="J666" s="278"/>
      <c r="K666" s="277"/>
      <c r="L666" s="278"/>
      <c r="M666" s="277"/>
      <c r="N666" s="278"/>
      <c r="O666" s="277"/>
      <c r="P666" s="278"/>
      <c r="Q666" s="277"/>
      <c r="R666" s="278"/>
      <c r="S666" s="277"/>
      <c r="T666" s="278"/>
      <c r="U666" s="277"/>
      <c r="V666" s="278"/>
      <c r="W666" s="277"/>
      <c r="X666" s="278"/>
      <c r="Y666" s="277"/>
      <c r="Z666" s="278"/>
      <c r="AA666" s="277"/>
      <c r="AB666" s="278"/>
      <c r="AC666" s="277"/>
      <c r="AD666" s="278"/>
      <c r="AE666" s="277"/>
      <c r="AF666" s="278"/>
      <c r="AG666" s="277"/>
      <c r="AH666" s="278"/>
      <c r="AI666" s="277"/>
      <c r="AJ666" s="278"/>
      <c r="AK666" s="277"/>
      <c r="AL666" s="278"/>
      <c r="AM666" s="277"/>
      <c r="AN666" s="278"/>
      <c r="AO666" s="278"/>
      <c r="AP666" s="278"/>
      <c r="AQ666" s="278"/>
      <c r="AR666" s="278"/>
      <c r="AS666" s="278"/>
    </row>
    <row r="667" spans="1:45">
      <c r="A667" s="277"/>
      <c r="B667" s="298" t="b">
        <v>0</v>
      </c>
      <c r="C667" s="278"/>
      <c r="D667" s="299" t="b">
        <v>0</v>
      </c>
      <c r="E667" s="277"/>
      <c r="F667" s="298" t="b">
        <v>0</v>
      </c>
      <c r="G667" s="278"/>
      <c r="H667" s="299" t="b">
        <v>0</v>
      </c>
      <c r="I667" s="277"/>
      <c r="J667" s="278"/>
      <c r="K667" s="277"/>
      <c r="L667" s="278"/>
      <c r="M667" s="277"/>
      <c r="N667" s="278"/>
      <c r="O667" s="277"/>
      <c r="P667" s="278"/>
      <c r="Q667" s="277"/>
      <c r="R667" s="278"/>
      <c r="S667" s="277"/>
      <c r="T667" s="278"/>
      <c r="U667" s="277"/>
      <c r="V667" s="278"/>
      <c r="W667" s="277"/>
      <c r="X667" s="278"/>
      <c r="Y667" s="277"/>
      <c r="Z667" s="278"/>
      <c r="AA667" s="277"/>
      <c r="AB667" s="278"/>
      <c r="AC667" s="277"/>
      <c r="AD667" s="278"/>
      <c r="AE667" s="277"/>
      <c r="AF667" s="278"/>
      <c r="AG667" s="277"/>
      <c r="AH667" s="278"/>
      <c r="AI667" s="277"/>
      <c r="AJ667" s="278"/>
      <c r="AK667" s="277"/>
      <c r="AL667" s="278"/>
      <c r="AM667" s="277"/>
      <c r="AN667" s="278"/>
      <c r="AO667" s="278"/>
      <c r="AP667" s="278"/>
      <c r="AQ667" s="278"/>
      <c r="AR667" s="278"/>
      <c r="AS667" s="278"/>
    </row>
    <row r="668" spans="1:45">
      <c r="A668" s="277"/>
      <c r="B668" s="298" t="b">
        <v>0</v>
      </c>
      <c r="C668" s="278"/>
      <c r="D668" s="299" t="b">
        <v>0</v>
      </c>
      <c r="E668" s="277"/>
      <c r="F668" s="298" t="b">
        <v>0</v>
      </c>
      <c r="G668" s="278"/>
      <c r="H668" s="299" t="b">
        <v>0</v>
      </c>
      <c r="I668" s="277"/>
      <c r="J668" s="278"/>
      <c r="K668" s="277"/>
      <c r="L668" s="278"/>
      <c r="M668" s="277"/>
      <c r="N668" s="278"/>
      <c r="O668" s="277"/>
      <c r="P668" s="278"/>
      <c r="Q668" s="277"/>
      <c r="R668" s="278"/>
      <c r="S668" s="277"/>
      <c r="T668" s="278"/>
      <c r="U668" s="277"/>
      <c r="V668" s="278"/>
      <c r="W668" s="277"/>
      <c r="X668" s="278"/>
      <c r="Y668" s="277"/>
      <c r="Z668" s="278"/>
      <c r="AA668" s="277"/>
      <c r="AB668" s="278"/>
      <c r="AC668" s="277"/>
      <c r="AD668" s="278"/>
      <c r="AE668" s="277"/>
      <c r="AF668" s="278"/>
      <c r="AG668" s="277"/>
      <c r="AH668" s="278"/>
      <c r="AI668" s="277"/>
      <c r="AJ668" s="278"/>
      <c r="AK668" s="277"/>
      <c r="AL668" s="278"/>
      <c r="AM668" s="277"/>
      <c r="AN668" s="278"/>
      <c r="AO668" s="278"/>
      <c r="AP668" s="278"/>
      <c r="AQ668" s="278"/>
      <c r="AR668" s="278"/>
      <c r="AS668" s="278"/>
    </row>
    <row r="669" spans="1:45">
      <c r="A669" s="277"/>
      <c r="B669" s="298" t="b">
        <v>0</v>
      </c>
      <c r="C669" s="278"/>
      <c r="D669" s="299" t="b">
        <v>0</v>
      </c>
      <c r="E669" s="277"/>
      <c r="F669" s="298" t="b">
        <v>0</v>
      </c>
      <c r="G669" s="278"/>
      <c r="H669" s="299" t="b">
        <v>0</v>
      </c>
      <c r="I669" s="277"/>
      <c r="J669" s="278"/>
      <c r="K669" s="277"/>
      <c r="L669" s="278"/>
      <c r="M669" s="277"/>
      <c r="N669" s="278"/>
      <c r="O669" s="277"/>
      <c r="P669" s="278"/>
      <c r="Q669" s="277"/>
      <c r="R669" s="278"/>
      <c r="S669" s="277"/>
      <c r="T669" s="278"/>
      <c r="U669" s="277"/>
      <c r="V669" s="278"/>
      <c r="W669" s="277"/>
      <c r="X669" s="278"/>
      <c r="Y669" s="277"/>
      <c r="Z669" s="278"/>
      <c r="AA669" s="277"/>
      <c r="AB669" s="278"/>
      <c r="AC669" s="277"/>
      <c r="AD669" s="278"/>
      <c r="AE669" s="277"/>
      <c r="AF669" s="278"/>
      <c r="AG669" s="277"/>
      <c r="AH669" s="278"/>
      <c r="AI669" s="277"/>
      <c r="AJ669" s="278"/>
      <c r="AK669" s="277"/>
      <c r="AL669" s="278"/>
      <c r="AM669" s="277"/>
      <c r="AN669" s="278"/>
      <c r="AO669" s="278"/>
      <c r="AP669" s="278"/>
      <c r="AQ669" s="278"/>
      <c r="AR669" s="278"/>
      <c r="AS669" s="278"/>
    </row>
    <row r="670" spans="1:45">
      <c r="A670" s="277"/>
      <c r="B670" s="298" t="b">
        <v>0</v>
      </c>
      <c r="C670" s="278"/>
      <c r="D670" s="299" t="b">
        <v>0</v>
      </c>
      <c r="E670" s="277"/>
      <c r="F670" s="298" t="b">
        <v>0</v>
      </c>
      <c r="G670" s="278"/>
      <c r="H670" s="299" t="b">
        <v>0</v>
      </c>
      <c r="I670" s="277"/>
      <c r="J670" s="278"/>
      <c r="K670" s="277"/>
      <c r="L670" s="278"/>
      <c r="M670" s="277"/>
      <c r="N670" s="278"/>
      <c r="O670" s="277"/>
      <c r="P670" s="278"/>
      <c r="Q670" s="277"/>
      <c r="R670" s="278"/>
      <c r="S670" s="277"/>
      <c r="T670" s="278"/>
      <c r="U670" s="277"/>
      <c r="V670" s="278"/>
      <c r="W670" s="277"/>
      <c r="X670" s="278"/>
      <c r="Y670" s="277"/>
      <c r="Z670" s="278"/>
      <c r="AA670" s="277"/>
      <c r="AB670" s="278"/>
      <c r="AC670" s="277"/>
      <c r="AD670" s="278"/>
      <c r="AE670" s="277"/>
      <c r="AF670" s="278"/>
      <c r="AG670" s="277"/>
      <c r="AH670" s="278"/>
      <c r="AI670" s="277"/>
      <c r="AJ670" s="278"/>
      <c r="AK670" s="277"/>
      <c r="AL670" s="278"/>
      <c r="AM670" s="277"/>
      <c r="AN670" s="278"/>
      <c r="AO670" s="278"/>
      <c r="AP670" s="278"/>
      <c r="AQ670" s="278"/>
      <c r="AR670" s="278"/>
      <c r="AS670" s="278"/>
    </row>
    <row r="671" spans="1:45">
      <c r="A671" s="277"/>
      <c r="B671" s="298" t="b">
        <v>0</v>
      </c>
      <c r="C671" s="278"/>
      <c r="D671" s="299" t="b">
        <v>0</v>
      </c>
      <c r="E671" s="277"/>
      <c r="F671" s="298" t="b">
        <v>0</v>
      </c>
      <c r="G671" s="278"/>
      <c r="H671" s="299" t="b">
        <v>0</v>
      </c>
      <c r="I671" s="277"/>
      <c r="J671" s="278"/>
      <c r="K671" s="277"/>
      <c r="L671" s="278"/>
      <c r="M671" s="277"/>
      <c r="N671" s="278"/>
      <c r="O671" s="277"/>
      <c r="P671" s="278"/>
      <c r="Q671" s="277"/>
      <c r="R671" s="278"/>
      <c r="S671" s="277"/>
      <c r="T671" s="278"/>
      <c r="U671" s="277"/>
      <c r="V671" s="278"/>
      <c r="W671" s="277"/>
      <c r="X671" s="278"/>
      <c r="Y671" s="277"/>
      <c r="Z671" s="278"/>
      <c r="AA671" s="277"/>
      <c r="AB671" s="278"/>
      <c r="AC671" s="277"/>
      <c r="AD671" s="278"/>
      <c r="AE671" s="277"/>
      <c r="AF671" s="278"/>
      <c r="AG671" s="277"/>
      <c r="AH671" s="278"/>
      <c r="AI671" s="277"/>
      <c r="AJ671" s="278"/>
      <c r="AK671" s="277"/>
      <c r="AL671" s="278"/>
      <c r="AM671" s="277"/>
      <c r="AN671" s="278"/>
      <c r="AO671" s="278"/>
      <c r="AP671" s="278"/>
      <c r="AQ671" s="278"/>
      <c r="AR671" s="278"/>
      <c r="AS671" s="278"/>
    </row>
    <row r="672" spans="1:45">
      <c r="A672" s="277"/>
      <c r="B672" s="298" t="b">
        <v>0</v>
      </c>
      <c r="C672" s="278"/>
      <c r="D672" s="299" t="b">
        <v>0</v>
      </c>
      <c r="E672" s="277"/>
      <c r="F672" s="298" t="b">
        <v>0</v>
      </c>
      <c r="G672" s="278"/>
      <c r="H672" s="299" t="b">
        <v>0</v>
      </c>
      <c r="I672" s="277"/>
      <c r="J672" s="278"/>
      <c r="K672" s="277"/>
      <c r="L672" s="278"/>
      <c r="M672" s="277"/>
      <c r="N672" s="278"/>
      <c r="O672" s="277"/>
      <c r="P672" s="278"/>
      <c r="Q672" s="277"/>
      <c r="R672" s="278"/>
      <c r="S672" s="277"/>
      <c r="T672" s="278"/>
      <c r="U672" s="277"/>
      <c r="V672" s="278"/>
      <c r="W672" s="277"/>
      <c r="X672" s="278"/>
      <c r="Y672" s="277"/>
      <c r="Z672" s="278"/>
      <c r="AA672" s="277"/>
      <c r="AB672" s="278"/>
      <c r="AC672" s="277"/>
      <c r="AD672" s="278"/>
      <c r="AE672" s="277"/>
      <c r="AF672" s="278"/>
      <c r="AG672" s="277"/>
      <c r="AH672" s="278"/>
      <c r="AI672" s="277"/>
      <c r="AJ672" s="278"/>
      <c r="AK672" s="277"/>
      <c r="AL672" s="278"/>
      <c r="AM672" s="277"/>
      <c r="AN672" s="278"/>
      <c r="AO672" s="278"/>
      <c r="AP672" s="278"/>
      <c r="AQ672" s="278"/>
      <c r="AR672" s="278"/>
      <c r="AS672" s="278"/>
    </row>
    <row r="673" spans="1:45">
      <c r="A673" s="277"/>
      <c r="B673" s="298" t="b">
        <v>0</v>
      </c>
      <c r="C673" s="278"/>
      <c r="D673" s="299" t="b">
        <v>0</v>
      </c>
      <c r="E673" s="277"/>
      <c r="F673" s="298" t="b">
        <v>0</v>
      </c>
      <c r="G673" s="278"/>
      <c r="H673" s="299" t="b">
        <v>0</v>
      </c>
      <c r="I673" s="277"/>
      <c r="J673" s="278"/>
      <c r="K673" s="277"/>
      <c r="L673" s="278"/>
      <c r="M673" s="277"/>
      <c r="N673" s="278"/>
      <c r="O673" s="277"/>
      <c r="P673" s="278"/>
      <c r="Q673" s="277"/>
      <c r="R673" s="278"/>
      <c r="S673" s="277"/>
      <c r="T673" s="278"/>
      <c r="U673" s="277"/>
      <c r="V673" s="278"/>
      <c r="W673" s="277"/>
      <c r="X673" s="278"/>
      <c r="Y673" s="277"/>
      <c r="Z673" s="278"/>
      <c r="AA673" s="277"/>
      <c r="AB673" s="278"/>
      <c r="AC673" s="277"/>
      <c r="AD673" s="278"/>
      <c r="AE673" s="277"/>
      <c r="AF673" s="278"/>
      <c r="AG673" s="277"/>
      <c r="AH673" s="278"/>
      <c r="AI673" s="277"/>
      <c r="AJ673" s="278"/>
      <c r="AK673" s="277"/>
      <c r="AL673" s="278"/>
      <c r="AM673" s="277"/>
      <c r="AN673" s="278"/>
      <c r="AO673" s="278"/>
      <c r="AP673" s="278"/>
      <c r="AQ673" s="278"/>
      <c r="AR673" s="278"/>
      <c r="AS673" s="278"/>
    </row>
    <row r="674" spans="1:45">
      <c r="A674" s="277"/>
      <c r="B674" s="298" t="b">
        <v>0</v>
      </c>
      <c r="C674" s="278"/>
      <c r="D674" s="299" t="b">
        <v>0</v>
      </c>
      <c r="E674" s="277"/>
      <c r="F674" s="298" t="b">
        <v>0</v>
      </c>
      <c r="G674" s="278"/>
      <c r="H674" s="299" t="b">
        <v>0</v>
      </c>
      <c r="I674" s="277"/>
      <c r="J674" s="278"/>
      <c r="K674" s="277"/>
      <c r="L674" s="278"/>
      <c r="M674" s="277"/>
      <c r="N674" s="278"/>
      <c r="O674" s="277"/>
      <c r="P674" s="278"/>
      <c r="Q674" s="277"/>
      <c r="R674" s="278"/>
      <c r="S674" s="277"/>
      <c r="T674" s="278"/>
      <c r="U674" s="277"/>
      <c r="V674" s="278"/>
      <c r="W674" s="277"/>
      <c r="X674" s="278"/>
      <c r="Y674" s="277"/>
      <c r="Z674" s="278"/>
      <c r="AA674" s="277"/>
      <c r="AB674" s="278"/>
      <c r="AC674" s="277"/>
      <c r="AD674" s="278"/>
      <c r="AE674" s="277"/>
      <c r="AF674" s="278"/>
      <c r="AG674" s="277"/>
      <c r="AH674" s="278"/>
      <c r="AI674" s="277"/>
      <c r="AJ674" s="278"/>
      <c r="AK674" s="277"/>
      <c r="AL674" s="278"/>
      <c r="AM674" s="277"/>
      <c r="AN674" s="278"/>
      <c r="AO674" s="278"/>
      <c r="AP674" s="278"/>
      <c r="AQ674" s="278"/>
      <c r="AR674" s="278"/>
      <c r="AS674" s="278"/>
    </row>
    <row r="675" spans="1:45">
      <c r="A675" s="277"/>
      <c r="B675" s="298" t="b">
        <v>0</v>
      </c>
      <c r="C675" s="278"/>
      <c r="D675" s="299" t="b">
        <v>0</v>
      </c>
      <c r="E675" s="277"/>
      <c r="F675" s="298" t="b">
        <v>0</v>
      </c>
      <c r="G675" s="278"/>
      <c r="H675" s="299" t="b">
        <v>0</v>
      </c>
      <c r="I675" s="277"/>
      <c r="J675" s="278"/>
      <c r="K675" s="277"/>
      <c r="L675" s="278"/>
      <c r="M675" s="277"/>
      <c r="N675" s="278"/>
      <c r="O675" s="277"/>
      <c r="P675" s="278"/>
      <c r="Q675" s="277"/>
      <c r="R675" s="278"/>
      <c r="S675" s="277"/>
      <c r="T675" s="278"/>
      <c r="U675" s="277"/>
      <c r="V675" s="278"/>
      <c r="W675" s="277"/>
      <c r="X675" s="278"/>
      <c r="Y675" s="277"/>
      <c r="Z675" s="278"/>
      <c r="AA675" s="277"/>
      <c r="AB675" s="278"/>
      <c r="AC675" s="277"/>
      <c r="AD675" s="278"/>
      <c r="AE675" s="277"/>
      <c r="AF675" s="278"/>
      <c r="AG675" s="277"/>
      <c r="AH675" s="278"/>
      <c r="AI675" s="277"/>
      <c r="AJ675" s="278"/>
      <c r="AK675" s="277"/>
      <c r="AL675" s="278"/>
      <c r="AM675" s="277"/>
      <c r="AN675" s="278"/>
      <c r="AO675" s="278"/>
      <c r="AP675" s="278"/>
      <c r="AQ675" s="278"/>
      <c r="AR675" s="278"/>
      <c r="AS675" s="278"/>
    </row>
    <row r="676" spans="1:45">
      <c r="A676" s="277"/>
      <c r="B676" s="298" t="b">
        <v>0</v>
      </c>
      <c r="C676" s="278"/>
      <c r="D676" s="299" t="b">
        <v>0</v>
      </c>
      <c r="E676" s="277"/>
      <c r="F676" s="298" t="b">
        <v>0</v>
      </c>
      <c r="G676" s="278"/>
      <c r="H676" s="299" t="b">
        <v>0</v>
      </c>
      <c r="I676" s="277"/>
      <c r="J676" s="278"/>
      <c r="K676" s="277"/>
      <c r="L676" s="278"/>
      <c r="M676" s="277"/>
      <c r="N676" s="278"/>
      <c r="O676" s="277"/>
      <c r="P676" s="278"/>
      <c r="Q676" s="277"/>
      <c r="R676" s="278"/>
      <c r="S676" s="277"/>
      <c r="T676" s="278"/>
      <c r="U676" s="277"/>
      <c r="V676" s="278"/>
      <c r="W676" s="277"/>
      <c r="X676" s="278"/>
      <c r="Y676" s="277"/>
      <c r="Z676" s="278"/>
      <c r="AA676" s="277"/>
      <c r="AB676" s="278"/>
      <c r="AC676" s="277"/>
      <c r="AD676" s="278"/>
      <c r="AE676" s="277"/>
      <c r="AF676" s="278"/>
      <c r="AG676" s="277"/>
      <c r="AH676" s="278"/>
      <c r="AI676" s="277"/>
      <c r="AJ676" s="278"/>
      <c r="AK676" s="277"/>
      <c r="AL676" s="278"/>
      <c r="AM676" s="277"/>
      <c r="AN676" s="278"/>
      <c r="AO676" s="278"/>
      <c r="AP676" s="278"/>
      <c r="AQ676" s="278"/>
      <c r="AR676" s="278"/>
      <c r="AS676" s="278"/>
    </row>
    <row r="677" spans="1:45">
      <c r="A677" s="277"/>
      <c r="B677" s="298" t="b">
        <v>0</v>
      </c>
      <c r="C677" s="278"/>
      <c r="D677" s="299" t="b">
        <v>0</v>
      </c>
      <c r="E677" s="277"/>
      <c r="F677" s="298" t="b">
        <v>0</v>
      </c>
      <c r="G677" s="278"/>
      <c r="H677" s="299" t="b">
        <v>0</v>
      </c>
      <c r="I677" s="277"/>
      <c r="J677" s="278"/>
      <c r="K677" s="277"/>
      <c r="L677" s="278"/>
      <c r="M677" s="277"/>
      <c r="N677" s="278"/>
      <c r="O677" s="277"/>
      <c r="P677" s="278"/>
      <c r="Q677" s="277"/>
      <c r="R677" s="278"/>
      <c r="S677" s="277"/>
      <c r="T677" s="278"/>
      <c r="U677" s="277"/>
      <c r="V677" s="278"/>
      <c r="W677" s="277"/>
      <c r="X677" s="278"/>
      <c r="Y677" s="277"/>
      <c r="Z677" s="278"/>
      <c r="AA677" s="277"/>
      <c r="AB677" s="278"/>
      <c r="AC677" s="277"/>
      <c r="AD677" s="278"/>
      <c r="AE677" s="277"/>
      <c r="AF677" s="278"/>
      <c r="AG677" s="277"/>
      <c r="AH677" s="278"/>
      <c r="AI677" s="277"/>
      <c r="AJ677" s="278"/>
      <c r="AK677" s="277"/>
      <c r="AL677" s="278"/>
      <c r="AM677" s="277"/>
      <c r="AN677" s="278"/>
      <c r="AO677" s="278"/>
      <c r="AP677" s="278"/>
      <c r="AQ677" s="278"/>
      <c r="AR677" s="278"/>
      <c r="AS677" s="278"/>
    </row>
    <row r="678" spans="1:45">
      <c r="A678" s="277"/>
      <c r="B678" s="298" t="b">
        <v>0</v>
      </c>
      <c r="C678" s="278"/>
      <c r="D678" s="299" t="b">
        <v>0</v>
      </c>
      <c r="E678" s="277"/>
      <c r="F678" s="298" t="b">
        <v>0</v>
      </c>
      <c r="G678" s="278"/>
      <c r="H678" s="299" t="b">
        <v>0</v>
      </c>
      <c r="I678" s="277"/>
      <c r="J678" s="278"/>
      <c r="K678" s="277"/>
      <c r="L678" s="278"/>
      <c r="M678" s="277"/>
      <c r="N678" s="278"/>
      <c r="O678" s="277"/>
      <c r="P678" s="278"/>
      <c r="Q678" s="277"/>
      <c r="R678" s="278"/>
      <c r="S678" s="277"/>
      <c r="T678" s="278"/>
      <c r="U678" s="277"/>
      <c r="V678" s="278"/>
      <c r="W678" s="277"/>
      <c r="X678" s="278"/>
      <c r="Y678" s="277"/>
      <c r="Z678" s="278"/>
      <c r="AA678" s="277"/>
      <c r="AB678" s="278"/>
      <c r="AC678" s="277"/>
      <c r="AD678" s="278"/>
      <c r="AE678" s="277"/>
      <c r="AF678" s="278"/>
      <c r="AG678" s="277"/>
      <c r="AH678" s="278"/>
      <c r="AI678" s="277"/>
      <c r="AJ678" s="278"/>
      <c r="AK678" s="277"/>
      <c r="AL678" s="278"/>
      <c r="AM678" s="277"/>
      <c r="AN678" s="278"/>
      <c r="AO678" s="278"/>
      <c r="AP678" s="278"/>
      <c r="AQ678" s="278"/>
      <c r="AR678" s="278"/>
      <c r="AS678" s="278"/>
    </row>
    <row r="679" spans="1:45">
      <c r="A679" s="277"/>
      <c r="B679" s="298" t="b">
        <v>0</v>
      </c>
      <c r="C679" s="278"/>
      <c r="D679" s="299" t="b">
        <v>0</v>
      </c>
      <c r="E679" s="277"/>
      <c r="F679" s="298" t="b">
        <v>0</v>
      </c>
      <c r="G679" s="278"/>
      <c r="H679" s="299" t="b">
        <v>0</v>
      </c>
      <c r="I679" s="277"/>
      <c r="J679" s="278"/>
      <c r="K679" s="277"/>
      <c r="L679" s="278"/>
      <c r="M679" s="277"/>
      <c r="N679" s="278"/>
      <c r="O679" s="277"/>
      <c r="P679" s="278"/>
      <c r="Q679" s="277"/>
      <c r="R679" s="278"/>
      <c r="S679" s="277"/>
      <c r="T679" s="278"/>
      <c r="U679" s="277"/>
      <c r="V679" s="278"/>
      <c r="W679" s="277"/>
      <c r="X679" s="278"/>
      <c r="Y679" s="277"/>
      <c r="Z679" s="278"/>
      <c r="AA679" s="277"/>
      <c r="AB679" s="278"/>
      <c r="AC679" s="277"/>
      <c r="AD679" s="278"/>
      <c r="AE679" s="277"/>
      <c r="AF679" s="278"/>
      <c r="AG679" s="277"/>
      <c r="AH679" s="278"/>
      <c r="AI679" s="277"/>
      <c r="AJ679" s="278"/>
      <c r="AK679" s="277"/>
      <c r="AL679" s="278"/>
      <c r="AM679" s="277"/>
      <c r="AN679" s="278"/>
      <c r="AO679" s="278"/>
      <c r="AP679" s="278"/>
      <c r="AQ679" s="278"/>
      <c r="AR679" s="278"/>
      <c r="AS679" s="278"/>
    </row>
    <row r="680" spans="1:45">
      <c r="A680" s="277"/>
      <c r="B680" s="298" t="b">
        <v>0</v>
      </c>
      <c r="C680" s="278"/>
      <c r="D680" s="299" t="b">
        <v>0</v>
      </c>
      <c r="E680" s="277"/>
      <c r="F680" s="298" t="b">
        <v>0</v>
      </c>
      <c r="G680" s="278"/>
      <c r="H680" s="299" t="b">
        <v>0</v>
      </c>
      <c r="I680" s="277"/>
      <c r="J680" s="278"/>
      <c r="K680" s="277"/>
      <c r="L680" s="278"/>
      <c r="M680" s="277"/>
      <c r="N680" s="278"/>
      <c r="O680" s="277"/>
      <c r="P680" s="278"/>
      <c r="Q680" s="277"/>
      <c r="R680" s="278"/>
      <c r="S680" s="277"/>
      <c r="T680" s="278"/>
      <c r="U680" s="277"/>
      <c r="V680" s="278"/>
      <c r="W680" s="277"/>
      <c r="X680" s="278"/>
      <c r="Y680" s="277"/>
      <c r="Z680" s="278"/>
      <c r="AA680" s="277"/>
      <c r="AB680" s="278"/>
      <c r="AC680" s="277"/>
      <c r="AD680" s="278"/>
      <c r="AE680" s="277"/>
      <c r="AF680" s="278"/>
      <c r="AG680" s="277"/>
      <c r="AH680" s="278"/>
      <c r="AI680" s="277"/>
      <c r="AJ680" s="278"/>
      <c r="AK680" s="277"/>
      <c r="AL680" s="278"/>
      <c r="AM680" s="277"/>
      <c r="AN680" s="278"/>
      <c r="AO680" s="278"/>
      <c r="AP680" s="278"/>
      <c r="AQ680" s="278"/>
      <c r="AR680" s="278"/>
      <c r="AS680" s="278"/>
    </row>
    <row r="681" spans="1:45">
      <c r="A681" s="277"/>
      <c r="B681" s="298" t="b">
        <v>0</v>
      </c>
      <c r="C681" s="278"/>
      <c r="D681" s="299" t="b">
        <v>0</v>
      </c>
      <c r="E681" s="277"/>
      <c r="F681" s="298" t="b">
        <v>0</v>
      </c>
      <c r="G681" s="278"/>
      <c r="H681" s="299" t="b">
        <v>0</v>
      </c>
      <c r="I681" s="277"/>
      <c r="J681" s="278"/>
      <c r="K681" s="277"/>
      <c r="L681" s="278"/>
      <c r="M681" s="277"/>
      <c r="N681" s="278"/>
      <c r="O681" s="277"/>
      <c r="P681" s="278"/>
      <c r="Q681" s="277"/>
      <c r="R681" s="278"/>
      <c r="S681" s="277"/>
      <c r="T681" s="278"/>
      <c r="U681" s="277"/>
      <c r="V681" s="278"/>
      <c r="W681" s="277"/>
      <c r="X681" s="278"/>
      <c r="Y681" s="277"/>
      <c r="Z681" s="278"/>
      <c r="AA681" s="277"/>
      <c r="AB681" s="278"/>
      <c r="AC681" s="277"/>
      <c r="AD681" s="278"/>
      <c r="AE681" s="277"/>
      <c r="AF681" s="278"/>
      <c r="AG681" s="277"/>
      <c r="AH681" s="278"/>
      <c r="AI681" s="277"/>
      <c r="AJ681" s="278"/>
      <c r="AK681" s="277"/>
      <c r="AL681" s="278"/>
      <c r="AM681" s="277"/>
      <c r="AN681" s="278"/>
      <c r="AO681" s="278"/>
      <c r="AP681" s="278"/>
      <c r="AQ681" s="278"/>
      <c r="AR681" s="278"/>
      <c r="AS681" s="278"/>
    </row>
    <row r="682" spans="1:45">
      <c r="A682" s="277"/>
      <c r="B682" s="298" t="b">
        <v>0</v>
      </c>
      <c r="C682" s="278"/>
      <c r="D682" s="299" t="b">
        <v>0</v>
      </c>
      <c r="E682" s="277"/>
      <c r="F682" s="298" t="b">
        <v>0</v>
      </c>
      <c r="G682" s="278"/>
      <c r="H682" s="299" t="b">
        <v>0</v>
      </c>
      <c r="I682" s="277"/>
      <c r="J682" s="278"/>
      <c r="K682" s="277"/>
      <c r="L682" s="278"/>
      <c r="M682" s="277"/>
      <c r="N682" s="278"/>
      <c r="O682" s="277"/>
      <c r="P682" s="278"/>
      <c r="Q682" s="277"/>
      <c r="R682" s="278"/>
      <c r="S682" s="277"/>
      <c r="T682" s="278"/>
      <c r="U682" s="277"/>
      <c r="V682" s="278"/>
      <c r="W682" s="277"/>
      <c r="X682" s="278"/>
      <c r="Y682" s="277"/>
      <c r="Z682" s="278"/>
      <c r="AA682" s="277"/>
      <c r="AB682" s="278"/>
      <c r="AC682" s="277"/>
      <c r="AD682" s="278"/>
      <c r="AE682" s="277"/>
      <c r="AF682" s="278"/>
      <c r="AG682" s="277"/>
      <c r="AH682" s="278"/>
      <c r="AI682" s="277"/>
      <c r="AJ682" s="278"/>
      <c r="AK682" s="277"/>
      <c r="AL682" s="278"/>
      <c r="AM682" s="277"/>
      <c r="AN682" s="278"/>
      <c r="AO682" s="278"/>
      <c r="AP682" s="278"/>
      <c r="AQ682" s="278"/>
      <c r="AR682" s="278"/>
      <c r="AS682" s="278"/>
    </row>
    <row r="683" spans="1:45">
      <c r="A683" s="277"/>
      <c r="B683" s="298" t="b">
        <v>0</v>
      </c>
      <c r="C683" s="278"/>
      <c r="D683" s="299" t="b">
        <v>0</v>
      </c>
      <c r="E683" s="277"/>
      <c r="F683" s="298" t="b">
        <v>0</v>
      </c>
      <c r="G683" s="278"/>
      <c r="H683" s="299" t="b">
        <v>0</v>
      </c>
      <c r="I683" s="277"/>
      <c r="J683" s="278"/>
      <c r="K683" s="277"/>
      <c r="L683" s="278"/>
      <c r="M683" s="277"/>
      <c r="N683" s="278"/>
      <c r="O683" s="277"/>
      <c r="P683" s="278"/>
      <c r="Q683" s="277"/>
      <c r="R683" s="278"/>
      <c r="S683" s="277"/>
      <c r="T683" s="278"/>
      <c r="U683" s="277"/>
      <c r="V683" s="278"/>
      <c r="W683" s="277"/>
      <c r="X683" s="278"/>
      <c r="Y683" s="277"/>
      <c r="Z683" s="278"/>
      <c r="AA683" s="277"/>
      <c r="AB683" s="278"/>
      <c r="AC683" s="277"/>
      <c r="AD683" s="278"/>
      <c r="AE683" s="277"/>
      <c r="AF683" s="278"/>
      <c r="AG683" s="277"/>
      <c r="AH683" s="278"/>
      <c r="AI683" s="277"/>
      <c r="AJ683" s="278"/>
      <c r="AK683" s="277"/>
      <c r="AL683" s="278"/>
      <c r="AM683" s="277"/>
      <c r="AN683" s="278"/>
      <c r="AO683" s="278"/>
      <c r="AP683" s="278"/>
      <c r="AQ683" s="278"/>
      <c r="AR683" s="278"/>
      <c r="AS683" s="278"/>
    </row>
    <row r="684" spans="1:45">
      <c r="A684" s="277"/>
      <c r="B684" s="298" t="b">
        <v>0</v>
      </c>
      <c r="C684" s="278"/>
      <c r="D684" s="299" t="b">
        <v>0</v>
      </c>
      <c r="E684" s="277"/>
      <c r="F684" s="298" t="b">
        <v>0</v>
      </c>
      <c r="G684" s="278"/>
      <c r="H684" s="299" t="b">
        <v>0</v>
      </c>
      <c r="I684" s="277"/>
      <c r="J684" s="278"/>
      <c r="K684" s="277"/>
      <c r="L684" s="278"/>
      <c r="M684" s="277"/>
      <c r="N684" s="278"/>
      <c r="O684" s="277"/>
      <c r="P684" s="278"/>
      <c r="Q684" s="277"/>
      <c r="R684" s="278"/>
      <c r="S684" s="277"/>
      <c r="T684" s="278"/>
      <c r="U684" s="277"/>
      <c r="V684" s="278"/>
      <c r="W684" s="277"/>
      <c r="X684" s="278"/>
      <c r="Y684" s="277"/>
      <c r="Z684" s="278"/>
      <c r="AA684" s="277"/>
      <c r="AB684" s="278"/>
      <c r="AC684" s="277"/>
      <c r="AD684" s="278"/>
      <c r="AE684" s="277"/>
      <c r="AF684" s="278"/>
      <c r="AG684" s="277"/>
      <c r="AH684" s="278"/>
      <c r="AI684" s="277"/>
      <c r="AJ684" s="278"/>
      <c r="AK684" s="277"/>
      <c r="AL684" s="278"/>
      <c r="AM684" s="277"/>
      <c r="AN684" s="278"/>
      <c r="AO684" s="278"/>
      <c r="AP684" s="278"/>
      <c r="AQ684" s="278"/>
      <c r="AR684" s="278"/>
      <c r="AS684" s="278"/>
    </row>
    <row r="685" spans="1:45">
      <c r="A685" s="277"/>
      <c r="B685" s="298" t="b">
        <v>0</v>
      </c>
      <c r="C685" s="278"/>
      <c r="D685" s="299" t="b">
        <v>0</v>
      </c>
      <c r="E685" s="277"/>
      <c r="F685" s="298" t="b">
        <v>0</v>
      </c>
      <c r="G685" s="278"/>
      <c r="H685" s="299" t="b">
        <v>0</v>
      </c>
      <c r="I685" s="277"/>
      <c r="J685" s="278"/>
      <c r="K685" s="277"/>
      <c r="L685" s="278"/>
      <c r="M685" s="277"/>
      <c r="N685" s="278"/>
      <c r="O685" s="277"/>
      <c r="P685" s="278"/>
      <c r="Q685" s="277"/>
      <c r="R685" s="278"/>
      <c r="S685" s="277"/>
      <c r="T685" s="278"/>
      <c r="U685" s="277"/>
      <c r="V685" s="278"/>
      <c r="W685" s="277"/>
      <c r="X685" s="278"/>
      <c r="Y685" s="277"/>
      <c r="Z685" s="278"/>
      <c r="AA685" s="277"/>
      <c r="AB685" s="278"/>
      <c r="AC685" s="277"/>
      <c r="AD685" s="278"/>
      <c r="AE685" s="277"/>
      <c r="AF685" s="278"/>
      <c r="AG685" s="277"/>
      <c r="AH685" s="278"/>
      <c r="AI685" s="277"/>
      <c r="AJ685" s="278"/>
      <c r="AK685" s="277"/>
      <c r="AL685" s="278"/>
      <c r="AM685" s="277"/>
      <c r="AN685" s="278"/>
      <c r="AO685" s="278"/>
      <c r="AP685" s="278"/>
      <c r="AQ685" s="278"/>
      <c r="AR685" s="278"/>
      <c r="AS685" s="278"/>
    </row>
    <row r="686" spans="1:45">
      <c r="A686" s="277"/>
      <c r="B686" s="298" t="b">
        <v>0</v>
      </c>
      <c r="C686" s="278"/>
      <c r="D686" s="299" t="b">
        <v>0</v>
      </c>
      <c r="E686" s="277"/>
      <c r="F686" s="298" t="b">
        <v>0</v>
      </c>
      <c r="G686" s="278"/>
      <c r="H686" s="299" t="b">
        <v>0</v>
      </c>
      <c r="I686" s="277"/>
      <c r="J686" s="278"/>
      <c r="K686" s="277"/>
      <c r="L686" s="278"/>
      <c r="M686" s="277"/>
      <c r="N686" s="278"/>
      <c r="O686" s="277"/>
      <c r="P686" s="278"/>
      <c r="Q686" s="277"/>
      <c r="R686" s="278"/>
      <c r="S686" s="277"/>
      <c r="T686" s="278"/>
      <c r="U686" s="277"/>
      <c r="V686" s="278"/>
      <c r="W686" s="277"/>
      <c r="X686" s="278"/>
      <c r="Y686" s="277"/>
      <c r="Z686" s="278"/>
      <c r="AA686" s="277"/>
      <c r="AB686" s="278"/>
      <c r="AC686" s="277"/>
      <c r="AD686" s="278"/>
      <c r="AE686" s="277"/>
      <c r="AF686" s="278"/>
      <c r="AG686" s="277"/>
      <c r="AH686" s="278"/>
      <c r="AI686" s="277"/>
      <c r="AJ686" s="278"/>
      <c r="AK686" s="277"/>
      <c r="AL686" s="278"/>
      <c r="AM686" s="277"/>
      <c r="AN686" s="278"/>
      <c r="AO686" s="278"/>
      <c r="AP686" s="278"/>
      <c r="AQ686" s="278"/>
      <c r="AR686" s="278"/>
      <c r="AS686" s="278"/>
    </row>
    <row r="687" spans="1:45">
      <c r="A687" s="277"/>
      <c r="B687" s="298" t="b">
        <v>0</v>
      </c>
      <c r="C687" s="278"/>
      <c r="D687" s="299" t="b">
        <v>0</v>
      </c>
      <c r="E687" s="277"/>
      <c r="F687" s="298" t="b">
        <v>0</v>
      </c>
      <c r="G687" s="278"/>
      <c r="H687" s="299" t="b">
        <v>0</v>
      </c>
      <c r="I687" s="277"/>
      <c r="J687" s="278"/>
      <c r="K687" s="277"/>
      <c r="L687" s="278"/>
      <c r="M687" s="277"/>
      <c r="N687" s="278"/>
      <c r="O687" s="277"/>
      <c r="P687" s="278"/>
      <c r="Q687" s="277"/>
      <c r="R687" s="278"/>
      <c r="S687" s="277"/>
      <c r="T687" s="278"/>
      <c r="U687" s="277"/>
      <c r="V687" s="278"/>
      <c r="W687" s="277"/>
      <c r="X687" s="278"/>
      <c r="Y687" s="277"/>
      <c r="Z687" s="278"/>
      <c r="AA687" s="277"/>
      <c r="AB687" s="278"/>
      <c r="AC687" s="277"/>
      <c r="AD687" s="278"/>
      <c r="AE687" s="277"/>
      <c r="AF687" s="278"/>
      <c r="AG687" s="277"/>
      <c r="AH687" s="278"/>
      <c r="AI687" s="277"/>
      <c r="AJ687" s="278"/>
      <c r="AK687" s="277"/>
      <c r="AL687" s="278"/>
      <c r="AM687" s="277"/>
      <c r="AN687" s="278"/>
      <c r="AO687" s="278"/>
      <c r="AP687" s="278"/>
      <c r="AQ687" s="278"/>
      <c r="AR687" s="278"/>
      <c r="AS687" s="278"/>
    </row>
    <row r="688" spans="1:45">
      <c r="A688" s="277"/>
      <c r="B688" s="298" t="b">
        <v>0</v>
      </c>
      <c r="C688" s="278"/>
      <c r="D688" s="299" t="b">
        <v>0</v>
      </c>
      <c r="E688" s="277"/>
      <c r="F688" s="298" t="b">
        <v>0</v>
      </c>
      <c r="G688" s="278"/>
      <c r="H688" s="299" t="b">
        <v>0</v>
      </c>
      <c r="I688" s="277"/>
      <c r="J688" s="278"/>
      <c r="K688" s="277"/>
      <c r="L688" s="278"/>
      <c r="M688" s="277"/>
      <c r="N688" s="278"/>
      <c r="O688" s="277"/>
      <c r="P688" s="278"/>
      <c r="Q688" s="277"/>
      <c r="R688" s="278"/>
      <c r="S688" s="277"/>
      <c r="T688" s="278"/>
      <c r="U688" s="277"/>
      <c r="V688" s="278"/>
      <c r="W688" s="277"/>
      <c r="X688" s="278"/>
      <c r="Y688" s="277"/>
      <c r="Z688" s="278"/>
      <c r="AA688" s="277"/>
      <c r="AB688" s="278"/>
      <c r="AC688" s="277"/>
      <c r="AD688" s="278"/>
      <c r="AE688" s="277"/>
      <c r="AF688" s="278"/>
      <c r="AG688" s="277"/>
      <c r="AH688" s="278"/>
      <c r="AI688" s="277"/>
      <c r="AJ688" s="278"/>
      <c r="AK688" s="277"/>
      <c r="AL688" s="278"/>
      <c r="AM688" s="277"/>
      <c r="AN688" s="278"/>
      <c r="AO688" s="278"/>
      <c r="AP688" s="278"/>
      <c r="AQ688" s="278"/>
      <c r="AR688" s="278"/>
      <c r="AS688" s="278"/>
    </row>
    <row r="689" spans="1:45">
      <c r="A689" s="277"/>
      <c r="B689" s="298" t="b">
        <v>0</v>
      </c>
      <c r="C689" s="278"/>
      <c r="D689" s="299" t="b">
        <v>0</v>
      </c>
      <c r="E689" s="277"/>
      <c r="F689" s="298" t="b">
        <v>0</v>
      </c>
      <c r="G689" s="278"/>
      <c r="H689" s="299" t="b">
        <v>0</v>
      </c>
      <c r="I689" s="277"/>
      <c r="J689" s="278"/>
      <c r="K689" s="277"/>
      <c r="L689" s="278"/>
      <c r="M689" s="277"/>
      <c r="N689" s="278"/>
      <c r="O689" s="277"/>
      <c r="P689" s="278"/>
      <c r="Q689" s="277"/>
      <c r="R689" s="278"/>
      <c r="S689" s="277"/>
      <c r="T689" s="278"/>
      <c r="U689" s="277"/>
      <c r="V689" s="278"/>
      <c r="W689" s="277"/>
      <c r="X689" s="278"/>
      <c r="Y689" s="277"/>
      <c r="Z689" s="278"/>
      <c r="AA689" s="277"/>
      <c r="AB689" s="278"/>
      <c r="AC689" s="277"/>
      <c r="AD689" s="278"/>
      <c r="AE689" s="277"/>
      <c r="AF689" s="278"/>
      <c r="AG689" s="277"/>
      <c r="AH689" s="278"/>
      <c r="AI689" s="277"/>
      <c r="AJ689" s="278"/>
      <c r="AK689" s="277"/>
      <c r="AL689" s="278"/>
      <c r="AM689" s="277"/>
      <c r="AN689" s="278"/>
      <c r="AO689" s="278"/>
      <c r="AP689" s="278"/>
      <c r="AQ689" s="278"/>
      <c r="AR689" s="278"/>
      <c r="AS689" s="278"/>
    </row>
    <row r="690" spans="1:45">
      <c r="A690" s="277"/>
      <c r="B690" s="298" t="b">
        <v>0</v>
      </c>
      <c r="C690" s="278"/>
      <c r="D690" s="299" t="b">
        <v>0</v>
      </c>
      <c r="E690" s="277"/>
      <c r="F690" s="298" t="b">
        <v>0</v>
      </c>
      <c r="G690" s="278"/>
      <c r="H690" s="299" t="b">
        <v>0</v>
      </c>
      <c r="I690" s="277"/>
      <c r="J690" s="278"/>
      <c r="K690" s="277"/>
      <c r="L690" s="278"/>
      <c r="M690" s="277"/>
      <c r="N690" s="278"/>
      <c r="O690" s="277"/>
      <c r="P690" s="278"/>
      <c r="Q690" s="277"/>
      <c r="R690" s="278"/>
      <c r="S690" s="277"/>
      <c r="T690" s="278"/>
      <c r="U690" s="277"/>
      <c r="V690" s="278"/>
      <c r="W690" s="277"/>
      <c r="X690" s="278"/>
      <c r="Y690" s="277"/>
      <c r="Z690" s="278"/>
      <c r="AA690" s="277"/>
      <c r="AB690" s="278"/>
      <c r="AC690" s="277"/>
      <c r="AD690" s="278"/>
      <c r="AE690" s="277"/>
      <c r="AF690" s="278"/>
      <c r="AG690" s="277"/>
      <c r="AH690" s="278"/>
      <c r="AI690" s="277"/>
      <c r="AJ690" s="278"/>
      <c r="AK690" s="277"/>
      <c r="AL690" s="278"/>
      <c r="AM690" s="277"/>
      <c r="AN690" s="278"/>
      <c r="AO690" s="278"/>
      <c r="AP690" s="278"/>
      <c r="AQ690" s="278"/>
      <c r="AR690" s="278"/>
      <c r="AS690" s="278"/>
    </row>
    <row r="691" spans="1:45">
      <c r="A691" s="277"/>
      <c r="B691" s="298" t="b">
        <v>0</v>
      </c>
      <c r="C691" s="278"/>
      <c r="D691" s="299" t="b">
        <v>0</v>
      </c>
      <c r="E691" s="277"/>
      <c r="F691" s="298" t="b">
        <v>0</v>
      </c>
      <c r="G691" s="278"/>
      <c r="H691" s="299" t="b">
        <v>0</v>
      </c>
      <c r="I691" s="277"/>
      <c r="J691" s="278"/>
      <c r="K691" s="277"/>
      <c r="L691" s="278"/>
      <c r="M691" s="277"/>
      <c r="N691" s="278"/>
      <c r="O691" s="277"/>
      <c r="P691" s="278"/>
      <c r="Q691" s="277"/>
      <c r="R691" s="278"/>
      <c r="S691" s="277"/>
      <c r="T691" s="278"/>
      <c r="U691" s="277"/>
      <c r="V691" s="278"/>
      <c r="W691" s="277"/>
      <c r="X691" s="278"/>
      <c r="Y691" s="277"/>
      <c r="Z691" s="278"/>
      <c r="AA691" s="277"/>
      <c r="AB691" s="278"/>
      <c r="AC691" s="277"/>
      <c r="AD691" s="278"/>
      <c r="AE691" s="277"/>
      <c r="AF691" s="278"/>
      <c r="AG691" s="277"/>
      <c r="AH691" s="278"/>
      <c r="AI691" s="277"/>
      <c r="AJ691" s="278"/>
      <c r="AK691" s="277"/>
      <c r="AL691" s="278"/>
      <c r="AM691" s="277"/>
      <c r="AN691" s="278"/>
      <c r="AO691" s="278"/>
      <c r="AP691" s="278"/>
      <c r="AQ691" s="278"/>
      <c r="AR691" s="278"/>
      <c r="AS691" s="278"/>
    </row>
    <row r="692" spans="1:45">
      <c r="A692" s="277"/>
      <c r="B692" s="298" t="b">
        <v>0</v>
      </c>
      <c r="C692" s="278"/>
      <c r="D692" s="299" t="b">
        <v>0</v>
      </c>
      <c r="E692" s="277"/>
      <c r="F692" s="298" t="b">
        <v>0</v>
      </c>
      <c r="G692" s="278"/>
      <c r="H692" s="299" t="b">
        <v>0</v>
      </c>
      <c r="I692" s="277"/>
      <c r="J692" s="278"/>
      <c r="K692" s="277"/>
      <c r="L692" s="278"/>
      <c r="M692" s="277"/>
      <c r="N692" s="278"/>
      <c r="O692" s="277"/>
      <c r="P692" s="278"/>
      <c r="Q692" s="277"/>
      <c r="R692" s="278"/>
      <c r="S692" s="277"/>
      <c r="T692" s="278"/>
      <c r="U692" s="277"/>
      <c r="V692" s="278"/>
      <c r="W692" s="277"/>
      <c r="X692" s="278"/>
      <c r="Y692" s="277"/>
      <c r="Z692" s="278"/>
      <c r="AA692" s="277"/>
      <c r="AB692" s="278"/>
      <c r="AC692" s="277"/>
      <c r="AD692" s="278"/>
      <c r="AE692" s="277"/>
      <c r="AF692" s="278"/>
      <c r="AG692" s="277"/>
      <c r="AH692" s="278"/>
      <c r="AI692" s="277"/>
      <c r="AJ692" s="278"/>
      <c r="AK692" s="277"/>
      <c r="AL692" s="278"/>
      <c r="AM692" s="277"/>
      <c r="AN692" s="278"/>
      <c r="AO692" s="278"/>
      <c r="AP692" s="278"/>
      <c r="AQ692" s="278"/>
      <c r="AR692" s="278"/>
      <c r="AS692" s="278"/>
    </row>
    <row r="693" spans="1:45">
      <c r="A693" s="277"/>
      <c r="B693" s="298" t="b">
        <v>0</v>
      </c>
      <c r="C693" s="278"/>
      <c r="D693" s="299" t="b">
        <v>0</v>
      </c>
      <c r="E693" s="277"/>
      <c r="F693" s="298" t="b">
        <v>0</v>
      </c>
      <c r="G693" s="278"/>
      <c r="H693" s="299" t="b">
        <v>0</v>
      </c>
      <c r="I693" s="277"/>
      <c r="J693" s="278"/>
      <c r="K693" s="277"/>
      <c r="L693" s="278"/>
      <c r="M693" s="277"/>
      <c r="N693" s="278"/>
      <c r="O693" s="277"/>
      <c r="P693" s="278"/>
      <c r="Q693" s="277"/>
      <c r="R693" s="278"/>
      <c r="S693" s="277"/>
      <c r="T693" s="278"/>
      <c r="U693" s="277"/>
      <c r="V693" s="278"/>
      <c r="W693" s="277"/>
      <c r="X693" s="278"/>
      <c r="Y693" s="277"/>
      <c r="Z693" s="278"/>
      <c r="AA693" s="277"/>
      <c r="AB693" s="278"/>
      <c r="AC693" s="277"/>
      <c r="AD693" s="278"/>
      <c r="AE693" s="277"/>
      <c r="AF693" s="278"/>
      <c r="AG693" s="277"/>
      <c r="AH693" s="278"/>
      <c r="AI693" s="277"/>
      <c r="AJ693" s="278"/>
      <c r="AK693" s="277"/>
      <c r="AL693" s="278"/>
      <c r="AM693" s="277"/>
      <c r="AN693" s="278"/>
      <c r="AO693" s="278"/>
      <c r="AP693" s="278"/>
      <c r="AQ693" s="278"/>
      <c r="AR693" s="278"/>
      <c r="AS693" s="278"/>
    </row>
    <row r="694" spans="1:45">
      <c r="A694" s="277"/>
      <c r="B694" s="298" t="b">
        <v>0</v>
      </c>
      <c r="C694" s="278"/>
      <c r="D694" s="299" t="b">
        <v>0</v>
      </c>
      <c r="E694" s="277"/>
      <c r="F694" s="298" t="b">
        <v>0</v>
      </c>
      <c r="G694" s="278"/>
      <c r="H694" s="299" t="b">
        <v>0</v>
      </c>
      <c r="I694" s="277"/>
      <c r="J694" s="278"/>
      <c r="K694" s="277"/>
      <c r="L694" s="278"/>
      <c r="M694" s="277"/>
      <c r="N694" s="278"/>
      <c r="O694" s="277"/>
      <c r="P694" s="278"/>
      <c r="Q694" s="277"/>
      <c r="R694" s="278"/>
      <c r="S694" s="277"/>
      <c r="T694" s="278"/>
      <c r="U694" s="277"/>
      <c r="V694" s="278"/>
      <c r="W694" s="277"/>
      <c r="X694" s="278"/>
      <c r="Y694" s="277"/>
      <c r="Z694" s="278"/>
      <c r="AA694" s="277"/>
      <c r="AB694" s="278"/>
      <c r="AC694" s="277"/>
      <c r="AD694" s="278"/>
      <c r="AE694" s="277"/>
      <c r="AF694" s="278"/>
      <c r="AG694" s="277"/>
      <c r="AH694" s="278"/>
      <c r="AI694" s="277"/>
      <c r="AJ694" s="278"/>
      <c r="AK694" s="277"/>
      <c r="AL694" s="278"/>
      <c r="AM694" s="277"/>
      <c r="AN694" s="278"/>
      <c r="AO694" s="278"/>
      <c r="AP694" s="278"/>
      <c r="AQ694" s="278"/>
      <c r="AR694" s="278"/>
      <c r="AS694" s="278"/>
    </row>
    <row r="695" spans="1:45">
      <c r="A695" s="277"/>
      <c r="B695" s="298" t="b">
        <v>0</v>
      </c>
      <c r="C695" s="278"/>
      <c r="D695" s="299" t="b">
        <v>0</v>
      </c>
      <c r="E695" s="277"/>
      <c r="F695" s="298" t="b">
        <v>0</v>
      </c>
      <c r="G695" s="278"/>
      <c r="H695" s="299" t="b">
        <v>0</v>
      </c>
      <c r="I695" s="277"/>
      <c r="J695" s="278"/>
      <c r="K695" s="277"/>
      <c r="L695" s="278"/>
      <c r="M695" s="277"/>
      <c r="N695" s="278"/>
      <c r="O695" s="277"/>
      <c r="P695" s="278"/>
      <c r="Q695" s="277"/>
      <c r="R695" s="278"/>
      <c r="S695" s="277"/>
      <c r="T695" s="278"/>
      <c r="U695" s="277"/>
      <c r="V695" s="278"/>
      <c r="W695" s="277"/>
      <c r="X695" s="278"/>
      <c r="Y695" s="277"/>
      <c r="Z695" s="278"/>
      <c r="AA695" s="277"/>
      <c r="AB695" s="278"/>
      <c r="AC695" s="277"/>
      <c r="AD695" s="278"/>
      <c r="AE695" s="277"/>
      <c r="AF695" s="278"/>
      <c r="AG695" s="277"/>
      <c r="AH695" s="278"/>
      <c r="AI695" s="277"/>
      <c r="AJ695" s="278"/>
      <c r="AK695" s="277"/>
      <c r="AL695" s="278"/>
      <c r="AM695" s="277"/>
      <c r="AN695" s="278"/>
      <c r="AO695" s="278"/>
      <c r="AP695" s="278"/>
      <c r="AQ695" s="278"/>
      <c r="AR695" s="278"/>
      <c r="AS695" s="278"/>
    </row>
    <row r="696" spans="1:45">
      <c r="A696" s="277"/>
      <c r="B696" s="298" t="b">
        <v>0</v>
      </c>
      <c r="C696" s="278"/>
      <c r="D696" s="299" t="b">
        <v>0</v>
      </c>
      <c r="E696" s="277"/>
      <c r="F696" s="298" t="b">
        <v>0</v>
      </c>
      <c r="G696" s="278"/>
      <c r="H696" s="299" t="b">
        <v>0</v>
      </c>
      <c r="I696" s="277"/>
      <c r="J696" s="278"/>
      <c r="K696" s="277"/>
      <c r="L696" s="278"/>
      <c r="M696" s="277"/>
      <c r="N696" s="278"/>
      <c r="O696" s="277"/>
      <c r="P696" s="278"/>
      <c r="Q696" s="277"/>
      <c r="R696" s="278"/>
      <c r="S696" s="277"/>
      <c r="T696" s="278"/>
      <c r="U696" s="277"/>
      <c r="V696" s="278"/>
      <c r="W696" s="277"/>
      <c r="X696" s="278"/>
      <c r="Y696" s="277"/>
      <c r="Z696" s="278"/>
      <c r="AA696" s="277"/>
      <c r="AB696" s="278"/>
      <c r="AC696" s="277"/>
      <c r="AD696" s="278"/>
      <c r="AE696" s="277"/>
      <c r="AF696" s="278"/>
      <c r="AG696" s="277"/>
      <c r="AH696" s="278"/>
      <c r="AI696" s="277"/>
      <c r="AJ696" s="278"/>
      <c r="AK696" s="277"/>
      <c r="AL696" s="278"/>
      <c r="AM696" s="277"/>
      <c r="AN696" s="278"/>
      <c r="AO696" s="278"/>
      <c r="AP696" s="278"/>
      <c r="AQ696" s="278"/>
      <c r="AR696" s="278"/>
      <c r="AS696" s="278"/>
    </row>
    <row r="697" spans="1:45">
      <c r="A697" s="277"/>
      <c r="B697" s="298" t="b">
        <v>0</v>
      </c>
      <c r="C697" s="278"/>
      <c r="D697" s="299" t="b">
        <v>0</v>
      </c>
      <c r="E697" s="277"/>
      <c r="F697" s="298" t="b">
        <v>0</v>
      </c>
      <c r="G697" s="278"/>
      <c r="H697" s="299" t="b">
        <v>0</v>
      </c>
      <c r="I697" s="277"/>
      <c r="J697" s="278"/>
      <c r="K697" s="277"/>
      <c r="L697" s="278"/>
      <c r="M697" s="277"/>
      <c r="N697" s="278"/>
      <c r="O697" s="277"/>
      <c r="P697" s="278"/>
      <c r="Q697" s="277"/>
      <c r="R697" s="278"/>
      <c r="S697" s="277"/>
      <c r="T697" s="278"/>
      <c r="U697" s="277"/>
      <c r="V697" s="278"/>
      <c r="W697" s="277"/>
      <c r="X697" s="278"/>
      <c r="Y697" s="277"/>
      <c r="Z697" s="278"/>
      <c r="AA697" s="277"/>
      <c r="AB697" s="278"/>
      <c r="AC697" s="277"/>
      <c r="AD697" s="278"/>
      <c r="AE697" s="277"/>
      <c r="AF697" s="278"/>
      <c r="AG697" s="277"/>
      <c r="AH697" s="278"/>
      <c r="AI697" s="277"/>
      <c r="AJ697" s="278"/>
      <c r="AK697" s="277"/>
      <c r="AL697" s="278"/>
      <c r="AM697" s="277"/>
      <c r="AN697" s="278"/>
      <c r="AO697" s="278"/>
      <c r="AP697" s="278"/>
      <c r="AQ697" s="278"/>
      <c r="AR697" s="278"/>
      <c r="AS697" s="278"/>
    </row>
    <row r="698" spans="1:45">
      <c r="A698" s="277"/>
      <c r="B698" s="298" t="b">
        <v>0</v>
      </c>
      <c r="C698" s="278"/>
      <c r="D698" s="299" t="b">
        <v>0</v>
      </c>
      <c r="E698" s="277"/>
      <c r="F698" s="298" t="b">
        <v>0</v>
      </c>
      <c r="G698" s="278"/>
      <c r="H698" s="299" t="b">
        <v>0</v>
      </c>
      <c r="I698" s="277"/>
      <c r="J698" s="278"/>
      <c r="K698" s="277"/>
      <c r="L698" s="278"/>
      <c r="M698" s="277"/>
      <c r="N698" s="278"/>
      <c r="O698" s="277"/>
      <c r="P698" s="278"/>
      <c r="Q698" s="277"/>
      <c r="R698" s="278"/>
      <c r="S698" s="277"/>
      <c r="T698" s="278"/>
      <c r="U698" s="277"/>
      <c r="V698" s="278"/>
      <c r="W698" s="277"/>
      <c r="X698" s="278"/>
      <c r="Y698" s="277"/>
      <c r="Z698" s="278"/>
      <c r="AA698" s="277"/>
      <c r="AB698" s="278"/>
      <c r="AC698" s="277"/>
      <c r="AD698" s="278"/>
      <c r="AE698" s="277"/>
      <c r="AF698" s="278"/>
      <c r="AG698" s="277"/>
      <c r="AH698" s="278"/>
      <c r="AI698" s="277"/>
      <c r="AJ698" s="278"/>
      <c r="AK698" s="277"/>
      <c r="AL698" s="278"/>
      <c r="AM698" s="277"/>
      <c r="AN698" s="278"/>
      <c r="AO698" s="278"/>
      <c r="AP698" s="278"/>
      <c r="AQ698" s="278"/>
      <c r="AR698" s="278"/>
      <c r="AS698" s="278"/>
    </row>
    <row r="699" spans="1:45">
      <c r="A699" s="277"/>
      <c r="B699" s="298" t="b">
        <v>0</v>
      </c>
      <c r="C699" s="278"/>
      <c r="D699" s="299" t="b">
        <v>0</v>
      </c>
      <c r="E699" s="277"/>
      <c r="F699" s="298" t="b">
        <v>0</v>
      </c>
      <c r="G699" s="278"/>
      <c r="H699" s="299" t="b">
        <v>0</v>
      </c>
      <c r="I699" s="277"/>
      <c r="J699" s="278"/>
      <c r="K699" s="277"/>
      <c r="L699" s="278"/>
      <c r="M699" s="277"/>
      <c r="N699" s="278"/>
      <c r="O699" s="277"/>
      <c r="P699" s="278"/>
      <c r="Q699" s="277"/>
      <c r="R699" s="278"/>
      <c r="S699" s="277"/>
      <c r="T699" s="278"/>
      <c r="U699" s="277"/>
      <c r="V699" s="278"/>
      <c r="W699" s="277"/>
      <c r="X699" s="278"/>
      <c r="Y699" s="277"/>
      <c r="Z699" s="278"/>
      <c r="AA699" s="277"/>
      <c r="AB699" s="278"/>
      <c r="AC699" s="277"/>
      <c r="AD699" s="278"/>
      <c r="AE699" s="277"/>
      <c r="AF699" s="278"/>
      <c r="AG699" s="277"/>
      <c r="AH699" s="278"/>
      <c r="AI699" s="277"/>
      <c r="AJ699" s="278"/>
      <c r="AK699" s="277"/>
      <c r="AL699" s="278"/>
      <c r="AM699" s="277"/>
      <c r="AN699" s="278"/>
      <c r="AO699" s="278"/>
      <c r="AP699" s="278"/>
      <c r="AQ699" s="278"/>
      <c r="AR699" s="278"/>
      <c r="AS699" s="278"/>
    </row>
    <row r="700" spans="1:45">
      <c r="A700" s="277"/>
      <c r="B700" s="298" t="b">
        <v>0</v>
      </c>
      <c r="C700" s="278"/>
      <c r="D700" s="299" t="b">
        <v>0</v>
      </c>
      <c r="E700" s="277"/>
      <c r="F700" s="298" t="b">
        <v>0</v>
      </c>
      <c r="G700" s="278"/>
      <c r="H700" s="299" t="b">
        <v>0</v>
      </c>
      <c r="I700" s="277"/>
      <c r="J700" s="278"/>
      <c r="K700" s="277"/>
      <c r="L700" s="278"/>
      <c r="M700" s="277"/>
      <c r="N700" s="278"/>
      <c r="O700" s="277"/>
      <c r="P700" s="278"/>
      <c r="Q700" s="277"/>
      <c r="R700" s="278"/>
      <c r="S700" s="277"/>
      <c r="T700" s="278"/>
      <c r="U700" s="277"/>
      <c r="V700" s="278"/>
      <c r="W700" s="277"/>
      <c r="X700" s="278"/>
      <c r="Y700" s="277"/>
      <c r="Z700" s="278"/>
      <c r="AA700" s="277"/>
      <c r="AB700" s="278"/>
      <c r="AC700" s="277"/>
      <c r="AD700" s="278"/>
      <c r="AE700" s="277"/>
      <c r="AF700" s="278"/>
      <c r="AG700" s="277"/>
      <c r="AH700" s="278"/>
      <c r="AI700" s="277"/>
      <c r="AJ700" s="278"/>
      <c r="AK700" s="277"/>
      <c r="AL700" s="278"/>
      <c r="AM700" s="277"/>
      <c r="AN700" s="278"/>
      <c r="AO700" s="278"/>
      <c r="AP700" s="278"/>
      <c r="AQ700" s="278"/>
      <c r="AR700" s="278"/>
      <c r="AS700" s="278"/>
    </row>
    <row r="701" spans="1:45">
      <c r="A701" s="277"/>
      <c r="B701" s="298" t="b">
        <v>0</v>
      </c>
      <c r="C701" s="278"/>
      <c r="D701" s="299" t="b">
        <v>0</v>
      </c>
      <c r="E701" s="277"/>
      <c r="F701" s="298" t="b">
        <v>0</v>
      </c>
      <c r="G701" s="278"/>
      <c r="H701" s="299" t="b">
        <v>0</v>
      </c>
      <c r="I701" s="277"/>
      <c r="J701" s="278"/>
      <c r="K701" s="277"/>
      <c r="L701" s="278"/>
      <c r="M701" s="277"/>
      <c r="N701" s="278"/>
      <c r="O701" s="277"/>
      <c r="P701" s="278"/>
      <c r="Q701" s="277"/>
      <c r="R701" s="278"/>
      <c r="S701" s="277"/>
      <c r="T701" s="278"/>
      <c r="U701" s="277"/>
      <c r="V701" s="278"/>
      <c r="W701" s="277"/>
      <c r="X701" s="278"/>
      <c r="Y701" s="277"/>
      <c r="Z701" s="278"/>
      <c r="AA701" s="277"/>
      <c r="AB701" s="278"/>
      <c r="AC701" s="277"/>
      <c r="AD701" s="278"/>
      <c r="AE701" s="277"/>
      <c r="AF701" s="278"/>
      <c r="AG701" s="277"/>
      <c r="AH701" s="278"/>
      <c r="AI701" s="277"/>
      <c r="AJ701" s="278"/>
      <c r="AK701" s="277"/>
      <c r="AL701" s="278"/>
      <c r="AM701" s="277"/>
      <c r="AN701" s="278"/>
      <c r="AO701" s="278"/>
      <c r="AP701" s="278"/>
      <c r="AQ701" s="278"/>
      <c r="AR701" s="278"/>
      <c r="AS701" s="278"/>
    </row>
    <row r="702" spans="1:45">
      <c r="A702" s="277"/>
      <c r="B702" s="298" t="b">
        <v>0</v>
      </c>
      <c r="C702" s="278"/>
      <c r="D702" s="299" t="b">
        <v>0</v>
      </c>
      <c r="E702" s="277"/>
      <c r="F702" s="298" t="b">
        <v>0</v>
      </c>
      <c r="G702" s="278"/>
      <c r="H702" s="299" t="b">
        <v>0</v>
      </c>
      <c r="I702" s="277"/>
      <c r="J702" s="278"/>
      <c r="K702" s="277"/>
      <c r="L702" s="278"/>
      <c r="M702" s="277"/>
      <c r="N702" s="278"/>
      <c r="O702" s="277"/>
      <c r="P702" s="278"/>
      <c r="Q702" s="277"/>
      <c r="R702" s="278"/>
      <c r="S702" s="277"/>
      <c r="T702" s="278"/>
      <c r="U702" s="277"/>
      <c r="V702" s="278"/>
      <c r="W702" s="277"/>
      <c r="X702" s="278"/>
      <c r="Y702" s="277"/>
      <c r="Z702" s="278"/>
      <c r="AA702" s="277"/>
      <c r="AB702" s="278"/>
      <c r="AC702" s="277"/>
      <c r="AD702" s="278"/>
      <c r="AE702" s="277"/>
      <c r="AF702" s="278"/>
      <c r="AG702" s="277"/>
      <c r="AH702" s="278"/>
      <c r="AI702" s="277"/>
      <c r="AJ702" s="278"/>
      <c r="AK702" s="277"/>
      <c r="AL702" s="278"/>
      <c r="AM702" s="277"/>
      <c r="AN702" s="278"/>
      <c r="AO702" s="278"/>
      <c r="AP702" s="278"/>
      <c r="AQ702" s="278"/>
      <c r="AR702" s="278"/>
      <c r="AS702" s="278"/>
    </row>
    <row r="703" spans="1:45">
      <c r="A703" s="277"/>
      <c r="B703" s="298" t="b">
        <v>0</v>
      </c>
      <c r="C703" s="278"/>
      <c r="D703" s="299" t="b">
        <v>0</v>
      </c>
      <c r="E703" s="277"/>
      <c r="F703" s="298" t="b">
        <v>0</v>
      </c>
      <c r="G703" s="278"/>
      <c r="H703" s="299" t="b">
        <v>0</v>
      </c>
      <c r="I703" s="277"/>
      <c r="J703" s="278"/>
      <c r="K703" s="277"/>
      <c r="L703" s="278"/>
      <c r="M703" s="277"/>
      <c r="N703" s="278"/>
      <c r="O703" s="277"/>
      <c r="P703" s="278"/>
      <c r="Q703" s="277"/>
      <c r="R703" s="278"/>
      <c r="S703" s="277"/>
      <c r="T703" s="278"/>
      <c r="U703" s="277"/>
      <c r="V703" s="278"/>
      <c r="W703" s="277"/>
      <c r="X703" s="278"/>
      <c r="Y703" s="277"/>
      <c r="Z703" s="278"/>
      <c r="AA703" s="277"/>
      <c r="AB703" s="278"/>
      <c r="AC703" s="277"/>
      <c r="AD703" s="278"/>
      <c r="AE703" s="277"/>
      <c r="AF703" s="278"/>
      <c r="AG703" s="277"/>
      <c r="AH703" s="278"/>
      <c r="AI703" s="277"/>
      <c r="AJ703" s="278"/>
      <c r="AK703" s="277"/>
      <c r="AL703" s="278"/>
      <c r="AM703" s="277"/>
      <c r="AN703" s="278"/>
      <c r="AO703" s="278"/>
      <c r="AP703" s="278"/>
      <c r="AQ703" s="278"/>
      <c r="AR703" s="278"/>
      <c r="AS703" s="278"/>
    </row>
    <row r="704" spans="1:45">
      <c r="A704" s="277"/>
      <c r="B704" s="298" t="b">
        <v>0</v>
      </c>
      <c r="C704" s="278"/>
      <c r="D704" s="299" t="b">
        <v>0</v>
      </c>
      <c r="E704" s="277"/>
      <c r="F704" s="298" t="b">
        <v>0</v>
      </c>
      <c r="G704" s="278"/>
      <c r="H704" s="299" t="b">
        <v>0</v>
      </c>
      <c r="I704" s="277"/>
      <c r="J704" s="278"/>
      <c r="K704" s="277"/>
      <c r="L704" s="278"/>
      <c r="M704" s="277"/>
      <c r="N704" s="278"/>
      <c r="O704" s="277"/>
      <c r="P704" s="278"/>
      <c r="Q704" s="277"/>
      <c r="R704" s="278"/>
      <c r="S704" s="277"/>
      <c r="T704" s="278"/>
      <c r="U704" s="277"/>
      <c r="V704" s="278"/>
      <c r="W704" s="277"/>
      <c r="X704" s="278"/>
      <c r="Y704" s="277"/>
      <c r="Z704" s="278"/>
      <c r="AA704" s="277"/>
      <c r="AB704" s="278"/>
      <c r="AC704" s="277"/>
      <c r="AD704" s="278"/>
      <c r="AE704" s="277"/>
      <c r="AF704" s="278"/>
      <c r="AG704" s="277"/>
      <c r="AH704" s="278"/>
      <c r="AI704" s="277"/>
      <c r="AJ704" s="278"/>
      <c r="AK704" s="277"/>
      <c r="AL704" s="278"/>
      <c r="AM704" s="277"/>
      <c r="AN704" s="278"/>
      <c r="AO704" s="278"/>
      <c r="AP704" s="278"/>
      <c r="AQ704" s="278"/>
      <c r="AR704" s="278"/>
      <c r="AS704" s="278"/>
    </row>
    <row r="705" spans="1:45">
      <c r="A705" s="277"/>
      <c r="B705" s="298" t="b">
        <v>0</v>
      </c>
      <c r="C705" s="278"/>
      <c r="D705" s="299" t="b">
        <v>0</v>
      </c>
      <c r="E705" s="277"/>
      <c r="F705" s="298" t="b">
        <v>0</v>
      </c>
      <c r="G705" s="278"/>
      <c r="H705" s="299" t="b">
        <v>0</v>
      </c>
      <c r="I705" s="277"/>
      <c r="J705" s="278"/>
      <c r="K705" s="277"/>
      <c r="L705" s="278"/>
      <c r="M705" s="277"/>
      <c r="N705" s="278"/>
      <c r="O705" s="277"/>
      <c r="P705" s="278"/>
      <c r="Q705" s="277"/>
      <c r="R705" s="278"/>
      <c r="S705" s="277"/>
      <c r="T705" s="278"/>
      <c r="U705" s="277"/>
      <c r="V705" s="278"/>
      <c r="W705" s="277"/>
      <c r="X705" s="278"/>
      <c r="Y705" s="277"/>
      <c r="Z705" s="278"/>
      <c r="AA705" s="277"/>
      <c r="AB705" s="278"/>
      <c r="AC705" s="277"/>
      <c r="AD705" s="278"/>
      <c r="AE705" s="277"/>
      <c r="AF705" s="278"/>
      <c r="AG705" s="277"/>
      <c r="AH705" s="278"/>
      <c r="AI705" s="277"/>
      <c r="AJ705" s="278"/>
      <c r="AK705" s="277"/>
      <c r="AL705" s="278"/>
      <c r="AM705" s="277"/>
      <c r="AN705" s="278"/>
      <c r="AO705" s="278"/>
      <c r="AP705" s="278"/>
      <c r="AQ705" s="278"/>
      <c r="AR705" s="278"/>
      <c r="AS705" s="278"/>
    </row>
    <row r="706" spans="1:45">
      <c r="A706" s="277"/>
      <c r="B706" s="298" t="b">
        <v>0</v>
      </c>
      <c r="C706" s="278"/>
      <c r="D706" s="299" t="b">
        <v>0</v>
      </c>
      <c r="E706" s="277"/>
      <c r="F706" s="298" t="b">
        <v>0</v>
      </c>
      <c r="G706" s="278"/>
      <c r="H706" s="299" t="b">
        <v>0</v>
      </c>
      <c r="I706" s="277"/>
      <c r="J706" s="278"/>
      <c r="K706" s="277"/>
      <c r="L706" s="278"/>
      <c r="M706" s="277"/>
      <c r="N706" s="278"/>
      <c r="O706" s="277"/>
      <c r="P706" s="278"/>
      <c r="Q706" s="277"/>
      <c r="R706" s="278"/>
      <c r="S706" s="277"/>
      <c r="T706" s="278"/>
      <c r="U706" s="277"/>
      <c r="V706" s="278"/>
      <c r="W706" s="277"/>
      <c r="X706" s="278"/>
      <c r="Y706" s="277"/>
      <c r="Z706" s="278"/>
      <c r="AA706" s="277"/>
      <c r="AB706" s="278"/>
      <c r="AC706" s="277"/>
      <c r="AD706" s="278"/>
      <c r="AE706" s="277"/>
      <c r="AF706" s="278"/>
      <c r="AG706" s="277"/>
      <c r="AH706" s="278"/>
      <c r="AI706" s="277"/>
      <c r="AJ706" s="278"/>
      <c r="AK706" s="277"/>
      <c r="AL706" s="278"/>
      <c r="AM706" s="277"/>
      <c r="AN706" s="278"/>
      <c r="AO706" s="278"/>
      <c r="AP706" s="278"/>
      <c r="AQ706" s="278"/>
      <c r="AR706" s="278"/>
      <c r="AS706" s="278"/>
    </row>
    <row r="707" spans="1:45">
      <c r="A707" s="277"/>
      <c r="B707" s="298" t="b">
        <v>0</v>
      </c>
      <c r="C707" s="278"/>
      <c r="D707" s="299" t="b">
        <v>0</v>
      </c>
      <c r="E707" s="277"/>
      <c r="F707" s="298" t="b">
        <v>0</v>
      </c>
      <c r="G707" s="278"/>
      <c r="H707" s="299" t="b">
        <v>0</v>
      </c>
      <c r="I707" s="277"/>
      <c r="J707" s="278"/>
      <c r="K707" s="277"/>
      <c r="L707" s="278"/>
      <c r="M707" s="277"/>
      <c r="N707" s="278"/>
      <c r="O707" s="277"/>
      <c r="P707" s="278"/>
      <c r="Q707" s="277"/>
      <c r="R707" s="278"/>
      <c r="S707" s="277"/>
      <c r="T707" s="278"/>
      <c r="U707" s="277"/>
      <c r="V707" s="278"/>
      <c r="W707" s="277"/>
      <c r="X707" s="278"/>
      <c r="Y707" s="277"/>
      <c r="Z707" s="278"/>
      <c r="AA707" s="277"/>
      <c r="AB707" s="278"/>
      <c r="AC707" s="277"/>
      <c r="AD707" s="278"/>
      <c r="AE707" s="277"/>
      <c r="AF707" s="278"/>
      <c r="AG707" s="277"/>
      <c r="AH707" s="278"/>
      <c r="AI707" s="277"/>
      <c r="AJ707" s="278"/>
      <c r="AK707" s="277"/>
      <c r="AL707" s="278"/>
      <c r="AM707" s="277"/>
      <c r="AN707" s="278"/>
      <c r="AO707" s="278"/>
      <c r="AP707" s="278"/>
      <c r="AQ707" s="278"/>
      <c r="AR707" s="278"/>
      <c r="AS707" s="278"/>
    </row>
    <row r="708" spans="1:45">
      <c r="A708" s="277"/>
      <c r="B708" s="298" t="b">
        <v>0</v>
      </c>
      <c r="C708" s="278"/>
      <c r="D708" s="299" t="b">
        <v>0</v>
      </c>
      <c r="E708" s="277"/>
      <c r="F708" s="298" t="b">
        <v>0</v>
      </c>
      <c r="G708" s="278"/>
      <c r="H708" s="299" t="b">
        <v>0</v>
      </c>
      <c r="I708" s="277"/>
      <c r="J708" s="278"/>
      <c r="K708" s="277"/>
      <c r="L708" s="278"/>
      <c r="M708" s="277"/>
      <c r="N708" s="278"/>
      <c r="O708" s="277"/>
      <c r="P708" s="278"/>
      <c r="Q708" s="277"/>
      <c r="R708" s="278"/>
      <c r="S708" s="277"/>
      <c r="T708" s="278"/>
      <c r="U708" s="277"/>
      <c r="V708" s="278"/>
      <c r="W708" s="277"/>
      <c r="X708" s="278"/>
      <c r="Y708" s="277"/>
      <c r="Z708" s="278"/>
      <c r="AA708" s="277"/>
      <c r="AB708" s="278"/>
      <c r="AC708" s="277"/>
      <c r="AD708" s="278"/>
      <c r="AE708" s="277"/>
      <c r="AF708" s="278"/>
      <c r="AG708" s="277"/>
      <c r="AH708" s="278"/>
      <c r="AI708" s="277"/>
      <c r="AJ708" s="278"/>
      <c r="AK708" s="277"/>
      <c r="AL708" s="278"/>
      <c r="AM708" s="277"/>
      <c r="AN708" s="278"/>
      <c r="AO708" s="278"/>
      <c r="AP708" s="278"/>
      <c r="AQ708" s="278"/>
      <c r="AR708" s="278"/>
      <c r="AS708" s="278"/>
    </row>
    <row r="709" spans="1:45">
      <c r="A709" s="277"/>
      <c r="B709" s="298" t="b">
        <v>0</v>
      </c>
      <c r="C709" s="278"/>
      <c r="D709" s="299" t="b">
        <v>0</v>
      </c>
      <c r="E709" s="277"/>
      <c r="F709" s="298" t="b">
        <v>0</v>
      </c>
      <c r="G709" s="278"/>
      <c r="H709" s="299" t="b">
        <v>0</v>
      </c>
      <c r="I709" s="277"/>
      <c r="J709" s="278"/>
      <c r="K709" s="277"/>
      <c r="L709" s="278"/>
      <c r="M709" s="277"/>
      <c r="N709" s="278"/>
      <c r="O709" s="277"/>
      <c r="P709" s="278"/>
      <c r="Q709" s="277"/>
      <c r="R709" s="278"/>
      <c r="S709" s="277"/>
      <c r="T709" s="278"/>
      <c r="U709" s="277"/>
      <c r="V709" s="278"/>
      <c r="W709" s="277"/>
      <c r="X709" s="278"/>
      <c r="Y709" s="277"/>
      <c r="Z709" s="278"/>
      <c r="AA709" s="277"/>
      <c r="AB709" s="278"/>
      <c r="AC709" s="277"/>
      <c r="AD709" s="278"/>
      <c r="AE709" s="277"/>
      <c r="AF709" s="278"/>
      <c r="AG709" s="277"/>
      <c r="AH709" s="278"/>
      <c r="AI709" s="277"/>
      <c r="AJ709" s="278"/>
      <c r="AK709" s="277"/>
      <c r="AL709" s="278"/>
      <c r="AM709" s="277"/>
      <c r="AN709" s="278"/>
      <c r="AO709" s="278"/>
      <c r="AP709" s="278"/>
      <c r="AQ709" s="278"/>
      <c r="AR709" s="278"/>
      <c r="AS709" s="278"/>
    </row>
    <row r="710" spans="1:45">
      <c r="A710" s="277"/>
      <c r="B710" s="298" t="b">
        <v>0</v>
      </c>
      <c r="C710" s="278"/>
      <c r="D710" s="299" t="b">
        <v>0</v>
      </c>
      <c r="E710" s="277"/>
      <c r="F710" s="298" t="b">
        <v>0</v>
      </c>
      <c r="G710" s="278"/>
      <c r="H710" s="299" t="b">
        <v>0</v>
      </c>
      <c r="I710" s="277"/>
      <c r="J710" s="278"/>
      <c r="K710" s="277"/>
      <c r="L710" s="278"/>
      <c r="M710" s="277"/>
      <c r="N710" s="278"/>
      <c r="O710" s="277"/>
      <c r="P710" s="278"/>
      <c r="Q710" s="277"/>
      <c r="R710" s="278"/>
      <c r="S710" s="277"/>
      <c r="T710" s="278"/>
      <c r="U710" s="277"/>
      <c r="V710" s="278"/>
      <c r="W710" s="277"/>
      <c r="X710" s="278"/>
      <c r="Y710" s="277"/>
      <c r="Z710" s="278"/>
      <c r="AA710" s="277"/>
      <c r="AB710" s="278"/>
      <c r="AC710" s="277"/>
      <c r="AD710" s="278"/>
      <c r="AE710" s="277"/>
      <c r="AF710" s="278"/>
      <c r="AG710" s="277"/>
      <c r="AH710" s="278"/>
      <c r="AI710" s="277"/>
      <c r="AJ710" s="278"/>
      <c r="AK710" s="277"/>
      <c r="AL710" s="278"/>
      <c r="AM710" s="277"/>
      <c r="AN710" s="278"/>
      <c r="AO710" s="278"/>
      <c r="AP710" s="278"/>
      <c r="AQ710" s="278"/>
      <c r="AR710" s="278"/>
      <c r="AS710" s="278"/>
    </row>
    <row r="711" spans="1:45">
      <c r="A711" s="277"/>
      <c r="B711" s="298" t="b">
        <v>0</v>
      </c>
      <c r="C711" s="278"/>
      <c r="D711" s="299" t="b">
        <v>0</v>
      </c>
      <c r="E711" s="277"/>
      <c r="F711" s="298" t="b">
        <v>0</v>
      </c>
      <c r="G711" s="278"/>
      <c r="H711" s="299" t="b">
        <v>0</v>
      </c>
      <c r="I711" s="277"/>
      <c r="J711" s="278"/>
      <c r="K711" s="277"/>
      <c r="L711" s="278"/>
      <c r="M711" s="277"/>
      <c r="N711" s="278"/>
      <c r="O711" s="277"/>
      <c r="P711" s="278"/>
      <c r="Q711" s="277"/>
      <c r="R711" s="278"/>
      <c r="S711" s="277"/>
      <c r="T711" s="278"/>
      <c r="U711" s="277"/>
      <c r="V711" s="278"/>
      <c r="W711" s="277"/>
      <c r="X711" s="278"/>
      <c r="Y711" s="277"/>
      <c r="Z711" s="278"/>
      <c r="AA711" s="277"/>
      <c r="AB711" s="278"/>
      <c r="AC711" s="277"/>
      <c r="AD711" s="278"/>
      <c r="AE711" s="277"/>
      <c r="AF711" s="278"/>
      <c r="AG711" s="277"/>
      <c r="AH711" s="278"/>
      <c r="AI711" s="277"/>
      <c r="AJ711" s="278"/>
      <c r="AK711" s="277"/>
      <c r="AL711" s="278"/>
      <c r="AM711" s="277"/>
      <c r="AN711" s="278"/>
      <c r="AO711" s="278"/>
      <c r="AP711" s="278"/>
      <c r="AQ711" s="278"/>
      <c r="AR711" s="278"/>
      <c r="AS711" s="278"/>
    </row>
    <row r="712" spans="1:45">
      <c r="A712" s="277"/>
      <c r="B712" s="298" t="b">
        <v>0</v>
      </c>
      <c r="C712" s="278"/>
      <c r="D712" s="299" t="b">
        <v>0</v>
      </c>
      <c r="E712" s="277"/>
      <c r="F712" s="298" t="b">
        <v>0</v>
      </c>
      <c r="G712" s="278"/>
      <c r="H712" s="299" t="b">
        <v>0</v>
      </c>
      <c r="I712" s="277"/>
      <c r="J712" s="278"/>
      <c r="K712" s="277"/>
      <c r="L712" s="278"/>
      <c r="M712" s="277"/>
      <c r="N712" s="278"/>
      <c r="O712" s="277"/>
      <c r="P712" s="278"/>
      <c r="Q712" s="277"/>
      <c r="R712" s="278"/>
      <c r="S712" s="277"/>
      <c r="T712" s="278"/>
      <c r="U712" s="277"/>
      <c r="V712" s="278"/>
      <c r="W712" s="277"/>
      <c r="X712" s="278"/>
      <c r="Y712" s="277"/>
      <c r="Z712" s="278"/>
      <c r="AA712" s="277"/>
      <c r="AB712" s="278"/>
      <c r="AC712" s="277"/>
      <c r="AD712" s="278"/>
      <c r="AE712" s="277"/>
      <c r="AF712" s="278"/>
      <c r="AG712" s="277"/>
      <c r="AH712" s="278"/>
      <c r="AI712" s="277"/>
      <c r="AJ712" s="278"/>
      <c r="AK712" s="277"/>
      <c r="AL712" s="278"/>
      <c r="AM712" s="277"/>
      <c r="AN712" s="278"/>
      <c r="AO712" s="278"/>
      <c r="AP712" s="278"/>
      <c r="AQ712" s="278"/>
      <c r="AR712" s="278"/>
      <c r="AS712" s="278"/>
    </row>
    <row r="713" spans="1:45">
      <c r="A713" s="277"/>
      <c r="B713" s="298" t="b">
        <v>0</v>
      </c>
      <c r="C713" s="278"/>
      <c r="D713" s="299" t="b">
        <v>0</v>
      </c>
      <c r="E713" s="277"/>
      <c r="F713" s="298" t="b">
        <v>0</v>
      </c>
      <c r="G713" s="278"/>
      <c r="H713" s="299" t="b">
        <v>0</v>
      </c>
      <c r="I713" s="277"/>
      <c r="J713" s="278"/>
      <c r="K713" s="277"/>
      <c r="L713" s="278"/>
      <c r="M713" s="277"/>
      <c r="N713" s="278"/>
      <c r="O713" s="277"/>
      <c r="P713" s="278"/>
      <c r="Q713" s="277"/>
      <c r="R713" s="278"/>
      <c r="S713" s="277"/>
      <c r="T713" s="278"/>
      <c r="U713" s="277"/>
      <c r="V713" s="278"/>
      <c r="W713" s="277"/>
      <c r="X713" s="278"/>
      <c r="Y713" s="277"/>
      <c r="Z713" s="278"/>
      <c r="AA713" s="277"/>
      <c r="AB713" s="278"/>
      <c r="AC713" s="277"/>
      <c r="AD713" s="278"/>
      <c r="AE713" s="277"/>
      <c r="AF713" s="278"/>
      <c r="AG713" s="277"/>
      <c r="AH713" s="278"/>
      <c r="AI713" s="277"/>
      <c r="AJ713" s="278"/>
      <c r="AK713" s="277"/>
      <c r="AL713" s="278"/>
      <c r="AM713" s="277"/>
      <c r="AN713" s="278"/>
      <c r="AO713" s="278"/>
      <c r="AP713" s="278"/>
      <c r="AQ713" s="278"/>
      <c r="AR713" s="278"/>
      <c r="AS713" s="278"/>
    </row>
    <row r="714" spans="1:45">
      <c r="A714" s="277"/>
      <c r="B714" s="298" t="b">
        <v>0</v>
      </c>
      <c r="C714" s="278"/>
      <c r="D714" s="299" t="b">
        <v>0</v>
      </c>
      <c r="E714" s="277"/>
      <c r="F714" s="298" t="b">
        <v>0</v>
      </c>
      <c r="G714" s="278"/>
      <c r="H714" s="299" t="b">
        <v>0</v>
      </c>
      <c r="I714" s="277"/>
      <c r="J714" s="278"/>
      <c r="K714" s="277"/>
      <c r="L714" s="278"/>
      <c r="M714" s="277"/>
      <c r="N714" s="278"/>
      <c r="O714" s="277"/>
      <c r="P714" s="278"/>
      <c r="Q714" s="277"/>
      <c r="R714" s="278"/>
      <c r="S714" s="277"/>
      <c r="T714" s="278"/>
      <c r="U714" s="277"/>
      <c r="V714" s="278"/>
      <c r="W714" s="277"/>
      <c r="X714" s="278"/>
      <c r="Y714" s="277"/>
      <c r="Z714" s="278"/>
      <c r="AA714" s="277"/>
      <c r="AB714" s="278"/>
      <c r="AC714" s="277"/>
      <c r="AD714" s="278"/>
      <c r="AE714" s="277"/>
      <c r="AF714" s="278"/>
      <c r="AG714" s="277"/>
      <c r="AH714" s="278"/>
      <c r="AI714" s="277"/>
      <c r="AJ714" s="278"/>
      <c r="AK714" s="277"/>
      <c r="AL714" s="278"/>
      <c r="AM714" s="277"/>
      <c r="AN714" s="278"/>
      <c r="AO714" s="278"/>
      <c r="AP714" s="278"/>
      <c r="AQ714" s="278"/>
      <c r="AR714" s="278"/>
      <c r="AS714" s="278"/>
    </row>
    <row r="715" spans="1:45">
      <c r="A715" s="277"/>
      <c r="B715" s="298" t="b">
        <v>0</v>
      </c>
      <c r="C715" s="278"/>
      <c r="D715" s="299" t="b">
        <v>0</v>
      </c>
      <c r="E715" s="277"/>
      <c r="F715" s="298" t="b">
        <v>0</v>
      </c>
      <c r="G715" s="278"/>
      <c r="H715" s="299" t="b">
        <v>0</v>
      </c>
      <c r="I715" s="277"/>
      <c r="J715" s="278"/>
      <c r="K715" s="277"/>
      <c r="L715" s="278"/>
      <c r="M715" s="277"/>
      <c r="N715" s="278"/>
      <c r="O715" s="277"/>
      <c r="P715" s="278"/>
      <c r="Q715" s="277"/>
      <c r="R715" s="278"/>
      <c r="S715" s="277"/>
      <c r="T715" s="278"/>
      <c r="U715" s="277"/>
      <c r="V715" s="278"/>
      <c r="W715" s="277"/>
      <c r="X715" s="278"/>
      <c r="Y715" s="277"/>
      <c r="Z715" s="278"/>
      <c r="AA715" s="277"/>
      <c r="AB715" s="278"/>
      <c r="AC715" s="277"/>
      <c r="AD715" s="278"/>
      <c r="AE715" s="277"/>
      <c r="AF715" s="278"/>
      <c r="AG715" s="277"/>
      <c r="AH715" s="278"/>
      <c r="AI715" s="277"/>
      <c r="AJ715" s="278"/>
      <c r="AK715" s="277"/>
      <c r="AL715" s="278"/>
      <c r="AM715" s="277"/>
      <c r="AN715" s="278"/>
      <c r="AO715" s="278"/>
      <c r="AP715" s="278"/>
      <c r="AQ715" s="278"/>
      <c r="AR715" s="278"/>
      <c r="AS715" s="278"/>
    </row>
    <row r="716" spans="1:45">
      <c r="A716" s="277"/>
      <c r="B716" s="298" t="b">
        <v>0</v>
      </c>
      <c r="C716" s="278"/>
      <c r="D716" s="299" t="b">
        <v>0</v>
      </c>
      <c r="E716" s="277"/>
      <c r="F716" s="298" t="b">
        <v>0</v>
      </c>
      <c r="G716" s="278"/>
      <c r="H716" s="299" t="b">
        <v>0</v>
      </c>
      <c r="I716" s="277"/>
      <c r="J716" s="278"/>
      <c r="K716" s="277"/>
      <c r="L716" s="278"/>
      <c r="M716" s="277"/>
      <c r="N716" s="278"/>
      <c r="O716" s="277"/>
      <c r="P716" s="278"/>
      <c r="Q716" s="277"/>
      <c r="R716" s="278"/>
      <c r="S716" s="277"/>
      <c r="T716" s="278"/>
      <c r="U716" s="277"/>
      <c r="V716" s="278"/>
      <c r="W716" s="277"/>
      <c r="X716" s="278"/>
      <c r="Y716" s="277"/>
      <c r="Z716" s="278"/>
      <c r="AA716" s="277"/>
      <c r="AB716" s="278"/>
      <c r="AC716" s="277"/>
      <c r="AD716" s="278"/>
      <c r="AE716" s="277"/>
      <c r="AF716" s="278"/>
      <c r="AG716" s="277"/>
      <c r="AH716" s="278"/>
      <c r="AI716" s="277"/>
      <c r="AJ716" s="278"/>
      <c r="AK716" s="277"/>
      <c r="AL716" s="278"/>
      <c r="AM716" s="277"/>
      <c r="AN716" s="278"/>
      <c r="AO716" s="278"/>
      <c r="AP716" s="278"/>
      <c r="AQ716" s="278"/>
      <c r="AR716" s="278"/>
      <c r="AS716" s="278"/>
    </row>
    <row r="717" spans="1:45">
      <c r="A717" s="277"/>
      <c r="B717" s="298" t="b">
        <v>0</v>
      </c>
      <c r="C717" s="278"/>
      <c r="D717" s="299" t="b">
        <v>0</v>
      </c>
      <c r="E717" s="277"/>
      <c r="F717" s="298" t="b">
        <v>0</v>
      </c>
      <c r="G717" s="278"/>
      <c r="H717" s="299" t="b">
        <v>0</v>
      </c>
      <c r="I717" s="277"/>
      <c r="J717" s="278"/>
      <c r="K717" s="277"/>
      <c r="L717" s="278"/>
      <c r="M717" s="277"/>
      <c r="N717" s="278"/>
      <c r="O717" s="277"/>
      <c r="P717" s="278"/>
      <c r="Q717" s="277"/>
      <c r="R717" s="278"/>
      <c r="S717" s="277"/>
      <c r="T717" s="278"/>
      <c r="U717" s="277"/>
      <c r="V717" s="278"/>
      <c r="W717" s="277"/>
      <c r="X717" s="278"/>
      <c r="Y717" s="277"/>
      <c r="Z717" s="278"/>
      <c r="AA717" s="277"/>
      <c r="AB717" s="278"/>
      <c r="AC717" s="277"/>
      <c r="AD717" s="278"/>
      <c r="AE717" s="277"/>
      <c r="AF717" s="278"/>
      <c r="AG717" s="277"/>
      <c r="AH717" s="278"/>
      <c r="AI717" s="277"/>
      <c r="AJ717" s="278"/>
      <c r="AK717" s="277"/>
      <c r="AL717" s="278"/>
      <c r="AM717" s="277"/>
      <c r="AN717" s="278"/>
      <c r="AO717" s="278"/>
      <c r="AP717" s="278"/>
      <c r="AQ717" s="278"/>
      <c r="AR717" s="278"/>
      <c r="AS717" s="278"/>
    </row>
    <row r="718" spans="1:45">
      <c r="A718" s="277"/>
      <c r="B718" s="298" t="b">
        <v>0</v>
      </c>
      <c r="C718" s="278"/>
      <c r="D718" s="299" t="b">
        <v>0</v>
      </c>
      <c r="E718" s="277"/>
      <c r="F718" s="298" t="b">
        <v>0</v>
      </c>
      <c r="G718" s="278"/>
      <c r="H718" s="299" t="b">
        <v>0</v>
      </c>
      <c r="I718" s="277"/>
      <c r="J718" s="278"/>
      <c r="K718" s="277"/>
      <c r="L718" s="278"/>
      <c r="M718" s="277"/>
      <c r="N718" s="278"/>
      <c r="O718" s="277"/>
      <c r="P718" s="278"/>
      <c r="Q718" s="277"/>
      <c r="R718" s="278"/>
      <c r="S718" s="277"/>
      <c r="T718" s="278"/>
      <c r="U718" s="277"/>
      <c r="V718" s="278"/>
      <c r="W718" s="277"/>
      <c r="X718" s="278"/>
      <c r="Y718" s="277"/>
      <c r="Z718" s="278"/>
      <c r="AA718" s="277"/>
      <c r="AB718" s="278"/>
      <c r="AC718" s="277"/>
      <c r="AD718" s="278"/>
      <c r="AE718" s="277"/>
      <c r="AF718" s="278"/>
      <c r="AG718" s="277"/>
      <c r="AH718" s="278"/>
      <c r="AI718" s="277"/>
      <c r="AJ718" s="278"/>
      <c r="AK718" s="277"/>
      <c r="AL718" s="278"/>
      <c r="AM718" s="277"/>
      <c r="AN718" s="278"/>
      <c r="AO718" s="278"/>
      <c r="AP718" s="278"/>
      <c r="AQ718" s="278"/>
      <c r="AR718" s="278"/>
      <c r="AS718" s="278"/>
    </row>
    <row r="719" spans="1:45">
      <c r="A719" s="277"/>
      <c r="B719" s="298" t="b">
        <v>0</v>
      </c>
      <c r="C719" s="278"/>
      <c r="D719" s="299" t="b">
        <v>0</v>
      </c>
      <c r="E719" s="277"/>
      <c r="F719" s="298" t="b">
        <v>0</v>
      </c>
      <c r="G719" s="278"/>
      <c r="H719" s="299" t="b">
        <v>0</v>
      </c>
      <c r="I719" s="277"/>
      <c r="J719" s="278"/>
      <c r="K719" s="277"/>
      <c r="L719" s="278"/>
      <c r="M719" s="277"/>
      <c r="N719" s="278"/>
      <c r="O719" s="277"/>
      <c r="P719" s="278"/>
      <c r="Q719" s="277"/>
      <c r="R719" s="278"/>
      <c r="S719" s="277"/>
      <c r="T719" s="278"/>
      <c r="U719" s="277"/>
      <c r="V719" s="278"/>
      <c r="W719" s="277"/>
      <c r="X719" s="278"/>
      <c r="Y719" s="277"/>
      <c r="Z719" s="278"/>
      <c r="AA719" s="277"/>
      <c r="AB719" s="278"/>
      <c r="AC719" s="277"/>
      <c r="AD719" s="278"/>
      <c r="AE719" s="277"/>
      <c r="AF719" s="278"/>
      <c r="AG719" s="277"/>
      <c r="AH719" s="278"/>
      <c r="AI719" s="277"/>
      <c r="AJ719" s="278"/>
      <c r="AK719" s="277"/>
      <c r="AL719" s="278"/>
      <c r="AM719" s="277"/>
      <c r="AN719" s="278"/>
      <c r="AO719" s="278"/>
      <c r="AP719" s="278"/>
      <c r="AQ719" s="278"/>
      <c r="AR719" s="278"/>
      <c r="AS719" s="278"/>
    </row>
    <row r="720" spans="1:45">
      <c r="A720" s="277"/>
      <c r="B720" s="298" t="b">
        <v>0</v>
      </c>
      <c r="C720" s="278"/>
      <c r="D720" s="299" t="b">
        <v>0</v>
      </c>
      <c r="E720" s="277"/>
      <c r="F720" s="298" t="b">
        <v>0</v>
      </c>
      <c r="G720" s="278"/>
      <c r="H720" s="299" t="b">
        <v>0</v>
      </c>
      <c r="I720" s="277"/>
      <c r="J720" s="278"/>
      <c r="K720" s="277"/>
      <c r="L720" s="278"/>
      <c r="M720" s="277"/>
      <c r="N720" s="278"/>
      <c r="O720" s="277"/>
      <c r="P720" s="278"/>
      <c r="Q720" s="277"/>
      <c r="R720" s="278"/>
      <c r="S720" s="277"/>
      <c r="T720" s="278"/>
      <c r="U720" s="277"/>
      <c r="V720" s="278"/>
      <c r="W720" s="277"/>
      <c r="X720" s="278"/>
      <c r="Y720" s="277"/>
      <c r="Z720" s="278"/>
      <c r="AA720" s="277"/>
      <c r="AB720" s="278"/>
      <c r="AC720" s="277"/>
      <c r="AD720" s="278"/>
      <c r="AE720" s="277"/>
      <c r="AF720" s="278"/>
      <c r="AG720" s="277"/>
      <c r="AH720" s="278"/>
      <c r="AI720" s="277"/>
      <c r="AJ720" s="278"/>
      <c r="AK720" s="277"/>
      <c r="AL720" s="278"/>
      <c r="AM720" s="277"/>
      <c r="AN720" s="278"/>
      <c r="AO720" s="278"/>
      <c r="AP720" s="278"/>
      <c r="AQ720" s="278"/>
      <c r="AR720" s="278"/>
      <c r="AS720" s="278"/>
    </row>
    <row r="721" spans="1:45">
      <c r="A721" s="277"/>
      <c r="B721" s="298" t="b">
        <v>0</v>
      </c>
      <c r="C721" s="278"/>
      <c r="D721" s="299" t="b">
        <v>0</v>
      </c>
      <c r="E721" s="277"/>
      <c r="F721" s="298" t="b">
        <v>0</v>
      </c>
      <c r="G721" s="278"/>
      <c r="H721" s="299" t="b">
        <v>0</v>
      </c>
      <c r="I721" s="277"/>
      <c r="J721" s="278"/>
      <c r="K721" s="277"/>
      <c r="L721" s="278"/>
      <c r="M721" s="277"/>
      <c r="N721" s="278"/>
      <c r="O721" s="277"/>
      <c r="P721" s="278"/>
      <c r="Q721" s="277"/>
      <c r="R721" s="278"/>
      <c r="S721" s="277"/>
      <c r="T721" s="278"/>
      <c r="U721" s="277"/>
      <c r="V721" s="278"/>
      <c r="W721" s="277"/>
      <c r="X721" s="278"/>
      <c r="Y721" s="277"/>
      <c r="Z721" s="278"/>
      <c r="AA721" s="277"/>
      <c r="AB721" s="278"/>
      <c r="AC721" s="277"/>
      <c r="AD721" s="278"/>
      <c r="AE721" s="277"/>
      <c r="AF721" s="278"/>
      <c r="AG721" s="277"/>
      <c r="AH721" s="278"/>
      <c r="AI721" s="277"/>
      <c r="AJ721" s="278"/>
      <c r="AK721" s="277"/>
      <c r="AL721" s="278"/>
      <c r="AM721" s="277"/>
      <c r="AN721" s="278"/>
      <c r="AO721" s="278"/>
      <c r="AP721" s="278"/>
      <c r="AQ721" s="278"/>
      <c r="AR721" s="278"/>
      <c r="AS721" s="278"/>
    </row>
    <row r="722" spans="1:45">
      <c r="A722" s="277"/>
      <c r="B722" s="298" t="b">
        <v>0</v>
      </c>
      <c r="C722" s="278"/>
      <c r="D722" s="299" t="b">
        <v>0</v>
      </c>
      <c r="E722" s="277"/>
      <c r="F722" s="298" t="b">
        <v>0</v>
      </c>
      <c r="G722" s="278"/>
      <c r="H722" s="299" t="b">
        <v>0</v>
      </c>
      <c r="I722" s="277"/>
      <c r="J722" s="278"/>
      <c r="K722" s="277"/>
      <c r="L722" s="278"/>
      <c r="M722" s="277"/>
      <c r="N722" s="278"/>
      <c r="O722" s="277"/>
      <c r="P722" s="278"/>
      <c r="Q722" s="277"/>
      <c r="R722" s="278"/>
      <c r="S722" s="277"/>
      <c r="T722" s="278"/>
      <c r="U722" s="277"/>
      <c r="V722" s="278"/>
      <c r="W722" s="277"/>
      <c r="X722" s="278"/>
      <c r="Y722" s="277"/>
      <c r="Z722" s="278"/>
      <c r="AA722" s="277"/>
      <c r="AB722" s="278"/>
      <c r="AC722" s="277"/>
      <c r="AD722" s="278"/>
      <c r="AE722" s="277"/>
      <c r="AF722" s="278"/>
      <c r="AG722" s="277"/>
      <c r="AH722" s="278"/>
      <c r="AI722" s="277"/>
      <c r="AJ722" s="278"/>
      <c r="AK722" s="277"/>
      <c r="AL722" s="278"/>
      <c r="AM722" s="277"/>
      <c r="AN722" s="278"/>
      <c r="AO722" s="278"/>
      <c r="AP722" s="278"/>
      <c r="AQ722" s="278"/>
      <c r="AR722" s="278"/>
      <c r="AS722" s="278"/>
    </row>
    <row r="723" spans="1:45">
      <c r="A723" s="277"/>
      <c r="B723" s="298" t="b">
        <v>0</v>
      </c>
      <c r="C723" s="278"/>
      <c r="D723" s="299" t="b">
        <v>0</v>
      </c>
      <c r="E723" s="277"/>
      <c r="F723" s="298" t="b">
        <v>0</v>
      </c>
      <c r="G723" s="278"/>
      <c r="H723" s="299" t="b">
        <v>0</v>
      </c>
      <c r="I723" s="277"/>
      <c r="J723" s="278"/>
      <c r="K723" s="277"/>
      <c r="L723" s="278"/>
      <c r="M723" s="277"/>
      <c r="N723" s="278"/>
      <c r="O723" s="277"/>
      <c r="P723" s="278"/>
      <c r="Q723" s="277"/>
      <c r="R723" s="278"/>
      <c r="S723" s="277"/>
      <c r="T723" s="278"/>
      <c r="U723" s="277"/>
      <c r="V723" s="278"/>
      <c r="W723" s="277"/>
      <c r="X723" s="278"/>
      <c r="Y723" s="277"/>
      <c r="Z723" s="278"/>
      <c r="AA723" s="277"/>
      <c r="AB723" s="278"/>
      <c r="AC723" s="277"/>
      <c r="AD723" s="278"/>
      <c r="AE723" s="277"/>
      <c r="AF723" s="278"/>
      <c r="AG723" s="277"/>
      <c r="AH723" s="278"/>
      <c r="AI723" s="277"/>
      <c r="AJ723" s="278"/>
      <c r="AK723" s="277"/>
      <c r="AL723" s="278"/>
      <c r="AM723" s="277"/>
      <c r="AN723" s="278"/>
      <c r="AO723" s="278"/>
      <c r="AP723" s="278"/>
      <c r="AQ723" s="278"/>
      <c r="AR723" s="278"/>
      <c r="AS723" s="278"/>
    </row>
    <row r="724" spans="1:45">
      <c r="A724" s="277"/>
      <c r="B724" s="298" t="b">
        <v>0</v>
      </c>
      <c r="C724" s="278"/>
      <c r="D724" s="299" t="b">
        <v>0</v>
      </c>
      <c r="E724" s="277"/>
      <c r="F724" s="298" t="b">
        <v>0</v>
      </c>
      <c r="G724" s="278"/>
      <c r="H724" s="299" t="b">
        <v>0</v>
      </c>
      <c r="I724" s="277"/>
      <c r="J724" s="278"/>
      <c r="K724" s="277"/>
      <c r="L724" s="278"/>
      <c r="M724" s="277"/>
      <c r="N724" s="278"/>
      <c r="O724" s="277"/>
      <c r="P724" s="278"/>
      <c r="Q724" s="277"/>
      <c r="R724" s="278"/>
      <c r="S724" s="277"/>
      <c r="T724" s="278"/>
      <c r="U724" s="277"/>
      <c r="V724" s="278"/>
      <c r="W724" s="277"/>
      <c r="X724" s="278"/>
      <c r="Y724" s="277"/>
      <c r="Z724" s="278"/>
      <c r="AA724" s="277"/>
      <c r="AB724" s="278"/>
      <c r="AC724" s="277"/>
      <c r="AD724" s="278"/>
      <c r="AE724" s="277"/>
      <c r="AF724" s="278"/>
      <c r="AG724" s="277"/>
      <c r="AH724" s="278"/>
      <c r="AI724" s="277"/>
      <c r="AJ724" s="278"/>
      <c r="AK724" s="277"/>
      <c r="AL724" s="278"/>
      <c r="AM724" s="277"/>
      <c r="AN724" s="278"/>
      <c r="AO724" s="278"/>
      <c r="AP724" s="278"/>
      <c r="AQ724" s="278"/>
      <c r="AR724" s="278"/>
      <c r="AS724" s="278"/>
    </row>
    <row r="725" spans="1:45">
      <c r="A725" s="277"/>
      <c r="B725" s="298" t="b">
        <v>0</v>
      </c>
      <c r="C725" s="278"/>
      <c r="D725" s="299" t="b">
        <v>0</v>
      </c>
      <c r="E725" s="277"/>
      <c r="F725" s="298" t="b">
        <v>0</v>
      </c>
      <c r="G725" s="278"/>
      <c r="H725" s="299" t="b">
        <v>0</v>
      </c>
      <c r="I725" s="277"/>
      <c r="J725" s="278"/>
      <c r="K725" s="277"/>
      <c r="L725" s="278"/>
      <c r="M725" s="277"/>
      <c r="N725" s="278"/>
      <c r="O725" s="277"/>
      <c r="P725" s="278"/>
      <c r="Q725" s="277"/>
      <c r="R725" s="278"/>
      <c r="S725" s="277"/>
      <c r="T725" s="278"/>
      <c r="U725" s="277"/>
      <c r="V725" s="278"/>
      <c r="W725" s="277"/>
      <c r="X725" s="278"/>
      <c r="Y725" s="277"/>
      <c r="Z725" s="278"/>
      <c r="AA725" s="277"/>
      <c r="AB725" s="278"/>
      <c r="AC725" s="277"/>
      <c r="AD725" s="278"/>
      <c r="AE725" s="277"/>
      <c r="AF725" s="278"/>
      <c r="AG725" s="277"/>
      <c r="AH725" s="278"/>
      <c r="AI725" s="277"/>
      <c r="AJ725" s="278"/>
      <c r="AK725" s="277"/>
      <c r="AL725" s="278"/>
      <c r="AM725" s="277"/>
      <c r="AN725" s="278"/>
      <c r="AO725" s="278"/>
      <c r="AP725" s="278"/>
      <c r="AQ725" s="278"/>
      <c r="AR725" s="278"/>
      <c r="AS725" s="278"/>
    </row>
    <row r="726" spans="1:45">
      <c r="A726" s="277"/>
      <c r="B726" s="298" t="b">
        <v>0</v>
      </c>
      <c r="C726" s="278"/>
      <c r="D726" s="299" t="b">
        <v>0</v>
      </c>
      <c r="E726" s="277"/>
      <c r="F726" s="298" t="b">
        <v>0</v>
      </c>
      <c r="G726" s="278"/>
      <c r="H726" s="299" t="b">
        <v>0</v>
      </c>
      <c r="I726" s="277"/>
      <c r="J726" s="278"/>
      <c r="K726" s="277"/>
      <c r="L726" s="278"/>
      <c r="M726" s="277"/>
      <c r="N726" s="278"/>
      <c r="O726" s="277"/>
      <c r="P726" s="278"/>
      <c r="Q726" s="277"/>
      <c r="R726" s="278"/>
      <c r="S726" s="277"/>
      <c r="T726" s="278"/>
      <c r="U726" s="277"/>
      <c r="V726" s="278"/>
      <c r="W726" s="277"/>
      <c r="X726" s="278"/>
      <c r="Y726" s="277"/>
      <c r="Z726" s="278"/>
      <c r="AA726" s="277"/>
      <c r="AB726" s="278"/>
      <c r="AC726" s="277"/>
      <c r="AD726" s="278"/>
      <c r="AE726" s="277"/>
      <c r="AF726" s="278"/>
      <c r="AG726" s="277"/>
      <c r="AH726" s="278"/>
      <c r="AI726" s="277"/>
      <c r="AJ726" s="278"/>
      <c r="AK726" s="277"/>
      <c r="AL726" s="278"/>
      <c r="AM726" s="277"/>
      <c r="AN726" s="278"/>
      <c r="AO726" s="278"/>
      <c r="AP726" s="278"/>
      <c r="AQ726" s="278"/>
      <c r="AR726" s="278"/>
      <c r="AS726" s="278"/>
    </row>
    <row r="727" spans="1:45">
      <c r="A727" s="277"/>
      <c r="B727" s="298" t="b">
        <v>0</v>
      </c>
      <c r="C727" s="278"/>
      <c r="D727" s="299" t="b">
        <v>0</v>
      </c>
      <c r="E727" s="277"/>
      <c r="F727" s="298" t="b">
        <v>0</v>
      </c>
      <c r="G727" s="278"/>
      <c r="H727" s="299" t="b">
        <v>0</v>
      </c>
      <c r="I727" s="277"/>
      <c r="J727" s="278"/>
      <c r="K727" s="277"/>
      <c r="L727" s="278"/>
      <c r="M727" s="277"/>
      <c r="N727" s="278"/>
      <c r="O727" s="277"/>
      <c r="P727" s="278"/>
      <c r="Q727" s="277"/>
      <c r="R727" s="278"/>
      <c r="S727" s="277"/>
      <c r="T727" s="278"/>
      <c r="U727" s="277"/>
      <c r="V727" s="278"/>
      <c r="W727" s="277"/>
      <c r="X727" s="278"/>
      <c r="Y727" s="277"/>
      <c r="Z727" s="278"/>
      <c r="AA727" s="277"/>
      <c r="AB727" s="278"/>
      <c r="AC727" s="277"/>
      <c r="AD727" s="278"/>
      <c r="AE727" s="277"/>
      <c r="AF727" s="278"/>
      <c r="AG727" s="277"/>
      <c r="AH727" s="278"/>
      <c r="AI727" s="277"/>
      <c r="AJ727" s="278"/>
      <c r="AK727" s="277"/>
      <c r="AL727" s="278"/>
      <c r="AM727" s="277"/>
      <c r="AN727" s="278"/>
      <c r="AO727" s="278"/>
      <c r="AP727" s="278"/>
      <c r="AQ727" s="278"/>
      <c r="AR727" s="278"/>
      <c r="AS727" s="278"/>
    </row>
    <row r="728" spans="1:45">
      <c r="A728" s="277"/>
      <c r="B728" s="298" t="b">
        <v>0</v>
      </c>
      <c r="C728" s="278"/>
      <c r="D728" s="299" t="b">
        <v>0</v>
      </c>
      <c r="E728" s="277"/>
      <c r="F728" s="298" t="b">
        <v>0</v>
      </c>
      <c r="G728" s="278"/>
      <c r="H728" s="299" t="b">
        <v>0</v>
      </c>
      <c r="I728" s="277"/>
      <c r="J728" s="278"/>
      <c r="K728" s="277"/>
      <c r="L728" s="278"/>
      <c r="M728" s="277"/>
      <c r="N728" s="278"/>
      <c r="O728" s="277"/>
      <c r="P728" s="278"/>
      <c r="Q728" s="277"/>
      <c r="R728" s="278"/>
      <c r="S728" s="277"/>
      <c r="T728" s="278"/>
      <c r="U728" s="277"/>
      <c r="V728" s="278"/>
      <c r="W728" s="277"/>
      <c r="X728" s="278"/>
      <c r="Y728" s="277"/>
      <c r="Z728" s="278"/>
      <c r="AA728" s="277"/>
      <c r="AB728" s="278"/>
      <c r="AC728" s="277"/>
      <c r="AD728" s="278"/>
      <c r="AE728" s="277"/>
      <c r="AF728" s="278"/>
      <c r="AG728" s="277"/>
      <c r="AH728" s="278"/>
      <c r="AI728" s="277"/>
      <c r="AJ728" s="278"/>
      <c r="AK728" s="277"/>
      <c r="AL728" s="278"/>
      <c r="AM728" s="277"/>
      <c r="AN728" s="278"/>
      <c r="AO728" s="278"/>
      <c r="AP728" s="278"/>
      <c r="AQ728" s="278"/>
      <c r="AR728" s="278"/>
      <c r="AS728" s="278"/>
    </row>
    <row r="729" spans="1:45">
      <c r="A729" s="277"/>
      <c r="B729" s="298" t="b">
        <v>0</v>
      </c>
      <c r="C729" s="278"/>
      <c r="D729" s="299" t="b">
        <v>0</v>
      </c>
      <c r="E729" s="277"/>
      <c r="F729" s="298" t="b">
        <v>0</v>
      </c>
      <c r="G729" s="278"/>
      <c r="H729" s="299" t="b">
        <v>0</v>
      </c>
      <c r="I729" s="277"/>
      <c r="J729" s="278"/>
      <c r="K729" s="277"/>
      <c r="L729" s="278"/>
      <c r="M729" s="277"/>
      <c r="N729" s="278"/>
      <c r="O729" s="277"/>
      <c r="P729" s="278"/>
      <c r="Q729" s="277"/>
      <c r="R729" s="278"/>
      <c r="S729" s="277"/>
      <c r="T729" s="278"/>
      <c r="U729" s="277"/>
      <c r="V729" s="278"/>
      <c r="W729" s="277"/>
      <c r="X729" s="278"/>
      <c r="Y729" s="277"/>
      <c r="Z729" s="278"/>
      <c r="AA729" s="277"/>
      <c r="AB729" s="278"/>
      <c r="AC729" s="277"/>
      <c r="AD729" s="278"/>
      <c r="AE729" s="277"/>
      <c r="AF729" s="278"/>
      <c r="AG729" s="277"/>
      <c r="AH729" s="278"/>
      <c r="AI729" s="277"/>
      <c r="AJ729" s="278"/>
      <c r="AK729" s="277"/>
      <c r="AL729" s="278"/>
      <c r="AM729" s="277"/>
      <c r="AN729" s="278"/>
      <c r="AO729" s="278"/>
      <c r="AP729" s="278"/>
      <c r="AQ729" s="278"/>
      <c r="AR729" s="278"/>
      <c r="AS729" s="278"/>
    </row>
    <row r="730" spans="1:45">
      <c r="A730" s="277"/>
      <c r="B730" s="298" t="b">
        <v>0</v>
      </c>
      <c r="C730" s="278"/>
      <c r="D730" s="299" t="b">
        <v>0</v>
      </c>
      <c r="E730" s="277"/>
      <c r="F730" s="298" t="b">
        <v>0</v>
      </c>
      <c r="G730" s="278"/>
      <c r="H730" s="299" t="b">
        <v>0</v>
      </c>
      <c r="I730" s="277"/>
      <c r="J730" s="278"/>
      <c r="K730" s="277"/>
      <c r="L730" s="278"/>
      <c r="M730" s="277"/>
      <c r="N730" s="278"/>
      <c r="O730" s="277"/>
      <c r="P730" s="278"/>
      <c r="Q730" s="277"/>
      <c r="R730" s="278"/>
      <c r="S730" s="277"/>
      <c r="T730" s="278"/>
      <c r="U730" s="277"/>
      <c r="V730" s="278"/>
      <c r="W730" s="277"/>
      <c r="X730" s="278"/>
      <c r="Y730" s="277"/>
      <c r="Z730" s="278"/>
      <c r="AA730" s="277"/>
      <c r="AB730" s="278"/>
      <c r="AC730" s="277"/>
      <c r="AD730" s="278"/>
      <c r="AE730" s="277"/>
      <c r="AF730" s="278"/>
      <c r="AG730" s="277"/>
      <c r="AH730" s="278"/>
      <c r="AI730" s="277"/>
      <c r="AJ730" s="278"/>
      <c r="AK730" s="277"/>
      <c r="AL730" s="278"/>
      <c r="AM730" s="277"/>
      <c r="AN730" s="278"/>
      <c r="AO730" s="278"/>
      <c r="AP730" s="278"/>
      <c r="AQ730" s="278"/>
      <c r="AR730" s="278"/>
      <c r="AS730" s="278"/>
    </row>
    <row r="731" spans="1:45">
      <c r="A731" s="277"/>
      <c r="B731" s="298" t="b">
        <v>0</v>
      </c>
      <c r="C731" s="278"/>
      <c r="D731" s="299" t="b">
        <v>0</v>
      </c>
      <c r="E731" s="277"/>
      <c r="F731" s="298" t="b">
        <v>0</v>
      </c>
      <c r="G731" s="278"/>
      <c r="H731" s="299" t="b">
        <v>0</v>
      </c>
      <c r="I731" s="277"/>
      <c r="J731" s="278"/>
      <c r="K731" s="277"/>
      <c r="L731" s="278"/>
      <c r="M731" s="277"/>
      <c r="N731" s="278"/>
      <c r="O731" s="277"/>
      <c r="P731" s="278"/>
      <c r="Q731" s="277"/>
      <c r="R731" s="278"/>
      <c r="S731" s="277"/>
      <c r="T731" s="278"/>
      <c r="U731" s="277"/>
      <c r="V731" s="278"/>
      <c r="W731" s="277"/>
      <c r="X731" s="278"/>
      <c r="Y731" s="277"/>
      <c r="Z731" s="278"/>
      <c r="AA731" s="277"/>
      <c r="AB731" s="278"/>
      <c r="AC731" s="277"/>
      <c r="AD731" s="278"/>
      <c r="AE731" s="277"/>
      <c r="AF731" s="278"/>
      <c r="AG731" s="277"/>
      <c r="AH731" s="278"/>
      <c r="AI731" s="277"/>
      <c r="AJ731" s="278"/>
      <c r="AK731" s="277"/>
      <c r="AL731" s="278"/>
      <c r="AM731" s="277"/>
      <c r="AN731" s="278"/>
      <c r="AO731" s="278"/>
      <c r="AP731" s="278"/>
      <c r="AQ731" s="278"/>
      <c r="AR731" s="278"/>
      <c r="AS731" s="278"/>
    </row>
    <row r="732" spans="1:45">
      <c r="A732" s="277"/>
      <c r="B732" s="298" t="b">
        <v>0</v>
      </c>
      <c r="C732" s="278"/>
      <c r="D732" s="299" t="b">
        <v>0</v>
      </c>
      <c r="E732" s="277"/>
      <c r="F732" s="298" t="b">
        <v>0</v>
      </c>
      <c r="G732" s="278"/>
      <c r="H732" s="299" t="b">
        <v>0</v>
      </c>
      <c r="I732" s="277"/>
      <c r="J732" s="278"/>
      <c r="K732" s="277"/>
      <c r="L732" s="278"/>
      <c r="M732" s="277"/>
      <c r="N732" s="278"/>
      <c r="O732" s="277"/>
      <c r="P732" s="278"/>
      <c r="Q732" s="277"/>
      <c r="R732" s="278"/>
      <c r="S732" s="277"/>
      <c r="T732" s="278"/>
      <c r="U732" s="277"/>
      <c r="V732" s="278"/>
      <c r="W732" s="277"/>
      <c r="X732" s="278"/>
      <c r="Y732" s="277"/>
      <c r="Z732" s="278"/>
      <c r="AA732" s="277"/>
      <c r="AB732" s="278"/>
      <c r="AC732" s="277"/>
      <c r="AD732" s="278"/>
      <c r="AE732" s="277"/>
      <c r="AF732" s="278"/>
      <c r="AG732" s="277"/>
      <c r="AH732" s="278"/>
      <c r="AI732" s="277"/>
      <c r="AJ732" s="278"/>
      <c r="AK732" s="277"/>
      <c r="AL732" s="278"/>
      <c r="AM732" s="277"/>
      <c r="AN732" s="278"/>
      <c r="AO732" s="278"/>
      <c r="AP732" s="278"/>
      <c r="AQ732" s="278"/>
      <c r="AR732" s="278"/>
      <c r="AS732" s="278"/>
    </row>
    <row r="733" spans="1:45">
      <c r="A733" s="277"/>
      <c r="B733" s="298" t="b">
        <v>0</v>
      </c>
      <c r="C733" s="278"/>
      <c r="D733" s="299" t="b">
        <v>0</v>
      </c>
      <c r="E733" s="277"/>
      <c r="F733" s="298" t="b">
        <v>0</v>
      </c>
      <c r="G733" s="278"/>
      <c r="H733" s="299" t="b">
        <v>0</v>
      </c>
      <c r="I733" s="277"/>
      <c r="J733" s="278"/>
      <c r="K733" s="277"/>
      <c r="L733" s="278"/>
      <c r="M733" s="277"/>
      <c r="N733" s="278"/>
      <c r="O733" s="277"/>
      <c r="P733" s="278"/>
      <c r="Q733" s="277"/>
      <c r="R733" s="278"/>
      <c r="S733" s="277"/>
      <c r="T733" s="278"/>
      <c r="U733" s="277"/>
      <c r="V733" s="278"/>
      <c r="W733" s="277"/>
      <c r="X733" s="278"/>
      <c r="Y733" s="277"/>
      <c r="Z733" s="278"/>
      <c r="AA733" s="277"/>
      <c r="AB733" s="278"/>
      <c r="AC733" s="277"/>
      <c r="AD733" s="278"/>
      <c r="AE733" s="277"/>
      <c r="AF733" s="278"/>
      <c r="AG733" s="277"/>
      <c r="AH733" s="278"/>
      <c r="AI733" s="277"/>
      <c r="AJ733" s="278"/>
      <c r="AK733" s="277"/>
      <c r="AL733" s="278"/>
      <c r="AM733" s="277"/>
      <c r="AN733" s="278"/>
      <c r="AO733" s="278"/>
      <c r="AP733" s="278"/>
      <c r="AQ733" s="278"/>
      <c r="AR733" s="278"/>
      <c r="AS733" s="278"/>
    </row>
    <row r="734" spans="1:45">
      <c r="A734" s="277"/>
      <c r="B734" s="298" t="b">
        <v>0</v>
      </c>
      <c r="C734" s="278"/>
      <c r="D734" s="299" t="b">
        <v>0</v>
      </c>
      <c r="E734" s="277"/>
      <c r="F734" s="298" t="b">
        <v>0</v>
      </c>
      <c r="G734" s="278"/>
      <c r="H734" s="299" t="b">
        <v>0</v>
      </c>
      <c r="I734" s="277"/>
      <c r="J734" s="278"/>
      <c r="K734" s="277"/>
      <c r="L734" s="278"/>
      <c r="M734" s="277"/>
      <c r="N734" s="278"/>
      <c r="O734" s="277"/>
      <c r="P734" s="278"/>
      <c r="Q734" s="277"/>
      <c r="R734" s="278"/>
      <c r="S734" s="277"/>
      <c r="T734" s="278"/>
      <c r="U734" s="277"/>
      <c r="V734" s="278"/>
      <c r="W734" s="277"/>
      <c r="X734" s="278"/>
      <c r="Y734" s="277"/>
      <c r="Z734" s="278"/>
      <c r="AA734" s="277"/>
      <c r="AB734" s="278"/>
      <c r="AC734" s="277"/>
      <c r="AD734" s="278"/>
      <c r="AE734" s="277"/>
      <c r="AF734" s="278"/>
      <c r="AG734" s="277"/>
      <c r="AH734" s="278"/>
      <c r="AI734" s="277"/>
      <c r="AJ734" s="278"/>
      <c r="AK734" s="277"/>
      <c r="AL734" s="278"/>
      <c r="AM734" s="277"/>
      <c r="AN734" s="278"/>
      <c r="AO734" s="278"/>
      <c r="AP734" s="278"/>
      <c r="AQ734" s="278"/>
      <c r="AR734" s="278"/>
      <c r="AS734" s="278"/>
    </row>
    <row r="735" spans="1:45">
      <c r="A735" s="277"/>
      <c r="B735" s="298" t="b">
        <v>0</v>
      </c>
      <c r="C735" s="278"/>
      <c r="D735" s="299" t="b">
        <v>0</v>
      </c>
      <c r="E735" s="277"/>
      <c r="F735" s="298" t="b">
        <v>0</v>
      </c>
      <c r="G735" s="278"/>
      <c r="H735" s="299" t="b">
        <v>0</v>
      </c>
      <c r="I735" s="277"/>
      <c r="J735" s="278"/>
      <c r="K735" s="277"/>
      <c r="L735" s="278"/>
      <c r="M735" s="277"/>
      <c r="N735" s="278"/>
      <c r="O735" s="277"/>
      <c r="P735" s="278"/>
      <c r="Q735" s="277"/>
      <c r="R735" s="278"/>
      <c r="S735" s="277"/>
      <c r="T735" s="278"/>
      <c r="U735" s="277"/>
      <c r="V735" s="278"/>
      <c r="W735" s="277"/>
      <c r="X735" s="278"/>
      <c r="Y735" s="277"/>
      <c r="Z735" s="278"/>
      <c r="AA735" s="277"/>
      <c r="AB735" s="278"/>
      <c r="AC735" s="277"/>
      <c r="AD735" s="278"/>
      <c r="AE735" s="277"/>
      <c r="AF735" s="278"/>
      <c r="AG735" s="277"/>
      <c r="AH735" s="278"/>
      <c r="AI735" s="277"/>
      <c r="AJ735" s="278"/>
      <c r="AK735" s="277"/>
      <c r="AL735" s="278"/>
      <c r="AM735" s="277"/>
      <c r="AN735" s="278"/>
      <c r="AO735" s="278"/>
      <c r="AP735" s="278"/>
      <c r="AQ735" s="278"/>
      <c r="AR735" s="278"/>
      <c r="AS735" s="278"/>
    </row>
    <row r="736" spans="1:45">
      <c r="A736" s="277"/>
      <c r="B736" s="298" t="b">
        <v>0</v>
      </c>
      <c r="C736" s="278"/>
      <c r="D736" s="299" t="b">
        <v>0</v>
      </c>
      <c r="E736" s="277"/>
      <c r="F736" s="298" t="b">
        <v>0</v>
      </c>
      <c r="G736" s="278"/>
      <c r="H736" s="299" t="b">
        <v>0</v>
      </c>
      <c r="I736" s="277"/>
      <c r="J736" s="278"/>
      <c r="K736" s="277"/>
      <c r="L736" s="278"/>
      <c r="M736" s="277"/>
      <c r="N736" s="278"/>
      <c r="O736" s="277"/>
      <c r="P736" s="278"/>
      <c r="Q736" s="277"/>
      <c r="R736" s="278"/>
      <c r="S736" s="277"/>
      <c r="T736" s="278"/>
      <c r="U736" s="277"/>
      <c r="V736" s="278"/>
      <c r="W736" s="277"/>
      <c r="X736" s="278"/>
      <c r="Y736" s="277"/>
      <c r="Z736" s="278"/>
      <c r="AA736" s="277"/>
      <c r="AB736" s="278"/>
      <c r="AC736" s="277"/>
      <c r="AD736" s="278"/>
      <c r="AE736" s="277"/>
      <c r="AF736" s="278"/>
      <c r="AG736" s="277"/>
      <c r="AH736" s="278"/>
      <c r="AI736" s="277"/>
      <c r="AJ736" s="278"/>
      <c r="AK736" s="277"/>
      <c r="AL736" s="278"/>
      <c r="AM736" s="277"/>
      <c r="AN736" s="278"/>
      <c r="AO736" s="278"/>
      <c r="AP736" s="278"/>
      <c r="AQ736" s="278"/>
      <c r="AR736" s="278"/>
      <c r="AS736" s="278"/>
    </row>
    <row r="737" spans="1:45">
      <c r="A737" s="277"/>
      <c r="B737" s="298" t="b">
        <v>0</v>
      </c>
      <c r="C737" s="278"/>
      <c r="D737" s="299" t="b">
        <v>0</v>
      </c>
      <c r="E737" s="277"/>
      <c r="F737" s="298" t="b">
        <v>0</v>
      </c>
      <c r="G737" s="278"/>
      <c r="H737" s="299" t="b">
        <v>0</v>
      </c>
      <c r="I737" s="277"/>
      <c r="J737" s="278"/>
      <c r="K737" s="277"/>
      <c r="L737" s="278"/>
      <c r="M737" s="277"/>
      <c r="N737" s="278"/>
      <c r="O737" s="277"/>
      <c r="P737" s="278"/>
      <c r="Q737" s="277"/>
      <c r="R737" s="278"/>
      <c r="S737" s="277"/>
      <c r="T737" s="278"/>
      <c r="U737" s="277"/>
      <c r="V737" s="278"/>
      <c r="W737" s="277"/>
      <c r="X737" s="278"/>
      <c r="Y737" s="277"/>
      <c r="Z737" s="278"/>
      <c r="AA737" s="277"/>
      <c r="AB737" s="278"/>
      <c r="AC737" s="277"/>
      <c r="AD737" s="278"/>
      <c r="AE737" s="277"/>
      <c r="AF737" s="278"/>
      <c r="AG737" s="277"/>
      <c r="AH737" s="278"/>
      <c r="AI737" s="277"/>
      <c r="AJ737" s="278"/>
      <c r="AK737" s="277"/>
      <c r="AL737" s="278"/>
      <c r="AM737" s="277"/>
      <c r="AN737" s="278"/>
      <c r="AO737" s="278"/>
      <c r="AP737" s="278"/>
      <c r="AQ737" s="278"/>
      <c r="AR737" s="278"/>
      <c r="AS737" s="278"/>
    </row>
    <row r="738" spans="1:45">
      <c r="A738" s="277"/>
      <c r="B738" s="298" t="b">
        <v>0</v>
      </c>
      <c r="C738" s="278"/>
      <c r="D738" s="299" t="b">
        <v>0</v>
      </c>
      <c r="E738" s="277"/>
      <c r="F738" s="298" t="b">
        <v>0</v>
      </c>
      <c r="G738" s="278"/>
      <c r="H738" s="299" t="b">
        <v>0</v>
      </c>
      <c r="I738" s="277"/>
      <c r="J738" s="278"/>
      <c r="K738" s="277"/>
      <c r="L738" s="278"/>
      <c r="M738" s="277"/>
      <c r="N738" s="278"/>
      <c r="O738" s="277"/>
      <c r="P738" s="278"/>
      <c r="Q738" s="277"/>
      <c r="R738" s="278"/>
      <c r="S738" s="277"/>
      <c r="T738" s="278"/>
      <c r="U738" s="277"/>
      <c r="V738" s="278"/>
      <c r="W738" s="277"/>
      <c r="X738" s="278"/>
      <c r="Y738" s="277"/>
      <c r="Z738" s="278"/>
      <c r="AA738" s="277"/>
      <c r="AB738" s="278"/>
      <c r="AC738" s="277"/>
      <c r="AD738" s="278"/>
      <c r="AE738" s="277"/>
      <c r="AF738" s="278"/>
      <c r="AG738" s="277"/>
      <c r="AH738" s="278"/>
      <c r="AI738" s="277"/>
      <c r="AJ738" s="278"/>
      <c r="AK738" s="277"/>
      <c r="AL738" s="278"/>
      <c r="AM738" s="277"/>
      <c r="AN738" s="278"/>
      <c r="AO738" s="278"/>
      <c r="AP738" s="278"/>
      <c r="AQ738" s="278"/>
      <c r="AR738" s="278"/>
      <c r="AS738" s="278"/>
    </row>
    <row r="739" spans="1:45">
      <c r="A739" s="277"/>
      <c r="B739" s="298" t="b">
        <v>0</v>
      </c>
      <c r="C739" s="278"/>
      <c r="D739" s="299" t="b">
        <v>0</v>
      </c>
      <c r="E739" s="277"/>
      <c r="F739" s="298" t="b">
        <v>0</v>
      </c>
      <c r="G739" s="278"/>
      <c r="H739" s="299" t="b">
        <v>0</v>
      </c>
      <c r="I739" s="277"/>
      <c r="J739" s="278"/>
      <c r="K739" s="277"/>
      <c r="L739" s="278"/>
      <c r="M739" s="277"/>
      <c r="N739" s="278"/>
      <c r="O739" s="277"/>
      <c r="P739" s="278"/>
      <c r="Q739" s="277"/>
      <c r="R739" s="278"/>
      <c r="S739" s="277"/>
      <c r="T739" s="278"/>
      <c r="U739" s="277"/>
      <c r="V739" s="278"/>
      <c r="W739" s="277"/>
      <c r="X739" s="278"/>
      <c r="Y739" s="277"/>
      <c r="Z739" s="278"/>
      <c r="AA739" s="277"/>
      <c r="AB739" s="278"/>
      <c r="AC739" s="277"/>
      <c r="AD739" s="278"/>
      <c r="AE739" s="277"/>
      <c r="AF739" s="278"/>
      <c r="AG739" s="277"/>
      <c r="AH739" s="278"/>
      <c r="AI739" s="277"/>
      <c r="AJ739" s="278"/>
      <c r="AK739" s="277"/>
      <c r="AL739" s="278"/>
      <c r="AM739" s="277"/>
      <c r="AN739" s="278"/>
      <c r="AO739" s="278"/>
      <c r="AP739" s="278"/>
      <c r="AQ739" s="278"/>
      <c r="AR739" s="278"/>
      <c r="AS739" s="278"/>
    </row>
    <row r="740" spans="1:45">
      <c r="A740" s="277"/>
      <c r="B740" s="298" t="b">
        <v>0</v>
      </c>
      <c r="C740" s="278"/>
      <c r="D740" s="299" t="b">
        <v>0</v>
      </c>
      <c r="E740" s="277"/>
      <c r="F740" s="298" t="b">
        <v>0</v>
      </c>
      <c r="G740" s="278"/>
      <c r="H740" s="299" t="b">
        <v>0</v>
      </c>
      <c r="I740" s="277"/>
      <c r="J740" s="278"/>
      <c r="K740" s="277"/>
      <c r="L740" s="278"/>
      <c r="M740" s="277"/>
      <c r="N740" s="278"/>
      <c r="O740" s="277"/>
      <c r="P740" s="278"/>
      <c r="Q740" s="277"/>
      <c r="R740" s="278"/>
      <c r="S740" s="277"/>
      <c r="T740" s="278"/>
      <c r="U740" s="277"/>
      <c r="V740" s="278"/>
      <c r="W740" s="277"/>
      <c r="X740" s="278"/>
      <c r="Y740" s="277"/>
      <c r="Z740" s="278"/>
      <c r="AA740" s="277"/>
      <c r="AB740" s="278"/>
      <c r="AC740" s="277"/>
      <c r="AD740" s="278"/>
      <c r="AE740" s="277"/>
      <c r="AF740" s="278"/>
      <c r="AG740" s="277"/>
      <c r="AH740" s="278"/>
      <c r="AI740" s="277"/>
      <c r="AJ740" s="278"/>
      <c r="AK740" s="277"/>
      <c r="AL740" s="278"/>
      <c r="AM740" s="277"/>
      <c r="AN740" s="278"/>
      <c r="AO740" s="278"/>
      <c r="AP740" s="278"/>
      <c r="AQ740" s="278"/>
      <c r="AR740" s="278"/>
      <c r="AS740" s="278"/>
    </row>
    <row r="741" spans="1:45">
      <c r="A741" s="277"/>
      <c r="B741" s="298" t="b">
        <v>0</v>
      </c>
      <c r="C741" s="278"/>
      <c r="D741" s="299" t="b">
        <v>0</v>
      </c>
      <c r="E741" s="277"/>
      <c r="F741" s="298" t="b">
        <v>0</v>
      </c>
      <c r="G741" s="278"/>
      <c r="H741" s="299" t="b">
        <v>0</v>
      </c>
      <c r="I741" s="277"/>
      <c r="J741" s="278"/>
      <c r="K741" s="277"/>
      <c r="L741" s="278"/>
      <c r="M741" s="277"/>
      <c r="N741" s="278"/>
      <c r="O741" s="277"/>
      <c r="P741" s="278"/>
      <c r="Q741" s="277"/>
      <c r="R741" s="278"/>
      <c r="S741" s="277"/>
      <c r="T741" s="278"/>
      <c r="U741" s="277"/>
      <c r="V741" s="278"/>
      <c r="W741" s="277"/>
      <c r="X741" s="278"/>
      <c r="Y741" s="277"/>
      <c r="Z741" s="278"/>
      <c r="AA741" s="277"/>
      <c r="AB741" s="278"/>
      <c r="AC741" s="277"/>
      <c r="AD741" s="278"/>
      <c r="AE741" s="277"/>
      <c r="AF741" s="278"/>
      <c r="AG741" s="277"/>
      <c r="AH741" s="278"/>
      <c r="AI741" s="277"/>
      <c r="AJ741" s="278"/>
      <c r="AK741" s="277"/>
      <c r="AL741" s="278"/>
      <c r="AM741" s="277"/>
      <c r="AN741" s="278"/>
      <c r="AO741" s="278"/>
      <c r="AP741" s="278"/>
      <c r="AQ741" s="278"/>
      <c r="AR741" s="278"/>
      <c r="AS741" s="278"/>
    </row>
    <row r="742" spans="1:45">
      <c r="A742" s="277"/>
      <c r="B742" s="298" t="b">
        <v>0</v>
      </c>
      <c r="C742" s="278"/>
      <c r="D742" s="299" t="b">
        <v>0</v>
      </c>
      <c r="E742" s="277"/>
      <c r="F742" s="298" t="b">
        <v>0</v>
      </c>
      <c r="G742" s="278"/>
      <c r="H742" s="299" t="b">
        <v>0</v>
      </c>
      <c r="I742" s="277"/>
      <c r="J742" s="278"/>
      <c r="K742" s="277"/>
      <c r="L742" s="278"/>
      <c r="M742" s="277"/>
      <c r="N742" s="278"/>
      <c r="O742" s="277"/>
      <c r="P742" s="278"/>
      <c r="Q742" s="277"/>
      <c r="R742" s="278"/>
      <c r="S742" s="277"/>
      <c r="T742" s="278"/>
      <c r="U742" s="277"/>
      <c r="V742" s="278"/>
      <c r="W742" s="277"/>
      <c r="X742" s="278"/>
      <c r="Y742" s="277"/>
      <c r="Z742" s="278"/>
      <c r="AA742" s="277"/>
      <c r="AB742" s="278"/>
      <c r="AC742" s="277"/>
      <c r="AD742" s="278"/>
      <c r="AE742" s="277"/>
      <c r="AF742" s="278"/>
      <c r="AG742" s="277"/>
      <c r="AH742" s="278"/>
      <c r="AI742" s="277"/>
      <c r="AJ742" s="278"/>
      <c r="AK742" s="277"/>
      <c r="AL742" s="278"/>
      <c r="AM742" s="277"/>
      <c r="AN742" s="278"/>
      <c r="AO742" s="278"/>
      <c r="AP742" s="278"/>
      <c r="AQ742" s="278"/>
      <c r="AR742" s="278"/>
      <c r="AS742" s="278"/>
    </row>
    <row r="743" spans="1:45">
      <c r="A743" s="277"/>
      <c r="B743" s="298" t="b">
        <v>0</v>
      </c>
      <c r="C743" s="278"/>
      <c r="D743" s="299" t="b">
        <v>0</v>
      </c>
      <c r="E743" s="277"/>
      <c r="F743" s="298" t="b">
        <v>0</v>
      </c>
      <c r="G743" s="278"/>
      <c r="H743" s="299" t="b">
        <v>0</v>
      </c>
      <c r="I743" s="277"/>
      <c r="J743" s="278"/>
      <c r="K743" s="277"/>
      <c r="L743" s="278"/>
      <c r="M743" s="277"/>
      <c r="N743" s="278"/>
      <c r="O743" s="277"/>
      <c r="P743" s="278"/>
      <c r="Q743" s="277"/>
      <c r="R743" s="278"/>
      <c r="S743" s="277"/>
      <c r="T743" s="278"/>
      <c r="U743" s="277"/>
      <c r="V743" s="278"/>
      <c r="W743" s="277"/>
      <c r="X743" s="278"/>
      <c r="Y743" s="277"/>
      <c r="Z743" s="278"/>
      <c r="AA743" s="277"/>
      <c r="AB743" s="278"/>
      <c r="AC743" s="277"/>
      <c r="AD743" s="278"/>
      <c r="AE743" s="277"/>
      <c r="AF743" s="278"/>
      <c r="AG743" s="277"/>
      <c r="AH743" s="278"/>
      <c r="AI743" s="277"/>
      <c r="AJ743" s="278"/>
      <c r="AK743" s="277"/>
      <c r="AL743" s="278"/>
      <c r="AM743" s="277"/>
      <c r="AN743" s="278"/>
      <c r="AO743" s="278"/>
      <c r="AP743" s="278"/>
      <c r="AQ743" s="278"/>
      <c r="AR743" s="278"/>
      <c r="AS743" s="278"/>
    </row>
    <row r="744" spans="1:45">
      <c r="A744" s="277"/>
      <c r="B744" s="298" t="b">
        <v>0</v>
      </c>
      <c r="C744" s="278"/>
      <c r="D744" s="299" t="b">
        <v>0</v>
      </c>
      <c r="E744" s="277"/>
      <c r="F744" s="298" t="b">
        <v>0</v>
      </c>
      <c r="G744" s="278"/>
      <c r="H744" s="299" t="b">
        <v>0</v>
      </c>
      <c r="I744" s="277"/>
      <c r="J744" s="278"/>
      <c r="K744" s="277"/>
      <c r="L744" s="278"/>
      <c r="M744" s="277"/>
      <c r="N744" s="278"/>
      <c r="O744" s="277"/>
      <c r="P744" s="278"/>
      <c r="Q744" s="277"/>
      <c r="R744" s="278"/>
      <c r="S744" s="277"/>
      <c r="T744" s="278"/>
      <c r="U744" s="277"/>
      <c r="V744" s="278"/>
      <c r="W744" s="277"/>
      <c r="X744" s="278"/>
      <c r="Y744" s="277"/>
      <c r="Z744" s="278"/>
      <c r="AA744" s="277"/>
      <c r="AB744" s="278"/>
      <c r="AC744" s="277"/>
      <c r="AD744" s="278"/>
      <c r="AE744" s="277"/>
      <c r="AF744" s="278"/>
      <c r="AG744" s="277"/>
      <c r="AH744" s="278"/>
      <c r="AI744" s="277"/>
      <c r="AJ744" s="278"/>
      <c r="AK744" s="277"/>
      <c r="AL744" s="278"/>
      <c r="AM744" s="277"/>
      <c r="AN744" s="278"/>
      <c r="AO744" s="278"/>
      <c r="AP744" s="278"/>
      <c r="AQ744" s="278"/>
      <c r="AR744" s="278"/>
      <c r="AS744" s="278"/>
    </row>
    <row r="745" spans="1:45">
      <c r="A745" s="277"/>
      <c r="B745" s="298" t="b">
        <v>0</v>
      </c>
      <c r="C745" s="278"/>
      <c r="D745" s="299" t="b">
        <v>0</v>
      </c>
      <c r="E745" s="277"/>
      <c r="F745" s="298" t="b">
        <v>0</v>
      </c>
      <c r="G745" s="278"/>
      <c r="H745" s="299" t="b">
        <v>0</v>
      </c>
      <c r="I745" s="277"/>
      <c r="J745" s="278"/>
      <c r="K745" s="277"/>
      <c r="L745" s="278"/>
      <c r="M745" s="277"/>
      <c r="N745" s="278"/>
      <c r="O745" s="277"/>
      <c r="P745" s="278"/>
      <c r="Q745" s="277"/>
      <c r="R745" s="278"/>
      <c r="S745" s="277"/>
      <c r="T745" s="278"/>
      <c r="U745" s="277"/>
      <c r="V745" s="278"/>
      <c r="W745" s="277"/>
      <c r="X745" s="278"/>
      <c r="Y745" s="277"/>
      <c r="Z745" s="278"/>
      <c r="AA745" s="277"/>
      <c r="AB745" s="278"/>
      <c r="AC745" s="277"/>
      <c r="AD745" s="278"/>
      <c r="AE745" s="277"/>
      <c r="AF745" s="278"/>
      <c r="AG745" s="277"/>
      <c r="AH745" s="278"/>
      <c r="AI745" s="277"/>
      <c r="AJ745" s="278"/>
      <c r="AK745" s="277"/>
      <c r="AL745" s="278"/>
      <c r="AM745" s="277"/>
      <c r="AN745" s="278"/>
      <c r="AO745" s="278"/>
      <c r="AP745" s="278"/>
      <c r="AQ745" s="278"/>
      <c r="AR745" s="278"/>
      <c r="AS745" s="278"/>
    </row>
    <row r="746" spans="1:45">
      <c r="A746" s="277"/>
      <c r="B746" s="298" t="b">
        <v>0</v>
      </c>
      <c r="C746" s="278"/>
      <c r="D746" s="299" t="b">
        <v>0</v>
      </c>
      <c r="E746" s="277"/>
      <c r="F746" s="298" t="b">
        <v>0</v>
      </c>
      <c r="G746" s="278"/>
      <c r="H746" s="299" t="b">
        <v>0</v>
      </c>
      <c r="I746" s="277"/>
      <c r="J746" s="278"/>
      <c r="K746" s="277"/>
      <c r="L746" s="278"/>
      <c r="M746" s="277"/>
      <c r="N746" s="278"/>
      <c r="O746" s="277"/>
      <c r="P746" s="278"/>
      <c r="Q746" s="277"/>
      <c r="R746" s="278"/>
      <c r="S746" s="277"/>
      <c r="T746" s="278"/>
      <c r="U746" s="277"/>
      <c r="V746" s="278"/>
      <c r="W746" s="277"/>
      <c r="X746" s="278"/>
      <c r="Y746" s="277"/>
      <c r="Z746" s="278"/>
      <c r="AA746" s="277"/>
      <c r="AB746" s="278"/>
      <c r="AC746" s="277"/>
      <c r="AD746" s="278"/>
      <c r="AE746" s="277"/>
      <c r="AF746" s="278"/>
      <c r="AG746" s="277"/>
      <c r="AH746" s="278"/>
      <c r="AI746" s="277"/>
      <c r="AJ746" s="278"/>
      <c r="AK746" s="277"/>
      <c r="AL746" s="278"/>
      <c r="AM746" s="277"/>
      <c r="AN746" s="278"/>
      <c r="AO746" s="278"/>
      <c r="AP746" s="278"/>
      <c r="AQ746" s="278"/>
      <c r="AR746" s="278"/>
      <c r="AS746" s="278"/>
    </row>
    <row r="747" spans="1:45">
      <c r="A747" s="277"/>
      <c r="B747" s="298" t="b">
        <v>0</v>
      </c>
      <c r="C747" s="278"/>
      <c r="D747" s="299" t="b">
        <v>0</v>
      </c>
      <c r="E747" s="277"/>
      <c r="F747" s="298" t="b">
        <v>0</v>
      </c>
      <c r="G747" s="278"/>
      <c r="H747" s="299" t="b">
        <v>0</v>
      </c>
      <c r="I747" s="277"/>
      <c r="J747" s="278"/>
      <c r="K747" s="277"/>
      <c r="L747" s="278"/>
      <c r="M747" s="277"/>
      <c r="N747" s="278"/>
      <c r="O747" s="277"/>
      <c r="P747" s="278"/>
      <c r="Q747" s="277"/>
      <c r="R747" s="278"/>
      <c r="S747" s="277"/>
      <c r="T747" s="278"/>
      <c r="U747" s="277"/>
      <c r="V747" s="278"/>
      <c r="W747" s="277"/>
      <c r="X747" s="278"/>
      <c r="Y747" s="277"/>
      <c r="Z747" s="278"/>
      <c r="AA747" s="277"/>
      <c r="AB747" s="278"/>
      <c r="AC747" s="277"/>
      <c r="AD747" s="278"/>
      <c r="AE747" s="277"/>
      <c r="AF747" s="278"/>
      <c r="AG747" s="277"/>
      <c r="AH747" s="278"/>
      <c r="AI747" s="277"/>
      <c r="AJ747" s="278"/>
      <c r="AK747" s="277"/>
      <c r="AL747" s="278"/>
      <c r="AM747" s="277"/>
      <c r="AN747" s="278"/>
      <c r="AO747" s="278"/>
      <c r="AP747" s="278"/>
      <c r="AQ747" s="278"/>
      <c r="AR747" s="278"/>
      <c r="AS747" s="278"/>
    </row>
    <row r="748" spans="1:45">
      <c r="A748" s="277"/>
      <c r="B748" s="298" t="b">
        <v>0</v>
      </c>
      <c r="C748" s="278"/>
      <c r="D748" s="299" t="b">
        <v>0</v>
      </c>
      <c r="E748" s="277"/>
      <c r="F748" s="298" t="b">
        <v>0</v>
      </c>
      <c r="G748" s="278"/>
      <c r="H748" s="299" t="b">
        <v>0</v>
      </c>
      <c r="I748" s="277"/>
      <c r="J748" s="278"/>
      <c r="K748" s="277"/>
      <c r="L748" s="278"/>
      <c r="M748" s="277"/>
      <c r="N748" s="278"/>
      <c r="O748" s="277"/>
      <c r="P748" s="278"/>
      <c r="Q748" s="277"/>
      <c r="R748" s="278"/>
      <c r="S748" s="277"/>
      <c r="T748" s="278"/>
      <c r="U748" s="277"/>
      <c r="V748" s="278"/>
      <c r="W748" s="277"/>
      <c r="X748" s="278"/>
      <c r="Y748" s="277"/>
      <c r="Z748" s="278"/>
      <c r="AA748" s="277"/>
      <c r="AB748" s="278"/>
      <c r="AC748" s="277"/>
      <c r="AD748" s="278"/>
      <c r="AE748" s="277"/>
      <c r="AF748" s="278"/>
      <c r="AG748" s="277"/>
      <c r="AH748" s="278"/>
      <c r="AI748" s="277"/>
      <c r="AJ748" s="278"/>
      <c r="AK748" s="277"/>
      <c r="AL748" s="278"/>
      <c r="AM748" s="277"/>
      <c r="AN748" s="278"/>
      <c r="AO748" s="278"/>
      <c r="AP748" s="278"/>
      <c r="AQ748" s="278"/>
      <c r="AR748" s="278"/>
      <c r="AS748" s="278"/>
    </row>
    <row r="749" spans="1:45">
      <c r="A749" s="277"/>
      <c r="B749" s="298" t="b">
        <v>0</v>
      </c>
      <c r="C749" s="278"/>
      <c r="D749" s="299" t="b">
        <v>0</v>
      </c>
      <c r="E749" s="277"/>
      <c r="F749" s="298" t="b">
        <v>0</v>
      </c>
      <c r="G749" s="278"/>
      <c r="H749" s="299" t="b">
        <v>0</v>
      </c>
      <c r="I749" s="277"/>
      <c r="J749" s="278"/>
      <c r="K749" s="277"/>
      <c r="L749" s="278"/>
      <c r="M749" s="277"/>
      <c r="N749" s="278"/>
      <c r="O749" s="277"/>
      <c r="P749" s="278"/>
      <c r="Q749" s="277"/>
      <c r="R749" s="278"/>
      <c r="S749" s="277"/>
      <c r="T749" s="278"/>
      <c r="U749" s="277"/>
      <c r="V749" s="278"/>
      <c r="W749" s="277"/>
      <c r="X749" s="278"/>
      <c r="Y749" s="277"/>
      <c r="Z749" s="278"/>
      <c r="AA749" s="277"/>
      <c r="AB749" s="278"/>
      <c r="AC749" s="277"/>
      <c r="AD749" s="278"/>
      <c r="AE749" s="277"/>
      <c r="AF749" s="278"/>
      <c r="AG749" s="277"/>
      <c r="AH749" s="278"/>
      <c r="AI749" s="277"/>
      <c r="AJ749" s="278"/>
      <c r="AK749" s="277"/>
      <c r="AL749" s="278"/>
      <c r="AM749" s="277"/>
      <c r="AN749" s="278"/>
      <c r="AO749" s="278"/>
      <c r="AP749" s="278"/>
      <c r="AQ749" s="278"/>
      <c r="AR749" s="278"/>
      <c r="AS749" s="278"/>
    </row>
    <row r="750" spans="1:45">
      <c r="A750" s="277"/>
      <c r="B750" s="298" t="b">
        <v>0</v>
      </c>
      <c r="C750" s="278"/>
      <c r="D750" s="299" t="b">
        <v>0</v>
      </c>
      <c r="E750" s="277"/>
      <c r="F750" s="298" t="b">
        <v>0</v>
      </c>
      <c r="G750" s="278"/>
      <c r="H750" s="299" t="b">
        <v>0</v>
      </c>
      <c r="I750" s="277"/>
      <c r="J750" s="278"/>
      <c r="K750" s="277"/>
      <c r="L750" s="278"/>
      <c r="M750" s="277"/>
      <c r="N750" s="278"/>
      <c r="O750" s="277"/>
      <c r="P750" s="278"/>
      <c r="Q750" s="277"/>
      <c r="R750" s="278"/>
      <c r="S750" s="277"/>
      <c r="T750" s="278"/>
      <c r="U750" s="277"/>
      <c r="V750" s="278"/>
      <c r="W750" s="277"/>
      <c r="X750" s="278"/>
      <c r="Y750" s="277"/>
      <c r="Z750" s="278"/>
      <c r="AA750" s="277"/>
      <c r="AB750" s="278"/>
      <c r="AC750" s="277"/>
      <c r="AD750" s="278"/>
      <c r="AE750" s="277"/>
      <c r="AF750" s="278"/>
      <c r="AG750" s="277"/>
      <c r="AH750" s="278"/>
      <c r="AI750" s="277"/>
      <c r="AJ750" s="278"/>
      <c r="AK750" s="277"/>
      <c r="AL750" s="278"/>
      <c r="AM750" s="277"/>
      <c r="AN750" s="278"/>
      <c r="AO750" s="278"/>
      <c r="AP750" s="278"/>
      <c r="AQ750" s="278"/>
      <c r="AR750" s="278"/>
      <c r="AS750" s="278"/>
    </row>
    <row r="751" spans="1:45">
      <c r="A751" s="277"/>
      <c r="B751" s="298" t="b">
        <v>0</v>
      </c>
      <c r="C751" s="278"/>
      <c r="D751" s="299" t="b">
        <v>0</v>
      </c>
      <c r="E751" s="277"/>
      <c r="F751" s="298" t="b">
        <v>0</v>
      </c>
      <c r="G751" s="278"/>
      <c r="H751" s="299" t="b">
        <v>0</v>
      </c>
      <c r="I751" s="277"/>
      <c r="J751" s="278"/>
      <c r="K751" s="277"/>
      <c r="L751" s="278"/>
      <c r="M751" s="277"/>
      <c r="N751" s="278"/>
      <c r="O751" s="277"/>
      <c r="P751" s="278"/>
      <c r="Q751" s="277"/>
      <c r="R751" s="278"/>
      <c r="S751" s="277"/>
      <c r="T751" s="278"/>
      <c r="U751" s="277"/>
      <c r="V751" s="278"/>
      <c r="W751" s="277"/>
      <c r="X751" s="278"/>
      <c r="Y751" s="277"/>
      <c r="Z751" s="278"/>
      <c r="AA751" s="277"/>
      <c r="AB751" s="278"/>
      <c r="AC751" s="277"/>
      <c r="AD751" s="278"/>
      <c r="AE751" s="277"/>
      <c r="AF751" s="278"/>
      <c r="AG751" s="277"/>
      <c r="AH751" s="278"/>
      <c r="AI751" s="277"/>
      <c r="AJ751" s="278"/>
      <c r="AK751" s="277"/>
      <c r="AL751" s="278"/>
      <c r="AM751" s="277"/>
      <c r="AN751" s="278"/>
      <c r="AO751" s="278"/>
      <c r="AP751" s="278"/>
      <c r="AQ751" s="278"/>
      <c r="AR751" s="278"/>
      <c r="AS751" s="278"/>
    </row>
    <row r="752" spans="1:45">
      <c r="A752" s="277"/>
      <c r="B752" s="298" t="b">
        <v>0</v>
      </c>
      <c r="C752" s="278"/>
      <c r="D752" s="299" t="b">
        <v>0</v>
      </c>
      <c r="E752" s="277"/>
      <c r="F752" s="298" t="b">
        <v>0</v>
      </c>
      <c r="G752" s="278"/>
      <c r="H752" s="299" t="b">
        <v>0</v>
      </c>
      <c r="I752" s="277"/>
      <c r="J752" s="278"/>
      <c r="K752" s="277"/>
      <c r="L752" s="278"/>
      <c r="M752" s="277"/>
      <c r="N752" s="278"/>
      <c r="O752" s="277"/>
      <c r="P752" s="278"/>
      <c r="Q752" s="277"/>
      <c r="R752" s="278"/>
      <c r="S752" s="277"/>
      <c r="T752" s="278"/>
      <c r="U752" s="277"/>
      <c r="V752" s="278"/>
      <c r="W752" s="277"/>
      <c r="X752" s="278"/>
      <c r="Y752" s="277"/>
      <c r="Z752" s="278"/>
      <c r="AA752" s="277"/>
      <c r="AB752" s="278"/>
      <c r="AC752" s="277"/>
      <c r="AD752" s="278"/>
      <c r="AE752" s="277"/>
      <c r="AF752" s="278"/>
      <c r="AG752" s="277"/>
      <c r="AH752" s="278"/>
      <c r="AI752" s="277"/>
      <c r="AJ752" s="278"/>
      <c r="AK752" s="277"/>
      <c r="AL752" s="278"/>
      <c r="AM752" s="277"/>
      <c r="AN752" s="278"/>
      <c r="AO752" s="278"/>
      <c r="AP752" s="278"/>
      <c r="AQ752" s="278"/>
      <c r="AR752" s="278"/>
      <c r="AS752" s="278"/>
    </row>
    <row r="753" spans="1:45">
      <c r="A753" s="277"/>
      <c r="B753" s="298" t="b">
        <v>0</v>
      </c>
      <c r="C753" s="278"/>
      <c r="D753" s="299" t="b">
        <v>0</v>
      </c>
      <c r="E753" s="277"/>
      <c r="F753" s="298" t="b">
        <v>0</v>
      </c>
      <c r="G753" s="278"/>
      <c r="H753" s="299" t="b">
        <v>0</v>
      </c>
      <c r="I753" s="277"/>
      <c r="J753" s="278"/>
      <c r="K753" s="277"/>
      <c r="L753" s="278"/>
      <c r="M753" s="277"/>
      <c r="N753" s="278"/>
      <c r="O753" s="277"/>
      <c r="P753" s="278"/>
      <c r="Q753" s="277"/>
      <c r="R753" s="278"/>
      <c r="S753" s="277"/>
      <c r="T753" s="278"/>
      <c r="U753" s="277"/>
      <c r="V753" s="278"/>
      <c r="W753" s="277"/>
      <c r="X753" s="278"/>
      <c r="Y753" s="277"/>
      <c r="Z753" s="278"/>
      <c r="AA753" s="277"/>
      <c r="AB753" s="278"/>
      <c r="AC753" s="277"/>
      <c r="AD753" s="278"/>
      <c r="AE753" s="277"/>
      <c r="AF753" s="278"/>
      <c r="AG753" s="277"/>
      <c r="AH753" s="278"/>
      <c r="AI753" s="277"/>
      <c r="AJ753" s="278"/>
      <c r="AK753" s="277"/>
      <c r="AL753" s="278"/>
      <c r="AM753" s="277"/>
      <c r="AN753" s="278"/>
      <c r="AO753" s="278"/>
      <c r="AP753" s="278"/>
      <c r="AQ753" s="278"/>
      <c r="AR753" s="278"/>
      <c r="AS753" s="278"/>
    </row>
    <row r="754" spans="1:45">
      <c r="A754" s="277"/>
      <c r="B754" s="298" t="b">
        <v>0</v>
      </c>
      <c r="C754" s="278"/>
      <c r="D754" s="299" t="b">
        <v>0</v>
      </c>
      <c r="E754" s="277"/>
      <c r="F754" s="298" t="b">
        <v>0</v>
      </c>
      <c r="G754" s="278"/>
      <c r="H754" s="299" t="b">
        <v>0</v>
      </c>
      <c r="I754" s="277"/>
      <c r="J754" s="278"/>
      <c r="K754" s="277"/>
      <c r="L754" s="278"/>
      <c r="M754" s="277"/>
      <c r="N754" s="278"/>
      <c r="O754" s="277"/>
      <c r="P754" s="278"/>
      <c r="Q754" s="277"/>
      <c r="R754" s="278"/>
      <c r="S754" s="277"/>
      <c r="T754" s="278"/>
      <c r="U754" s="277"/>
      <c r="V754" s="278"/>
      <c r="W754" s="277"/>
      <c r="X754" s="278"/>
      <c r="Y754" s="277"/>
      <c r="Z754" s="278"/>
      <c r="AA754" s="277"/>
      <c r="AB754" s="278"/>
      <c r="AC754" s="277"/>
      <c r="AD754" s="278"/>
      <c r="AE754" s="277"/>
      <c r="AF754" s="278"/>
      <c r="AG754" s="277"/>
      <c r="AH754" s="278"/>
      <c r="AI754" s="277"/>
      <c r="AJ754" s="278"/>
      <c r="AK754" s="277"/>
      <c r="AL754" s="278"/>
      <c r="AM754" s="277"/>
      <c r="AN754" s="278"/>
      <c r="AO754" s="278"/>
      <c r="AP754" s="278"/>
      <c r="AQ754" s="278"/>
      <c r="AR754" s="278"/>
      <c r="AS754" s="278"/>
    </row>
    <row r="755" spans="1:45">
      <c r="A755" s="277"/>
      <c r="B755" s="298" t="b">
        <v>0</v>
      </c>
      <c r="C755" s="278"/>
      <c r="D755" s="299" t="b">
        <v>0</v>
      </c>
      <c r="E755" s="277"/>
      <c r="F755" s="298" t="b">
        <v>0</v>
      </c>
      <c r="G755" s="278"/>
      <c r="H755" s="299" t="b">
        <v>0</v>
      </c>
      <c r="I755" s="277"/>
      <c r="J755" s="278"/>
      <c r="K755" s="277"/>
      <c r="L755" s="278"/>
      <c r="M755" s="277"/>
      <c r="N755" s="278"/>
      <c r="O755" s="277"/>
      <c r="P755" s="278"/>
      <c r="Q755" s="277"/>
      <c r="R755" s="278"/>
      <c r="S755" s="277"/>
      <c r="T755" s="278"/>
      <c r="U755" s="277"/>
      <c r="V755" s="278"/>
      <c r="W755" s="277"/>
      <c r="X755" s="278"/>
      <c r="Y755" s="277"/>
      <c r="Z755" s="278"/>
      <c r="AA755" s="277"/>
      <c r="AB755" s="278"/>
      <c r="AC755" s="277"/>
      <c r="AD755" s="278"/>
      <c r="AE755" s="277"/>
      <c r="AF755" s="278"/>
      <c r="AG755" s="277"/>
      <c r="AH755" s="278"/>
      <c r="AI755" s="277"/>
      <c r="AJ755" s="278"/>
      <c r="AK755" s="277"/>
      <c r="AL755" s="278"/>
      <c r="AM755" s="277"/>
      <c r="AN755" s="278"/>
      <c r="AO755" s="278"/>
      <c r="AP755" s="278"/>
      <c r="AQ755" s="278"/>
      <c r="AR755" s="278"/>
      <c r="AS755" s="278"/>
    </row>
    <row r="756" spans="1:45">
      <c r="A756" s="277"/>
      <c r="B756" s="298" t="b">
        <v>0</v>
      </c>
      <c r="C756" s="278"/>
      <c r="D756" s="299" t="b">
        <v>0</v>
      </c>
      <c r="E756" s="277"/>
      <c r="F756" s="298" t="b">
        <v>0</v>
      </c>
      <c r="G756" s="278"/>
      <c r="H756" s="299" t="b">
        <v>0</v>
      </c>
      <c r="I756" s="277"/>
      <c r="J756" s="278"/>
      <c r="K756" s="277"/>
      <c r="L756" s="278"/>
      <c r="M756" s="277"/>
      <c r="N756" s="278"/>
      <c r="O756" s="277"/>
      <c r="P756" s="278"/>
      <c r="Q756" s="277"/>
      <c r="R756" s="278"/>
      <c r="S756" s="277"/>
      <c r="T756" s="278"/>
      <c r="U756" s="277"/>
      <c r="V756" s="278"/>
      <c r="W756" s="277"/>
      <c r="X756" s="278"/>
      <c r="Y756" s="277"/>
      <c r="Z756" s="278"/>
      <c r="AA756" s="277"/>
      <c r="AB756" s="278"/>
      <c r="AC756" s="277"/>
      <c r="AD756" s="278"/>
      <c r="AE756" s="277"/>
      <c r="AF756" s="278"/>
      <c r="AG756" s="277"/>
      <c r="AH756" s="278"/>
      <c r="AI756" s="277"/>
      <c r="AJ756" s="278"/>
      <c r="AK756" s="277"/>
      <c r="AL756" s="278"/>
      <c r="AM756" s="277"/>
      <c r="AN756" s="278"/>
      <c r="AO756" s="278"/>
      <c r="AP756" s="278"/>
      <c r="AQ756" s="278"/>
      <c r="AR756" s="278"/>
      <c r="AS756" s="278"/>
    </row>
    <row r="757" spans="1:45">
      <c r="A757" s="277"/>
      <c r="B757" s="298" t="b">
        <v>0</v>
      </c>
      <c r="C757" s="278"/>
      <c r="D757" s="299" t="b">
        <v>0</v>
      </c>
      <c r="E757" s="277"/>
      <c r="F757" s="298" t="b">
        <v>0</v>
      </c>
      <c r="G757" s="278"/>
      <c r="H757" s="299" t="b">
        <v>0</v>
      </c>
      <c r="I757" s="277"/>
      <c r="J757" s="278"/>
      <c r="K757" s="277"/>
      <c r="L757" s="278"/>
      <c r="M757" s="277"/>
      <c r="N757" s="278"/>
      <c r="O757" s="277"/>
      <c r="P757" s="278"/>
      <c r="Q757" s="277"/>
      <c r="R757" s="278"/>
      <c r="S757" s="277"/>
      <c r="T757" s="278"/>
      <c r="U757" s="277"/>
      <c r="V757" s="278"/>
      <c r="W757" s="277"/>
      <c r="X757" s="278"/>
      <c r="Y757" s="277"/>
      <c r="Z757" s="278"/>
      <c r="AA757" s="277"/>
      <c r="AB757" s="278"/>
      <c r="AC757" s="277"/>
      <c r="AD757" s="278"/>
      <c r="AE757" s="277"/>
      <c r="AF757" s="278"/>
      <c r="AG757" s="277"/>
      <c r="AH757" s="278"/>
      <c r="AI757" s="277"/>
      <c r="AJ757" s="278"/>
      <c r="AK757" s="277"/>
      <c r="AL757" s="278"/>
      <c r="AM757" s="277"/>
      <c r="AN757" s="278"/>
      <c r="AO757" s="278"/>
      <c r="AP757" s="278"/>
      <c r="AQ757" s="278"/>
      <c r="AR757" s="278"/>
      <c r="AS757" s="278"/>
    </row>
    <row r="758" spans="1:45">
      <c r="A758" s="277"/>
      <c r="B758" s="298" t="b">
        <v>0</v>
      </c>
      <c r="C758" s="278"/>
      <c r="D758" s="299" t="b">
        <v>0</v>
      </c>
      <c r="E758" s="277"/>
      <c r="F758" s="298" t="b">
        <v>0</v>
      </c>
      <c r="G758" s="278"/>
      <c r="H758" s="299" t="b">
        <v>0</v>
      </c>
      <c r="I758" s="277"/>
      <c r="J758" s="278"/>
      <c r="K758" s="277"/>
      <c r="L758" s="278"/>
      <c r="M758" s="277"/>
      <c r="N758" s="278"/>
      <c r="O758" s="277"/>
      <c r="P758" s="278"/>
      <c r="Q758" s="277"/>
      <c r="R758" s="278"/>
      <c r="S758" s="277"/>
      <c r="T758" s="278"/>
      <c r="U758" s="277"/>
      <c r="V758" s="278"/>
      <c r="W758" s="277"/>
      <c r="X758" s="278"/>
      <c r="Y758" s="277"/>
      <c r="Z758" s="278"/>
      <c r="AA758" s="277"/>
      <c r="AB758" s="278"/>
      <c r="AC758" s="277"/>
      <c r="AD758" s="278"/>
      <c r="AE758" s="277"/>
      <c r="AF758" s="278"/>
      <c r="AG758" s="277"/>
      <c r="AH758" s="278"/>
      <c r="AI758" s="277"/>
      <c r="AJ758" s="278"/>
      <c r="AK758" s="277"/>
      <c r="AL758" s="278"/>
      <c r="AM758" s="277"/>
      <c r="AN758" s="278"/>
      <c r="AO758" s="278"/>
      <c r="AP758" s="278"/>
      <c r="AQ758" s="278"/>
      <c r="AR758" s="278"/>
      <c r="AS758" s="278"/>
    </row>
    <row r="759" spans="1:45">
      <c r="A759" s="277"/>
      <c r="B759" s="298" t="b">
        <v>0</v>
      </c>
      <c r="C759" s="278"/>
      <c r="D759" s="299" t="b">
        <v>0</v>
      </c>
      <c r="E759" s="277"/>
      <c r="F759" s="298" t="b">
        <v>0</v>
      </c>
      <c r="G759" s="278"/>
      <c r="H759" s="299" t="b">
        <v>0</v>
      </c>
      <c r="I759" s="277"/>
      <c r="J759" s="278"/>
      <c r="K759" s="277"/>
      <c r="L759" s="278"/>
      <c r="M759" s="277"/>
      <c r="N759" s="278"/>
      <c r="O759" s="277"/>
      <c r="P759" s="278"/>
      <c r="Q759" s="277"/>
      <c r="R759" s="278"/>
      <c r="S759" s="277"/>
      <c r="T759" s="278"/>
      <c r="U759" s="277"/>
      <c r="V759" s="278"/>
      <c r="W759" s="277"/>
      <c r="X759" s="278"/>
      <c r="Y759" s="277"/>
      <c r="Z759" s="278"/>
      <c r="AA759" s="277"/>
      <c r="AB759" s="278"/>
      <c r="AC759" s="277"/>
      <c r="AD759" s="278"/>
      <c r="AE759" s="277"/>
      <c r="AF759" s="278"/>
      <c r="AG759" s="277"/>
      <c r="AH759" s="278"/>
      <c r="AI759" s="277"/>
      <c r="AJ759" s="278"/>
      <c r="AK759" s="277"/>
      <c r="AL759" s="278"/>
      <c r="AM759" s="277"/>
      <c r="AN759" s="278"/>
      <c r="AO759" s="278"/>
      <c r="AP759" s="278"/>
      <c r="AQ759" s="278"/>
      <c r="AR759" s="278"/>
      <c r="AS759" s="278"/>
    </row>
    <row r="760" spans="1:45">
      <c r="A760" s="277"/>
      <c r="B760" s="298" t="b">
        <v>0</v>
      </c>
      <c r="C760" s="278"/>
      <c r="D760" s="299" t="b">
        <v>0</v>
      </c>
      <c r="E760" s="277"/>
      <c r="F760" s="298" t="b">
        <v>0</v>
      </c>
      <c r="G760" s="278"/>
      <c r="H760" s="299" t="b">
        <v>0</v>
      </c>
      <c r="I760" s="277"/>
      <c r="J760" s="278"/>
      <c r="K760" s="277"/>
      <c r="L760" s="278"/>
      <c r="M760" s="277"/>
      <c r="N760" s="278"/>
      <c r="O760" s="277"/>
      <c r="P760" s="278"/>
      <c r="Q760" s="277"/>
      <c r="R760" s="278"/>
      <c r="S760" s="277"/>
      <c r="T760" s="278"/>
      <c r="U760" s="277"/>
      <c r="V760" s="278"/>
      <c r="W760" s="277"/>
      <c r="X760" s="278"/>
      <c r="Y760" s="277"/>
      <c r="Z760" s="278"/>
      <c r="AA760" s="277"/>
      <c r="AB760" s="278"/>
      <c r="AC760" s="277"/>
      <c r="AD760" s="278"/>
      <c r="AE760" s="277"/>
      <c r="AF760" s="278"/>
      <c r="AG760" s="277"/>
      <c r="AH760" s="278"/>
      <c r="AI760" s="277"/>
      <c r="AJ760" s="278"/>
      <c r="AK760" s="277"/>
      <c r="AL760" s="278"/>
      <c r="AM760" s="277"/>
      <c r="AN760" s="278"/>
      <c r="AO760" s="278"/>
      <c r="AP760" s="278"/>
      <c r="AQ760" s="278"/>
      <c r="AR760" s="278"/>
      <c r="AS760" s="278"/>
    </row>
    <row r="761" spans="1:45">
      <c r="A761" s="277"/>
      <c r="B761" s="298" t="b">
        <v>0</v>
      </c>
      <c r="C761" s="278"/>
      <c r="D761" s="299" t="b">
        <v>0</v>
      </c>
      <c r="E761" s="277"/>
      <c r="F761" s="298" t="b">
        <v>0</v>
      </c>
      <c r="G761" s="278"/>
      <c r="H761" s="299" t="b">
        <v>0</v>
      </c>
      <c r="I761" s="277"/>
      <c r="J761" s="278"/>
      <c r="K761" s="277"/>
      <c r="L761" s="278"/>
      <c r="M761" s="277"/>
      <c r="N761" s="278"/>
      <c r="O761" s="277"/>
      <c r="P761" s="278"/>
      <c r="Q761" s="277"/>
      <c r="R761" s="278"/>
      <c r="S761" s="277"/>
      <c r="T761" s="278"/>
      <c r="U761" s="277"/>
      <c r="V761" s="278"/>
      <c r="W761" s="277"/>
      <c r="X761" s="278"/>
      <c r="Y761" s="277"/>
      <c r="Z761" s="278"/>
      <c r="AA761" s="277"/>
      <c r="AB761" s="278"/>
      <c r="AC761" s="277"/>
      <c r="AD761" s="278"/>
      <c r="AE761" s="277"/>
      <c r="AF761" s="278"/>
      <c r="AG761" s="277"/>
      <c r="AH761" s="278"/>
      <c r="AI761" s="277"/>
      <c r="AJ761" s="278"/>
      <c r="AK761" s="277"/>
      <c r="AL761" s="278"/>
      <c r="AM761" s="277"/>
      <c r="AN761" s="278"/>
      <c r="AO761" s="278"/>
      <c r="AP761" s="278"/>
      <c r="AQ761" s="278"/>
      <c r="AR761" s="278"/>
      <c r="AS761" s="278"/>
    </row>
    <row r="762" spans="1:45">
      <c r="A762" s="277"/>
      <c r="B762" s="298" t="b">
        <v>0</v>
      </c>
      <c r="C762" s="278"/>
      <c r="D762" s="299" t="b">
        <v>0</v>
      </c>
      <c r="E762" s="277"/>
      <c r="F762" s="298" t="b">
        <v>0</v>
      </c>
      <c r="G762" s="278"/>
      <c r="H762" s="299" t="b">
        <v>0</v>
      </c>
      <c r="I762" s="277"/>
      <c r="J762" s="278"/>
      <c r="K762" s="277"/>
      <c r="L762" s="278"/>
      <c r="M762" s="277"/>
      <c r="N762" s="278"/>
      <c r="O762" s="277"/>
      <c r="P762" s="278"/>
      <c r="Q762" s="277"/>
      <c r="R762" s="278"/>
      <c r="S762" s="277"/>
      <c r="T762" s="278"/>
      <c r="U762" s="277"/>
      <c r="V762" s="278"/>
      <c r="W762" s="277"/>
      <c r="X762" s="278"/>
      <c r="Y762" s="277"/>
      <c r="Z762" s="278"/>
      <c r="AA762" s="277"/>
      <c r="AB762" s="278"/>
      <c r="AC762" s="277"/>
      <c r="AD762" s="278"/>
      <c r="AE762" s="277"/>
      <c r="AF762" s="278"/>
      <c r="AG762" s="277"/>
      <c r="AH762" s="278"/>
      <c r="AI762" s="277"/>
      <c r="AJ762" s="278"/>
      <c r="AK762" s="277"/>
      <c r="AL762" s="278"/>
      <c r="AM762" s="277"/>
      <c r="AN762" s="278"/>
      <c r="AO762" s="278"/>
      <c r="AP762" s="278"/>
      <c r="AQ762" s="278"/>
      <c r="AR762" s="278"/>
      <c r="AS762" s="278"/>
    </row>
    <row r="763" spans="1:45">
      <c r="A763" s="277"/>
      <c r="B763" s="298" t="b">
        <v>0</v>
      </c>
      <c r="C763" s="278"/>
      <c r="D763" s="299" t="b">
        <v>0</v>
      </c>
      <c r="E763" s="277"/>
      <c r="F763" s="298" t="b">
        <v>0</v>
      </c>
      <c r="G763" s="278"/>
      <c r="H763" s="299" t="b">
        <v>0</v>
      </c>
      <c r="I763" s="277"/>
      <c r="J763" s="278"/>
      <c r="K763" s="277"/>
      <c r="L763" s="278"/>
      <c r="M763" s="277"/>
      <c r="N763" s="278"/>
      <c r="O763" s="277"/>
      <c r="P763" s="278"/>
      <c r="Q763" s="277"/>
      <c r="R763" s="278"/>
      <c r="S763" s="277"/>
      <c r="T763" s="278"/>
      <c r="U763" s="277"/>
      <c r="V763" s="278"/>
      <c r="W763" s="277"/>
      <c r="X763" s="278"/>
      <c r="Y763" s="277"/>
      <c r="Z763" s="278"/>
      <c r="AA763" s="277"/>
      <c r="AB763" s="278"/>
      <c r="AC763" s="277"/>
      <c r="AD763" s="278"/>
      <c r="AE763" s="277"/>
      <c r="AF763" s="278"/>
      <c r="AG763" s="277"/>
      <c r="AH763" s="278"/>
      <c r="AI763" s="277"/>
      <c r="AJ763" s="278"/>
      <c r="AK763" s="277"/>
      <c r="AL763" s="278"/>
      <c r="AM763" s="277"/>
      <c r="AN763" s="278"/>
      <c r="AO763" s="278"/>
      <c r="AP763" s="278"/>
      <c r="AQ763" s="278"/>
      <c r="AR763" s="278"/>
      <c r="AS763" s="278"/>
    </row>
    <row r="764" spans="1:45">
      <c r="A764" s="277"/>
      <c r="B764" s="298" t="b">
        <v>0</v>
      </c>
      <c r="C764" s="278"/>
      <c r="D764" s="299" t="b">
        <v>0</v>
      </c>
      <c r="E764" s="277"/>
      <c r="F764" s="298" t="b">
        <v>0</v>
      </c>
      <c r="G764" s="278"/>
      <c r="H764" s="299" t="b">
        <v>0</v>
      </c>
      <c r="I764" s="277"/>
      <c r="J764" s="278"/>
      <c r="K764" s="277"/>
      <c r="L764" s="278"/>
      <c r="M764" s="277"/>
      <c r="N764" s="278"/>
      <c r="O764" s="277"/>
      <c r="P764" s="278"/>
      <c r="Q764" s="277"/>
      <c r="R764" s="278"/>
      <c r="S764" s="277"/>
      <c r="T764" s="278"/>
      <c r="U764" s="277"/>
      <c r="V764" s="278"/>
      <c r="W764" s="277"/>
      <c r="X764" s="278"/>
      <c r="Y764" s="277"/>
      <c r="Z764" s="278"/>
      <c r="AA764" s="277"/>
      <c r="AB764" s="278"/>
      <c r="AC764" s="277"/>
      <c r="AD764" s="278"/>
      <c r="AE764" s="277"/>
      <c r="AF764" s="278"/>
      <c r="AG764" s="277"/>
      <c r="AH764" s="278"/>
      <c r="AI764" s="277"/>
      <c r="AJ764" s="278"/>
      <c r="AK764" s="277"/>
      <c r="AL764" s="278"/>
      <c r="AM764" s="277"/>
      <c r="AN764" s="278"/>
      <c r="AO764" s="278"/>
      <c r="AP764" s="278"/>
      <c r="AQ764" s="278"/>
      <c r="AR764" s="278"/>
      <c r="AS764" s="278"/>
    </row>
    <row r="765" spans="1:45">
      <c r="A765" s="277"/>
      <c r="B765" s="298" t="b">
        <v>0</v>
      </c>
      <c r="C765" s="278"/>
      <c r="D765" s="299" t="b">
        <v>0</v>
      </c>
      <c r="E765" s="277"/>
      <c r="F765" s="298" t="b">
        <v>0</v>
      </c>
      <c r="G765" s="278"/>
      <c r="H765" s="299" t="b">
        <v>0</v>
      </c>
      <c r="I765" s="277"/>
      <c r="J765" s="278"/>
      <c r="K765" s="277"/>
      <c r="L765" s="278"/>
      <c r="M765" s="277"/>
      <c r="N765" s="278"/>
      <c r="O765" s="277"/>
      <c r="P765" s="278"/>
      <c r="Q765" s="277"/>
      <c r="R765" s="278"/>
      <c r="S765" s="277"/>
      <c r="T765" s="278"/>
      <c r="U765" s="277"/>
      <c r="V765" s="278"/>
      <c r="W765" s="277"/>
      <c r="X765" s="278"/>
      <c r="Y765" s="277"/>
      <c r="Z765" s="278"/>
      <c r="AA765" s="277"/>
      <c r="AB765" s="278"/>
      <c r="AC765" s="277"/>
      <c r="AD765" s="278"/>
      <c r="AE765" s="277"/>
      <c r="AF765" s="278"/>
      <c r="AG765" s="277"/>
      <c r="AH765" s="278"/>
      <c r="AI765" s="277"/>
      <c r="AJ765" s="278"/>
      <c r="AK765" s="277"/>
      <c r="AL765" s="278"/>
      <c r="AM765" s="277"/>
      <c r="AN765" s="278"/>
      <c r="AO765" s="278"/>
      <c r="AP765" s="278"/>
      <c r="AQ765" s="278"/>
      <c r="AR765" s="278"/>
      <c r="AS765" s="278"/>
    </row>
    <row r="766" spans="1:45">
      <c r="A766" s="277"/>
      <c r="B766" s="298" t="b">
        <v>0</v>
      </c>
      <c r="C766" s="278"/>
      <c r="D766" s="299" t="b">
        <v>0</v>
      </c>
      <c r="E766" s="277"/>
      <c r="F766" s="298" t="b">
        <v>0</v>
      </c>
      <c r="G766" s="278"/>
      <c r="H766" s="299" t="b">
        <v>0</v>
      </c>
      <c r="I766" s="277"/>
      <c r="J766" s="278"/>
      <c r="K766" s="277"/>
      <c r="L766" s="278"/>
      <c r="M766" s="277"/>
      <c r="N766" s="278"/>
      <c r="O766" s="277"/>
      <c r="P766" s="278"/>
      <c r="Q766" s="277"/>
      <c r="R766" s="278"/>
      <c r="S766" s="277"/>
      <c r="T766" s="278"/>
      <c r="U766" s="277"/>
      <c r="V766" s="278"/>
      <c r="W766" s="277"/>
      <c r="X766" s="278"/>
      <c r="Y766" s="277"/>
      <c r="Z766" s="278"/>
      <c r="AA766" s="277"/>
      <c r="AB766" s="278"/>
      <c r="AC766" s="277"/>
      <c r="AD766" s="278"/>
      <c r="AE766" s="277"/>
      <c r="AF766" s="278"/>
      <c r="AG766" s="277"/>
      <c r="AH766" s="278"/>
      <c r="AI766" s="277"/>
      <c r="AJ766" s="278"/>
      <c r="AK766" s="277"/>
      <c r="AL766" s="278"/>
      <c r="AM766" s="277"/>
      <c r="AN766" s="278"/>
      <c r="AO766" s="278"/>
      <c r="AP766" s="278"/>
      <c r="AQ766" s="278"/>
      <c r="AR766" s="278"/>
      <c r="AS766" s="278"/>
    </row>
    <row r="767" spans="1:45">
      <c r="A767" s="277"/>
      <c r="B767" s="298" t="b">
        <v>0</v>
      </c>
      <c r="C767" s="278"/>
      <c r="D767" s="299" t="b">
        <v>0</v>
      </c>
      <c r="E767" s="277"/>
      <c r="F767" s="298" t="b">
        <v>0</v>
      </c>
      <c r="G767" s="278"/>
      <c r="H767" s="299" t="b">
        <v>0</v>
      </c>
      <c r="I767" s="277"/>
      <c r="J767" s="278"/>
      <c r="K767" s="277"/>
      <c r="L767" s="278"/>
      <c r="M767" s="277"/>
      <c r="N767" s="278"/>
      <c r="O767" s="277"/>
      <c r="P767" s="278"/>
      <c r="Q767" s="277"/>
      <c r="R767" s="278"/>
      <c r="S767" s="277"/>
      <c r="T767" s="278"/>
      <c r="U767" s="277"/>
      <c r="V767" s="278"/>
      <c r="W767" s="277"/>
      <c r="X767" s="278"/>
      <c r="Y767" s="277"/>
      <c r="Z767" s="278"/>
      <c r="AA767" s="277"/>
      <c r="AB767" s="278"/>
      <c r="AC767" s="277"/>
      <c r="AD767" s="278"/>
      <c r="AE767" s="277"/>
      <c r="AF767" s="278"/>
      <c r="AG767" s="277"/>
      <c r="AH767" s="278"/>
      <c r="AI767" s="277"/>
      <c r="AJ767" s="278"/>
      <c r="AK767" s="277"/>
      <c r="AL767" s="278"/>
      <c r="AM767" s="277"/>
      <c r="AN767" s="278"/>
      <c r="AO767" s="278"/>
      <c r="AP767" s="278"/>
      <c r="AQ767" s="278"/>
      <c r="AR767" s="278"/>
      <c r="AS767" s="278"/>
    </row>
    <row r="768" spans="1:45">
      <c r="A768" s="277"/>
      <c r="B768" s="298" t="b">
        <v>0</v>
      </c>
      <c r="C768" s="278"/>
      <c r="D768" s="299" t="b">
        <v>0</v>
      </c>
      <c r="E768" s="277"/>
      <c r="F768" s="298" t="b">
        <v>0</v>
      </c>
      <c r="G768" s="278"/>
      <c r="H768" s="299" t="b">
        <v>0</v>
      </c>
      <c r="I768" s="277"/>
      <c r="J768" s="278"/>
      <c r="K768" s="277"/>
      <c r="L768" s="278"/>
      <c r="M768" s="277"/>
      <c r="N768" s="278"/>
      <c r="O768" s="277"/>
      <c r="P768" s="278"/>
      <c r="Q768" s="277"/>
      <c r="R768" s="278"/>
      <c r="S768" s="277"/>
      <c r="T768" s="278"/>
      <c r="U768" s="277"/>
      <c r="V768" s="278"/>
      <c r="W768" s="277"/>
      <c r="X768" s="278"/>
      <c r="Y768" s="277"/>
      <c r="Z768" s="278"/>
      <c r="AA768" s="277"/>
      <c r="AB768" s="278"/>
      <c r="AC768" s="277"/>
      <c r="AD768" s="278"/>
      <c r="AE768" s="277"/>
      <c r="AF768" s="278"/>
      <c r="AG768" s="277"/>
      <c r="AH768" s="278"/>
      <c r="AI768" s="277"/>
      <c r="AJ768" s="278"/>
      <c r="AK768" s="277"/>
      <c r="AL768" s="278"/>
      <c r="AM768" s="277"/>
      <c r="AN768" s="278"/>
      <c r="AO768" s="278"/>
      <c r="AP768" s="278"/>
      <c r="AQ768" s="278"/>
      <c r="AR768" s="278"/>
      <c r="AS768" s="278"/>
    </row>
    <row r="769" spans="1:45">
      <c r="A769" s="277"/>
      <c r="B769" s="298" t="b">
        <v>0</v>
      </c>
      <c r="C769" s="278"/>
      <c r="D769" s="299" t="b">
        <v>0</v>
      </c>
      <c r="E769" s="277"/>
      <c r="F769" s="298" t="b">
        <v>0</v>
      </c>
      <c r="G769" s="278"/>
      <c r="H769" s="299" t="b">
        <v>0</v>
      </c>
      <c r="I769" s="277"/>
      <c r="J769" s="278"/>
      <c r="K769" s="277"/>
      <c r="L769" s="278"/>
      <c r="M769" s="277"/>
      <c r="N769" s="278"/>
      <c r="O769" s="277"/>
      <c r="P769" s="278"/>
      <c r="Q769" s="277"/>
      <c r="R769" s="278"/>
      <c r="S769" s="277"/>
      <c r="T769" s="278"/>
      <c r="U769" s="277"/>
      <c r="V769" s="278"/>
      <c r="W769" s="277"/>
      <c r="X769" s="278"/>
      <c r="Y769" s="277"/>
      <c r="Z769" s="278"/>
      <c r="AA769" s="277"/>
      <c r="AB769" s="278"/>
      <c r="AC769" s="277"/>
      <c r="AD769" s="278"/>
      <c r="AE769" s="277"/>
      <c r="AF769" s="278"/>
      <c r="AG769" s="277"/>
      <c r="AH769" s="278"/>
      <c r="AI769" s="277"/>
      <c r="AJ769" s="278"/>
      <c r="AK769" s="277"/>
      <c r="AL769" s="278"/>
      <c r="AM769" s="277"/>
      <c r="AN769" s="278"/>
      <c r="AO769" s="278"/>
      <c r="AP769" s="278"/>
      <c r="AQ769" s="278"/>
      <c r="AR769" s="278"/>
      <c r="AS769" s="278"/>
    </row>
    <row r="770" spans="1:45">
      <c r="A770" s="277"/>
      <c r="B770" s="298" t="b">
        <v>0</v>
      </c>
      <c r="C770" s="278"/>
      <c r="D770" s="299" t="b">
        <v>0</v>
      </c>
      <c r="E770" s="277"/>
      <c r="F770" s="298" t="b">
        <v>0</v>
      </c>
      <c r="G770" s="278"/>
      <c r="H770" s="299" t="b">
        <v>0</v>
      </c>
      <c r="I770" s="277"/>
      <c r="J770" s="278"/>
      <c r="K770" s="277"/>
      <c r="L770" s="278"/>
      <c r="M770" s="277"/>
      <c r="N770" s="278"/>
      <c r="O770" s="277"/>
      <c r="P770" s="278"/>
      <c r="Q770" s="277"/>
      <c r="R770" s="278"/>
      <c r="S770" s="277"/>
      <c r="T770" s="278"/>
      <c r="U770" s="277"/>
      <c r="V770" s="278"/>
      <c r="W770" s="277"/>
      <c r="X770" s="278"/>
      <c r="Y770" s="277"/>
      <c r="Z770" s="278"/>
      <c r="AA770" s="277"/>
      <c r="AB770" s="278"/>
      <c r="AC770" s="277"/>
      <c r="AD770" s="278"/>
      <c r="AE770" s="277"/>
      <c r="AF770" s="278"/>
      <c r="AG770" s="277"/>
      <c r="AH770" s="278"/>
      <c r="AI770" s="277"/>
      <c r="AJ770" s="278"/>
      <c r="AK770" s="277"/>
      <c r="AL770" s="278"/>
      <c r="AM770" s="277"/>
      <c r="AN770" s="278"/>
      <c r="AO770" s="278"/>
      <c r="AP770" s="278"/>
      <c r="AQ770" s="278"/>
      <c r="AR770" s="278"/>
      <c r="AS770" s="278"/>
    </row>
    <row r="771" spans="1:45">
      <c r="A771" s="277"/>
      <c r="B771" s="298" t="b">
        <v>0</v>
      </c>
      <c r="C771" s="278"/>
      <c r="D771" s="299" t="b">
        <v>0</v>
      </c>
      <c r="E771" s="277"/>
      <c r="F771" s="298" t="b">
        <v>0</v>
      </c>
      <c r="G771" s="278"/>
      <c r="H771" s="299" t="b">
        <v>0</v>
      </c>
      <c r="I771" s="277"/>
      <c r="J771" s="278"/>
      <c r="K771" s="277"/>
      <c r="L771" s="278"/>
      <c r="M771" s="277"/>
      <c r="N771" s="278"/>
      <c r="O771" s="277"/>
      <c r="P771" s="278"/>
      <c r="Q771" s="277"/>
      <c r="R771" s="278"/>
      <c r="S771" s="277"/>
      <c r="T771" s="278"/>
      <c r="U771" s="277"/>
      <c r="V771" s="278"/>
      <c r="W771" s="277"/>
      <c r="X771" s="278"/>
      <c r="Y771" s="277"/>
      <c r="Z771" s="278"/>
      <c r="AA771" s="277"/>
      <c r="AB771" s="278"/>
      <c r="AC771" s="277"/>
      <c r="AD771" s="278"/>
      <c r="AE771" s="277"/>
      <c r="AF771" s="278"/>
      <c r="AG771" s="277"/>
      <c r="AH771" s="278"/>
      <c r="AI771" s="277"/>
      <c r="AJ771" s="278"/>
      <c r="AK771" s="277"/>
      <c r="AL771" s="278"/>
      <c r="AM771" s="277"/>
      <c r="AN771" s="278"/>
      <c r="AO771" s="278"/>
      <c r="AP771" s="278"/>
      <c r="AQ771" s="278"/>
      <c r="AR771" s="278"/>
      <c r="AS771" s="278"/>
    </row>
    <row r="772" spans="1:45">
      <c r="A772" s="277"/>
      <c r="B772" s="298" t="b">
        <v>0</v>
      </c>
      <c r="C772" s="278"/>
      <c r="D772" s="299" t="b">
        <v>0</v>
      </c>
      <c r="E772" s="277"/>
      <c r="F772" s="298" t="b">
        <v>0</v>
      </c>
      <c r="G772" s="278"/>
      <c r="H772" s="299" t="b">
        <v>0</v>
      </c>
      <c r="I772" s="277"/>
      <c r="J772" s="278"/>
      <c r="K772" s="277"/>
      <c r="L772" s="278"/>
      <c r="M772" s="277"/>
      <c r="N772" s="278"/>
      <c r="O772" s="277"/>
      <c r="P772" s="278"/>
      <c r="Q772" s="277"/>
      <c r="R772" s="278"/>
      <c r="S772" s="277"/>
      <c r="T772" s="278"/>
      <c r="U772" s="277"/>
      <c r="V772" s="278"/>
      <c r="W772" s="277"/>
      <c r="X772" s="278"/>
      <c r="Y772" s="277"/>
      <c r="Z772" s="278"/>
      <c r="AA772" s="277"/>
      <c r="AB772" s="278"/>
      <c r="AC772" s="277"/>
      <c r="AD772" s="278"/>
      <c r="AE772" s="277"/>
      <c r="AF772" s="278"/>
      <c r="AG772" s="277"/>
      <c r="AH772" s="278"/>
      <c r="AI772" s="277"/>
      <c r="AJ772" s="278"/>
      <c r="AK772" s="277"/>
      <c r="AL772" s="278"/>
      <c r="AM772" s="277"/>
      <c r="AN772" s="278"/>
      <c r="AO772" s="278"/>
      <c r="AP772" s="278"/>
      <c r="AQ772" s="278"/>
      <c r="AR772" s="278"/>
      <c r="AS772" s="278"/>
    </row>
    <row r="773" spans="1:45">
      <c r="A773" s="277"/>
      <c r="B773" s="298" t="b">
        <v>0</v>
      </c>
      <c r="C773" s="278"/>
      <c r="D773" s="299" t="b">
        <v>0</v>
      </c>
      <c r="E773" s="277"/>
      <c r="F773" s="298" t="b">
        <v>0</v>
      </c>
      <c r="G773" s="278"/>
      <c r="H773" s="299" t="b">
        <v>0</v>
      </c>
      <c r="I773" s="277"/>
      <c r="J773" s="278"/>
      <c r="K773" s="277"/>
      <c r="L773" s="278"/>
      <c r="M773" s="277"/>
      <c r="N773" s="278"/>
      <c r="O773" s="277"/>
      <c r="P773" s="278"/>
      <c r="Q773" s="277"/>
      <c r="R773" s="278"/>
      <c r="S773" s="277"/>
      <c r="T773" s="278"/>
      <c r="U773" s="277"/>
      <c r="V773" s="278"/>
      <c r="W773" s="277"/>
      <c r="X773" s="278"/>
      <c r="Y773" s="277"/>
      <c r="Z773" s="278"/>
      <c r="AA773" s="277"/>
      <c r="AB773" s="278"/>
      <c r="AC773" s="277"/>
      <c r="AD773" s="278"/>
      <c r="AE773" s="277"/>
      <c r="AF773" s="278"/>
      <c r="AG773" s="277"/>
      <c r="AH773" s="278"/>
      <c r="AI773" s="277"/>
      <c r="AJ773" s="278"/>
      <c r="AK773" s="277"/>
      <c r="AL773" s="278"/>
      <c r="AM773" s="277"/>
      <c r="AN773" s="278"/>
      <c r="AO773" s="278"/>
      <c r="AP773" s="278"/>
      <c r="AQ773" s="278"/>
      <c r="AR773" s="278"/>
      <c r="AS773" s="278"/>
    </row>
    <row r="774" spans="1:45">
      <c r="A774" s="277"/>
      <c r="B774" s="298" t="b">
        <v>0</v>
      </c>
      <c r="C774" s="278"/>
      <c r="D774" s="299" t="b">
        <v>0</v>
      </c>
      <c r="E774" s="277"/>
      <c r="F774" s="298" t="b">
        <v>0</v>
      </c>
      <c r="G774" s="278"/>
      <c r="H774" s="299" t="b">
        <v>0</v>
      </c>
      <c r="I774" s="277"/>
      <c r="J774" s="278"/>
      <c r="K774" s="277"/>
      <c r="L774" s="278"/>
      <c r="M774" s="277"/>
      <c r="N774" s="278"/>
      <c r="O774" s="277"/>
      <c r="P774" s="278"/>
      <c r="Q774" s="277"/>
      <c r="R774" s="278"/>
      <c r="S774" s="277"/>
      <c r="T774" s="278"/>
      <c r="U774" s="277"/>
      <c r="V774" s="278"/>
      <c r="W774" s="277"/>
      <c r="X774" s="278"/>
      <c r="Y774" s="277"/>
      <c r="Z774" s="278"/>
      <c r="AA774" s="277"/>
      <c r="AB774" s="278"/>
      <c r="AC774" s="277"/>
      <c r="AD774" s="278"/>
      <c r="AE774" s="277"/>
      <c r="AF774" s="278"/>
      <c r="AG774" s="277"/>
      <c r="AH774" s="278"/>
      <c r="AI774" s="277"/>
      <c r="AJ774" s="278"/>
      <c r="AK774" s="277"/>
      <c r="AL774" s="278"/>
      <c r="AM774" s="277"/>
      <c r="AN774" s="278"/>
      <c r="AO774" s="278"/>
      <c r="AP774" s="278"/>
      <c r="AQ774" s="278"/>
      <c r="AR774" s="278"/>
      <c r="AS774" s="278"/>
    </row>
    <row r="775" spans="1:45">
      <c r="A775" s="277"/>
      <c r="B775" s="298" t="b">
        <v>0</v>
      </c>
      <c r="C775" s="278"/>
      <c r="D775" s="299" t="b">
        <v>0</v>
      </c>
      <c r="E775" s="277"/>
      <c r="F775" s="298" t="b">
        <v>0</v>
      </c>
      <c r="G775" s="278"/>
      <c r="H775" s="299" t="b">
        <v>0</v>
      </c>
      <c r="I775" s="277"/>
      <c r="J775" s="278"/>
      <c r="K775" s="277"/>
      <c r="L775" s="278"/>
      <c r="M775" s="277"/>
      <c r="N775" s="278"/>
      <c r="O775" s="277"/>
      <c r="P775" s="278"/>
      <c r="Q775" s="277"/>
      <c r="R775" s="278"/>
      <c r="S775" s="277"/>
      <c r="T775" s="278"/>
      <c r="U775" s="277"/>
      <c r="V775" s="278"/>
      <c r="W775" s="277"/>
      <c r="X775" s="278"/>
      <c r="Y775" s="277"/>
      <c r="Z775" s="278"/>
      <c r="AA775" s="277"/>
      <c r="AB775" s="278"/>
      <c r="AC775" s="277"/>
      <c r="AD775" s="278"/>
      <c r="AE775" s="277"/>
      <c r="AF775" s="278"/>
      <c r="AG775" s="277"/>
      <c r="AH775" s="278"/>
      <c r="AI775" s="277"/>
      <c r="AJ775" s="278"/>
      <c r="AK775" s="277"/>
      <c r="AL775" s="278"/>
      <c r="AM775" s="277"/>
      <c r="AN775" s="278"/>
      <c r="AO775" s="278"/>
      <c r="AP775" s="278"/>
      <c r="AQ775" s="278"/>
      <c r="AR775" s="278"/>
      <c r="AS775" s="278"/>
    </row>
    <row r="776" spans="1:45">
      <c r="A776" s="277"/>
      <c r="B776" s="298" t="b">
        <v>0</v>
      </c>
      <c r="C776" s="278"/>
      <c r="D776" s="299" t="b">
        <v>0</v>
      </c>
      <c r="E776" s="277"/>
      <c r="F776" s="298" t="b">
        <v>0</v>
      </c>
      <c r="G776" s="278"/>
      <c r="H776" s="299" t="b">
        <v>0</v>
      </c>
      <c r="I776" s="277"/>
      <c r="J776" s="278"/>
      <c r="K776" s="277"/>
      <c r="L776" s="278"/>
      <c r="M776" s="277"/>
      <c r="N776" s="278"/>
      <c r="O776" s="277"/>
      <c r="P776" s="278"/>
      <c r="Q776" s="277"/>
      <c r="R776" s="278"/>
      <c r="S776" s="277"/>
      <c r="T776" s="278"/>
      <c r="U776" s="277"/>
      <c r="V776" s="278"/>
      <c r="W776" s="277"/>
      <c r="X776" s="278"/>
      <c r="Y776" s="277"/>
      <c r="Z776" s="278"/>
      <c r="AA776" s="277"/>
      <c r="AB776" s="278"/>
      <c r="AC776" s="277"/>
      <c r="AD776" s="278"/>
      <c r="AE776" s="277"/>
      <c r="AF776" s="278"/>
      <c r="AG776" s="277"/>
      <c r="AH776" s="278"/>
      <c r="AI776" s="277"/>
      <c r="AJ776" s="278"/>
      <c r="AK776" s="277"/>
      <c r="AL776" s="278"/>
      <c r="AM776" s="277"/>
      <c r="AN776" s="278"/>
      <c r="AO776" s="278"/>
      <c r="AP776" s="278"/>
      <c r="AQ776" s="278"/>
      <c r="AR776" s="278"/>
      <c r="AS776" s="278"/>
    </row>
    <row r="777" spans="1:45">
      <c r="A777" s="277"/>
      <c r="B777" s="298" t="b">
        <v>0</v>
      </c>
      <c r="C777" s="278"/>
      <c r="D777" s="299" t="b">
        <v>0</v>
      </c>
      <c r="E777" s="277"/>
      <c r="F777" s="298" t="b">
        <v>0</v>
      </c>
      <c r="G777" s="278"/>
      <c r="H777" s="299" t="b">
        <v>0</v>
      </c>
      <c r="I777" s="277"/>
      <c r="J777" s="278"/>
      <c r="K777" s="277"/>
      <c r="L777" s="278"/>
      <c r="M777" s="277"/>
      <c r="N777" s="278"/>
      <c r="O777" s="277"/>
      <c r="P777" s="278"/>
      <c r="Q777" s="277"/>
      <c r="R777" s="278"/>
      <c r="S777" s="277"/>
      <c r="T777" s="278"/>
      <c r="U777" s="277"/>
      <c r="V777" s="278"/>
      <c r="W777" s="277"/>
      <c r="X777" s="278"/>
      <c r="Y777" s="277"/>
      <c r="Z777" s="278"/>
      <c r="AA777" s="277"/>
      <c r="AB777" s="278"/>
      <c r="AC777" s="277"/>
      <c r="AD777" s="278"/>
      <c r="AE777" s="277"/>
      <c r="AF777" s="278"/>
      <c r="AG777" s="277"/>
      <c r="AH777" s="278"/>
      <c r="AI777" s="277"/>
      <c r="AJ777" s="278"/>
      <c r="AK777" s="277"/>
      <c r="AL777" s="278"/>
      <c r="AM777" s="277"/>
      <c r="AN777" s="278"/>
      <c r="AO777" s="278"/>
      <c r="AP777" s="278"/>
      <c r="AQ777" s="278"/>
      <c r="AR777" s="278"/>
      <c r="AS777" s="278"/>
    </row>
    <row r="778" spans="1:45">
      <c r="A778" s="277"/>
      <c r="B778" s="298" t="b">
        <v>0</v>
      </c>
      <c r="C778" s="278"/>
      <c r="D778" s="299" t="b">
        <v>0</v>
      </c>
      <c r="E778" s="277"/>
      <c r="F778" s="298" t="b">
        <v>0</v>
      </c>
      <c r="G778" s="278"/>
      <c r="H778" s="299" t="b">
        <v>0</v>
      </c>
      <c r="I778" s="277"/>
      <c r="J778" s="278"/>
      <c r="K778" s="277"/>
      <c r="L778" s="278"/>
      <c r="M778" s="277"/>
      <c r="N778" s="278"/>
      <c r="O778" s="277"/>
      <c r="P778" s="278"/>
      <c r="Q778" s="277"/>
      <c r="R778" s="278"/>
      <c r="S778" s="277"/>
      <c r="T778" s="278"/>
      <c r="U778" s="277"/>
      <c r="V778" s="278"/>
      <c r="W778" s="277"/>
      <c r="X778" s="278"/>
      <c r="Y778" s="277"/>
      <c r="Z778" s="278"/>
      <c r="AA778" s="277"/>
      <c r="AB778" s="278"/>
      <c r="AC778" s="277"/>
      <c r="AD778" s="278"/>
      <c r="AE778" s="277"/>
      <c r="AF778" s="278"/>
      <c r="AG778" s="277"/>
      <c r="AH778" s="278"/>
      <c r="AI778" s="277"/>
      <c r="AJ778" s="278"/>
      <c r="AK778" s="277"/>
      <c r="AL778" s="278"/>
      <c r="AM778" s="277"/>
      <c r="AN778" s="278"/>
      <c r="AO778" s="278"/>
      <c r="AP778" s="278"/>
      <c r="AQ778" s="278"/>
      <c r="AR778" s="278"/>
      <c r="AS778" s="278"/>
    </row>
    <row r="779" spans="1:45">
      <c r="A779" s="277"/>
      <c r="B779" s="298" t="b">
        <v>0</v>
      </c>
      <c r="C779" s="278"/>
      <c r="D779" s="299" t="b">
        <v>0</v>
      </c>
      <c r="E779" s="277"/>
      <c r="F779" s="298" t="b">
        <v>0</v>
      </c>
      <c r="G779" s="278"/>
      <c r="H779" s="299" t="b">
        <v>0</v>
      </c>
      <c r="I779" s="277"/>
      <c r="J779" s="278"/>
      <c r="K779" s="277"/>
      <c r="L779" s="278"/>
      <c r="M779" s="277"/>
      <c r="N779" s="278"/>
      <c r="O779" s="277"/>
      <c r="P779" s="278"/>
      <c r="Q779" s="277"/>
      <c r="R779" s="278"/>
      <c r="S779" s="277"/>
      <c r="T779" s="278"/>
      <c r="U779" s="277"/>
      <c r="V779" s="278"/>
      <c r="W779" s="277"/>
      <c r="X779" s="278"/>
      <c r="Y779" s="277"/>
      <c r="Z779" s="278"/>
      <c r="AA779" s="277"/>
      <c r="AB779" s="278"/>
      <c r="AC779" s="277"/>
      <c r="AD779" s="278"/>
      <c r="AE779" s="277"/>
      <c r="AF779" s="278"/>
      <c r="AG779" s="277"/>
      <c r="AH779" s="278"/>
      <c r="AI779" s="277"/>
      <c r="AJ779" s="278"/>
      <c r="AK779" s="277"/>
      <c r="AL779" s="278"/>
      <c r="AM779" s="277"/>
      <c r="AN779" s="278"/>
      <c r="AO779" s="278"/>
      <c r="AP779" s="278"/>
      <c r="AQ779" s="278"/>
      <c r="AR779" s="278"/>
      <c r="AS779" s="278"/>
    </row>
    <row r="780" spans="1:45">
      <c r="A780" s="277"/>
      <c r="B780" s="298" t="b">
        <v>0</v>
      </c>
      <c r="C780" s="278"/>
      <c r="D780" s="299" t="b">
        <v>0</v>
      </c>
      <c r="E780" s="277"/>
      <c r="F780" s="298" t="b">
        <v>0</v>
      </c>
      <c r="G780" s="278"/>
      <c r="H780" s="299" t="b">
        <v>0</v>
      </c>
      <c r="I780" s="277"/>
      <c r="J780" s="278"/>
      <c r="K780" s="277"/>
      <c r="L780" s="278"/>
      <c r="M780" s="277"/>
      <c r="N780" s="278"/>
      <c r="O780" s="277"/>
      <c r="P780" s="278"/>
      <c r="Q780" s="277"/>
      <c r="R780" s="278"/>
      <c r="S780" s="277"/>
      <c r="T780" s="278"/>
      <c r="U780" s="277"/>
      <c r="V780" s="278"/>
      <c r="W780" s="277"/>
      <c r="X780" s="278"/>
      <c r="Y780" s="277"/>
      <c r="Z780" s="278"/>
      <c r="AA780" s="277"/>
      <c r="AB780" s="278"/>
      <c r="AC780" s="277"/>
      <c r="AD780" s="278"/>
      <c r="AE780" s="277"/>
      <c r="AF780" s="278"/>
      <c r="AG780" s="277"/>
      <c r="AH780" s="278"/>
      <c r="AI780" s="277"/>
      <c r="AJ780" s="278"/>
      <c r="AK780" s="277"/>
      <c r="AL780" s="278"/>
      <c r="AM780" s="277"/>
      <c r="AN780" s="278"/>
      <c r="AO780" s="278"/>
      <c r="AP780" s="278"/>
      <c r="AQ780" s="278"/>
      <c r="AR780" s="278"/>
      <c r="AS780" s="278"/>
    </row>
    <row r="781" spans="1:45">
      <c r="A781" s="277"/>
      <c r="B781" s="298" t="b">
        <v>0</v>
      </c>
      <c r="C781" s="278"/>
      <c r="D781" s="299" t="b">
        <v>0</v>
      </c>
      <c r="E781" s="277"/>
      <c r="F781" s="298" t="b">
        <v>0</v>
      </c>
      <c r="G781" s="278"/>
      <c r="H781" s="299" t="b">
        <v>0</v>
      </c>
      <c r="I781" s="277"/>
      <c r="J781" s="278"/>
      <c r="K781" s="277"/>
      <c r="L781" s="278"/>
      <c r="M781" s="277"/>
      <c r="N781" s="278"/>
      <c r="O781" s="277"/>
      <c r="P781" s="278"/>
      <c r="Q781" s="277"/>
      <c r="R781" s="278"/>
      <c r="S781" s="277"/>
      <c r="T781" s="278"/>
      <c r="U781" s="277"/>
      <c r="V781" s="278"/>
      <c r="W781" s="277"/>
      <c r="X781" s="278"/>
      <c r="Y781" s="277"/>
      <c r="Z781" s="278"/>
      <c r="AA781" s="277"/>
      <c r="AB781" s="278"/>
      <c r="AC781" s="277"/>
      <c r="AD781" s="278"/>
      <c r="AE781" s="277"/>
      <c r="AF781" s="278"/>
      <c r="AG781" s="277"/>
      <c r="AH781" s="278"/>
      <c r="AI781" s="277"/>
      <c r="AJ781" s="278"/>
      <c r="AK781" s="277"/>
      <c r="AL781" s="278"/>
      <c r="AM781" s="277"/>
      <c r="AN781" s="278"/>
      <c r="AO781" s="278"/>
      <c r="AP781" s="278"/>
      <c r="AQ781" s="278"/>
      <c r="AR781" s="278"/>
      <c r="AS781" s="278"/>
    </row>
    <row r="782" spans="1:45">
      <c r="A782" s="277"/>
      <c r="B782" s="298" t="b">
        <v>0</v>
      </c>
      <c r="C782" s="278"/>
      <c r="D782" s="299" t="b">
        <v>0</v>
      </c>
      <c r="E782" s="277"/>
      <c r="F782" s="298" t="b">
        <v>0</v>
      </c>
      <c r="G782" s="278"/>
      <c r="H782" s="299" t="b">
        <v>0</v>
      </c>
      <c r="I782" s="277"/>
      <c r="J782" s="278"/>
      <c r="K782" s="277"/>
      <c r="L782" s="278"/>
      <c r="M782" s="277"/>
      <c r="N782" s="278"/>
      <c r="O782" s="277"/>
      <c r="P782" s="278"/>
      <c r="Q782" s="277"/>
      <c r="R782" s="278"/>
      <c r="S782" s="277"/>
      <c r="T782" s="278"/>
      <c r="U782" s="277"/>
      <c r="V782" s="278"/>
      <c r="W782" s="277"/>
      <c r="X782" s="278"/>
      <c r="Y782" s="277"/>
      <c r="Z782" s="278"/>
      <c r="AA782" s="277"/>
      <c r="AB782" s="278"/>
      <c r="AC782" s="277"/>
      <c r="AD782" s="278"/>
      <c r="AE782" s="277"/>
      <c r="AF782" s="278"/>
      <c r="AG782" s="277"/>
      <c r="AH782" s="278"/>
      <c r="AI782" s="277"/>
      <c r="AJ782" s="278"/>
      <c r="AK782" s="277"/>
      <c r="AL782" s="278"/>
      <c r="AM782" s="277"/>
      <c r="AN782" s="278"/>
      <c r="AO782" s="278"/>
      <c r="AP782" s="278"/>
      <c r="AQ782" s="278"/>
      <c r="AR782" s="278"/>
      <c r="AS782" s="278"/>
    </row>
    <row r="783" spans="1:45">
      <c r="A783" s="277"/>
      <c r="B783" s="298" t="b">
        <v>0</v>
      </c>
      <c r="C783" s="278"/>
      <c r="D783" s="299" t="b">
        <v>0</v>
      </c>
      <c r="E783" s="277"/>
      <c r="F783" s="298" t="b">
        <v>0</v>
      </c>
      <c r="G783" s="278"/>
      <c r="H783" s="299" t="b">
        <v>0</v>
      </c>
      <c r="I783" s="277"/>
      <c r="J783" s="278"/>
      <c r="K783" s="277"/>
      <c r="L783" s="278"/>
      <c r="M783" s="277"/>
      <c r="N783" s="278"/>
      <c r="O783" s="277"/>
      <c r="P783" s="278"/>
      <c r="Q783" s="277"/>
      <c r="R783" s="278"/>
      <c r="S783" s="277"/>
      <c r="T783" s="278"/>
      <c r="U783" s="277"/>
      <c r="V783" s="278"/>
      <c r="W783" s="277"/>
      <c r="X783" s="278"/>
      <c r="Y783" s="277"/>
      <c r="Z783" s="278"/>
      <c r="AA783" s="277"/>
      <c r="AB783" s="278"/>
      <c r="AC783" s="277"/>
      <c r="AD783" s="278"/>
      <c r="AE783" s="277"/>
      <c r="AF783" s="278"/>
      <c r="AG783" s="277"/>
      <c r="AH783" s="278"/>
      <c r="AI783" s="277"/>
      <c r="AJ783" s="278"/>
      <c r="AK783" s="277"/>
      <c r="AL783" s="278"/>
      <c r="AM783" s="277"/>
      <c r="AN783" s="278"/>
      <c r="AO783" s="278"/>
      <c r="AP783" s="278"/>
      <c r="AQ783" s="278"/>
      <c r="AR783" s="278"/>
      <c r="AS783" s="278"/>
    </row>
    <row r="784" spans="1:45">
      <c r="A784" s="277"/>
      <c r="B784" s="298" t="b">
        <v>0</v>
      </c>
      <c r="C784" s="278"/>
      <c r="D784" s="299" t="b">
        <v>0</v>
      </c>
      <c r="E784" s="277"/>
      <c r="F784" s="298" t="b">
        <v>0</v>
      </c>
      <c r="G784" s="278"/>
      <c r="H784" s="299" t="b">
        <v>0</v>
      </c>
      <c r="I784" s="277"/>
      <c r="J784" s="278"/>
      <c r="K784" s="277"/>
      <c r="L784" s="278"/>
      <c r="M784" s="277"/>
      <c r="N784" s="278"/>
      <c r="O784" s="277"/>
      <c r="P784" s="278"/>
      <c r="Q784" s="277"/>
      <c r="R784" s="278"/>
      <c r="S784" s="277"/>
      <c r="T784" s="278"/>
      <c r="U784" s="277"/>
      <c r="V784" s="278"/>
      <c r="W784" s="277"/>
      <c r="X784" s="278"/>
      <c r="Y784" s="277"/>
      <c r="Z784" s="278"/>
      <c r="AA784" s="277"/>
      <c r="AB784" s="278"/>
      <c r="AC784" s="277"/>
      <c r="AD784" s="278"/>
      <c r="AE784" s="277"/>
      <c r="AF784" s="278"/>
      <c r="AG784" s="277"/>
      <c r="AH784" s="278"/>
      <c r="AI784" s="277"/>
      <c r="AJ784" s="278"/>
      <c r="AK784" s="277"/>
      <c r="AL784" s="278"/>
      <c r="AM784" s="277"/>
      <c r="AN784" s="278"/>
      <c r="AO784" s="278"/>
      <c r="AP784" s="278"/>
      <c r="AQ784" s="278"/>
      <c r="AR784" s="278"/>
      <c r="AS784" s="278"/>
    </row>
    <row r="785" spans="1:45">
      <c r="A785" s="277"/>
      <c r="B785" s="298" t="b">
        <v>0</v>
      </c>
      <c r="C785" s="278"/>
      <c r="D785" s="299" t="b">
        <v>0</v>
      </c>
      <c r="E785" s="277"/>
      <c r="F785" s="298" t="b">
        <v>0</v>
      </c>
      <c r="G785" s="278"/>
      <c r="H785" s="299" t="b">
        <v>0</v>
      </c>
      <c r="I785" s="277"/>
      <c r="J785" s="278"/>
      <c r="K785" s="277"/>
      <c r="L785" s="278"/>
      <c r="M785" s="277"/>
      <c r="N785" s="278"/>
      <c r="O785" s="277"/>
      <c r="P785" s="278"/>
      <c r="Q785" s="277"/>
      <c r="R785" s="278"/>
      <c r="S785" s="277"/>
      <c r="T785" s="278"/>
      <c r="U785" s="277"/>
      <c r="V785" s="278"/>
      <c r="W785" s="277"/>
      <c r="X785" s="278"/>
      <c r="Y785" s="277"/>
      <c r="Z785" s="278"/>
      <c r="AA785" s="277"/>
      <c r="AB785" s="278"/>
      <c r="AC785" s="277"/>
      <c r="AD785" s="278"/>
      <c r="AE785" s="277"/>
      <c r="AF785" s="278"/>
      <c r="AG785" s="277"/>
      <c r="AH785" s="278"/>
      <c r="AI785" s="277"/>
      <c r="AJ785" s="278"/>
      <c r="AK785" s="277"/>
      <c r="AL785" s="278"/>
      <c r="AM785" s="277"/>
      <c r="AN785" s="278"/>
      <c r="AO785" s="278"/>
      <c r="AP785" s="278"/>
      <c r="AQ785" s="278"/>
      <c r="AR785" s="278"/>
      <c r="AS785" s="278"/>
    </row>
    <row r="786" spans="1:45">
      <c r="A786" s="277"/>
      <c r="B786" s="298" t="b">
        <v>0</v>
      </c>
      <c r="C786" s="278"/>
      <c r="D786" s="299" t="b">
        <v>0</v>
      </c>
      <c r="E786" s="277"/>
      <c r="F786" s="298" t="b">
        <v>0</v>
      </c>
      <c r="G786" s="278"/>
      <c r="H786" s="299" t="b">
        <v>0</v>
      </c>
      <c r="I786" s="277"/>
      <c r="J786" s="278"/>
      <c r="K786" s="277"/>
      <c r="L786" s="278"/>
      <c r="M786" s="277"/>
      <c r="N786" s="278"/>
      <c r="O786" s="277"/>
      <c r="P786" s="278"/>
      <c r="Q786" s="277"/>
      <c r="R786" s="278"/>
      <c r="S786" s="277"/>
      <c r="T786" s="278"/>
      <c r="U786" s="277"/>
      <c r="V786" s="278"/>
      <c r="W786" s="277"/>
      <c r="X786" s="278"/>
      <c r="Y786" s="277"/>
      <c r="Z786" s="278"/>
      <c r="AA786" s="277"/>
      <c r="AB786" s="278"/>
      <c r="AC786" s="277"/>
      <c r="AD786" s="278"/>
      <c r="AE786" s="277"/>
      <c r="AF786" s="278"/>
      <c r="AG786" s="277"/>
      <c r="AH786" s="278"/>
      <c r="AI786" s="277"/>
      <c r="AJ786" s="278"/>
      <c r="AK786" s="277"/>
      <c r="AL786" s="278"/>
      <c r="AM786" s="277"/>
      <c r="AN786" s="278"/>
      <c r="AO786" s="278"/>
      <c r="AP786" s="278"/>
      <c r="AQ786" s="278"/>
      <c r="AR786" s="278"/>
      <c r="AS786" s="278"/>
    </row>
    <row r="787" spans="1:45">
      <c r="A787" s="277"/>
      <c r="B787" s="298" t="b">
        <v>0</v>
      </c>
      <c r="C787" s="278"/>
      <c r="D787" s="299" t="b">
        <v>0</v>
      </c>
      <c r="E787" s="277"/>
      <c r="F787" s="298" t="b">
        <v>0</v>
      </c>
      <c r="G787" s="278"/>
      <c r="H787" s="299" t="b">
        <v>0</v>
      </c>
      <c r="I787" s="277"/>
      <c r="J787" s="278"/>
      <c r="K787" s="277"/>
      <c r="L787" s="278"/>
      <c r="M787" s="277"/>
      <c r="N787" s="278"/>
      <c r="O787" s="277"/>
      <c r="P787" s="278"/>
      <c r="Q787" s="277"/>
      <c r="R787" s="278"/>
      <c r="S787" s="277"/>
      <c r="T787" s="278"/>
      <c r="U787" s="277"/>
      <c r="V787" s="278"/>
      <c r="W787" s="277"/>
      <c r="X787" s="278"/>
      <c r="Y787" s="277"/>
      <c r="Z787" s="278"/>
      <c r="AA787" s="277"/>
      <c r="AB787" s="278"/>
      <c r="AC787" s="277"/>
      <c r="AD787" s="278"/>
      <c r="AE787" s="277"/>
      <c r="AF787" s="278"/>
      <c r="AG787" s="277"/>
      <c r="AH787" s="278"/>
      <c r="AI787" s="277"/>
      <c r="AJ787" s="278"/>
      <c r="AK787" s="277"/>
      <c r="AL787" s="278"/>
      <c r="AM787" s="277"/>
      <c r="AN787" s="278"/>
      <c r="AO787" s="278"/>
      <c r="AP787" s="278"/>
      <c r="AQ787" s="278"/>
      <c r="AR787" s="278"/>
      <c r="AS787" s="278"/>
    </row>
    <row r="788" spans="1:45">
      <c r="A788" s="277"/>
      <c r="B788" s="298" t="b">
        <v>0</v>
      </c>
      <c r="C788" s="278"/>
      <c r="D788" s="299" t="b">
        <v>0</v>
      </c>
      <c r="E788" s="277"/>
      <c r="F788" s="298" t="b">
        <v>0</v>
      </c>
      <c r="G788" s="278"/>
      <c r="H788" s="299" t="b">
        <v>0</v>
      </c>
      <c r="I788" s="277"/>
      <c r="J788" s="278"/>
      <c r="K788" s="277"/>
      <c r="L788" s="278"/>
      <c r="M788" s="277"/>
      <c r="N788" s="278"/>
      <c r="O788" s="277"/>
      <c r="P788" s="278"/>
      <c r="Q788" s="277"/>
      <c r="R788" s="278"/>
      <c r="S788" s="277"/>
      <c r="T788" s="278"/>
      <c r="U788" s="277"/>
      <c r="V788" s="278"/>
      <c r="W788" s="277"/>
      <c r="X788" s="278"/>
      <c r="Y788" s="277"/>
      <c r="Z788" s="278"/>
      <c r="AA788" s="277"/>
      <c r="AB788" s="278"/>
      <c r="AC788" s="277"/>
      <c r="AD788" s="278"/>
      <c r="AE788" s="277"/>
      <c r="AF788" s="278"/>
      <c r="AG788" s="277"/>
      <c r="AH788" s="278"/>
      <c r="AI788" s="277"/>
      <c r="AJ788" s="278"/>
      <c r="AK788" s="277"/>
      <c r="AL788" s="278"/>
      <c r="AM788" s="277"/>
      <c r="AN788" s="278"/>
      <c r="AO788" s="278"/>
      <c r="AP788" s="278"/>
      <c r="AQ788" s="278"/>
      <c r="AR788" s="278"/>
      <c r="AS788" s="278"/>
    </row>
    <row r="789" spans="1:45">
      <c r="A789" s="277"/>
      <c r="B789" s="298" t="b">
        <v>0</v>
      </c>
      <c r="C789" s="278"/>
      <c r="D789" s="299" t="b">
        <v>0</v>
      </c>
      <c r="E789" s="277"/>
      <c r="F789" s="298" t="b">
        <v>0</v>
      </c>
      <c r="G789" s="278"/>
      <c r="H789" s="299" t="b">
        <v>0</v>
      </c>
      <c r="I789" s="277"/>
      <c r="J789" s="278"/>
      <c r="K789" s="277"/>
      <c r="L789" s="278"/>
      <c r="M789" s="277"/>
      <c r="N789" s="278"/>
      <c r="O789" s="277"/>
      <c r="P789" s="278"/>
      <c r="Q789" s="277"/>
      <c r="R789" s="278"/>
      <c r="S789" s="277"/>
      <c r="T789" s="278"/>
      <c r="U789" s="277"/>
      <c r="V789" s="278"/>
      <c r="W789" s="277"/>
      <c r="X789" s="278"/>
      <c r="Y789" s="277"/>
      <c r="Z789" s="278"/>
      <c r="AA789" s="277"/>
      <c r="AB789" s="278"/>
      <c r="AC789" s="277"/>
      <c r="AD789" s="278"/>
      <c r="AE789" s="277"/>
      <c r="AF789" s="278"/>
      <c r="AG789" s="277"/>
      <c r="AH789" s="278"/>
      <c r="AI789" s="277"/>
      <c r="AJ789" s="278"/>
      <c r="AK789" s="277"/>
      <c r="AL789" s="278"/>
      <c r="AM789" s="277"/>
      <c r="AN789" s="278"/>
      <c r="AO789" s="278"/>
      <c r="AP789" s="278"/>
      <c r="AQ789" s="278"/>
      <c r="AR789" s="278"/>
      <c r="AS789" s="278"/>
    </row>
    <row r="790" spans="1:45">
      <c r="A790" s="277"/>
      <c r="B790" s="298" t="b">
        <v>0</v>
      </c>
      <c r="C790" s="278"/>
      <c r="D790" s="299" t="b">
        <v>0</v>
      </c>
      <c r="E790" s="277"/>
      <c r="F790" s="298" t="b">
        <v>0</v>
      </c>
      <c r="G790" s="278"/>
      <c r="H790" s="299" t="b">
        <v>0</v>
      </c>
      <c r="I790" s="277"/>
      <c r="J790" s="278"/>
      <c r="K790" s="277"/>
      <c r="L790" s="278"/>
      <c r="M790" s="277"/>
      <c r="N790" s="278"/>
      <c r="O790" s="277"/>
      <c r="P790" s="278"/>
      <c r="Q790" s="277"/>
      <c r="R790" s="278"/>
      <c r="S790" s="277"/>
      <c r="T790" s="278"/>
      <c r="U790" s="277"/>
      <c r="V790" s="278"/>
      <c r="W790" s="277"/>
      <c r="X790" s="278"/>
      <c r="Y790" s="277"/>
      <c r="Z790" s="278"/>
      <c r="AA790" s="277"/>
      <c r="AB790" s="278"/>
      <c r="AC790" s="277"/>
      <c r="AD790" s="278"/>
      <c r="AE790" s="277"/>
      <c r="AF790" s="278"/>
      <c r="AG790" s="277"/>
      <c r="AH790" s="278"/>
      <c r="AI790" s="277"/>
      <c r="AJ790" s="278"/>
      <c r="AK790" s="277"/>
      <c r="AL790" s="278"/>
      <c r="AM790" s="277"/>
      <c r="AN790" s="278"/>
      <c r="AO790" s="278"/>
      <c r="AP790" s="278"/>
      <c r="AQ790" s="278"/>
      <c r="AR790" s="278"/>
      <c r="AS790" s="278"/>
    </row>
    <row r="791" spans="1:45">
      <c r="A791" s="277"/>
      <c r="B791" s="298" t="b">
        <v>0</v>
      </c>
      <c r="C791" s="278"/>
      <c r="D791" s="299" t="b">
        <v>0</v>
      </c>
      <c r="E791" s="277"/>
      <c r="F791" s="298" t="b">
        <v>0</v>
      </c>
      <c r="G791" s="278"/>
      <c r="H791" s="299" t="b">
        <v>0</v>
      </c>
      <c r="I791" s="277"/>
      <c r="J791" s="278"/>
      <c r="K791" s="277"/>
      <c r="L791" s="278"/>
      <c r="M791" s="277"/>
      <c r="N791" s="278"/>
      <c r="O791" s="277"/>
      <c r="P791" s="278"/>
      <c r="Q791" s="277"/>
      <c r="R791" s="278"/>
      <c r="S791" s="277"/>
      <c r="T791" s="278"/>
      <c r="U791" s="277"/>
      <c r="V791" s="278"/>
      <c r="W791" s="277"/>
      <c r="X791" s="278"/>
      <c r="Y791" s="277"/>
      <c r="Z791" s="278"/>
      <c r="AA791" s="277"/>
      <c r="AB791" s="278"/>
      <c r="AC791" s="277"/>
      <c r="AD791" s="278"/>
      <c r="AE791" s="277"/>
      <c r="AF791" s="278"/>
      <c r="AG791" s="277"/>
      <c r="AH791" s="278"/>
      <c r="AI791" s="277"/>
      <c r="AJ791" s="278"/>
      <c r="AK791" s="277"/>
      <c r="AL791" s="278"/>
      <c r="AM791" s="277"/>
      <c r="AN791" s="278"/>
      <c r="AO791" s="278"/>
      <c r="AP791" s="278"/>
      <c r="AQ791" s="278"/>
      <c r="AR791" s="278"/>
      <c r="AS791" s="278"/>
    </row>
    <row r="792" spans="1:45">
      <c r="A792" s="277"/>
      <c r="B792" s="298" t="b">
        <v>0</v>
      </c>
      <c r="C792" s="278"/>
      <c r="D792" s="299" t="b">
        <v>0</v>
      </c>
      <c r="E792" s="277"/>
      <c r="F792" s="298" t="b">
        <v>0</v>
      </c>
      <c r="G792" s="278"/>
      <c r="H792" s="299" t="b">
        <v>0</v>
      </c>
      <c r="I792" s="277"/>
      <c r="J792" s="278"/>
      <c r="K792" s="277"/>
      <c r="L792" s="278"/>
      <c r="M792" s="277"/>
      <c r="N792" s="278"/>
      <c r="O792" s="277"/>
      <c r="P792" s="278"/>
      <c r="Q792" s="277"/>
      <c r="R792" s="278"/>
      <c r="S792" s="277"/>
      <c r="T792" s="278"/>
      <c r="U792" s="277"/>
      <c r="V792" s="278"/>
      <c r="W792" s="277"/>
      <c r="X792" s="278"/>
      <c r="Y792" s="277"/>
      <c r="Z792" s="278"/>
      <c r="AA792" s="277"/>
      <c r="AB792" s="278"/>
      <c r="AC792" s="277"/>
      <c r="AD792" s="278"/>
      <c r="AE792" s="277"/>
      <c r="AF792" s="278"/>
      <c r="AG792" s="277"/>
      <c r="AH792" s="278"/>
      <c r="AI792" s="277"/>
      <c r="AJ792" s="278"/>
      <c r="AK792" s="277"/>
      <c r="AL792" s="278"/>
      <c r="AM792" s="277"/>
      <c r="AN792" s="278"/>
      <c r="AO792" s="278"/>
      <c r="AP792" s="278"/>
      <c r="AQ792" s="278"/>
      <c r="AR792" s="278"/>
      <c r="AS792" s="278"/>
    </row>
    <row r="793" spans="1:45">
      <c r="A793" s="277"/>
      <c r="B793" s="298" t="b">
        <v>0</v>
      </c>
      <c r="C793" s="278"/>
      <c r="D793" s="299" t="b">
        <v>0</v>
      </c>
      <c r="E793" s="277"/>
      <c r="F793" s="298" t="b">
        <v>0</v>
      </c>
      <c r="G793" s="278"/>
      <c r="H793" s="299" t="b">
        <v>0</v>
      </c>
      <c r="I793" s="277"/>
      <c r="J793" s="278"/>
      <c r="K793" s="277"/>
      <c r="L793" s="278"/>
      <c r="M793" s="277"/>
      <c r="N793" s="278"/>
      <c r="O793" s="277"/>
      <c r="P793" s="278"/>
      <c r="Q793" s="277"/>
      <c r="R793" s="278"/>
      <c r="S793" s="277"/>
      <c r="T793" s="278"/>
      <c r="U793" s="277"/>
      <c r="V793" s="278"/>
      <c r="W793" s="277"/>
      <c r="X793" s="278"/>
      <c r="Y793" s="277"/>
      <c r="Z793" s="278"/>
      <c r="AA793" s="277"/>
      <c r="AB793" s="278"/>
      <c r="AC793" s="277"/>
      <c r="AD793" s="278"/>
      <c r="AE793" s="277"/>
      <c r="AF793" s="278"/>
      <c r="AG793" s="277"/>
      <c r="AH793" s="278"/>
      <c r="AI793" s="277"/>
      <c r="AJ793" s="278"/>
      <c r="AK793" s="277"/>
      <c r="AL793" s="278"/>
      <c r="AM793" s="277"/>
      <c r="AN793" s="278"/>
      <c r="AO793" s="278"/>
      <c r="AP793" s="278"/>
      <c r="AQ793" s="278"/>
      <c r="AR793" s="278"/>
      <c r="AS793" s="278"/>
    </row>
    <row r="794" spans="1:45">
      <c r="A794" s="277"/>
      <c r="B794" s="298" t="b">
        <v>0</v>
      </c>
      <c r="C794" s="278"/>
      <c r="D794" s="299" t="b">
        <v>0</v>
      </c>
      <c r="E794" s="277"/>
      <c r="F794" s="298" t="b">
        <v>0</v>
      </c>
      <c r="G794" s="278"/>
      <c r="H794" s="299" t="b">
        <v>0</v>
      </c>
      <c r="I794" s="277"/>
      <c r="J794" s="278"/>
      <c r="K794" s="277"/>
      <c r="L794" s="278"/>
      <c r="M794" s="277"/>
      <c r="N794" s="278"/>
      <c r="O794" s="277"/>
      <c r="P794" s="278"/>
      <c r="Q794" s="277"/>
      <c r="R794" s="278"/>
      <c r="S794" s="277"/>
      <c r="T794" s="278"/>
      <c r="U794" s="277"/>
      <c r="V794" s="278"/>
      <c r="W794" s="277"/>
      <c r="X794" s="278"/>
      <c r="Y794" s="277"/>
      <c r="Z794" s="278"/>
      <c r="AA794" s="277"/>
      <c r="AB794" s="278"/>
      <c r="AC794" s="277"/>
      <c r="AD794" s="278"/>
      <c r="AE794" s="277"/>
      <c r="AF794" s="278"/>
      <c r="AG794" s="277"/>
      <c r="AH794" s="278"/>
      <c r="AI794" s="277"/>
      <c r="AJ794" s="278"/>
      <c r="AK794" s="277"/>
      <c r="AL794" s="278"/>
      <c r="AM794" s="277"/>
      <c r="AN794" s="278"/>
      <c r="AO794" s="278"/>
      <c r="AP794" s="278"/>
      <c r="AQ794" s="278"/>
      <c r="AR794" s="278"/>
      <c r="AS794" s="278"/>
    </row>
    <row r="795" spans="1:45">
      <c r="A795" s="277"/>
      <c r="B795" s="298" t="b">
        <v>0</v>
      </c>
      <c r="C795" s="278"/>
      <c r="D795" s="299" t="b">
        <v>0</v>
      </c>
      <c r="E795" s="277"/>
      <c r="F795" s="298" t="b">
        <v>0</v>
      </c>
      <c r="G795" s="278"/>
      <c r="H795" s="299" t="b">
        <v>0</v>
      </c>
      <c r="I795" s="277"/>
      <c r="J795" s="278"/>
      <c r="K795" s="277"/>
      <c r="L795" s="278"/>
      <c r="M795" s="277"/>
      <c r="N795" s="278"/>
      <c r="O795" s="277"/>
      <c r="P795" s="278"/>
      <c r="Q795" s="277"/>
      <c r="R795" s="278"/>
      <c r="S795" s="277"/>
      <c r="T795" s="278"/>
      <c r="U795" s="277"/>
      <c r="V795" s="278"/>
      <c r="W795" s="277"/>
      <c r="X795" s="278"/>
      <c r="Y795" s="277"/>
      <c r="Z795" s="278"/>
      <c r="AA795" s="277"/>
      <c r="AB795" s="278"/>
      <c r="AC795" s="277"/>
      <c r="AD795" s="278"/>
      <c r="AE795" s="277"/>
      <c r="AF795" s="278"/>
      <c r="AG795" s="277"/>
      <c r="AH795" s="278"/>
      <c r="AI795" s="277"/>
      <c r="AJ795" s="278"/>
      <c r="AK795" s="277"/>
      <c r="AL795" s="278"/>
      <c r="AM795" s="277"/>
      <c r="AN795" s="278"/>
      <c r="AO795" s="278"/>
      <c r="AP795" s="278"/>
      <c r="AQ795" s="278"/>
      <c r="AR795" s="278"/>
      <c r="AS795" s="278"/>
    </row>
    <row r="796" spans="1:45">
      <c r="A796" s="277"/>
      <c r="B796" s="298" t="b">
        <v>0</v>
      </c>
      <c r="C796" s="278"/>
      <c r="D796" s="299" t="b">
        <v>0</v>
      </c>
      <c r="E796" s="277"/>
      <c r="F796" s="298" t="b">
        <v>0</v>
      </c>
      <c r="G796" s="278"/>
      <c r="H796" s="299" t="b">
        <v>0</v>
      </c>
      <c r="I796" s="277"/>
      <c r="J796" s="278"/>
      <c r="K796" s="277"/>
      <c r="L796" s="278"/>
      <c r="M796" s="277"/>
      <c r="N796" s="278"/>
      <c r="O796" s="277"/>
      <c r="P796" s="278"/>
      <c r="Q796" s="277"/>
      <c r="R796" s="278"/>
      <c r="S796" s="277"/>
      <c r="T796" s="278"/>
      <c r="U796" s="277"/>
      <c r="V796" s="278"/>
      <c r="W796" s="277"/>
      <c r="X796" s="278"/>
      <c r="Y796" s="277"/>
      <c r="Z796" s="278"/>
      <c r="AA796" s="277"/>
      <c r="AB796" s="278"/>
      <c r="AC796" s="277"/>
      <c r="AD796" s="278"/>
      <c r="AE796" s="277"/>
      <c r="AF796" s="278"/>
      <c r="AG796" s="277"/>
      <c r="AH796" s="278"/>
      <c r="AI796" s="277"/>
      <c r="AJ796" s="278"/>
      <c r="AK796" s="277"/>
      <c r="AL796" s="278"/>
      <c r="AM796" s="277"/>
      <c r="AN796" s="278"/>
      <c r="AO796" s="278"/>
      <c r="AP796" s="278"/>
      <c r="AQ796" s="278"/>
      <c r="AR796" s="278"/>
      <c r="AS796" s="278"/>
    </row>
    <row r="797" spans="1:45">
      <c r="A797" s="277"/>
      <c r="B797" s="298" t="b">
        <v>0</v>
      </c>
      <c r="C797" s="278"/>
      <c r="D797" s="299" t="b">
        <v>0</v>
      </c>
      <c r="E797" s="277"/>
      <c r="F797" s="298" t="b">
        <v>0</v>
      </c>
      <c r="G797" s="278"/>
      <c r="H797" s="299" t="b">
        <v>0</v>
      </c>
      <c r="I797" s="277"/>
      <c r="J797" s="278"/>
      <c r="K797" s="277"/>
      <c r="L797" s="278"/>
      <c r="M797" s="277"/>
      <c r="N797" s="278"/>
      <c r="O797" s="277"/>
      <c r="P797" s="278"/>
      <c r="Q797" s="277"/>
      <c r="R797" s="278"/>
      <c r="S797" s="277"/>
      <c r="T797" s="278"/>
      <c r="U797" s="277"/>
      <c r="V797" s="278"/>
      <c r="W797" s="277"/>
      <c r="X797" s="278"/>
      <c r="Y797" s="277"/>
      <c r="Z797" s="278"/>
      <c r="AA797" s="277"/>
      <c r="AB797" s="278"/>
      <c r="AC797" s="277"/>
      <c r="AD797" s="278"/>
      <c r="AE797" s="277"/>
      <c r="AF797" s="278"/>
      <c r="AG797" s="277"/>
      <c r="AH797" s="278"/>
      <c r="AI797" s="277"/>
      <c r="AJ797" s="278"/>
      <c r="AK797" s="277"/>
      <c r="AL797" s="278"/>
      <c r="AM797" s="277"/>
      <c r="AN797" s="278"/>
      <c r="AO797" s="278"/>
      <c r="AP797" s="278"/>
      <c r="AQ797" s="278"/>
      <c r="AR797" s="278"/>
      <c r="AS797" s="278"/>
    </row>
    <row r="798" spans="1:45">
      <c r="A798" s="277"/>
      <c r="B798" s="298" t="b">
        <v>0</v>
      </c>
      <c r="C798" s="278"/>
      <c r="D798" s="299" t="b">
        <v>0</v>
      </c>
      <c r="E798" s="277"/>
      <c r="F798" s="298" t="b">
        <v>0</v>
      </c>
      <c r="G798" s="278"/>
      <c r="H798" s="299" t="b">
        <v>0</v>
      </c>
      <c r="I798" s="277"/>
      <c r="J798" s="278"/>
      <c r="K798" s="277"/>
      <c r="L798" s="278"/>
      <c r="M798" s="277"/>
      <c r="N798" s="278"/>
      <c r="O798" s="277"/>
      <c r="P798" s="278"/>
      <c r="Q798" s="277"/>
      <c r="R798" s="278"/>
      <c r="S798" s="277"/>
      <c r="T798" s="278"/>
      <c r="U798" s="277"/>
      <c r="V798" s="278"/>
      <c r="W798" s="277"/>
      <c r="X798" s="278"/>
      <c r="Y798" s="277"/>
      <c r="Z798" s="278"/>
      <c r="AA798" s="277"/>
      <c r="AB798" s="278"/>
      <c r="AC798" s="277"/>
      <c r="AD798" s="278"/>
      <c r="AE798" s="277"/>
      <c r="AF798" s="278"/>
      <c r="AG798" s="277"/>
      <c r="AH798" s="278"/>
      <c r="AI798" s="277"/>
      <c r="AJ798" s="278"/>
      <c r="AK798" s="277"/>
      <c r="AL798" s="278"/>
      <c r="AM798" s="277"/>
      <c r="AN798" s="278"/>
      <c r="AO798" s="278"/>
      <c r="AP798" s="278"/>
      <c r="AQ798" s="278"/>
      <c r="AR798" s="278"/>
      <c r="AS798" s="278"/>
    </row>
    <row r="799" spans="1:45">
      <c r="A799" s="277"/>
      <c r="B799" s="298" t="b">
        <v>0</v>
      </c>
      <c r="C799" s="278"/>
      <c r="D799" s="299" t="b">
        <v>0</v>
      </c>
      <c r="E799" s="277"/>
      <c r="F799" s="298" t="b">
        <v>0</v>
      </c>
      <c r="G799" s="278"/>
      <c r="H799" s="299" t="b">
        <v>0</v>
      </c>
      <c r="I799" s="277"/>
      <c r="J799" s="278"/>
      <c r="K799" s="277"/>
      <c r="L799" s="278"/>
      <c r="M799" s="277"/>
      <c r="N799" s="278"/>
      <c r="O799" s="277"/>
      <c r="P799" s="278"/>
      <c r="Q799" s="277"/>
      <c r="R799" s="278"/>
      <c r="S799" s="277"/>
      <c r="T799" s="278"/>
      <c r="U799" s="277"/>
      <c r="V799" s="278"/>
      <c r="W799" s="277"/>
      <c r="X799" s="278"/>
      <c r="Y799" s="277"/>
      <c r="Z799" s="278"/>
      <c r="AA799" s="277"/>
      <c r="AB799" s="278"/>
      <c r="AC799" s="277"/>
      <c r="AD799" s="278"/>
      <c r="AE799" s="277"/>
      <c r="AF799" s="278"/>
      <c r="AG799" s="277"/>
      <c r="AH799" s="278"/>
      <c r="AI799" s="277"/>
      <c r="AJ799" s="278"/>
      <c r="AK799" s="277"/>
      <c r="AL799" s="278"/>
      <c r="AM799" s="277"/>
      <c r="AN799" s="278"/>
      <c r="AO799" s="278"/>
      <c r="AP799" s="278"/>
      <c r="AQ799" s="278"/>
      <c r="AR799" s="278"/>
      <c r="AS799" s="278"/>
    </row>
    <row r="800" spans="1:45">
      <c r="A800" s="277"/>
      <c r="B800" s="298" t="b">
        <v>0</v>
      </c>
      <c r="C800" s="278"/>
      <c r="D800" s="299" t="b">
        <v>0</v>
      </c>
      <c r="E800" s="277"/>
      <c r="F800" s="298" t="b">
        <v>0</v>
      </c>
      <c r="G800" s="278"/>
      <c r="H800" s="299" t="b">
        <v>0</v>
      </c>
      <c r="I800" s="277"/>
      <c r="J800" s="278"/>
      <c r="K800" s="277"/>
      <c r="L800" s="278"/>
      <c r="M800" s="277"/>
      <c r="N800" s="278"/>
      <c r="O800" s="277"/>
      <c r="P800" s="278"/>
      <c r="Q800" s="277"/>
      <c r="R800" s="278"/>
      <c r="S800" s="277"/>
      <c r="T800" s="278"/>
      <c r="U800" s="277"/>
      <c r="V800" s="278"/>
      <c r="W800" s="277"/>
      <c r="X800" s="278"/>
      <c r="Y800" s="277"/>
      <c r="Z800" s="278"/>
      <c r="AA800" s="277"/>
      <c r="AB800" s="278"/>
      <c r="AC800" s="277"/>
      <c r="AD800" s="278"/>
      <c r="AE800" s="277"/>
      <c r="AF800" s="278"/>
      <c r="AG800" s="277"/>
      <c r="AH800" s="278"/>
      <c r="AI800" s="277"/>
      <c r="AJ800" s="278"/>
      <c r="AK800" s="277"/>
      <c r="AL800" s="278"/>
      <c r="AM800" s="277"/>
      <c r="AN800" s="278"/>
      <c r="AO800" s="278"/>
      <c r="AP800" s="278"/>
      <c r="AQ800" s="278"/>
      <c r="AR800" s="278"/>
      <c r="AS800" s="278"/>
    </row>
    <row r="801" spans="1:45">
      <c r="A801" s="277"/>
      <c r="B801" s="298" t="b">
        <v>0</v>
      </c>
      <c r="C801" s="278"/>
      <c r="D801" s="299" t="b">
        <v>0</v>
      </c>
      <c r="E801" s="277"/>
      <c r="F801" s="298" t="b">
        <v>0</v>
      </c>
      <c r="G801" s="278"/>
      <c r="H801" s="299" t="b">
        <v>0</v>
      </c>
      <c r="I801" s="277"/>
      <c r="J801" s="278"/>
      <c r="K801" s="277"/>
      <c r="L801" s="278"/>
      <c r="M801" s="277"/>
      <c r="N801" s="278"/>
      <c r="O801" s="277"/>
      <c r="P801" s="278"/>
      <c r="Q801" s="277"/>
      <c r="R801" s="278"/>
      <c r="S801" s="277"/>
      <c r="T801" s="278"/>
      <c r="U801" s="277"/>
      <c r="V801" s="278"/>
      <c r="W801" s="277"/>
      <c r="X801" s="278"/>
      <c r="Y801" s="277"/>
      <c r="Z801" s="278"/>
      <c r="AA801" s="277"/>
      <c r="AB801" s="278"/>
      <c r="AC801" s="277"/>
      <c r="AD801" s="278"/>
      <c r="AE801" s="277"/>
      <c r="AF801" s="278"/>
      <c r="AG801" s="277"/>
      <c r="AH801" s="278"/>
      <c r="AI801" s="277"/>
      <c r="AJ801" s="278"/>
      <c r="AK801" s="277"/>
      <c r="AL801" s="278"/>
      <c r="AM801" s="277"/>
      <c r="AN801" s="278"/>
      <c r="AO801" s="278"/>
      <c r="AP801" s="278"/>
      <c r="AQ801" s="278"/>
      <c r="AR801" s="278"/>
      <c r="AS801" s="278"/>
    </row>
    <row r="802" spans="1:45">
      <c r="A802" s="277"/>
      <c r="B802" s="298" t="b">
        <v>0</v>
      </c>
      <c r="C802" s="278"/>
      <c r="D802" s="299" t="b">
        <v>0</v>
      </c>
      <c r="E802" s="277"/>
      <c r="F802" s="298" t="b">
        <v>0</v>
      </c>
      <c r="G802" s="278"/>
      <c r="H802" s="299" t="b">
        <v>0</v>
      </c>
      <c r="I802" s="277"/>
      <c r="J802" s="278"/>
      <c r="K802" s="277"/>
      <c r="L802" s="278"/>
      <c r="M802" s="277"/>
      <c r="N802" s="278"/>
      <c r="O802" s="277"/>
      <c r="P802" s="278"/>
      <c r="Q802" s="277"/>
      <c r="R802" s="278"/>
      <c r="S802" s="277"/>
      <c r="T802" s="278"/>
      <c r="U802" s="277"/>
      <c r="V802" s="278"/>
      <c r="W802" s="277"/>
      <c r="X802" s="278"/>
      <c r="Y802" s="277"/>
      <c r="Z802" s="278"/>
      <c r="AA802" s="277"/>
      <c r="AB802" s="278"/>
      <c r="AC802" s="277"/>
      <c r="AD802" s="278"/>
      <c r="AE802" s="277"/>
      <c r="AF802" s="278"/>
      <c r="AG802" s="277"/>
      <c r="AH802" s="278"/>
      <c r="AI802" s="277"/>
      <c r="AJ802" s="278"/>
      <c r="AK802" s="277"/>
      <c r="AL802" s="278"/>
      <c r="AM802" s="277"/>
      <c r="AN802" s="278"/>
      <c r="AO802" s="278"/>
      <c r="AP802" s="278"/>
      <c r="AQ802" s="278"/>
      <c r="AR802" s="278"/>
      <c r="AS802" s="278"/>
    </row>
    <row r="803" spans="1:45">
      <c r="A803" s="277"/>
      <c r="B803" s="298" t="b">
        <v>0</v>
      </c>
      <c r="C803" s="278"/>
      <c r="D803" s="299" t="b">
        <v>0</v>
      </c>
      <c r="E803" s="277"/>
      <c r="F803" s="298" t="b">
        <v>0</v>
      </c>
      <c r="G803" s="278"/>
      <c r="H803" s="299" t="b">
        <v>0</v>
      </c>
      <c r="I803" s="277"/>
      <c r="J803" s="278"/>
      <c r="K803" s="277"/>
      <c r="L803" s="278"/>
      <c r="M803" s="277"/>
      <c r="N803" s="278"/>
      <c r="O803" s="277"/>
      <c r="P803" s="278"/>
      <c r="Q803" s="277"/>
      <c r="R803" s="278"/>
      <c r="S803" s="277"/>
      <c r="T803" s="278"/>
      <c r="U803" s="277"/>
      <c r="V803" s="278"/>
      <c r="W803" s="277"/>
      <c r="X803" s="278"/>
      <c r="Y803" s="277"/>
      <c r="Z803" s="278"/>
      <c r="AA803" s="277"/>
      <c r="AB803" s="278"/>
      <c r="AC803" s="277"/>
      <c r="AD803" s="278"/>
      <c r="AE803" s="277"/>
      <c r="AF803" s="278"/>
      <c r="AG803" s="277"/>
      <c r="AH803" s="278"/>
      <c r="AI803" s="277"/>
      <c r="AJ803" s="278"/>
      <c r="AK803" s="277"/>
      <c r="AL803" s="278"/>
      <c r="AM803" s="277"/>
      <c r="AN803" s="278"/>
      <c r="AO803" s="278"/>
      <c r="AP803" s="278"/>
      <c r="AQ803" s="278"/>
      <c r="AR803" s="278"/>
      <c r="AS803" s="278"/>
    </row>
    <row r="804" spans="1:45">
      <c r="A804" s="277"/>
      <c r="B804" s="298" t="b">
        <v>0</v>
      </c>
      <c r="C804" s="278"/>
      <c r="D804" s="299" t="b">
        <v>0</v>
      </c>
      <c r="E804" s="277"/>
      <c r="F804" s="298" t="b">
        <v>0</v>
      </c>
      <c r="G804" s="278"/>
      <c r="H804" s="299" t="b">
        <v>0</v>
      </c>
      <c r="I804" s="277"/>
      <c r="J804" s="278"/>
      <c r="K804" s="277"/>
      <c r="L804" s="278"/>
      <c r="M804" s="277"/>
      <c r="N804" s="278"/>
      <c r="O804" s="277"/>
      <c r="P804" s="278"/>
      <c r="Q804" s="277"/>
      <c r="R804" s="278"/>
      <c r="S804" s="277"/>
      <c r="T804" s="278"/>
      <c r="U804" s="277"/>
      <c r="V804" s="278"/>
      <c r="W804" s="277"/>
      <c r="X804" s="278"/>
      <c r="Y804" s="277"/>
      <c r="Z804" s="278"/>
      <c r="AA804" s="277"/>
      <c r="AB804" s="278"/>
      <c r="AC804" s="277"/>
      <c r="AD804" s="278"/>
      <c r="AE804" s="277"/>
      <c r="AF804" s="278"/>
      <c r="AG804" s="277"/>
      <c r="AH804" s="278"/>
      <c r="AI804" s="277"/>
      <c r="AJ804" s="278"/>
      <c r="AK804" s="277"/>
      <c r="AL804" s="278"/>
      <c r="AM804" s="277"/>
      <c r="AN804" s="278"/>
      <c r="AO804" s="278"/>
      <c r="AP804" s="278"/>
      <c r="AQ804" s="278"/>
      <c r="AR804" s="278"/>
      <c r="AS804" s="278"/>
    </row>
    <row r="805" spans="1:45">
      <c r="A805" s="277"/>
      <c r="B805" s="298" t="b">
        <v>0</v>
      </c>
      <c r="C805" s="278"/>
      <c r="D805" s="299" t="b">
        <v>0</v>
      </c>
      <c r="E805" s="277"/>
      <c r="F805" s="298" t="b">
        <v>0</v>
      </c>
      <c r="G805" s="278"/>
      <c r="H805" s="299" t="b">
        <v>0</v>
      </c>
      <c r="I805" s="277"/>
      <c r="J805" s="278"/>
      <c r="K805" s="277"/>
      <c r="L805" s="278"/>
      <c r="M805" s="277"/>
      <c r="N805" s="278"/>
      <c r="O805" s="277"/>
      <c r="P805" s="278"/>
      <c r="Q805" s="277"/>
      <c r="R805" s="278"/>
      <c r="S805" s="277"/>
      <c r="T805" s="278"/>
      <c r="U805" s="277"/>
      <c r="V805" s="278"/>
      <c r="W805" s="277"/>
      <c r="X805" s="278"/>
      <c r="Y805" s="277"/>
      <c r="Z805" s="278"/>
      <c r="AA805" s="277"/>
      <c r="AB805" s="278"/>
      <c r="AC805" s="277"/>
      <c r="AD805" s="278"/>
      <c r="AE805" s="277"/>
      <c r="AF805" s="278"/>
      <c r="AG805" s="277"/>
      <c r="AH805" s="278"/>
      <c r="AI805" s="277"/>
      <c r="AJ805" s="278"/>
      <c r="AK805" s="277"/>
      <c r="AL805" s="278"/>
      <c r="AM805" s="277"/>
      <c r="AN805" s="278"/>
      <c r="AO805" s="278"/>
      <c r="AP805" s="278"/>
      <c r="AQ805" s="278"/>
      <c r="AR805" s="278"/>
      <c r="AS805" s="278"/>
    </row>
    <row r="806" spans="1:45">
      <c r="A806" s="277"/>
      <c r="B806" s="298" t="b">
        <v>0</v>
      </c>
      <c r="C806" s="278"/>
      <c r="D806" s="299" t="b">
        <v>0</v>
      </c>
      <c r="E806" s="277"/>
      <c r="F806" s="298" t="b">
        <v>0</v>
      </c>
      <c r="G806" s="278"/>
      <c r="H806" s="299" t="b">
        <v>0</v>
      </c>
      <c r="I806" s="277"/>
      <c r="J806" s="278"/>
      <c r="K806" s="277"/>
      <c r="L806" s="278"/>
      <c r="M806" s="277"/>
      <c r="N806" s="278"/>
      <c r="O806" s="277"/>
      <c r="P806" s="278"/>
      <c r="Q806" s="277"/>
      <c r="R806" s="278"/>
      <c r="S806" s="277"/>
      <c r="T806" s="278"/>
      <c r="U806" s="277"/>
      <c r="V806" s="278"/>
      <c r="W806" s="277"/>
      <c r="X806" s="278"/>
      <c r="Y806" s="277"/>
      <c r="Z806" s="278"/>
      <c r="AA806" s="277"/>
      <c r="AB806" s="278"/>
      <c r="AC806" s="277"/>
      <c r="AD806" s="278"/>
      <c r="AE806" s="277"/>
      <c r="AF806" s="278"/>
      <c r="AG806" s="277"/>
      <c r="AH806" s="278"/>
      <c r="AI806" s="277"/>
      <c r="AJ806" s="278"/>
      <c r="AK806" s="277"/>
      <c r="AL806" s="278"/>
      <c r="AM806" s="277"/>
      <c r="AN806" s="278"/>
      <c r="AO806" s="278"/>
      <c r="AP806" s="278"/>
      <c r="AQ806" s="278"/>
      <c r="AR806" s="278"/>
      <c r="AS806" s="278"/>
    </row>
    <row r="807" spans="1:45">
      <c r="A807" s="277"/>
      <c r="B807" s="298" t="b">
        <v>0</v>
      </c>
      <c r="C807" s="278"/>
      <c r="D807" s="299" t="b">
        <v>0</v>
      </c>
      <c r="E807" s="277"/>
      <c r="F807" s="298" t="b">
        <v>0</v>
      </c>
      <c r="G807" s="278"/>
      <c r="H807" s="299" t="b">
        <v>0</v>
      </c>
      <c r="I807" s="277"/>
      <c r="J807" s="278"/>
      <c r="K807" s="277"/>
      <c r="L807" s="278"/>
      <c r="M807" s="277"/>
      <c r="N807" s="278"/>
      <c r="O807" s="277"/>
      <c r="P807" s="278"/>
      <c r="Q807" s="277"/>
      <c r="R807" s="278"/>
      <c r="S807" s="277"/>
      <c r="T807" s="278"/>
      <c r="U807" s="277"/>
      <c r="V807" s="278"/>
      <c r="W807" s="277"/>
      <c r="X807" s="278"/>
      <c r="Y807" s="277"/>
      <c r="Z807" s="278"/>
      <c r="AA807" s="277"/>
      <c r="AB807" s="278"/>
      <c r="AC807" s="277"/>
      <c r="AD807" s="278"/>
      <c r="AE807" s="277"/>
      <c r="AF807" s="278"/>
      <c r="AG807" s="277"/>
      <c r="AH807" s="278"/>
      <c r="AI807" s="277"/>
      <c r="AJ807" s="278"/>
      <c r="AK807" s="277"/>
      <c r="AL807" s="278"/>
      <c r="AM807" s="277"/>
      <c r="AN807" s="278"/>
      <c r="AO807" s="278"/>
      <c r="AP807" s="278"/>
      <c r="AQ807" s="278"/>
      <c r="AR807" s="278"/>
      <c r="AS807" s="278"/>
    </row>
    <row r="808" spans="1:45">
      <c r="A808" s="277"/>
      <c r="B808" s="298" t="b">
        <v>0</v>
      </c>
      <c r="C808" s="278"/>
      <c r="D808" s="299" t="b">
        <v>0</v>
      </c>
      <c r="E808" s="277"/>
      <c r="F808" s="298" t="b">
        <v>0</v>
      </c>
      <c r="G808" s="278"/>
      <c r="H808" s="299" t="b">
        <v>0</v>
      </c>
      <c r="I808" s="277"/>
      <c r="J808" s="278"/>
      <c r="K808" s="277"/>
      <c r="L808" s="278"/>
      <c r="M808" s="277"/>
      <c r="N808" s="278"/>
      <c r="O808" s="277"/>
      <c r="P808" s="278"/>
      <c r="Q808" s="277"/>
      <c r="R808" s="278"/>
      <c r="S808" s="277"/>
      <c r="T808" s="278"/>
      <c r="U808" s="277"/>
      <c r="V808" s="278"/>
      <c r="W808" s="277"/>
      <c r="X808" s="278"/>
      <c r="Y808" s="277"/>
      <c r="Z808" s="278"/>
      <c r="AA808" s="277"/>
      <c r="AB808" s="278"/>
      <c r="AC808" s="277"/>
      <c r="AD808" s="278"/>
      <c r="AE808" s="277"/>
      <c r="AF808" s="278"/>
      <c r="AG808" s="277"/>
      <c r="AH808" s="278"/>
      <c r="AI808" s="277"/>
      <c r="AJ808" s="278"/>
      <c r="AK808" s="277"/>
      <c r="AL808" s="278"/>
      <c r="AM808" s="277"/>
      <c r="AN808" s="278"/>
      <c r="AO808" s="278"/>
      <c r="AP808" s="278"/>
      <c r="AQ808" s="278"/>
      <c r="AR808" s="278"/>
      <c r="AS808" s="278"/>
    </row>
    <row r="809" spans="1:45">
      <c r="A809" s="277"/>
      <c r="B809" s="298" t="b">
        <v>0</v>
      </c>
      <c r="C809" s="278"/>
      <c r="D809" s="299" t="b">
        <v>0</v>
      </c>
      <c r="E809" s="277"/>
      <c r="F809" s="298" t="b">
        <v>0</v>
      </c>
      <c r="G809" s="278"/>
      <c r="H809" s="299" t="b">
        <v>0</v>
      </c>
      <c r="I809" s="277"/>
      <c r="J809" s="278"/>
      <c r="K809" s="277"/>
      <c r="L809" s="278"/>
      <c r="M809" s="277"/>
      <c r="N809" s="278"/>
      <c r="O809" s="277"/>
      <c r="P809" s="278"/>
      <c r="Q809" s="277"/>
      <c r="R809" s="278"/>
      <c r="S809" s="277"/>
      <c r="T809" s="278"/>
      <c r="U809" s="277"/>
      <c r="V809" s="278"/>
      <c r="W809" s="277"/>
      <c r="X809" s="278"/>
      <c r="Y809" s="277"/>
      <c r="Z809" s="278"/>
      <c r="AA809" s="277"/>
      <c r="AB809" s="278"/>
      <c r="AC809" s="277"/>
      <c r="AD809" s="278"/>
      <c r="AE809" s="277"/>
      <c r="AF809" s="278"/>
      <c r="AG809" s="277"/>
      <c r="AH809" s="278"/>
      <c r="AI809" s="277"/>
      <c r="AJ809" s="278"/>
      <c r="AK809" s="277"/>
      <c r="AL809" s="278"/>
      <c r="AM809" s="277"/>
      <c r="AN809" s="278"/>
      <c r="AO809" s="278"/>
      <c r="AP809" s="278"/>
      <c r="AQ809" s="278"/>
      <c r="AR809" s="278"/>
      <c r="AS809" s="278"/>
    </row>
    <row r="810" spans="1:45">
      <c r="A810" s="277"/>
      <c r="B810" s="298" t="b">
        <v>0</v>
      </c>
      <c r="C810" s="278"/>
      <c r="D810" s="299" t="b">
        <v>0</v>
      </c>
      <c r="E810" s="277"/>
      <c r="F810" s="298" t="b">
        <v>0</v>
      </c>
      <c r="G810" s="278"/>
      <c r="H810" s="299" t="b">
        <v>0</v>
      </c>
      <c r="I810" s="277"/>
      <c r="J810" s="278"/>
      <c r="K810" s="277"/>
      <c r="L810" s="278"/>
      <c r="M810" s="277"/>
      <c r="N810" s="278"/>
      <c r="O810" s="277"/>
      <c r="P810" s="278"/>
      <c r="Q810" s="277"/>
      <c r="R810" s="278"/>
      <c r="S810" s="277"/>
      <c r="T810" s="278"/>
      <c r="U810" s="277"/>
      <c r="V810" s="278"/>
      <c r="W810" s="277"/>
      <c r="X810" s="278"/>
      <c r="Y810" s="277"/>
      <c r="Z810" s="278"/>
      <c r="AA810" s="277"/>
      <c r="AB810" s="278"/>
      <c r="AC810" s="277"/>
      <c r="AD810" s="278"/>
      <c r="AE810" s="277"/>
      <c r="AF810" s="278"/>
      <c r="AG810" s="277"/>
      <c r="AH810" s="278"/>
      <c r="AI810" s="277"/>
      <c r="AJ810" s="278"/>
      <c r="AK810" s="277"/>
      <c r="AL810" s="278"/>
      <c r="AM810" s="277"/>
      <c r="AN810" s="278"/>
      <c r="AO810" s="278"/>
      <c r="AP810" s="278"/>
      <c r="AQ810" s="278"/>
      <c r="AR810" s="278"/>
      <c r="AS810" s="278"/>
    </row>
    <row r="811" spans="1:45">
      <c r="A811" s="277"/>
      <c r="B811" s="298" t="b">
        <v>0</v>
      </c>
      <c r="C811" s="278"/>
      <c r="D811" s="299" t="b">
        <v>0</v>
      </c>
      <c r="E811" s="277"/>
      <c r="F811" s="298" t="b">
        <v>0</v>
      </c>
      <c r="G811" s="278"/>
      <c r="H811" s="299" t="b">
        <v>0</v>
      </c>
      <c r="I811" s="277"/>
      <c r="J811" s="278"/>
      <c r="K811" s="277"/>
      <c r="L811" s="278"/>
      <c r="M811" s="277"/>
      <c r="N811" s="278"/>
      <c r="O811" s="277"/>
      <c r="P811" s="278"/>
      <c r="Q811" s="277"/>
      <c r="R811" s="278"/>
      <c r="S811" s="277"/>
      <c r="T811" s="278"/>
      <c r="U811" s="277"/>
      <c r="V811" s="278"/>
      <c r="W811" s="277"/>
      <c r="X811" s="278"/>
      <c r="Y811" s="277"/>
      <c r="Z811" s="278"/>
      <c r="AA811" s="277"/>
      <c r="AB811" s="278"/>
      <c r="AC811" s="277"/>
      <c r="AD811" s="278"/>
      <c r="AE811" s="277"/>
      <c r="AF811" s="278"/>
      <c r="AG811" s="277"/>
      <c r="AH811" s="278"/>
      <c r="AI811" s="277"/>
      <c r="AJ811" s="278"/>
      <c r="AK811" s="277"/>
      <c r="AL811" s="278"/>
      <c r="AM811" s="277"/>
      <c r="AN811" s="278"/>
      <c r="AO811" s="278"/>
      <c r="AP811" s="278"/>
      <c r="AQ811" s="278"/>
      <c r="AR811" s="278"/>
      <c r="AS811" s="278"/>
    </row>
    <row r="812" spans="1:45">
      <c r="A812" s="277"/>
      <c r="B812" s="298" t="b">
        <v>0</v>
      </c>
      <c r="C812" s="278"/>
      <c r="D812" s="299" t="b">
        <v>0</v>
      </c>
      <c r="E812" s="277"/>
      <c r="F812" s="298" t="b">
        <v>0</v>
      </c>
      <c r="G812" s="278"/>
      <c r="H812" s="299" t="b">
        <v>0</v>
      </c>
      <c r="I812" s="277"/>
      <c r="J812" s="278"/>
      <c r="K812" s="277"/>
      <c r="L812" s="278"/>
      <c r="M812" s="277"/>
      <c r="N812" s="278"/>
      <c r="O812" s="277"/>
      <c r="P812" s="278"/>
      <c r="Q812" s="277"/>
      <c r="R812" s="278"/>
      <c r="S812" s="277"/>
      <c r="T812" s="278"/>
      <c r="U812" s="277"/>
      <c r="V812" s="278"/>
      <c r="W812" s="277"/>
      <c r="X812" s="278"/>
      <c r="Y812" s="277"/>
      <c r="Z812" s="278"/>
      <c r="AA812" s="277"/>
      <c r="AB812" s="278"/>
      <c r="AC812" s="277"/>
      <c r="AD812" s="278"/>
      <c r="AE812" s="277"/>
      <c r="AF812" s="278"/>
      <c r="AG812" s="277"/>
      <c r="AH812" s="278"/>
      <c r="AI812" s="277"/>
      <c r="AJ812" s="278"/>
      <c r="AK812" s="277"/>
      <c r="AL812" s="278"/>
      <c r="AM812" s="277"/>
      <c r="AN812" s="278"/>
      <c r="AO812" s="278"/>
      <c r="AP812" s="278"/>
      <c r="AQ812" s="278"/>
      <c r="AR812" s="278"/>
      <c r="AS812" s="278"/>
    </row>
    <row r="813" spans="1:45">
      <c r="A813" s="277"/>
      <c r="B813" s="298" t="b">
        <v>0</v>
      </c>
      <c r="C813" s="278"/>
      <c r="D813" s="299" t="b">
        <v>0</v>
      </c>
      <c r="E813" s="277"/>
      <c r="F813" s="298" t="b">
        <v>0</v>
      </c>
      <c r="G813" s="278"/>
      <c r="H813" s="299" t="b">
        <v>0</v>
      </c>
      <c r="I813" s="277"/>
      <c r="J813" s="278"/>
      <c r="K813" s="277"/>
      <c r="L813" s="278"/>
      <c r="M813" s="277"/>
      <c r="N813" s="278"/>
      <c r="O813" s="277"/>
      <c r="P813" s="278"/>
      <c r="Q813" s="277"/>
      <c r="R813" s="278"/>
      <c r="S813" s="277"/>
      <c r="T813" s="278"/>
      <c r="U813" s="277"/>
      <c r="V813" s="278"/>
      <c r="W813" s="277"/>
      <c r="X813" s="278"/>
      <c r="Y813" s="277"/>
      <c r="Z813" s="278"/>
      <c r="AA813" s="277"/>
      <c r="AB813" s="278"/>
      <c r="AC813" s="277"/>
      <c r="AD813" s="278"/>
      <c r="AE813" s="277"/>
      <c r="AF813" s="278"/>
      <c r="AG813" s="277"/>
      <c r="AH813" s="278"/>
      <c r="AI813" s="277"/>
      <c r="AJ813" s="278"/>
      <c r="AK813" s="277"/>
      <c r="AL813" s="278"/>
      <c r="AM813" s="277"/>
      <c r="AN813" s="278"/>
      <c r="AO813" s="278"/>
      <c r="AP813" s="278"/>
      <c r="AQ813" s="278"/>
      <c r="AR813" s="278"/>
      <c r="AS813" s="278"/>
    </row>
    <row r="814" spans="1:45">
      <c r="A814" s="277"/>
      <c r="B814" s="298" t="b">
        <v>0</v>
      </c>
      <c r="C814" s="278"/>
      <c r="D814" s="299" t="b">
        <v>0</v>
      </c>
      <c r="E814" s="277"/>
      <c r="F814" s="298" t="b">
        <v>0</v>
      </c>
      <c r="G814" s="278"/>
      <c r="H814" s="299" t="b">
        <v>0</v>
      </c>
      <c r="I814" s="277"/>
      <c r="J814" s="278"/>
      <c r="K814" s="277"/>
      <c r="L814" s="278"/>
      <c r="M814" s="277"/>
      <c r="N814" s="278"/>
      <c r="O814" s="277"/>
      <c r="P814" s="278"/>
      <c r="Q814" s="277"/>
      <c r="R814" s="278"/>
      <c r="S814" s="277"/>
      <c r="T814" s="278"/>
      <c r="U814" s="277"/>
      <c r="V814" s="278"/>
      <c r="W814" s="277"/>
      <c r="X814" s="278"/>
      <c r="Y814" s="277"/>
      <c r="Z814" s="278"/>
      <c r="AA814" s="277"/>
      <c r="AB814" s="278"/>
      <c r="AC814" s="277"/>
      <c r="AD814" s="278"/>
      <c r="AE814" s="277"/>
      <c r="AF814" s="278"/>
      <c r="AG814" s="277"/>
      <c r="AH814" s="278"/>
      <c r="AI814" s="277"/>
      <c r="AJ814" s="278"/>
      <c r="AK814" s="277"/>
      <c r="AL814" s="278"/>
      <c r="AM814" s="277"/>
      <c r="AN814" s="278"/>
      <c r="AO814" s="278"/>
      <c r="AP814" s="278"/>
      <c r="AQ814" s="278"/>
      <c r="AR814" s="278"/>
      <c r="AS814" s="278"/>
    </row>
    <row r="815" spans="1:45">
      <c r="A815" s="277"/>
      <c r="B815" s="298" t="b">
        <v>0</v>
      </c>
      <c r="C815" s="278"/>
      <c r="D815" s="299" t="b">
        <v>0</v>
      </c>
      <c r="E815" s="277"/>
      <c r="F815" s="298" t="b">
        <v>0</v>
      </c>
      <c r="G815" s="278"/>
      <c r="H815" s="299" t="b">
        <v>0</v>
      </c>
      <c r="I815" s="277"/>
      <c r="J815" s="278"/>
      <c r="K815" s="277"/>
      <c r="L815" s="278"/>
      <c r="M815" s="277"/>
      <c r="N815" s="278"/>
      <c r="O815" s="277"/>
      <c r="P815" s="278"/>
      <c r="Q815" s="277"/>
      <c r="R815" s="278"/>
      <c r="S815" s="277"/>
      <c r="T815" s="278"/>
      <c r="U815" s="277"/>
      <c r="V815" s="278"/>
      <c r="W815" s="277"/>
      <c r="X815" s="278"/>
      <c r="Y815" s="277"/>
      <c r="Z815" s="278"/>
      <c r="AA815" s="277"/>
      <c r="AB815" s="278"/>
      <c r="AC815" s="277"/>
      <c r="AD815" s="278"/>
      <c r="AE815" s="277"/>
      <c r="AF815" s="278"/>
      <c r="AG815" s="277"/>
      <c r="AH815" s="278"/>
      <c r="AI815" s="277"/>
      <c r="AJ815" s="278"/>
      <c r="AK815" s="277"/>
      <c r="AL815" s="278"/>
      <c r="AM815" s="277"/>
      <c r="AN815" s="278"/>
      <c r="AO815" s="278"/>
      <c r="AP815" s="278"/>
      <c r="AQ815" s="278"/>
      <c r="AR815" s="278"/>
      <c r="AS815" s="278"/>
    </row>
    <row r="816" spans="1:45">
      <c r="A816" s="277"/>
      <c r="B816" s="298" t="b">
        <v>0</v>
      </c>
      <c r="C816" s="278"/>
      <c r="D816" s="299" t="b">
        <v>0</v>
      </c>
      <c r="E816" s="277"/>
      <c r="F816" s="298" t="b">
        <v>0</v>
      </c>
      <c r="G816" s="278"/>
      <c r="H816" s="299" t="b">
        <v>0</v>
      </c>
      <c r="I816" s="277"/>
      <c r="J816" s="278"/>
      <c r="K816" s="277"/>
      <c r="L816" s="278"/>
      <c r="M816" s="277"/>
      <c r="N816" s="278"/>
      <c r="O816" s="277"/>
      <c r="P816" s="278"/>
      <c r="Q816" s="277"/>
      <c r="R816" s="278"/>
      <c r="S816" s="277"/>
      <c r="T816" s="278"/>
      <c r="U816" s="277"/>
      <c r="V816" s="278"/>
      <c r="W816" s="277"/>
      <c r="X816" s="278"/>
      <c r="Y816" s="277"/>
      <c r="Z816" s="278"/>
      <c r="AA816" s="277"/>
      <c r="AB816" s="278"/>
      <c r="AC816" s="277"/>
      <c r="AD816" s="278"/>
      <c r="AE816" s="277"/>
      <c r="AF816" s="278"/>
      <c r="AG816" s="277"/>
      <c r="AH816" s="278"/>
      <c r="AI816" s="277"/>
      <c r="AJ816" s="278"/>
      <c r="AK816" s="277"/>
      <c r="AL816" s="278"/>
      <c r="AM816" s="277"/>
      <c r="AN816" s="278"/>
      <c r="AO816" s="278"/>
      <c r="AP816" s="278"/>
      <c r="AQ816" s="278"/>
      <c r="AR816" s="278"/>
      <c r="AS816" s="278"/>
    </row>
    <row r="817" spans="1:45">
      <c r="A817" s="277"/>
      <c r="B817" s="298" t="b">
        <v>0</v>
      </c>
      <c r="C817" s="278"/>
      <c r="D817" s="299" t="b">
        <v>0</v>
      </c>
      <c r="E817" s="277"/>
      <c r="F817" s="298" t="b">
        <v>0</v>
      </c>
      <c r="G817" s="278"/>
      <c r="H817" s="299" t="b">
        <v>0</v>
      </c>
      <c r="I817" s="277"/>
      <c r="J817" s="278"/>
      <c r="K817" s="277"/>
      <c r="L817" s="278"/>
      <c r="M817" s="277"/>
      <c r="N817" s="278"/>
      <c r="O817" s="277"/>
      <c r="P817" s="278"/>
      <c r="Q817" s="277"/>
      <c r="R817" s="278"/>
      <c r="S817" s="277"/>
      <c r="T817" s="278"/>
      <c r="U817" s="277"/>
      <c r="V817" s="278"/>
      <c r="W817" s="277"/>
      <c r="X817" s="278"/>
      <c r="Y817" s="277"/>
      <c r="Z817" s="278"/>
      <c r="AA817" s="277"/>
      <c r="AB817" s="278"/>
      <c r="AC817" s="277"/>
      <c r="AD817" s="278"/>
      <c r="AE817" s="277"/>
      <c r="AF817" s="278"/>
      <c r="AG817" s="277"/>
      <c r="AH817" s="278"/>
      <c r="AI817" s="277"/>
      <c r="AJ817" s="278"/>
      <c r="AK817" s="277"/>
      <c r="AL817" s="278"/>
      <c r="AM817" s="277"/>
      <c r="AN817" s="278"/>
      <c r="AO817" s="278"/>
      <c r="AP817" s="278"/>
      <c r="AQ817" s="278"/>
      <c r="AR817" s="278"/>
      <c r="AS817" s="278"/>
    </row>
    <row r="818" spans="1:45">
      <c r="A818" s="277"/>
      <c r="B818" s="298" t="b">
        <v>0</v>
      </c>
      <c r="C818" s="278"/>
      <c r="D818" s="299" t="b">
        <v>0</v>
      </c>
      <c r="E818" s="277"/>
      <c r="F818" s="298" t="b">
        <v>0</v>
      </c>
      <c r="G818" s="278"/>
      <c r="H818" s="299" t="b">
        <v>0</v>
      </c>
      <c r="I818" s="277"/>
      <c r="J818" s="278"/>
      <c r="K818" s="277"/>
      <c r="L818" s="278"/>
      <c r="M818" s="277"/>
      <c r="N818" s="278"/>
      <c r="O818" s="277"/>
      <c r="P818" s="278"/>
      <c r="Q818" s="277"/>
      <c r="R818" s="278"/>
      <c r="S818" s="277"/>
      <c r="T818" s="278"/>
      <c r="U818" s="277"/>
      <c r="V818" s="278"/>
      <c r="W818" s="277"/>
      <c r="X818" s="278"/>
      <c r="Y818" s="277"/>
      <c r="Z818" s="278"/>
      <c r="AA818" s="277"/>
      <c r="AB818" s="278"/>
      <c r="AC818" s="277"/>
      <c r="AD818" s="278"/>
      <c r="AE818" s="277"/>
      <c r="AF818" s="278"/>
      <c r="AG818" s="277"/>
      <c r="AH818" s="278"/>
      <c r="AI818" s="277"/>
      <c r="AJ818" s="278"/>
      <c r="AK818" s="277"/>
      <c r="AL818" s="278"/>
      <c r="AM818" s="277"/>
      <c r="AN818" s="278"/>
      <c r="AO818" s="278"/>
      <c r="AP818" s="278"/>
      <c r="AQ818" s="278"/>
      <c r="AR818" s="278"/>
      <c r="AS818" s="278"/>
    </row>
    <row r="819" spans="1:45">
      <c r="A819" s="277"/>
      <c r="B819" s="298" t="b">
        <v>0</v>
      </c>
      <c r="C819" s="278"/>
      <c r="D819" s="299" t="b">
        <v>0</v>
      </c>
      <c r="E819" s="277"/>
      <c r="F819" s="298" t="b">
        <v>0</v>
      </c>
      <c r="G819" s="278"/>
      <c r="H819" s="299" t="b">
        <v>0</v>
      </c>
      <c r="I819" s="277"/>
      <c r="J819" s="278"/>
      <c r="K819" s="277"/>
      <c r="L819" s="278"/>
      <c r="M819" s="277"/>
      <c r="N819" s="278"/>
      <c r="O819" s="277"/>
      <c r="P819" s="278"/>
      <c r="Q819" s="277"/>
      <c r="R819" s="278"/>
      <c r="S819" s="277"/>
      <c r="T819" s="278"/>
      <c r="U819" s="277"/>
      <c r="V819" s="278"/>
      <c r="W819" s="277"/>
      <c r="X819" s="278"/>
      <c r="Y819" s="277"/>
      <c r="Z819" s="278"/>
      <c r="AA819" s="277"/>
      <c r="AB819" s="278"/>
      <c r="AC819" s="277"/>
      <c r="AD819" s="278"/>
      <c r="AE819" s="277"/>
      <c r="AF819" s="278"/>
      <c r="AG819" s="277"/>
      <c r="AH819" s="278"/>
      <c r="AI819" s="277"/>
      <c r="AJ819" s="278"/>
      <c r="AK819" s="277"/>
      <c r="AL819" s="278"/>
      <c r="AM819" s="277"/>
      <c r="AN819" s="278"/>
      <c r="AO819" s="278"/>
      <c r="AP819" s="278"/>
      <c r="AQ819" s="278"/>
      <c r="AR819" s="278"/>
      <c r="AS819" s="278"/>
    </row>
    <row r="820" spans="1:45">
      <c r="A820" s="277"/>
      <c r="B820" s="298" t="b">
        <v>0</v>
      </c>
      <c r="C820" s="278"/>
      <c r="D820" s="299" t="b">
        <v>0</v>
      </c>
      <c r="E820" s="277"/>
      <c r="F820" s="298" t="b">
        <v>0</v>
      </c>
      <c r="G820" s="278"/>
      <c r="H820" s="299" t="b">
        <v>0</v>
      </c>
      <c r="I820" s="277"/>
      <c r="J820" s="278"/>
      <c r="K820" s="277"/>
      <c r="L820" s="278"/>
      <c r="M820" s="277"/>
      <c r="N820" s="278"/>
      <c r="O820" s="277"/>
      <c r="P820" s="278"/>
      <c r="Q820" s="277"/>
      <c r="R820" s="278"/>
      <c r="S820" s="277"/>
      <c r="T820" s="278"/>
      <c r="U820" s="277"/>
      <c r="V820" s="278"/>
      <c r="W820" s="277"/>
      <c r="X820" s="278"/>
      <c r="Y820" s="277"/>
      <c r="Z820" s="278"/>
      <c r="AA820" s="277"/>
      <c r="AB820" s="278"/>
      <c r="AC820" s="277"/>
      <c r="AD820" s="278"/>
      <c r="AE820" s="277"/>
      <c r="AF820" s="278"/>
      <c r="AG820" s="277"/>
      <c r="AH820" s="278"/>
      <c r="AI820" s="277"/>
      <c r="AJ820" s="278"/>
      <c r="AK820" s="277"/>
      <c r="AL820" s="278"/>
      <c r="AM820" s="277"/>
      <c r="AN820" s="278"/>
      <c r="AO820" s="278"/>
      <c r="AP820" s="278"/>
      <c r="AQ820" s="278"/>
      <c r="AR820" s="278"/>
      <c r="AS820" s="278"/>
    </row>
    <row r="821" spans="1:45">
      <c r="A821" s="277"/>
      <c r="B821" s="298" t="b">
        <v>0</v>
      </c>
      <c r="C821" s="278"/>
      <c r="D821" s="299" t="b">
        <v>0</v>
      </c>
      <c r="E821" s="277"/>
      <c r="F821" s="298" t="b">
        <v>0</v>
      </c>
      <c r="G821" s="278"/>
      <c r="H821" s="299" t="b">
        <v>0</v>
      </c>
      <c r="I821" s="277"/>
      <c r="J821" s="278"/>
      <c r="K821" s="277"/>
      <c r="L821" s="278"/>
      <c r="M821" s="277"/>
      <c r="N821" s="278"/>
      <c r="O821" s="277"/>
      <c r="P821" s="278"/>
      <c r="Q821" s="277"/>
      <c r="R821" s="278"/>
      <c r="S821" s="277"/>
      <c r="T821" s="278"/>
      <c r="U821" s="277"/>
      <c r="V821" s="278"/>
      <c r="W821" s="277"/>
      <c r="X821" s="278"/>
      <c r="Y821" s="277"/>
      <c r="Z821" s="278"/>
      <c r="AA821" s="277"/>
      <c r="AB821" s="278"/>
      <c r="AC821" s="277"/>
      <c r="AD821" s="278"/>
      <c r="AE821" s="277"/>
      <c r="AF821" s="278"/>
      <c r="AG821" s="277"/>
      <c r="AH821" s="278"/>
      <c r="AI821" s="277"/>
      <c r="AJ821" s="278"/>
      <c r="AK821" s="277"/>
      <c r="AL821" s="278"/>
      <c r="AM821" s="277"/>
      <c r="AN821" s="278"/>
      <c r="AO821" s="278"/>
      <c r="AP821" s="278"/>
      <c r="AQ821" s="278"/>
      <c r="AR821" s="278"/>
      <c r="AS821" s="278"/>
    </row>
    <row r="822" spans="1:45">
      <c r="A822" s="277"/>
      <c r="B822" s="298" t="b">
        <v>0</v>
      </c>
      <c r="C822" s="278"/>
      <c r="D822" s="299" t="b">
        <v>0</v>
      </c>
      <c r="E822" s="277"/>
      <c r="F822" s="298" t="b">
        <v>0</v>
      </c>
      <c r="G822" s="278"/>
      <c r="H822" s="299" t="b">
        <v>0</v>
      </c>
      <c r="I822" s="277"/>
      <c r="J822" s="278"/>
      <c r="K822" s="277"/>
      <c r="L822" s="278"/>
      <c r="M822" s="277"/>
      <c r="N822" s="278"/>
      <c r="O822" s="277"/>
      <c r="P822" s="278"/>
      <c r="Q822" s="277"/>
      <c r="R822" s="278"/>
      <c r="S822" s="277"/>
      <c r="T822" s="278"/>
      <c r="U822" s="277"/>
      <c r="V822" s="278"/>
      <c r="W822" s="277"/>
      <c r="X822" s="278"/>
      <c r="Y822" s="277"/>
      <c r="Z822" s="278"/>
      <c r="AA822" s="277"/>
      <c r="AB822" s="278"/>
      <c r="AC822" s="277"/>
      <c r="AD822" s="278"/>
      <c r="AE822" s="277"/>
      <c r="AF822" s="278"/>
      <c r="AG822" s="277"/>
      <c r="AH822" s="278"/>
      <c r="AI822" s="277"/>
      <c r="AJ822" s="278"/>
      <c r="AK822" s="277"/>
      <c r="AL822" s="278"/>
      <c r="AM822" s="277"/>
      <c r="AN822" s="278"/>
      <c r="AO822" s="278"/>
      <c r="AP822" s="278"/>
      <c r="AQ822" s="278"/>
      <c r="AR822" s="278"/>
      <c r="AS822" s="278"/>
    </row>
    <row r="823" spans="1:45">
      <c r="A823" s="277"/>
      <c r="B823" s="298" t="b">
        <v>0</v>
      </c>
      <c r="C823" s="278"/>
      <c r="D823" s="299" t="b">
        <v>0</v>
      </c>
      <c r="E823" s="277"/>
      <c r="F823" s="298" t="b">
        <v>0</v>
      </c>
      <c r="G823" s="278"/>
      <c r="H823" s="299" t="b">
        <v>0</v>
      </c>
      <c r="I823" s="277"/>
      <c r="J823" s="278"/>
      <c r="K823" s="277"/>
      <c r="L823" s="278"/>
      <c r="M823" s="277"/>
      <c r="N823" s="278"/>
      <c r="O823" s="277"/>
      <c r="P823" s="278"/>
      <c r="Q823" s="277"/>
      <c r="R823" s="278"/>
      <c r="S823" s="277"/>
      <c r="T823" s="278"/>
      <c r="U823" s="277"/>
      <c r="V823" s="278"/>
      <c r="W823" s="277"/>
      <c r="X823" s="278"/>
      <c r="Y823" s="277"/>
      <c r="Z823" s="278"/>
      <c r="AA823" s="277"/>
      <c r="AB823" s="278"/>
      <c r="AC823" s="277"/>
      <c r="AD823" s="278"/>
      <c r="AE823" s="277"/>
      <c r="AF823" s="278"/>
      <c r="AG823" s="277"/>
      <c r="AH823" s="278"/>
      <c r="AI823" s="277"/>
      <c r="AJ823" s="278"/>
      <c r="AK823" s="277"/>
      <c r="AL823" s="278"/>
      <c r="AM823" s="277"/>
      <c r="AN823" s="278"/>
      <c r="AO823" s="278"/>
      <c r="AP823" s="278"/>
      <c r="AQ823" s="278"/>
      <c r="AR823" s="278"/>
      <c r="AS823" s="278"/>
    </row>
    <row r="824" spans="1:45">
      <c r="A824" s="277"/>
      <c r="B824" s="298" t="b">
        <v>0</v>
      </c>
      <c r="C824" s="278"/>
      <c r="D824" s="299" t="b">
        <v>0</v>
      </c>
      <c r="E824" s="277"/>
      <c r="F824" s="298" t="b">
        <v>0</v>
      </c>
      <c r="G824" s="278"/>
      <c r="H824" s="299" t="b">
        <v>0</v>
      </c>
      <c r="I824" s="277"/>
      <c r="J824" s="278"/>
      <c r="K824" s="277"/>
      <c r="L824" s="278"/>
      <c r="M824" s="277"/>
      <c r="N824" s="278"/>
      <c r="O824" s="277"/>
      <c r="P824" s="278"/>
      <c r="Q824" s="277"/>
      <c r="R824" s="278"/>
      <c r="S824" s="277"/>
      <c r="T824" s="278"/>
      <c r="U824" s="277"/>
      <c r="V824" s="278"/>
      <c r="W824" s="277"/>
      <c r="X824" s="278"/>
      <c r="Y824" s="277"/>
      <c r="Z824" s="278"/>
      <c r="AA824" s="277"/>
      <c r="AB824" s="278"/>
      <c r="AC824" s="277"/>
      <c r="AD824" s="278"/>
      <c r="AE824" s="277"/>
      <c r="AF824" s="278"/>
      <c r="AG824" s="277"/>
      <c r="AH824" s="278"/>
      <c r="AI824" s="277"/>
      <c r="AJ824" s="278"/>
      <c r="AK824" s="277"/>
      <c r="AL824" s="278"/>
      <c r="AM824" s="277"/>
      <c r="AN824" s="278"/>
      <c r="AO824" s="278"/>
      <c r="AP824" s="278"/>
      <c r="AQ824" s="278"/>
      <c r="AR824" s="278"/>
      <c r="AS824" s="278"/>
    </row>
    <row r="825" spans="1:45">
      <c r="A825" s="277"/>
      <c r="B825" s="298" t="b">
        <v>0</v>
      </c>
      <c r="C825" s="278"/>
      <c r="D825" s="299" t="b">
        <v>0</v>
      </c>
      <c r="E825" s="277"/>
      <c r="F825" s="298" t="b">
        <v>0</v>
      </c>
      <c r="G825" s="278"/>
      <c r="H825" s="299" t="b">
        <v>0</v>
      </c>
      <c r="I825" s="277"/>
      <c r="J825" s="278"/>
      <c r="K825" s="277"/>
      <c r="L825" s="278"/>
      <c r="M825" s="277"/>
      <c r="N825" s="278"/>
      <c r="O825" s="277"/>
      <c r="P825" s="278"/>
      <c r="Q825" s="277"/>
      <c r="R825" s="278"/>
      <c r="S825" s="277"/>
      <c r="T825" s="278"/>
      <c r="U825" s="277"/>
      <c r="V825" s="278"/>
      <c r="W825" s="277"/>
      <c r="X825" s="278"/>
      <c r="Y825" s="277"/>
      <c r="Z825" s="278"/>
      <c r="AA825" s="277"/>
      <c r="AB825" s="278"/>
      <c r="AC825" s="277"/>
      <c r="AD825" s="278"/>
      <c r="AE825" s="277"/>
      <c r="AF825" s="278"/>
      <c r="AG825" s="277"/>
      <c r="AH825" s="278"/>
      <c r="AI825" s="277"/>
      <c r="AJ825" s="278"/>
      <c r="AK825" s="277"/>
      <c r="AL825" s="278"/>
      <c r="AM825" s="277"/>
      <c r="AN825" s="278"/>
      <c r="AO825" s="278"/>
      <c r="AP825" s="278"/>
      <c r="AQ825" s="278"/>
      <c r="AR825" s="278"/>
      <c r="AS825" s="278"/>
    </row>
    <row r="826" spans="1:45">
      <c r="A826" s="277"/>
      <c r="B826" s="298" t="b">
        <v>0</v>
      </c>
      <c r="C826" s="278"/>
      <c r="D826" s="299" t="b">
        <v>0</v>
      </c>
      <c r="E826" s="277"/>
      <c r="F826" s="298" t="b">
        <v>0</v>
      </c>
      <c r="G826" s="278"/>
      <c r="H826" s="299" t="b">
        <v>0</v>
      </c>
      <c r="I826" s="277"/>
      <c r="J826" s="278"/>
      <c r="K826" s="277"/>
      <c r="L826" s="278"/>
      <c r="M826" s="277"/>
      <c r="N826" s="278"/>
      <c r="O826" s="277"/>
      <c r="P826" s="278"/>
      <c r="Q826" s="277"/>
      <c r="R826" s="278"/>
      <c r="S826" s="277"/>
      <c r="T826" s="278"/>
      <c r="U826" s="277"/>
      <c r="V826" s="278"/>
      <c r="W826" s="277"/>
      <c r="X826" s="278"/>
      <c r="Y826" s="277"/>
      <c r="Z826" s="278"/>
      <c r="AA826" s="277"/>
      <c r="AB826" s="278"/>
      <c r="AC826" s="277"/>
      <c r="AD826" s="278"/>
      <c r="AE826" s="277"/>
      <c r="AF826" s="278"/>
      <c r="AG826" s="277"/>
      <c r="AH826" s="278"/>
      <c r="AI826" s="277"/>
      <c r="AJ826" s="278"/>
      <c r="AK826" s="277"/>
      <c r="AL826" s="278"/>
      <c r="AM826" s="277"/>
      <c r="AN826" s="278"/>
      <c r="AO826" s="278"/>
      <c r="AP826" s="278"/>
      <c r="AQ826" s="278"/>
      <c r="AR826" s="278"/>
      <c r="AS826" s="278"/>
    </row>
    <row r="827" spans="1:45">
      <c r="A827" s="277"/>
      <c r="B827" s="298" t="b">
        <v>0</v>
      </c>
      <c r="C827" s="278"/>
      <c r="D827" s="299" t="b">
        <v>0</v>
      </c>
      <c r="E827" s="277"/>
      <c r="F827" s="298" t="b">
        <v>0</v>
      </c>
      <c r="G827" s="278"/>
      <c r="H827" s="299" t="b">
        <v>0</v>
      </c>
      <c r="I827" s="277"/>
      <c r="J827" s="278"/>
      <c r="K827" s="277"/>
      <c r="L827" s="278"/>
      <c r="M827" s="277"/>
      <c r="N827" s="278"/>
      <c r="O827" s="277"/>
      <c r="P827" s="278"/>
      <c r="Q827" s="277"/>
      <c r="R827" s="278"/>
      <c r="S827" s="277"/>
      <c r="T827" s="278"/>
      <c r="U827" s="277"/>
      <c r="V827" s="278"/>
      <c r="W827" s="277"/>
      <c r="X827" s="278"/>
      <c r="Y827" s="277"/>
      <c r="Z827" s="278"/>
      <c r="AA827" s="277"/>
      <c r="AB827" s="278"/>
      <c r="AC827" s="277"/>
      <c r="AD827" s="278"/>
      <c r="AE827" s="277"/>
      <c r="AF827" s="278"/>
      <c r="AG827" s="277"/>
      <c r="AH827" s="278"/>
      <c r="AI827" s="277"/>
      <c r="AJ827" s="278"/>
      <c r="AK827" s="277"/>
      <c r="AL827" s="278"/>
      <c r="AM827" s="277"/>
      <c r="AN827" s="278"/>
      <c r="AO827" s="278"/>
      <c r="AP827" s="278"/>
      <c r="AQ827" s="278"/>
      <c r="AR827" s="278"/>
      <c r="AS827" s="278"/>
    </row>
    <row r="828" spans="1:45">
      <c r="A828" s="277"/>
      <c r="B828" s="298" t="b">
        <v>0</v>
      </c>
      <c r="C828" s="278"/>
      <c r="D828" s="299" t="b">
        <v>0</v>
      </c>
      <c r="E828" s="277"/>
      <c r="F828" s="298" t="b">
        <v>0</v>
      </c>
      <c r="G828" s="278"/>
      <c r="H828" s="299" t="b">
        <v>0</v>
      </c>
      <c r="I828" s="277"/>
      <c r="J828" s="278"/>
      <c r="K828" s="277"/>
      <c r="L828" s="278"/>
      <c r="M828" s="277"/>
      <c r="N828" s="278"/>
      <c r="O828" s="277"/>
      <c r="P828" s="278"/>
      <c r="Q828" s="277"/>
      <c r="R828" s="278"/>
      <c r="S828" s="277"/>
      <c r="T828" s="278"/>
      <c r="U828" s="277"/>
      <c r="V828" s="278"/>
      <c r="W828" s="277"/>
      <c r="X828" s="278"/>
      <c r="Y828" s="277"/>
      <c r="Z828" s="278"/>
      <c r="AA828" s="277"/>
      <c r="AB828" s="278"/>
      <c r="AC828" s="277"/>
      <c r="AD828" s="278"/>
      <c r="AE828" s="277"/>
      <c r="AF828" s="278"/>
      <c r="AG828" s="277"/>
      <c r="AH828" s="278"/>
      <c r="AI828" s="277"/>
      <c r="AJ828" s="278"/>
      <c r="AK828" s="277"/>
      <c r="AL828" s="278"/>
      <c r="AM828" s="277"/>
      <c r="AN828" s="278"/>
      <c r="AO828" s="278"/>
      <c r="AP828" s="278"/>
      <c r="AQ828" s="278"/>
      <c r="AR828" s="278"/>
      <c r="AS828" s="278"/>
    </row>
    <row r="829" spans="1:45">
      <c r="A829" s="277"/>
      <c r="B829" s="298" t="b">
        <v>0</v>
      </c>
      <c r="C829" s="278"/>
      <c r="D829" s="299" t="b">
        <v>0</v>
      </c>
      <c r="E829" s="277"/>
      <c r="F829" s="298" t="b">
        <v>0</v>
      </c>
      <c r="G829" s="278"/>
      <c r="H829" s="299" t="b">
        <v>0</v>
      </c>
      <c r="I829" s="277"/>
      <c r="J829" s="278"/>
      <c r="K829" s="277"/>
      <c r="L829" s="278"/>
      <c r="M829" s="277"/>
      <c r="N829" s="278"/>
      <c r="O829" s="277"/>
      <c r="P829" s="278"/>
      <c r="Q829" s="277"/>
      <c r="R829" s="278"/>
      <c r="S829" s="277"/>
      <c r="T829" s="278"/>
      <c r="U829" s="277"/>
      <c r="V829" s="278"/>
      <c r="W829" s="277"/>
      <c r="X829" s="278"/>
      <c r="Y829" s="277"/>
      <c r="Z829" s="278"/>
      <c r="AA829" s="277"/>
      <c r="AB829" s="278"/>
      <c r="AC829" s="277"/>
      <c r="AD829" s="278"/>
      <c r="AE829" s="277"/>
      <c r="AF829" s="278"/>
      <c r="AG829" s="277"/>
      <c r="AH829" s="278"/>
      <c r="AI829" s="277"/>
      <c r="AJ829" s="278"/>
      <c r="AK829" s="277"/>
      <c r="AL829" s="278"/>
      <c r="AM829" s="277"/>
      <c r="AN829" s="278"/>
      <c r="AO829" s="278"/>
      <c r="AP829" s="278"/>
      <c r="AQ829" s="278"/>
      <c r="AR829" s="278"/>
      <c r="AS829" s="278"/>
    </row>
    <row r="830" spans="1:45">
      <c r="A830" s="277"/>
      <c r="B830" s="298" t="b">
        <v>0</v>
      </c>
      <c r="C830" s="278"/>
      <c r="D830" s="299" t="b">
        <v>0</v>
      </c>
      <c r="E830" s="277"/>
      <c r="F830" s="298" t="b">
        <v>0</v>
      </c>
      <c r="G830" s="278"/>
      <c r="H830" s="299" t="b">
        <v>0</v>
      </c>
      <c r="I830" s="277"/>
      <c r="J830" s="278"/>
      <c r="K830" s="277"/>
      <c r="L830" s="278"/>
      <c r="M830" s="277"/>
      <c r="N830" s="278"/>
      <c r="O830" s="277"/>
      <c r="P830" s="278"/>
      <c r="Q830" s="277"/>
      <c r="R830" s="278"/>
      <c r="S830" s="277"/>
      <c r="T830" s="278"/>
      <c r="U830" s="277"/>
      <c r="V830" s="278"/>
      <c r="W830" s="277"/>
      <c r="X830" s="278"/>
      <c r="Y830" s="277"/>
      <c r="Z830" s="278"/>
      <c r="AA830" s="277"/>
      <c r="AB830" s="278"/>
      <c r="AC830" s="277"/>
      <c r="AD830" s="278"/>
      <c r="AE830" s="277"/>
      <c r="AF830" s="278"/>
      <c r="AG830" s="277"/>
      <c r="AH830" s="278"/>
      <c r="AI830" s="277"/>
      <c r="AJ830" s="278"/>
      <c r="AK830" s="277"/>
      <c r="AL830" s="278"/>
      <c r="AM830" s="277"/>
      <c r="AN830" s="278"/>
      <c r="AO830" s="278"/>
      <c r="AP830" s="278"/>
      <c r="AQ830" s="278"/>
      <c r="AR830" s="278"/>
      <c r="AS830" s="278"/>
    </row>
    <row r="831" spans="1:45">
      <c r="A831" s="277"/>
      <c r="B831" s="298" t="b">
        <v>0</v>
      </c>
      <c r="C831" s="278"/>
      <c r="D831" s="299" t="b">
        <v>0</v>
      </c>
      <c r="E831" s="277"/>
      <c r="F831" s="298" t="b">
        <v>0</v>
      </c>
      <c r="G831" s="278"/>
      <c r="H831" s="299" t="b">
        <v>0</v>
      </c>
      <c r="I831" s="277"/>
      <c r="J831" s="278"/>
      <c r="K831" s="277"/>
      <c r="L831" s="278"/>
      <c r="M831" s="277"/>
      <c r="N831" s="278"/>
      <c r="O831" s="277"/>
      <c r="P831" s="278"/>
      <c r="Q831" s="277"/>
      <c r="R831" s="278"/>
      <c r="S831" s="277"/>
      <c r="T831" s="278"/>
      <c r="U831" s="277"/>
      <c r="V831" s="278"/>
      <c r="W831" s="277"/>
      <c r="X831" s="278"/>
      <c r="Y831" s="277"/>
      <c r="Z831" s="278"/>
      <c r="AA831" s="277"/>
      <c r="AB831" s="278"/>
      <c r="AC831" s="277"/>
      <c r="AD831" s="278"/>
      <c r="AE831" s="277"/>
      <c r="AF831" s="278"/>
      <c r="AG831" s="277"/>
      <c r="AH831" s="278"/>
      <c r="AI831" s="277"/>
      <c r="AJ831" s="278"/>
      <c r="AK831" s="277"/>
      <c r="AL831" s="278"/>
      <c r="AM831" s="277"/>
      <c r="AN831" s="278"/>
      <c r="AO831" s="278"/>
      <c r="AP831" s="278"/>
      <c r="AQ831" s="278"/>
      <c r="AR831" s="278"/>
      <c r="AS831" s="278"/>
    </row>
    <row r="832" spans="1:45">
      <c r="A832" s="277"/>
      <c r="B832" s="298" t="b">
        <v>0</v>
      </c>
      <c r="C832" s="278"/>
      <c r="D832" s="299" t="b">
        <v>0</v>
      </c>
      <c r="E832" s="277"/>
      <c r="F832" s="298" t="b">
        <v>0</v>
      </c>
      <c r="G832" s="278"/>
      <c r="H832" s="299" t="b">
        <v>0</v>
      </c>
      <c r="I832" s="277"/>
      <c r="J832" s="278"/>
      <c r="K832" s="277"/>
      <c r="L832" s="278"/>
      <c r="M832" s="277"/>
      <c r="N832" s="278"/>
      <c r="O832" s="277"/>
      <c r="P832" s="278"/>
      <c r="Q832" s="277"/>
      <c r="R832" s="278"/>
      <c r="S832" s="277"/>
      <c r="T832" s="278"/>
      <c r="U832" s="277"/>
      <c r="V832" s="278"/>
      <c r="W832" s="277"/>
      <c r="X832" s="278"/>
      <c r="Y832" s="277"/>
      <c r="Z832" s="278"/>
      <c r="AA832" s="277"/>
      <c r="AB832" s="278"/>
      <c r="AC832" s="277"/>
      <c r="AD832" s="278"/>
      <c r="AE832" s="277"/>
      <c r="AF832" s="278"/>
      <c r="AG832" s="277"/>
      <c r="AH832" s="278"/>
      <c r="AI832" s="277"/>
      <c r="AJ832" s="278"/>
      <c r="AK832" s="277"/>
      <c r="AL832" s="278"/>
      <c r="AM832" s="277"/>
      <c r="AN832" s="278"/>
      <c r="AO832" s="278"/>
      <c r="AP832" s="278"/>
      <c r="AQ832" s="278"/>
      <c r="AR832" s="278"/>
      <c r="AS832" s="278"/>
    </row>
    <row r="833" spans="1:45">
      <c r="A833" s="277"/>
      <c r="B833" s="298" t="b">
        <v>0</v>
      </c>
      <c r="C833" s="278"/>
      <c r="D833" s="299" t="b">
        <v>0</v>
      </c>
      <c r="E833" s="277"/>
      <c r="F833" s="298" t="b">
        <v>0</v>
      </c>
      <c r="G833" s="278"/>
      <c r="H833" s="299" t="b">
        <v>0</v>
      </c>
      <c r="I833" s="277"/>
      <c r="J833" s="278"/>
      <c r="K833" s="277"/>
      <c r="L833" s="278"/>
      <c r="M833" s="277"/>
      <c r="N833" s="278"/>
      <c r="O833" s="277"/>
      <c r="P833" s="278"/>
      <c r="Q833" s="277"/>
      <c r="R833" s="278"/>
      <c r="S833" s="277"/>
      <c r="T833" s="278"/>
      <c r="U833" s="277"/>
      <c r="V833" s="278"/>
      <c r="W833" s="277"/>
      <c r="X833" s="278"/>
      <c r="Y833" s="277"/>
      <c r="Z833" s="278"/>
      <c r="AA833" s="277"/>
      <c r="AB833" s="278"/>
      <c r="AC833" s="277"/>
      <c r="AD833" s="278"/>
      <c r="AE833" s="277"/>
      <c r="AF833" s="278"/>
      <c r="AG833" s="277"/>
      <c r="AH833" s="278"/>
      <c r="AI833" s="277"/>
      <c r="AJ833" s="278"/>
      <c r="AK833" s="277"/>
      <c r="AL833" s="278"/>
      <c r="AM833" s="277"/>
      <c r="AN833" s="278"/>
      <c r="AO833" s="278"/>
      <c r="AP833" s="278"/>
      <c r="AQ833" s="278"/>
      <c r="AR833" s="278"/>
      <c r="AS833" s="278"/>
    </row>
    <row r="834" spans="1:45">
      <c r="A834" s="277"/>
      <c r="B834" s="298" t="b">
        <v>0</v>
      </c>
      <c r="C834" s="278"/>
      <c r="D834" s="299" t="b">
        <v>0</v>
      </c>
      <c r="E834" s="277"/>
      <c r="F834" s="298" t="b">
        <v>0</v>
      </c>
      <c r="G834" s="278"/>
      <c r="H834" s="299" t="b">
        <v>0</v>
      </c>
      <c r="I834" s="277"/>
      <c r="J834" s="278"/>
      <c r="K834" s="277"/>
      <c r="L834" s="278"/>
      <c r="M834" s="277"/>
      <c r="N834" s="278"/>
      <c r="O834" s="277"/>
      <c r="P834" s="278"/>
      <c r="Q834" s="277"/>
      <c r="R834" s="278"/>
      <c r="S834" s="277"/>
      <c r="T834" s="278"/>
      <c r="U834" s="277"/>
      <c r="V834" s="278"/>
      <c r="W834" s="277"/>
      <c r="X834" s="278"/>
      <c r="Y834" s="277"/>
      <c r="Z834" s="278"/>
      <c r="AA834" s="277"/>
      <c r="AB834" s="278"/>
      <c r="AC834" s="277"/>
      <c r="AD834" s="278"/>
      <c r="AE834" s="277"/>
      <c r="AF834" s="278"/>
      <c r="AG834" s="277"/>
      <c r="AH834" s="278"/>
      <c r="AI834" s="277"/>
      <c r="AJ834" s="278"/>
      <c r="AK834" s="277"/>
      <c r="AL834" s="278"/>
      <c r="AM834" s="277"/>
      <c r="AN834" s="278"/>
      <c r="AO834" s="278"/>
      <c r="AP834" s="278"/>
      <c r="AQ834" s="278"/>
      <c r="AR834" s="278"/>
      <c r="AS834" s="278"/>
    </row>
    <row r="835" spans="1:45">
      <c r="A835" s="277"/>
      <c r="B835" s="298" t="b">
        <v>0</v>
      </c>
      <c r="C835" s="278"/>
      <c r="D835" s="299" t="b">
        <v>0</v>
      </c>
      <c r="E835" s="277"/>
      <c r="F835" s="298" t="b">
        <v>0</v>
      </c>
      <c r="G835" s="278"/>
      <c r="H835" s="299" t="b">
        <v>0</v>
      </c>
      <c r="I835" s="277"/>
      <c r="J835" s="278"/>
      <c r="K835" s="277"/>
      <c r="L835" s="278"/>
      <c r="M835" s="277"/>
      <c r="N835" s="278"/>
      <c r="O835" s="277"/>
      <c r="P835" s="278"/>
      <c r="Q835" s="277"/>
      <c r="R835" s="278"/>
      <c r="S835" s="277"/>
      <c r="T835" s="278"/>
      <c r="U835" s="277"/>
      <c r="V835" s="278"/>
      <c r="W835" s="277"/>
      <c r="X835" s="278"/>
      <c r="Y835" s="277"/>
      <c r="Z835" s="278"/>
      <c r="AA835" s="277"/>
      <c r="AB835" s="278"/>
      <c r="AC835" s="277"/>
      <c r="AD835" s="278"/>
      <c r="AE835" s="277"/>
      <c r="AF835" s="278"/>
      <c r="AG835" s="277"/>
      <c r="AH835" s="278"/>
      <c r="AI835" s="277"/>
      <c r="AJ835" s="278"/>
      <c r="AK835" s="277"/>
      <c r="AL835" s="278"/>
      <c r="AM835" s="277"/>
      <c r="AN835" s="278"/>
      <c r="AO835" s="278"/>
      <c r="AP835" s="278"/>
      <c r="AQ835" s="278"/>
      <c r="AR835" s="278"/>
      <c r="AS835" s="278"/>
    </row>
    <row r="836" spans="1:45">
      <c r="A836" s="277"/>
      <c r="B836" s="298" t="b">
        <v>0</v>
      </c>
      <c r="C836" s="278"/>
      <c r="D836" s="299" t="b">
        <v>0</v>
      </c>
      <c r="E836" s="277"/>
      <c r="F836" s="298" t="b">
        <v>0</v>
      </c>
      <c r="G836" s="278"/>
      <c r="H836" s="299" t="b">
        <v>0</v>
      </c>
      <c r="I836" s="277"/>
      <c r="J836" s="278"/>
      <c r="K836" s="277"/>
      <c r="L836" s="278"/>
      <c r="M836" s="277"/>
      <c r="N836" s="278"/>
      <c r="O836" s="277"/>
      <c r="P836" s="278"/>
      <c r="Q836" s="277"/>
      <c r="R836" s="278"/>
      <c r="S836" s="277"/>
      <c r="T836" s="278"/>
      <c r="U836" s="277"/>
      <c r="V836" s="278"/>
      <c r="W836" s="277"/>
      <c r="X836" s="278"/>
      <c r="Y836" s="277"/>
      <c r="Z836" s="278"/>
      <c r="AA836" s="277"/>
      <c r="AB836" s="278"/>
      <c r="AC836" s="277"/>
      <c r="AD836" s="278"/>
      <c r="AE836" s="277"/>
      <c r="AF836" s="278"/>
      <c r="AG836" s="277"/>
      <c r="AH836" s="278"/>
      <c r="AI836" s="277"/>
      <c r="AJ836" s="278"/>
      <c r="AK836" s="277"/>
      <c r="AL836" s="278"/>
      <c r="AM836" s="277"/>
      <c r="AN836" s="278"/>
      <c r="AO836" s="278"/>
      <c r="AP836" s="278"/>
      <c r="AQ836" s="278"/>
      <c r="AR836" s="278"/>
      <c r="AS836" s="278"/>
    </row>
    <row r="837" spans="1:45">
      <c r="A837" s="277"/>
      <c r="B837" s="298" t="b">
        <v>0</v>
      </c>
      <c r="C837" s="278"/>
      <c r="D837" s="299" t="b">
        <v>0</v>
      </c>
      <c r="E837" s="277"/>
      <c r="F837" s="298" t="b">
        <v>0</v>
      </c>
      <c r="G837" s="278"/>
      <c r="H837" s="299" t="b">
        <v>0</v>
      </c>
      <c r="I837" s="277"/>
      <c r="J837" s="278"/>
      <c r="K837" s="277"/>
      <c r="L837" s="278"/>
      <c r="M837" s="277"/>
      <c r="N837" s="278"/>
      <c r="O837" s="277"/>
      <c r="P837" s="278"/>
      <c r="Q837" s="277"/>
      <c r="R837" s="278"/>
      <c r="S837" s="277"/>
      <c r="T837" s="278"/>
      <c r="U837" s="277"/>
      <c r="V837" s="278"/>
      <c r="W837" s="277"/>
      <c r="X837" s="278"/>
      <c r="Y837" s="277"/>
      <c r="Z837" s="278"/>
      <c r="AA837" s="277"/>
      <c r="AB837" s="278"/>
      <c r="AC837" s="277"/>
      <c r="AD837" s="278"/>
      <c r="AE837" s="277"/>
      <c r="AF837" s="278"/>
      <c r="AG837" s="277"/>
      <c r="AH837" s="278"/>
      <c r="AI837" s="277"/>
      <c r="AJ837" s="278"/>
      <c r="AK837" s="277"/>
      <c r="AL837" s="278"/>
      <c r="AM837" s="277"/>
      <c r="AN837" s="278"/>
      <c r="AO837" s="278"/>
      <c r="AP837" s="278"/>
      <c r="AQ837" s="278"/>
      <c r="AR837" s="278"/>
      <c r="AS837" s="278"/>
    </row>
    <row r="838" spans="1:45">
      <c r="A838" s="277"/>
      <c r="B838" s="298" t="b">
        <v>0</v>
      </c>
      <c r="C838" s="278"/>
      <c r="D838" s="299" t="b">
        <v>0</v>
      </c>
      <c r="E838" s="277"/>
      <c r="F838" s="298" t="b">
        <v>0</v>
      </c>
      <c r="G838" s="278"/>
      <c r="H838" s="299" t="b">
        <v>0</v>
      </c>
      <c r="I838" s="277"/>
      <c r="J838" s="278"/>
      <c r="K838" s="277"/>
      <c r="L838" s="278"/>
      <c r="M838" s="277"/>
      <c r="N838" s="278"/>
      <c r="O838" s="277"/>
      <c r="P838" s="278"/>
      <c r="Q838" s="277"/>
      <c r="R838" s="278"/>
      <c r="S838" s="277"/>
      <c r="T838" s="278"/>
      <c r="U838" s="277"/>
      <c r="V838" s="278"/>
      <c r="W838" s="277"/>
      <c r="X838" s="278"/>
      <c r="Y838" s="277"/>
      <c r="Z838" s="278"/>
      <c r="AA838" s="277"/>
      <c r="AB838" s="278"/>
      <c r="AC838" s="277"/>
      <c r="AD838" s="278"/>
      <c r="AE838" s="277"/>
      <c r="AF838" s="278"/>
      <c r="AG838" s="277"/>
      <c r="AH838" s="278"/>
      <c r="AI838" s="277"/>
      <c r="AJ838" s="278"/>
      <c r="AK838" s="277"/>
      <c r="AL838" s="278"/>
      <c r="AM838" s="277"/>
      <c r="AN838" s="278"/>
      <c r="AO838" s="278"/>
      <c r="AP838" s="278"/>
      <c r="AQ838" s="278"/>
      <c r="AR838" s="278"/>
      <c r="AS838" s="278"/>
    </row>
    <row r="839" spans="1:45">
      <c r="A839" s="277"/>
      <c r="B839" s="298" t="b">
        <v>0</v>
      </c>
      <c r="C839" s="278"/>
      <c r="D839" s="299" t="b">
        <v>0</v>
      </c>
      <c r="E839" s="277"/>
      <c r="F839" s="298" t="b">
        <v>0</v>
      </c>
      <c r="G839" s="278"/>
      <c r="H839" s="299" t="b">
        <v>0</v>
      </c>
      <c r="I839" s="277"/>
      <c r="J839" s="278"/>
      <c r="K839" s="277"/>
      <c r="L839" s="278"/>
      <c r="M839" s="277"/>
      <c r="N839" s="278"/>
      <c r="O839" s="277"/>
      <c r="P839" s="278"/>
      <c r="Q839" s="277"/>
      <c r="R839" s="278"/>
      <c r="S839" s="277"/>
      <c r="T839" s="278"/>
      <c r="U839" s="277"/>
      <c r="V839" s="278"/>
      <c r="W839" s="277"/>
      <c r="X839" s="278"/>
      <c r="Y839" s="277"/>
      <c r="Z839" s="278"/>
      <c r="AA839" s="277"/>
      <c r="AB839" s="278"/>
      <c r="AC839" s="277"/>
      <c r="AD839" s="278"/>
      <c r="AE839" s="277"/>
      <c r="AF839" s="278"/>
      <c r="AG839" s="277"/>
      <c r="AH839" s="278"/>
      <c r="AI839" s="277"/>
      <c r="AJ839" s="278"/>
      <c r="AK839" s="277"/>
      <c r="AL839" s="278"/>
      <c r="AM839" s="277"/>
      <c r="AN839" s="278"/>
      <c r="AO839" s="278"/>
      <c r="AP839" s="278"/>
      <c r="AQ839" s="278"/>
      <c r="AR839" s="278"/>
      <c r="AS839" s="278"/>
    </row>
    <row r="840" spans="1:45">
      <c r="A840" s="277"/>
      <c r="B840" s="298" t="b">
        <v>0</v>
      </c>
      <c r="C840" s="278"/>
      <c r="D840" s="299" t="b">
        <v>0</v>
      </c>
      <c r="E840" s="277"/>
      <c r="F840" s="298" t="b">
        <v>0</v>
      </c>
      <c r="G840" s="278"/>
      <c r="H840" s="299" t="b">
        <v>0</v>
      </c>
      <c r="I840" s="277"/>
      <c r="J840" s="278"/>
      <c r="K840" s="277"/>
      <c r="L840" s="278"/>
      <c r="M840" s="277"/>
      <c r="N840" s="278"/>
      <c r="O840" s="277"/>
      <c r="P840" s="278"/>
      <c r="Q840" s="277"/>
      <c r="R840" s="278"/>
      <c r="S840" s="277"/>
      <c r="T840" s="278"/>
      <c r="U840" s="277"/>
      <c r="V840" s="278"/>
      <c r="W840" s="277"/>
      <c r="X840" s="278"/>
      <c r="Y840" s="277"/>
      <c r="Z840" s="278"/>
      <c r="AA840" s="277"/>
      <c r="AB840" s="278"/>
      <c r="AC840" s="277"/>
      <c r="AD840" s="278"/>
      <c r="AE840" s="277"/>
      <c r="AF840" s="278"/>
      <c r="AG840" s="277"/>
      <c r="AH840" s="278"/>
      <c r="AI840" s="277"/>
      <c r="AJ840" s="278"/>
      <c r="AK840" s="277"/>
      <c r="AL840" s="278"/>
      <c r="AM840" s="277"/>
      <c r="AN840" s="278"/>
      <c r="AO840" s="278"/>
      <c r="AP840" s="278"/>
      <c r="AQ840" s="278"/>
      <c r="AR840" s="278"/>
      <c r="AS840" s="278"/>
    </row>
    <row r="841" spans="1:45">
      <c r="A841" s="277"/>
      <c r="B841" s="298" t="b">
        <v>0</v>
      </c>
      <c r="C841" s="278"/>
      <c r="D841" s="299" t="b">
        <v>0</v>
      </c>
      <c r="E841" s="277"/>
      <c r="F841" s="298" t="b">
        <v>0</v>
      </c>
      <c r="G841" s="278"/>
      <c r="H841" s="299" t="b">
        <v>0</v>
      </c>
      <c r="I841" s="277"/>
      <c r="J841" s="278"/>
      <c r="K841" s="277"/>
      <c r="L841" s="278"/>
      <c r="M841" s="277"/>
      <c r="N841" s="278"/>
      <c r="O841" s="277"/>
      <c r="P841" s="278"/>
      <c r="Q841" s="277"/>
      <c r="R841" s="278"/>
      <c r="S841" s="277"/>
      <c r="T841" s="278"/>
      <c r="U841" s="277"/>
      <c r="V841" s="278"/>
      <c r="W841" s="277"/>
      <c r="X841" s="278"/>
      <c r="Y841" s="277"/>
      <c r="Z841" s="278"/>
      <c r="AA841" s="277"/>
      <c r="AB841" s="278"/>
      <c r="AC841" s="277"/>
      <c r="AD841" s="278"/>
      <c r="AE841" s="277"/>
      <c r="AF841" s="278"/>
      <c r="AG841" s="277"/>
      <c r="AH841" s="278"/>
      <c r="AI841" s="277"/>
      <c r="AJ841" s="278"/>
      <c r="AK841" s="277"/>
      <c r="AL841" s="278"/>
      <c r="AM841" s="277"/>
      <c r="AN841" s="278"/>
      <c r="AO841" s="278"/>
      <c r="AP841" s="278"/>
      <c r="AQ841" s="278"/>
      <c r="AR841" s="278"/>
      <c r="AS841" s="278"/>
    </row>
    <row r="842" spans="1:45">
      <c r="A842" s="277"/>
      <c r="B842" s="298" t="b">
        <v>0</v>
      </c>
      <c r="C842" s="278"/>
      <c r="D842" s="299" t="b">
        <v>0</v>
      </c>
      <c r="E842" s="277"/>
      <c r="F842" s="298" t="b">
        <v>0</v>
      </c>
      <c r="G842" s="278"/>
      <c r="H842" s="299" t="b">
        <v>0</v>
      </c>
      <c r="I842" s="277"/>
      <c r="J842" s="278"/>
      <c r="K842" s="277"/>
      <c r="L842" s="278"/>
      <c r="M842" s="277"/>
      <c r="N842" s="278"/>
      <c r="O842" s="277"/>
      <c r="P842" s="278"/>
      <c r="Q842" s="277"/>
      <c r="R842" s="278"/>
      <c r="S842" s="277"/>
      <c r="T842" s="278"/>
      <c r="U842" s="277"/>
      <c r="V842" s="278"/>
      <c r="W842" s="277"/>
      <c r="X842" s="278"/>
      <c r="Y842" s="277"/>
      <c r="Z842" s="278"/>
      <c r="AA842" s="277"/>
      <c r="AB842" s="278"/>
      <c r="AC842" s="277"/>
      <c r="AD842" s="278"/>
      <c r="AE842" s="277"/>
      <c r="AF842" s="278"/>
      <c r="AG842" s="277"/>
      <c r="AH842" s="278"/>
      <c r="AI842" s="277"/>
      <c r="AJ842" s="278"/>
      <c r="AK842" s="277"/>
      <c r="AL842" s="278"/>
      <c r="AM842" s="277"/>
      <c r="AN842" s="278"/>
      <c r="AO842" s="278"/>
      <c r="AP842" s="278"/>
      <c r="AQ842" s="278"/>
      <c r="AR842" s="278"/>
      <c r="AS842" s="278"/>
    </row>
    <row r="843" spans="1:45">
      <c r="A843" s="277"/>
      <c r="B843" s="298" t="b">
        <v>0</v>
      </c>
      <c r="C843" s="278"/>
      <c r="D843" s="299" t="b">
        <v>0</v>
      </c>
      <c r="E843" s="277"/>
      <c r="F843" s="298" t="b">
        <v>0</v>
      </c>
      <c r="G843" s="278"/>
      <c r="H843" s="299" t="b">
        <v>0</v>
      </c>
      <c r="I843" s="277"/>
      <c r="J843" s="278"/>
      <c r="K843" s="277"/>
      <c r="L843" s="278"/>
      <c r="M843" s="277"/>
      <c r="N843" s="278"/>
      <c r="O843" s="277"/>
      <c r="P843" s="278"/>
      <c r="Q843" s="277"/>
      <c r="R843" s="278"/>
      <c r="S843" s="277"/>
      <c r="T843" s="278"/>
      <c r="U843" s="277"/>
      <c r="V843" s="278"/>
      <c r="W843" s="277"/>
      <c r="X843" s="278"/>
      <c r="Y843" s="277"/>
      <c r="Z843" s="278"/>
      <c r="AA843" s="277"/>
      <c r="AB843" s="278"/>
      <c r="AC843" s="277"/>
      <c r="AD843" s="278"/>
      <c r="AE843" s="277"/>
      <c r="AF843" s="278"/>
      <c r="AG843" s="277"/>
      <c r="AH843" s="278"/>
      <c r="AI843" s="277"/>
      <c r="AJ843" s="278"/>
      <c r="AK843" s="277"/>
      <c r="AL843" s="278"/>
      <c r="AM843" s="277"/>
      <c r="AN843" s="278"/>
      <c r="AO843" s="278"/>
      <c r="AP843" s="278"/>
      <c r="AQ843" s="278"/>
      <c r="AR843" s="278"/>
      <c r="AS843" s="278"/>
    </row>
    <row r="844" spans="1:45">
      <c r="A844" s="277"/>
      <c r="B844" s="298" t="b">
        <v>0</v>
      </c>
      <c r="C844" s="278"/>
      <c r="D844" s="299" t="b">
        <v>0</v>
      </c>
      <c r="E844" s="277"/>
      <c r="F844" s="298" t="b">
        <v>0</v>
      </c>
      <c r="G844" s="278"/>
      <c r="H844" s="299" t="b">
        <v>0</v>
      </c>
      <c r="I844" s="277"/>
      <c r="J844" s="278"/>
      <c r="K844" s="277"/>
      <c r="L844" s="278"/>
      <c r="M844" s="277"/>
      <c r="N844" s="278"/>
      <c r="O844" s="277"/>
      <c r="P844" s="278"/>
      <c r="Q844" s="277"/>
      <c r="R844" s="278"/>
      <c r="S844" s="277"/>
      <c r="T844" s="278"/>
      <c r="U844" s="277"/>
      <c r="V844" s="278"/>
      <c r="W844" s="277"/>
      <c r="X844" s="278"/>
      <c r="Y844" s="277"/>
      <c r="Z844" s="278"/>
      <c r="AA844" s="277"/>
      <c r="AB844" s="278"/>
      <c r="AC844" s="277"/>
      <c r="AD844" s="278"/>
      <c r="AE844" s="277"/>
      <c r="AF844" s="278"/>
      <c r="AG844" s="277"/>
      <c r="AH844" s="278"/>
      <c r="AI844" s="277"/>
      <c r="AJ844" s="278"/>
      <c r="AK844" s="277"/>
      <c r="AL844" s="278"/>
      <c r="AM844" s="277"/>
      <c r="AN844" s="278"/>
      <c r="AO844" s="278"/>
      <c r="AP844" s="278"/>
      <c r="AQ844" s="278"/>
      <c r="AR844" s="278"/>
      <c r="AS844" s="278"/>
    </row>
    <row r="845" spans="1:45">
      <c r="A845" s="277"/>
      <c r="B845" s="298" t="b">
        <v>0</v>
      </c>
      <c r="C845" s="278"/>
      <c r="D845" s="299" t="b">
        <v>0</v>
      </c>
      <c r="E845" s="277"/>
      <c r="F845" s="298" t="b">
        <v>0</v>
      </c>
      <c r="G845" s="278"/>
      <c r="H845" s="299" t="b">
        <v>0</v>
      </c>
      <c r="I845" s="277"/>
      <c r="J845" s="278"/>
      <c r="K845" s="277"/>
      <c r="L845" s="278"/>
      <c r="M845" s="277"/>
      <c r="N845" s="278"/>
      <c r="O845" s="277"/>
      <c r="P845" s="278"/>
      <c r="Q845" s="277"/>
      <c r="R845" s="278"/>
      <c r="S845" s="277"/>
      <c r="T845" s="278"/>
      <c r="U845" s="277"/>
      <c r="V845" s="278"/>
      <c r="W845" s="277"/>
      <c r="X845" s="278"/>
      <c r="Y845" s="277"/>
      <c r="Z845" s="278"/>
      <c r="AA845" s="277"/>
      <c r="AB845" s="278"/>
      <c r="AC845" s="277"/>
      <c r="AD845" s="278"/>
      <c r="AE845" s="277"/>
      <c r="AF845" s="278"/>
      <c r="AG845" s="277"/>
      <c r="AH845" s="278"/>
      <c r="AI845" s="277"/>
      <c r="AJ845" s="278"/>
      <c r="AK845" s="277"/>
      <c r="AL845" s="278"/>
      <c r="AM845" s="277"/>
      <c r="AN845" s="278"/>
      <c r="AO845" s="278"/>
      <c r="AP845" s="278"/>
      <c r="AQ845" s="278"/>
      <c r="AR845" s="278"/>
      <c r="AS845" s="278"/>
    </row>
    <row r="846" spans="1:45">
      <c r="A846" s="277"/>
      <c r="B846" s="298" t="b">
        <v>0</v>
      </c>
      <c r="C846" s="278"/>
      <c r="D846" s="299" t="b">
        <v>0</v>
      </c>
      <c r="E846" s="277"/>
      <c r="F846" s="298" t="b">
        <v>0</v>
      </c>
      <c r="G846" s="278"/>
      <c r="H846" s="299" t="b">
        <v>0</v>
      </c>
      <c r="I846" s="277"/>
      <c r="J846" s="278"/>
      <c r="K846" s="277"/>
      <c r="L846" s="278"/>
      <c r="M846" s="277"/>
      <c r="N846" s="278"/>
      <c r="O846" s="277"/>
      <c r="P846" s="278"/>
      <c r="Q846" s="277"/>
      <c r="R846" s="278"/>
      <c r="S846" s="277"/>
      <c r="T846" s="278"/>
      <c r="U846" s="277"/>
      <c r="V846" s="278"/>
      <c r="W846" s="277"/>
      <c r="X846" s="278"/>
      <c r="Y846" s="277"/>
      <c r="Z846" s="278"/>
      <c r="AA846" s="277"/>
      <c r="AB846" s="278"/>
      <c r="AC846" s="277"/>
      <c r="AD846" s="278"/>
      <c r="AE846" s="277"/>
      <c r="AF846" s="278"/>
      <c r="AG846" s="277"/>
      <c r="AH846" s="278"/>
      <c r="AI846" s="277"/>
      <c r="AJ846" s="278"/>
      <c r="AK846" s="277"/>
      <c r="AL846" s="278"/>
      <c r="AM846" s="277"/>
      <c r="AN846" s="278"/>
      <c r="AO846" s="278"/>
      <c r="AP846" s="278"/>
      <c r="AQ846" s="278"/>
      <c r="AR846" s="278"/>
      <c r="AS846" s="278"/>
    </row>
    <row r="847" spans="1:45">
      <c r="A847" s="277"/>
      <c r="B847" s="298" t="b">
        <v>0</v>
      </c>
      <c r="C847" s="278"/>
      <c r="D847" s="299" t="b">
        <v>0</v>
      </c>
      <c r="E847" s="277"/>
      <c r="F847" s="298" t="b">
        <v>0</v>
      </c>
      <c r="G847" s="278"/>
      <c r="H847" s="299" t="b">
        <v>0</v>
      </c>
      <c r="I847" s="277"/>
      <c r="J847" s="278"/>
      <c r="K847" s="277"/>
      <c r="L847" s="278"/>
      <c r="M847" s="277"/>
      <c r="N847" s="278"/>
      <c r="O847" s="277"/>
      <c r="P847" s="278"/>
      <c r="Q847" s="277"/>
      <c r="R847" s="278"/>
      <c r="S847" s="277"/>
      <c r="T847" s="278"/>
      <c r="U847" s="277"/>
      <c r="V847" s="278"/>
      <c r="W847" s="277"/>
      <c r="X847" s="278"/>
      <c r="Y847" s="277"/>
      <c r="Z847" s="278"/>
      <c r="AA847" s="277"/>
      <c r="AB847" s="278"/>
      <c r="AC847" s="277"/>
      <c r="AD847" s="278"/>
      <c r="AE847" s="277"/>
      <c r="AF847" s="278"/>
      <c r="AG847" s="277"/>
      <c r="AH847" s="278"/>
      <c r="AI847" s="277"/>
      <c r="AJ847" s="278"/>
      <c r="AK847" s="277"/>
      <c r="AL847" s="278"/>
      <c r="AM847" s="277"/>
      <c r="AN847" s="278"/>
      <c r="AO847" s="278"/>
      <c r="AP847" s="278"/>
      <c r="AQ847" s="278"/>
      <c r="AR847" s="278"/>
      <c r="AS847" s="278"/>
    </row>
    <row r="848" spans="1:45">
      <c r="A848" s="277"/>
      <c r="B848" s="298" t="b">
        <v>0</v>
      </c>
      <c r="C848" s="278"/>
      <c r="D848" s="299" t="b">
        <v>0</v>
      </c>
      <c r="E848" s="277"/>
      <c r="F848" s="298" t="b">
        <v>0</v>
      </c>
      <c r="G848" s="278"/>
      <c r="H848" s="299" t="b">
        <v>0</v>
      </c>
      <c r="I848" s="277"/>
      <c r="J848" s="278"/>
      <c r="K848" s="277"/>
      <c r="L848" s="278"/>
      <c r="M848" s="277"/>
      <c r="N848" s="278"/>
      <c r="O848" s="277"/>
      <c r="P848" s="278"/>
      <c r="Q848" s="277"/>
      <c r="R848" s="278"/>
      <c r="S848" s="277"/>
      <c r="T848" s="278"/>
      <c r="U848" s="277"/>
      <c r="V848" s="278"/>
      <c r="W848" s="277"/>
      <c r="X848" s="278"/>
      <c r="Y848" s="277"/>
      <c r="Z848" s="278"/>
      <c r="AA848" s="277"/>
      <c r="AB848" s="278"/>
      <c r="AC848" s="277"/>
      <c r="AD848" s="278"/>
      <c r="AE848" s="277"/>
      <c r="AF848" s="278"/>
      <c r="AG848" s="277"/>
      <c r="AH848" s="278"/>
      <c r="AI848" s="277"/>
      <c r="AJ848" s="278"/>
      <c r="AK848" s="277"/>
      <c r="AL848" s="278"/>
      <c r="AM848" s="277"/>
      <c r="AN848" s="278"/>
      <c r="AO848" s="278"/>
      <c r="AP848" s="278"/>
      <c r="AQ848" s="278"/>
      <c r="AR848" s="278"/>
      <c r="AS848" s="278"/>
    </row>
    <row r="849" spans="1:45">
      <c r="A849" s="277"/>
      <c r="B849" s="298" t="b">
        <v>0</v>
      </c>
      <c r="C849" s="278"/>
      <c r="D849" s="299" t="b">
        <v>0</v>
      </c>
      <c r="E849" s="277"/>
      <c r="F849" s="298" t="b">
        <v>0</v>
      </c>
      <c r="G849" s="278"/>
      <c r="H849" s="299" t="b">
        <v>0</v>
      </c>
      <c r="I849" s="277"/>
      <c r="J849" s="278"/>
      <c r="K849" s="277"/>
      <c r="L849" s="278"/>
      <c r="M849" s="277"/>
      <c r="N849" s="278"/>
      <c r="O849" s="277"/>
      <c r="P849" s="278"/>
      <c r="Q849" s="277"/>
      <c r="R849" s="278"/>
      <c r="S849" s="277"/>
      <c r="T849" s="278"/>
      <c r="U849" s="277"/>
      <c r="V849" s="278"/>
      <c r="W849" s="277"/>
      <c r="X849" s="278"/>
      <c r="Y849" s="277"/>
      <c r="Z849" s="278"/>
      <c r="AA849" s="277"/>
      <c r="AB849" s="278"/>
      <c r="AC849" s="277"/>
      <c r="AD849" s="278"/>
      <c r="AE849" s="277"/>
      <c r="AF849" s="278"/>
      <c r="AG849" s="277"/>
      <c r="AH849" s="278"/>
      <c r="AI849" s="277"/>
      <c r="AJ849" s="278"/>
      <c r="AK849" s="277"/>
      <c r="AL849" s="278"/>
      <c r="AM849" s="277"/>
      <c r="AN849" s="278"/>
      <c r="AO849" s="278"/>
      <c r="AP849" s="278"/>
      <c r="AQ849" s="278"/>
      <c r="AR849" s="278"/>
      <c r="AS849" s="278"/>
    </row>
    <row r="850" spans="1:45">
      <c r="A850" s="277"/>
      <c r="B850" s="298" t="b">
        <v>0</v>
      </c>
      <c r="C850" s="278"/>
      <c r="D850" s="299" t="b">
        <v>0</v>
      </c>
      <c r="E850" s="277"/>
      <c r="F850" s="298" t="b">
        <v>0</v>
      </c>
      <c r="G850" s="278"/>
      <c r="H850" s="299" t="b">
        <v>0</v>
      </c>
      <c r="I850" s="277"/>
      <c r="J850" s="278"/>
      <c r="K850" s="277"/>
      <c r="L850" s="278"/>
      <c r="M850" s="277"/>
      <c r="N850" s="278"/>
      <c r="O850" s="277"/>
      <c r="P850" s="278"/>
      <c r="Q850" s="277"/>
      <c r="R850" s="278"/>
      <c r="S850" s="277"/>
      <c r="T850" s="278"/>
      <c r="U850" s="277"/>
      <c r="V850" s="278"/>
      <c r="W850" s="277"/>
      <c r="X850" s="278"/>
      <c r="Y850" s="277"/>
      <c r="Z850" s="278"/>
      <c r="AA850" s="277"/>
      <c r="AB850" s="278"/>
      <c r="AC850" s="277"/>
      <c r="AD850" s="278"/>
      <c r="AE850" s="277"/>
      <c r="AF850" s="278"/>
      <c r="AG850" s="277"/>
      <c r="AH850" s="278"/>
      <c r="AI850" s="277"/>
      <c r="AJ850" s="278"/>
      <c r="AK850" s="277"/>
      <c r="AL850" s="278"/>
      <c r="AM850" s="277"/>
      <c r="AN850" s="278"/>
      <c r="AO850" s="278"/>
      <c r="AP850" s="278"/>
      <c r="AQ850" s="278"/>
      <c r="AR850" s="278"/>
      <c r="AS850" s="278"/>
    </row>
    <row r="851" spans="1:45">
      <c r="A851" s="277"/>
      <c r="B851" s="298" t="b">
        <v>0</v>
      </c>
      <c r="C851" s="278"/>
      <c r="D851" s="299" t="b">
        <v>0</v>
      </c>
      <c r="E851" s="277"/>
      <c r="F851" s="298" t="b">
        <v>0</v>
      </c>
      <c r="G851" s="278"/>
      <c r="H851" s="299" t="b">
        <v>0</v>
      </c>
      <c r="I851" s="277"/>
      <c r="J851" s="278"/>
      <c r="K851" s="277"/>
      <c r="L851" s="278"/>
      <c r="M851" s="277"/>
      <c r="N851" s="278"/>
      <c r="O851" s="277"/>
      <c r="P851" s="278"/>
      <c r="Q851" s="277"/>
      <c r="R851" s="278"/>
      <c r="S851" s="277"/>
      <c r="T851" s="278"/>
      <c r="U851" s="277"/>
      <c r="V851" s="278"/>
      <c r="W851" s="277"/>
      <c r="X851" s="278"/>
      <c r="Y851" s="277"/>
      <c r="Z851" s="278"/>
      <c r="AA851" s="277"/>
      <c r="AB851" s="278"/>
      <c r="AC851" s="277"/>
      <c r="AD851" s="278"/>
      <c r="AE851" s="277"/>
      <c r="AF851" s="278"/>
      <c r="AG851" s="277"/>
      <c r="AH851" s="278"/>
      <c r="AI851" s="277"/>
      <c r="AJ851" s="278"/>
      <c r="AK851" s="277"/>
      <c r="AL851" s="278"/>
      <c r="AM851" s="277"/>
      <c r="AN851" s="278"/>
      <c r="AO851" s="278"/>
      <c r="AP851" s="278"/>
      <c r="AQ851" s="278"/>
      <c r="AR851" s="278"/>
      <c r="AS851" s="278"/>
    </row>
    <row r="852" spans="1:45">
      <c r="A852" s="277"/>
      <c r="B852" s="298" t="b">
        <v>0</v>
      </c>
      <c r="C852" s="278"/>
      <c r="D852" s="299" t="b">
        <v>0</v>
      </c>
      <c r="E852" s="277"/>
      <c r="F852" s="298" t="b">
        <v>0</v>
      </c>
      <c r="G852" s="278"/>
      <c r="H852" s="299" t="b">
        <v>0</v>
      </c>
      <c r="I852" s="277"/>
      <c r="J852" s="278"/>
      <c r="K852" s="277"/>
      <c r="L852" s="278"/>
      <c r="M852" s="277"/>
      <c r="N852" s="278"/>
      <c r="O852" s="277"/>
      <c r="P852" s="278"/>
      <c r="Q852" s="277"/>
      <c r="R852" s="278"/>
      <c r="S852" s="277"/>
      <c r="T852" s="278"/>
      <c r="U852" s="277"/>
      <c r="V852" s="278"/>
      <c r="W852" s="277"/>
      <c r="X852" s="278"/>
      <c r="Y852" s="277"/>
      <c r="Z852" s="278"/>
      <c r="AA852" s="277"/>
      <c r="AB852" s="278"/>
      <c r="AC852" s="277"/>
      <c r="AD852" s="278"/>
      <c r="AE852" s="277"/>
      <c r="AF852" s="278"/>
      <c r="AG852" s="277"/>
      <c r="AH852" s="278"/>
      <c r="AI852" s="277"/>
      <c r="AJ852" s="278"/>
      <c r="AK852" s="277"/>
      <c r="AL852" s="278"/>
      <c r="AM852" s="277"/>
      <c r="AN852" s="278"/>
      <c r="AO852" s="278"/>
      <c r="AP852" s="278"/>
      <c r="AQ852" s="278"/>
      <c r="AR852" s="278"/>
      <c r="AS852" s="278"/>
    </row>
    <row r="853" spans="1:45">
      <c r="A853" s="277"/>
      <c r="B853" s="298" t="b">
        <v>0</v>
      </c>
      <c r="C853" s="278"/>
      <c r="D853" s="299" t="b">
        <v>0</v>
      </c>
      <c r="E853" s="277"/>
      <c r="F853" s="298" t="b">
        <v>0</v>
      </c>
      <c r="G853" s="278"/>
      <c r="H853" s="299" t="b">
        <v>0</v>
      </c>
      <c r="I853" s="277"/>
      <c r="J853" s="278"/>
      <c r="K853" s="277"/>
      <c r="L853" s="278"/>
      <c r="M853" s="277"/>
      <c r="N853" s="278"/>
      <c r="O853" s="277"/>
      <c r="P853" s="278"/>
      <c r="Q853" s="277"/>
      <c r="R853" s="278"/>
      <c r="S853" s="277"/>
      <c r="T853" s="278"/>
      <c r="U853" s="277"/>
      <c r="V853" s="278"/>
      <c r="W853" s="277"/>
      <c r="X853" s="278"/>
      <c r="Y853" s="277"/>
      <c r="Z853" s="278"/>
      <c r="AA853" s="277"/>
      <c r="AB853" s="278"/>
      <c r="AC853" s="277"/>
      <c r="AD853" s="278"/>
      <c r="AE853" s="277"/>
      <c r="AF853" s="278"/>
      <c r="AG853" s="277"/>
      <c r="AH853" s="278"/>
      <c r="AI853" s="277"/>
      <c r="AJ853" s="278"/>
      <c r="AK853" s="277"/>
      <c r="AL853" s="278"/>
      <c r="AM853" s="277"/>
      <c r="AN853" s="278"/>
      <c r="AO853" s="278"/>
      <c r="AP853" s="278"/>
      <c r="AQ853" s="278"/>
      <c r="AR853" s="278"/>
      <c r="AS853" s="278"/>
    </row>
    <row r="854" spans="1:45">
      <c r="A854" s="277"/>
      <c r="B854" s="298" t="b">
        <v>0</v>
      </c>
      <c r="C854" s="278"/>
      <c r="D854" s="299" t="b">
        <v>0</v>
      </c>
      <c r="E854" s="277"/>
      <c r="F854" s="298" t="b">
        <v>0</v>
      </c>
      <c r="G854" s="278"/>
      <c r="H854" s="299" t="b">
        <v>0</v>
      </c>
      <c r="I854" s="277"/>
      <c r="J854" s="278"/>
      <c r="K854" s="277"/>
      <c r="L854" s="278"/>
      <c r="M854" s="277"/>
      <c r="N854" s="278"/>
      <c r="O854" s="277"/>
      <c r="P854" s="278"/>
      <c r="Q854" s="277"/>
      <c r="R854" s="278"/>
      <c r="S854" s="277"/>
      <c r="T854" s="278"/>
      <c r="U854" s="277"/>
      <c r="V854" s="278"/>
      <c r="W854" s="277"/>
      <c r="X854" s="278"/>
      <c r="Y854" s="277"/>
      <c r="Z854" s="278"/>
      <c r="AA854" s="277"/>
      <c r="AB854" s="278"/>
      <c r="AC854" s="277"/>
      <c r="AD854" s="278"/>
      <c r="AE854" s="277"/>
      <c r="AF854" s="278"/>
      <c r="AG854" s="277"/>
      <c r="AH854" s="278"/>
      <c r="AI854" s="277"/>
      <c r="AJ854" s="278"/>
      <c r="AK854" s="277"/>
      <c r="AL854" s="278"/>
      <c r="AM854" s="277"/>
      <c r="AN854" s="278"/>
      <c r="AO854" s="278"/>
      <c r="AP854" s="278"/>
      <c r="AQ854" s="278"/>
      <c r="AR854" s="278"/>
      <c r="AS854" s="278"/>
    </row>
    <row r="855" spans="1:45">
      <c r="A855" s="277"/>
      <c r="B855" s="298" t="b">
        <v>0</v>
      </c>
      <c r="C855" s="278"/>
      <c r="D855" s="299" t="b">
        <v>0</v>
      </c>
      <c r="E855" s="277"/>
      <c r="F855" s="298" t="b">
        <v>0</v>
      </c>
      <c r="G855" s="278"/>
      <c r="H855" s="299" t="b">
        <v>0</v>
      </c>
      <c r="I855" s="277"/>
      <c r="J855" s="278"/>
      <c r="K855" s="277"/>
      <c r="L855" s="278"/>
      <c r="M855" s="277"/>
      <c r="N855" s="278"/>
      <c r="O855" s="277"/>
      <c r="P855" s="278"/>
      <c r="Q855" s="277"/>
      <c r="R855" s="278"/>
      <c r="S855" s="277"/>
      <c r="T855" s="278"/>
      <c r="U855" s="277"/>
      <c r="V855" s="278"/>
      <c r="W855" s="277"/>
      <c r="X855" s="278"/>
      <c r="Y855" s="277"/>
      <c r="Z855" s="278"/>
      <c r="AA855" s="277"/>
      <c r="AB855" s="278"/>
      <c r="AC855" s="277"/>
      <c r="AD855" s="278"/>
      <c r="AE855" s="277"/>
      <c r="AF855" s="278"/>
      <c r="AG855" s="277"/>
      <c r="AH855" s="278"/>
      <c r="AI855" s="277"/>
      <c r="AJ855" s="278"/>
      <c r="AK855" s="277"/>
      <c r="AL855" s="278"/>
      <c r="AM855" s="277"/>
      <c r="AN855" s="278"/>
      <c r="AO855" s="278"/>
      <c r="AP855" s="278"/>
      <c r="AQ855" s="278"/>
      <c r="AR855" s="278"/>
      <c r="AS855" s="278"/>
    </row>
    <row r="856" spans="1:45">
      <c r="A856" s="277"/>
      <c r="B856" s="298" t="b">
        <v>0</v>
      </c>
      <c r="C856" s="278"/>
      <c r="D856" s="299" t="b">
        <v>0</v>
      </c>
      <c r="E856" s="277"/>
      <c r="F856" s="298" t="b">
        <v>0</v>
      </c>
      <c r="G856" s="278"/>
      <c r="H856" s="299" t="b">
        <v>0</v>
      </c>
      <c r="I856" s="277"/>
      <c r="J856" s="278"/>
      <c r="K856" s="277"/>
      <c r="L856" s="278"/>
      <c r="M856" s="277"/>
      <c r="N856" s="278"/>
      <c r="O856" s="277"/>
      <c r="P856" s="278"/>
      <c r="Q856" s="277"/>
      <c r="R856" s="278"/>
      <c r="S856" s="277"/>
      <c r="T856" s="278"/>
      <c r="U856" s="277"/>
      <c r="V856" s="278"/>
      <c r="W856" s="277"/>
      <c r="X856" s="278"/>
      <c r="Y856" s="277"/>
      <c r="Z856" s="278"/>
      <c r="AA856" s="277"/>
      <c r="AB856" s="278"/>
      <c r="AC856" s="277"/>
      <c r="AD856" s="278"/>
      <c r="AE856" s="277"/>
      <c r="AF856" s="278"/>
      <c r="AG856" s="277"/>
      <c r="AH856" s="278"/>
      <c r="AI856" s="277"/>
      <c r="AJ856" s="278"/>
      <c r="AK856" s="277"/>
      <c r="AL856" s="278"/>
      <c r="AM856" s="277"/>
      <c r="AN856" s="278"/>
      <c r="AO856" s="278"/>
      <c r="AP856" s="278"/>
      <c r="AQ856" s="278"/>
      <c r="AR856" s="278"/>
      <c r="AS856" s="278"/>
    </row>
    <row r="857" spans="1:45">
      <c r="A857" s="277"/>
      <c r="B857" s="298" t="b">
        <v>0</v>
      </c>
      <c r="C857" s="278"/>
      <c r="D857" s="299" t="b">
        <v>0</v>
      </c>
      <c r="E857" s="277"/>
      <c r="F857" s="298" t="b">
        <v>0</v>
      </c>
      <c r="G857" s="278"/>
      <c r="H857" s="299" t="b">
        <v>0</v>
      </c>
      <c r="I857" s="277"/>
      <c r="J857" s="278"/>
      <c r="K857" s="277"/>
      <c r="L857" s="278"/>
      <c r="M857" s="277"/>
      <c r="N857" s="278"/>
      <c r="O857" s="277"/>
      <c r="P857" s="278"/>
      <c r="Q857" s="277"/>
      <c r="R857" s="278"/>
      <c r="S857" s="277"/>
      <c r="T857" s="278"/>
      <c r="U857" s="277"/>
      <c r="V857" s="278"/>
      <c r="W857" s="277"/>
      <c r="X857" s="278"/>
      <c r="Y857" s="277"/>
      <c r="Z857" s="278"/>
      <c r="AA857" s="277"/>
      <c r="AB857" s="278"/>
      <c r="AC857" s="277"/>
      <c r="AD857" s="278"/>
      <c r="AE857" s="277"/>
      <c r="AF857" s="278"/>
      <c r="AG857" s="277"/>
      <c r="AH857" s="278"/>
      <c r="AI857" s="277"/>
      <c r="AJ857" s="278"/>
      <c r="AK857" s="277"/>
      <c r="AL857" s="278"/>
      <c r="AM857" s="277"/>
      <c r="AN857" s="278"/>
      <c r="AO857" s="278"/>
      <c r="AP857" s="278"/>
      <c r="AQ857" s="278"/>
      <c r="AR857" s="278"/>
      <c r="AS857" s="278"/>
    </row>
    <row r="858" spans="1:45">
      <c r="A858" s="277"/>
      <c r="B858" s="298" t="b">
        <v>0</v>
      </c>
      <c r="C858" s="278"/>
      <c r="D858" s="299" t="b">
        <v>0</v>
      </c>
      <c r="E858" s="277"/>
      <c r="F858" s="298" t="b">
        <v>0</v>
      </c>
      <c r="G858" s="278"/>
      <c r="H858" s="299" t="b">
        <v>0</v>
      </c>
      <c r="I858" s="277"/>
      <c r="J858" s="278"/>
      <c r="K858" s="277"/>
      <c r="L858" s="278"/>
      <c r="M858" s="277"/>
      <c r="N858" s="278"/>
      <c r="O858" s="277"/>
      <c r="P858" s="278"/>
      <c r="Q858" s="277"/>
      <c r="R858" s="278"/>
      <c r="S858" s="277"/>
      <c r="T858" s="278"/>
      <c r="U858" s="277"/>
      <c r="V858" s="278"/>
      <c r="W858" s="277"/>
      <c r="X858" s="278"/>
      <c r="Y858" s="277"/>
      <c r="Z858" s="278"/>
      <c r="AA858" s="277"/>
      <c r="AB858" s="278"/>
      <c r="AC858" s="277"/>
      <c r="AD858" s="278"/>
      <c r="AE858" s="277"/>
      <c r="AF858" s="278"/>
      <c r="AG858" s="277"/>
      <c r="AH858" s="278"/>
      <c r="AI858" s="277"/>
      <c r="AJ858" s="278"/>
      <c r="AK858" s="277"/>
      <c r="AL858" s="278"/>
      <c r="AM858" s="277"/>
      <c r="AN858" s="278"/>
      <c r="AO858" s="278"/>
      <c r="AP858" s="278"/>
      <c r="AQ858" s="278"/>
      <c r="AR858" s="278"/>
      <c r="AS858" s="278"/>
    </row>
    <row r="859" spans="1:45">
      <c r="A859" s="277"/>
      <c r="B859" s="298" t="b">
        <v>0</v>
      </c>
      <c r="C859" s="278"/>
      <c r="D859" s="299" t="b">
        <v>0</v>
      </c>
      <c r="E859" s="277"/>
      <c r="F859" s="298" t="b">
        <v>0</v>
      </c>
      <c r="G859" s="278"/>
      <c r="H859" s="299" t="b">
        <v>0</v>
      </c>
      <c r="I859" s="277"/>
      <c r="J859" s="278"/>
      <c r="K859" s="277"/>
      <c r="L859" s="278"/>
      <c r="M859" s="277"/>
      <c r="N859" s="278"/>
      <c r="O859" s="277"/>
      <c r="P859" s="278"/>
      <c r="Q859" s="277"/>
      <c r="R859" s="278"/>
      <c r="S859" s="277"/>
      <c r="T859" s="278"/>
      <c r="U859" s="277"/>
      <c r="V859" s="278"/>
      <c r="W859" s="277"/>
      <c r="X859" s="278"/>
      <c r="Y859" s="277"/>
      <c r="Z859" s="278"/>
      <c r="AA859" s="277"/>
      <c r="AB859" s="278"/>
      <c r="AC859" s="277"/>
      <c r="AD859" s="278"/>
      <c r="AE859" s="277"/>
      <c r="AF859" s="278"/>
      <c r="AG859" s="277"/>
      <c r="AH859" s="278"/>
      <c r="AI859" s="277"/>
      <c r="AJ859" s="278"/>
      <c r="AK859" s="277"/>
      <c r="AL859" s="278"/>
      <c r="AM859" s="277"/>
      <c r="AN859" s="278"/>
      <c r="AO859" s="278"/>
      <c r="AP859" s="278"/>
      <c r="AQ859" s="278"/>
      <c r="AR859" s="278"/>
      <c r="AS859" s="278"/>
    </row>
    <row r="860" spans="1:45">
      <c r="A860" s="277"/>
      <c r="B860" s="298" t="b">
        <v>0</v>
      </c>
      <c r="C860" s="278"/>
      <c r="D860" s="299" t="b">
        <v>0</v>
      </c>
      <c r="E860" s="277"/>
      <c r="F860" s="298" t="b">
        <v>0</v>
      </c>
      <c r="G860" s="278"/>
      <c r="H860" s="299" t="b">
        <v>0</v>
      </c>
      <c r="I860" s="277"/>
      <c r="J860" s="278"/>
      <c r="K860" s="277"/>
      <c r="L860" s="278"/>
      <c r="M860" s="277"/>
      <c r="N860" s="278"/>
      <c r="O860" s="277"/>
      <c r="P860" s="278"/>
      <c r="Q860" s="277"/>
      <c r="R860" s="278"/>
      <c r="S860" s="277"/>
      <c r="T860" s="278"/>
      <c r="U860" s="277"/>
      <c r="V860" s="278"/>
      <c r="W860" s="277"/>
      <c r="X860" s="278"/>
      <c r="Y860" s="277"/>
      <c r="Z860" s="278"/>
      <c r="AA860" s="277"/>
      <c r="AB860" s="278"/>
      <c r="AC860" s="277"/>
      <c r="AD860" s="278"/>
      <c r="AE860" s="277"/>
      <c r="AF860" s="278"/>
      <c r="AG860" s="277"/>
      <c r="AH860" s="278"/>
      <c r="AI860" s="277"/>
      <c r="AJ860" s="278"/>
      <c r="AK860" s="277"/>
      <c r="AL860" s="278"/>
      <c r="AM860" s="277"/>
      <c r="AN860" s="278"/>
      <c r="AO860" s="278"/>
      <c r="AP860" s="278"/>
      <c r="AQ860" s="278"/>
      <c r="AR860" s="278"/>
      <c r="AS860" s="278"/>
    </row>
    <row r="861" spans="1:45">
      <c r="A861" s="277"/>
      <c r="B861" s="298" t="b">
        <v>0</v>
      </c>
      <c r="C861" s="278"/>
      <c r="D861" s="299" t="b">
        <v>0</v>
      </c>
      <c r="E861" s="277"/>
      <c r="F861" s="298" t="b">
        <v>0</v>
      </c>
      <c r="G861" s="278"/>
      <c r="H861" s="299" t="b">
        <v>0</v>
      </c>
      <c r="I861" s="277"/>
      <c r="J861" s="278"/>
      <c r="K861" s="277"/>
      <c r="L861" s="278"/>
      <c r="M861" s="277"/>
      <c r="N861" s="278"/>
      <c r="O861" s="277"/>
      <c r="P861" s="278"/>
      <c r="Q861" s="277"/>
      <c r="R861" s="278"/>
      <c r="S861" s="277"/>
      <c r="T861" s="278"/>
      <c r="U861" s="277"/>
      <c r="V861" s="278"/>
      <c r="W861" s="277"/>
      <c r="X861" s="278"/>
      <c r="Y861" s="277"/>
      <c r="Z861" s="278"/>
      <c r="AA861" s="277"/>
      <c r="AB861" s="278"/>
      <c r="AC861" s="277"/>
      <c r="AD861" s="278"/>
      <c r="AE861" s="277"/>
      <c r="AF861" s="278"/>
      <c r="AG861" s="277"/>
      <c r="AH861" s="278"/>
      <c r="AI861" s="277"/>
      <c r="AJ861" s="278"/>
      <c r="AK861" s="277"/>
      <c r="AL861" s="278"/>
      <c r="AM861" s="277"/>
      <c r="AN861" s="278"/>
      <c r="AO861" s="278"/>
      <c r="AP861" s="278"/>
      <c r="AQ861" s="278"/>
      <c r="AR861" s="278"/>
      <c r="AS861" s="278"/>
    </row>
    <row r="862" spans="1:45">
      <c r="A862" s="277"/>
      <c r="B862" s="298" t="b">
        <v>0</v>
      </c>
      <c r="C862" s="278"/>
      <c r="D862" s="299" t="b">
        <v>0</v>
      </c>
      <c r="E862" s="277"/>
      <c r="F862" s="298" t="b">
        <v>0</v>
      </c>
      <c r="G862" s="278"/>
      <c r="H862" s="299" t="b">
        <v>0</v>
      </c>
      <c r="I862" s="277"/>
      <c r="J862" s="278"/>
      <c r="K862" s="277"/>
      <c r="L862" s="278"/>
      <c r="M862" s="277"/>
      <c r="N862" s="278"/>
      <c r="O862" s="277"/>
      <c r="P862" s="278"/>
      <c r="Q862" s="277"/>
      <c r="R862" s="278"/>
      <c r="S862" s="277"/>
      <c r="T862" s="278"/>
      <c r="U862" s="277"/>
      <c r="V862" s="278"/>
      <c r="W862" s="277"/>
      <c r="X862" s="278"/>
      <c r="Y862" s="277"/>
      <c r="Z862" s="278"/>
      <c r="AA862" s="277"/>
      <c r="AB862" s="278"/>
      <c r="AC862" s="277"/>
      <c r="AD862" s="278"/>
      <c r="AE862" s="277"/>
      <c r="AF862" s="278"/>
      <c r="AG862" s="277"/>
      <c r="AH862" s="278"/>
      <c r="AI862" s="277"/>
      <c r="AJ862" s="278"/>
      <c r="AK862" s="277"/>
      <c r="AL862" s="278"/>
      <c r="AM862" s="277"/>
      <c r="AN862" s="278"/>
      <c r="AO862" s="278"/>
      <c r="AP862" s="278"/>
      <c r="AQ862" s="278"/>
      <c r="AR862" s="278"/>
      <c r="AS862" s="278"/>
    </row>
    <row r="863" spans="1:45">
      <c r="A863" s="277"/>
      <c r="B863" s="298" t="b">
        <v>0</v>
      </c>
      <c r="C863" s="278"/>
      <c r="D863" s="299" t="b">
        <v>0</v>
      </c>
      <c r="E863" s="277"/>
      <c r="F863" s="298" t="b">
        <v>0</v>
      </c>
      <c r="G863" s="278"/>
      <c r="H863" s="299" t="b">
        <v>0</v>
      </c>
      <c r="I863" s="277"/>
      <c r="J863" s="278"/>
      <c r="K863" s="277"/>
      <c r="L863" s="278"/>
      <c r="M863" s="277"/>
      <c r="N863" s="278"/>
      <c r="O863" s="277"/>
      <c r="P863" s="278"/>
      <c r="Q863" s="277"/>
      <c r="R863" s="278"/>
      <c r="S863" s="277"/>
      <c r="T863" s="278"/>
      <c r="U863" s="277"/>
      <c r="V863" s="278"/>
      <c r="W863" s="277"/>
      <c r="X863" s="278"/>
      <c r="Y863" s="277"/>
      <c r="Z863" s="278"/>
      <c r="AA863" s="277"/>
      <c r="AB863" s="278"/>
      <c r="AC863" s="277"/>
      <c r="AD863" s="278"/>
      <c r="AE863" s="277"/>
      <c r="AF863" s="278"/>
      <c r="AG863" s="277"/>
      <c r="AH863" s="278"/>
      <c r="AI863" s="277"/>
      <c r="AJ863" s="278"/>
      <c r="AK863" s="277"/>
      <c r="AL863" s="278"/>
      <c r="AM863" s="277"/>
      <c r="AN863" s="278"/>
      <c r="AO863" s="278"/>
      <c r="AP863" s="278"/>
      <c r="AQ863" s="278"/>
      <c r="AR863" s="278"/>
      <c r="AS863" s="278"/>
    </row>
    <row r="864" spans="1:45">
      <c r="A864" s="277"/>
      <c r="B864" s="298" t="b">
        <v>0</v>
      </c>
      <c r="C864" s="278"/>
      <c r="D864" s="299" t="b">
        <v>0</v>
      </c>
      <c r="E864" s="277"/>
      <c r="F864" s="298" t="b">
        <v>0</v>
      </c>
      <c r="G864" s="278"/>
      <c r="H864" s="299" t="b">
        <v>0</v>
      </c>
      <c r="I864" s="277"/>
      <c r="J864" s="278"/>
      <c r="K864" s="277"/>
      <c r="L864" s="278"/>
      <c r="M864" s="277"/>
      <c r="N864" s="278"/>
      <c r="O864" s="277"/>
      <c r="P864" s="278"/>
      <c r="Q864" s="277"/>
      <c r="R864" s="278"/>
      <c r="S864" s="277"/>
      <c r="T864" s="278"/>
      <c r="U864" s="277"/>
      <c r="V864" s="278"/>
      <c r="W864" s="277"/>
      <c r="X864" s="278"/>
      <c r="Y864" s="277"/>
      <c r="Z864" s="278"/>
      <c r="AA864" s="277"/>
      <c r="AB864" s="278"/>
      <c r="AC864" s="277"/>
      <c r="AD864" s="278"/>
      <c r="AE864" s="277"/>
      <c r="AF864" s="278"/>
      <c r="AG864" s="277"/>
      <c r="AH864" s="278"/>
      <c r="AI864" s="277"/>
      <c r="AJ864" s="278"/>
      <c r="AK864" s="277"/>
      <c r="AL864" s="278"/>
      <c r="AM864" s="277"/>
      <c r="AN864" s="278"/>
      <c r="AO864" s="278"/>
      <c r="AP864" s="278"/>
      <c r="AQ864" s="278"/>
      <c r="AR864" s="278"/>
      <c r="AS864" s="278"/>
    </row>
    <row r="865" spans="1:45">
      <c r="A865" s="277"/>
      <c r="B865" s="298" t="b">
        <v>0</v>
      </c>
      <c r="C865" s="278"/>
      <c r="D865" s="299" t="b">
        <v>0</v>
      </c>
      <c r="E865" s="277"/>
      <c r="F865" s="298" t="b">
        <v>0</v>
      </c>
      <c r="G865" s="278"/>
      <c r="H865" s="299" t="b">
        <v>0</v>
      </c>
      <c r="I865" s="277"/>
      <c r="J865" s="278"/>
      <c r="K865" s="277"/>
      <c r="L865" s="278"/>
      <c r="M865" s="277"/>
      <c r="N865" s="278"/>
      <c r="O865" s="277"/>
      <c r="P865" s="278"/>
      <c r="Q865" s="277"/>
      <c r="R865" s="278"/>
      <c r="S865" s="277"/>
      <c r="T865" s="278"/>
      <c r="U865" s="277"/>
      <c r="V865" s="278"/>
      <c r="W865" s="277"/>
      <c r="X865" s="278"/>
      <c r="Y865" s="277"/>
      <c r="Z865" s="278"/>
      <c r="AA865" s="277"/>
      <c r="AB865" s="278"/>
      <c r="AC865" s="277"/>
      <c r="AD865" s="278"/>
      <c r="AE865" s="277"/>
      <c r="AF865" s="278"/>
      <c r="AG865" s="277"/>
      <c r="AH865" s="278"/>
      <c r="AI865" s="277"/>
      <c r="AJ865" s="278"/>
      <c r="AK865" s="277"/>
      <c r="AL865" s="278"/>
      <c r="AM865" s="277"/>
      <c r="AN865" s="278"/>
      <c r="AO865" s="278"/>
      <c r="AP865" s="278"/>
      <c r="AQ865" s="278"/>
      <c r="AR865" s="278"/>
      <c r="AS865" s="278"/>
    </row>
    <row r="866" spans="1:45">
      <c r="A866" s="277"/>
      <c r="B866" s="298" t="b">
        <v>0</v>
      </c>
      <c r="C866" s="278"/>
      <c r="D866" s="299" t="b">
        <v>0</v>
      </c>
      <c r="E866" s="277"/>
      <c r="F866" s="298" t="b">
        <v>0</v>
      </c>
      <c r="G866" s="278"/>
      <c r="H866" s="299" t="b">
        <v>0</v>
      </c>
      <c r="I866" s="277"/>
      <c r="J866" s="278"/>
      <c r="K866" s="277"/>
      <c r="L866" s="278"/>
      <c r="M866" s="277"/>
      <c r="N866" s="278"/>
      <c r="O866" s="277"/>
      <c r="P866" s="278"/>
      <c r="Q866" s="277"/>
      <c r="R866" s="278"/>
      <c r="S866" s="277"/>
      <c r="T866" s="278"/>
      <c r="U866" s="277"/>
      <c r="V866" s="278"/>
      <c r="W866" s="277"/>
      <c r="X866" s="278"/>
      <c r="Y866" s="277"/>
      <c r="Z866" s="278"/>
      <c r="AA866" s="277"/>
      <c r="AB866" s="278"/>
      <c r="AC866" s="277"/>
      <c r="AD866" s="278"/>
      <c r="AE866" s="277"/>
      <c r="AF866" s="278"/>
      <c r="AG866" s="277"/>
      <c r="AH866" s="278"/>
      <c r="AI866" s="277"/>
      <c r="AJ866" s="278"/>
      <c r="AK866" s="277"/>
      <c r="AL866" s="278"/>
      <c r="AM866" s="277"/>
      <c r="AN866" s="278"/>
      <c r="AO866" s="278"/>
      <c r="AP866" s="278"/>
      <c r="AQ866" s="278"/>
      <c r="AR866" s="278"/>
      <c r="AS866" s="278"/>
    </row>
    <row r="867" spans="1:45">
      <c r="A867" s="277"/>
      <c r="B867" s="298" t="b">
        <v>0</v>
      </c>
      <c r="C867" s="278"/>
      <c r="D867" s="299" t="b">
        <v>0</v>
      </c>
      <c r="E867" s="277"/>
      <c r="F867" s="298" t="b">
        <v>0</v>
      </c>
      <c r="G867" s="278"/>
      <c r="H867" s="299" t="b">
        <v>0</v>
      </c>
      <c r="I867" s="277"/>
      <c r="J867" s="278"/>
      <c r="K867" s="277"/>
      <c r="L867" s="278"/>
      <c r="M867" s="277"/>
      <c r="N867" s="278"/>
      <c r="O867" s="277"/>
      <c r="P867" s="278"/>
      <c r="Q867" s="277"/>
      <c r="R867" s="278"/>
      <c r="S867" s="277"/>
      <c r="T867" s="278"/>
      <c r="U867" s="277"/>
      <c r="V867" s="278"/>
      <c r="W867" s="277"/>
      <c r="X867" s="278"/>
      <c r="Y867" s="277"/>
      <c r="Z867" s="278"/>
      <c r="AA867" s="277"/>
      <c r="AB867" s="278"/>
      <c r="AC867" s="277"/>
      <c r="AD867" s="278"/>
      <c r="AE867" s="277"/>
      <c r="AF867" s="278"/>
      <c r="AG867" s="277"/>
      <c r="AH867" s="278"/>
      <c r="AI867" s="277"/>
      <c r="AJ867" s="278"/>
      <c r="AK867" s="277"/>
      <c r="AL867" s="278"/>
      <c r="AM867" s="277"/>
      <c r="AN867" s="278"/>
      <c r="AO867" s="278"/>
      <c r="AP867" s="278"/>
      <c r="AQ867" s="278"/>
      <c r="AR867" s="278"/>
      <c r="AS867" s="278"/>
    </row>
    <row r="868" spans="1:45">
      <c r="A868" s="277"/>
      <c r="B868" s="298" t="b">
        <v>0</v>
      </c>
      <c r="C868" s="278"/>
      <c r="D868" s="299" t="b">
        <v>0</v>
      </c>
      <c r="E868" s="277"/>
      <c r="F868" s="298" t="b">
        <v>0</v>
      </c>
      <c r="G868" s="278"/>
      <c r="H868" s="299" t="b">
        <v>0</v>
      </c>
      <c r="I868" s="277"/>
      <c r="J868" s="278"/>
      <c r="K868" s="277"/>
      <c r="L868" s="278"/>
      <c r="M868" s="277"/>
      <c r="N868" s="278"/>
      <c r="O868" s="277"/>
      <c r="P868" s="278"/>
      <c r="Q868" s="277"/>
      <c r="R868" s="278"/>
      <c r="S868" s="277"/>
      <c r="T868" s="278"/>
      <c r="U868" s="277"/>
      <c r="V868" s="278"/>
      <c r="W868" s="277"/>
      <c r="X868" s="278"/>
      <c r="Y868" s="277"/>
      <c r="Z868" s="278"/>
      <c r="AA868" s="277"/>
      <c r="AB868" s="278"/>
      <c r="AC868" s="277"/>
      <c r="AD868" s="278"/>
      <c r="AE868" s="277"/>
      <c r="AF868" s="278"/>
      <c r="AG868" s="277"/>
      <c r="AH868" s="278"/>
      <c r="AI868" s="277"/>
      <c r="AJ868" s="278"/>
      <c r="AK868" s="277"/>
      <c r="AL868" s="278"/>
      <c r="AM868" s="277"/>
      <c r="AN868" s="278"/>
      <c r="AO868" s="278"/>
      <c r="AP868" s="278"/>
      <c r="AQ868" s="278"/>
      <c r="AR868" s="278"/>
      <c r="AS868" s="278"/>
    </row>
    <row r="869" spans="1:45">
      <c r="A869" s="277"/>
      <c r="B869" s="298" t="b">
        <v>0</v>
      </c>
      <c r="C869" s="278"/>
      <c r="D869" s="299" t="b">
        <v>0</v>
      </c>
      <c r="E869" s="277"/>
      <c r="F869" s="298" t="b">
        <v>0</v>
      </c>
      <c r="G869" s="278"/>
      <c r="H869" s="299" t="b">
        <v>0</v>
      </c>
      <c r="I869" s="277"/>
      <c r="J869" s="278"/>
      <c r="K869" s="277"/>
      <c r="L869" s="278"/>
      <c r="M869" s="277"/>
      <c r="N869" s="278"/>
      <c r="O869" s="277"/>
      <c r="P869" s="278"/>
      <c r="Q869" s="277"/>
      <c r="R869" s="278"/>
      <c r="S869" s="277"/>
      <c r="T869" s="278"/>
      <c r="U869" s="277"/>
      <c r="V869" s="278"/>
      <c r="W869" s="277"/>
      <c r="X869" s="278"/>
      <c r="Y869" s="277"/>
      <c r="Z869" s="278"/>
      <c r="AA869" s="277"/>
      <c r="AB869" s="278"/>
      <c r="AC869" s="277"/>
      <c r="AD869" s="278"/>
      <c r="AE869" s="277"/>
      <c r="AF869" s="278"/>
      <c r="AG869" s="277"/>
      <c r="AH869" s="278"/>
      <c r="AI869" s="277"/>
      <c r="AJ869" s="278"/>
      <c r="AK869" s="277"/>
      <c r="AL869" s="278"/>
      <c r="AM869" s="277"/>
      <c r="AN869" s="278"/>
      <c r="AO869" s="278"/>
      <c r="AP869" s="278"/>
      <c r="AQ869" s="278"/>
      <c r="AR869" s="278"/>
      <c r="AS869" s="278"/>
    </row>
    <row r="870" spans="1:45">
      <c r="A870" s="277"/>
      <c r="B870" s="298" t="b">
        <v>0</v>
      </c>
      <c r="C870" s="278"/>
      <c r="D870" s="299" t="b">
        <v>0</v>
      </c>
      <c r="E870" s="277"/>
      <c r="F870" s="298" t="b">
        <v>0</v>
      </c>
      <c r="G870" s="278"/>
      <c r="H870" s="299" t="b">
        <v>0</v>
      </c>
      <c r="I870" s="277"/>
      <c r="J870" s="278"/>
      <c r="K870" s="277"/>
      <c r="L870" s="278"/>
      <c r="M870" s="277"/>
      <c r="N870" s="278"/>
      <c r="O870" s="277"/>
      <c r="P870" s="278"/>
      <c r="Q870" s="277"/>
      <c r="R870" s="278"/>
      <c r="S870" s="277"/>
      <c r="T870" s="278"/>
      <c r="U870" s="277"/>
      <c r="V870" s="278"/>
      <c r="W870" s="277"/>
      <c r="X870" s="278"/>
      <c r="Y870" s="277"/>
      <c r="Z870" s="278"/>
      <c r="AA870" s="277"/>
      <c r="AB870" s="278"/>
      <c r="AC870" s="277"/>
      <c r="AD870" s="278"/>
      <c r="AE870" s="277"/>
      <c r="AF870" s="278"/>
      <c r="AG870" s="277"/>
      <c r="AH870" s="278"/>
      <c r="AI870" s="277"/>
      <c r="AJ870" s="278"/>
      <c r="AK870" s="277"/>
      <c r="AL870" s="278"/>
      <c r="AM870" s="277"/>
      <c r="AN870" s="278"/>
      <c r="AO870" s="278"/>
      <c r="AP870" s="278"/>
      <c r="AQ870" s="278"/>
      <c r="AR870" s="278"/>
      <c r="AS870" s="278"/>
    </row>
    <row r="871" spans="1:45">
      <c r="A871" s="277"/>
      <c r="B871" s="298" t="b">
        <v>0</v>
      </c>
      <c r="C871" s="278"/>
      <c r="D871" s="299" t="b">
        <v>0</v>
      </c>
      <c r="E871" s="277"/>
      <c r="F871" s="298" t="b">
        <v>0</v>
      </c>
      <c r="G871" s="278"/>
      <c r="H871" s="299" t="b">
        <v>0</v>
      </c>
      <c r="I871" s="277"/>
      <c r="J871" s="278"/>
      <c r="K871" s="277"/>
      <c r="L871" s="278"/>
      <c r="M871" s="277"/>
      <c r="N871" s="278"/>
      <c r="O871" s="277"/>
      <c r="P871" s="278"/>
      <c r="Q871" s="277"/>
      <c r="R871" s="278"/>
      <c r="S871" s="277"/>
      <c r="T871" s="278"/>
      <c r="U871" s="277"/>
      <c r="V871" s="278"/>
      <c r="W871" s="277"/>
      <c r="X871" s="278"/>
      <c r="Y871" s="277"/>
      <c r="Z871" s="278"/>
      <c r="AA871" s="277"/>
      <c r="AB871" s="278"/>
      <c r="AC871" s="277"/>
      <c r="AD871" s="278"/>
      <c r="AE871" s="277"/>
      <c r="AF871" s="278"/>
      <c r="AG871" s="277"/>
      <c r="AH871" s="278"/>
      <c r="AI871" s="277"/>
      <c r="AJ871" s="278"/>
      <c r="AK871" s="277"/>
      <c r="AL871" s="278"/>
      <c r="AM871" s="277"/>
      <c r="AN871" s="278"/>
      <c r="AO871" s="278"/>
      <c r="AP871" s="278"/>
      <c r="AQ871" s="278"/>
      <c r="AR871" s="278"/>
      <c r="AS871" s="278"/>
    </row>
    <row r="872" spans="1:45">
      <c r="A872" s="277"/>
      <c r="B872" s="298" t="b">
        <v>0</v>
      </c>
      <c r="C872" s="278"/>
      <c r="D872" s="299" t="b">
        <v>0</v>
      </c>
      <c r="E872" s="277"/>
      <c r="F872" s="298" t="b">
        <v>0</v>
      </c>
      <c r="G872" s="278"/>
      <c r="H872" s="299" t="b">
        <v>0</v>
      </c>
      <c r="I872" s="277"/>
      <c r="J872" s="278"/>
      <c r="K872" s="277"/>
      <c r="L872" s="278"/>
      <c r="M872" s="277"/>
      <c r="N872" s="278"/>
      <c r="O872" s="277"/>
      <c r="P872" s="278"/>
      <c r="Q872" s="277"/>
      <c r="R872" s="278"/>
      <c r="S872" s="277"/>
      <c r="T872" s="278"/>
      <c r="U872" s="277"/>
      <c r="V872" s="278"/>
      <c r="W872" s="277"/>
      <c r="X872" s="278"/>
      <c r="Y872" s="277"/>
      <c r="Z872" s="278"/>
      <c r="AA872" s="277"/>
      <c r="AB872" s="278"/>
      <c r="AC872" s="277"/>
      <c r="AD872" s="278"/>
      <c r="AE872" s="277"/>
      <c r="AF872" s="278"/>
      <c r="AG872" s="277"/>
      <c r="AH872" s="278"/>
      <c r="AI872" s="277"/>
      <c r="AJ872" s="278"/>
      <c r="AK872" s="277"/>
      <c r="AL872" s="278"/>
      <c r="AM872" s="277"/>
      <c r="AN872" s="278"/>
      <c r="AO872" s="278"/>
      <c r="AP872" s="278"/>
      <c r="AQ872" s="278"/>
      <c r="AR872" s="278"/>
      <c r="AS872" s="278"/>
    </row>
    <row r="873" spans="1:45">
      <c r="A873" s="277"/>
      <c r="B873" s="298" t="b">
        <v>0</v>
      </c>
      <c r="C873" s="278"/>
      <c r="D873" s="299" t="b">
        <v>0</v>
      </c>
      <c r="E873" s="277"/>
      <c r="F873" s="298" t="b">
        <v>0</v>
      </c>
      <c r="G873" s="278"/>
      <c r="H873" s="299" t="b">
        <v>0</v>
      </c>
      <c r="I873" s="277"/>
      <c r="J873" s="278"/>
      <c r="K873" s="277"/>
      <c r="L873" s="278"/>
      <c r="M873" s="277"/>
      <c r="N873" s="278"/>
      <c r="O873" s="277"/>
      <c r="P873" s="278"/>
      <c r="Q873" s="277"/>
      <c r="R873" s="278"/>
      <c r="S873" s="277"/>
      <c r="T873" s="278"/>
      <c r="U873" s="277"/>
      <c r="V873" s="278"/>
      <c r="W873" s="277"/>
      <c r="X873" s="278"/>
      <c r="Y873" s="277"/>
      <c r="Z873" s="278"/>
      <c r="AA873" s="277"/>
      <c r="AB873" s="278"/>
      <c r="AC873" s="277"/>
      <c r="AD873" s="278"/>
      <c r="AE873" s="277"/>
      <c r="AF873" s="278"/>
      <c r="AG873" s="277"/>
      <c r="AH873" s="278"/>
      <c r="AI873" s="277"/>
      <c r="AJ873" s="278"/>
      <c r="AK873" s="277"/>
      <c r="AL873" s="278"/>
      <c r="AM873" s="277"/>
      <c r="AN873" s="278"/>
      <c r="AO873" s="278"/>
      <c r="AP873" s="278"/>
      <c r="AQ873" s="278"/>
      <c r="AR873" s="278"/>
      <c r="AS873" s="278"/>
    </row>
    <row r="874" spans="1:45">
      <c r="A874" s="277"/>
      <c r="B874" s="298" t="b">
        <v>0</v>
      </c>
      <c r="C874" s="278"/>
      <c r="D874" s="299" t="b">
        <v>0</v>
      </c>
      <c r="E874" s="277"/>
      <c r="F874" s="298" t="b">
        <v>0</v>
      </c>
      <c r="G874" s="278"/>
      <c r="H874" s="299" t="b">
        <v>0</v>
      </c>
      <c r="I874" s="277"/>
      <c r="J874" s="278"/>
      <c r="K874" s="277"/>
      <c r="L874" s="278"/>
      <c r="M874" s="277"/>
      <c r="N874" s="278"/>
      <c r="O874" s="277"/>
      <c r="P874" s="278"/>
      <c r="Q874" s="277"/>
      <c r="R874" s="278"/>
      <c r="S874" s="277"/>
      <c r="T874" s="278"/>
      <c r="U874" s="277"/>
      <c r="V874" s="278"/>
      <c r="W874" s="277"/>
      <c r="X874" s="278"/>
      <c r="Y874" s="277"/>
      <c r="Z874" s="278"/>
      <c r="AA874" s="277"/>
      <c r="AB874" s="278"/>
      <c r="AC874" s="277"/>
      <c r="AD874" s="278"/>
      <c r="AE874" s="277"/>
      <c r="AF874" s="278"/>
      <c r="AG874" s="277"/>
      <c r="AH874" s="278"/>
      <c r="AI874" s="277"/>
      <c r="AJ874" s="278"/>
      <c r="AK874" s="277"/>
      <c r="AL874" s="278"/>
      <c r="AM874" s="277"/>
      <c r="AN874" s="278"/>
      <c r="AO874" s="278"/>
      <c r="AP874" s="278"/>
      <c r="AQ874" s="278"/>
      <c r="AR874" s="278"/>
      <c r="AS874" s="278"/>
    </row>
    <row r="875" spans="1:45">
      <c r="A875" s="277"/>
      <c r="B875" s="298" t="b">
        <v>0</v>
      </c>
      <c r="C875" s="278"/>
      <c r="D875" s="299" t="b">
        <v>0</v>
      </c>
      <c r="E875" s="277"/>
      <c r="F875" s="298" t="b">
        <v>0</v>
      </c>
      <c r="G875" s="278"/>
      <c r="H875" s="299" t="b">
        <v>0</v>
      </c>
      <c r="I875" s="277"/>
      <c r="J875" s="278"/>
      <c r="K875" s="277"/>
      <c r="L875" s="278"/>
      <c r="M875" s="277"/>
      <c r="N875" s="278"/>
      <c r="O875" s="277"/>
      <c r="P875" s="278"/>
      <c r="Q875" s="277"/>
      <c r="R875" s="278"/>
      <c r="S875" s="277"/>
      <c r="T875" s="278"/>
      <c r="U875" s="277"/>
      <c r="V875" s="278"/>
      <c r="W875" s="277"/>
      <c r="X875" s="278"/>
      <c r="Y875" s="277"/>
      <c r="Z875" s="278"/>
      <c r="AA875" s="277"/>
      <c r="AB875" s="278"/>
      <c r="AC875" s="277"/>
      <c r="AD875" s="278"/>
      <c r="AE875" s="277"/>
      <c r="AF875" s="278"/>
      <c r="AG875" s="277"/>
      <c r="AH875" s="278"/>
      <c r="AI875" s="277"/>
      <c r="AJ875" s="278"/>
      <c r="AK875" s="277"/>
      <c r="AL875" s="278"/>
      <c r="AM875" s="277"/>
      <c r="AN875" s="278"/>
      <c r="AO875" s="278"/>
      <c r="AP875" s="278"/>
      <c r="AQ875" s="278"/>
      <c r="AR875" s="278"/>
      <c r="AS875" s="278"/>
    </row>
    <row r="876" spans="1:45">
      <c r="A876" s="277"/>
      <c r="B876" s="298" t="b">
        <v>0</v>
      </c>
      <c r="C876" s="278"/>
      <c r="D876" s="299" t="b">
        <v>0</v>
      </c>
      <c r="E876" s="277"/>
      <c r="F876" s="298" t="b">
        <v>0</v>
      </c>
      <c r="G876" s="278"/>
      <c r="H876" s="299" t="b">
        <v>0</v>
      </c>
      <c r="I876" s="277"/>
      <c r="J876" s="278"/>
      <c r="K876" s="277"/>
      <c r="L876" s="278"/>
      <c r="M876" s="277"/>
      <c r="N876" s="278"/>
      <c r="O876" s="277"/>
      <c r="P876" s="278"/>
      <c r="Q876" s="277"/>
      <c r="R876" s="278"/>
      <c r="S876" s="277"/>
      <c r="T876" s="278"/>
      <c r="U876" s="277"/>
      <c r="V876" s="278"/>
      <c r="W876" s="277"/>
      <c r="X876" s="278"/>
      <c r="Y876" s="277"/>
      <c r="Z876" s="278"/>
      <c r="AA876" s="277"/>
      <c r="AB876" s="278"/>
      <c r="AC876" s="277"/>
      <c r="AD876" s="278"/>
      <c r="AE876" s="277"/>
      <c r="AF876" s="278"/>
      <c r="AG876" s="277"/>
      <c r="AH876" s="278"/>
      <c r="AI876" s="277"/>
      <c r="AJ876" s="278"/>
      <c r="AK876" s="277"/>
      <c r="AL876" s="278"/>
      <c r="AM876" s="277"/>
      <c r="AN876" s="278"/>
      <c r="AO876" s="278"/>
      <c r="AP876" s="278"/>
      <c r="AQ876" s="278"/>
      <c r="AR876" s="278"/>
      <c r="AS876" s="278"/>
    </row>
    <row r="877" spans="1:45">
      <c r="A877" s="277"/>
      <c r="B877" s="298" t="b">
        <v>0</v>
      </c>
      <c r="C877" s="278"/>
      <c r="D877" s="299" t="b">
        <v>0</v>
      </c>
      <c r="E877" s="277"/>
      <c r="F877" s="298" t="b">
        <v>0</v>
      </c>
      <c r="G877" s="278"/>
      <c r="H877" s="299" t="b">
        <v>0</v>
      </c>
      <c r="I877" s="277"/>
      <c r="J877" s="278"/>
      <c r="K877" s="277"/>
      <c r="L877" s="278"/>
      <c r="M877" s="277"/>
      <c r="N877" s="278"/>
      <c r="O877" s="277"/>
      <c r="P877" s="278"/>
      <c r="Q877" s="277"/>
      <c r="R877" s="278"/>
      <c r="S877" s="277"/>
      <c r="T877" s="278"/>
      <c r="U877" s="277"/>
      <c r="V877" s="278"/>
      <c r="W877" s="277"/>
      <c r="X877" s="278"/>
      <c r="Y877" s="277"/>
      <c r="Z877" s="278"/>
      <c r="AA877" s="277"/>
      <c r="AB877" s="278"/>
      <c r="AC877" s="277"/>
      <c r="AD877" s="278"/>
      <c r="AE877" s="277"/>
      <c r="AF877" s="278"/>
      <c r="AG877" s="277"/>
      <c r="AH877" s="278"/>
      <c r="AI877" s="277"/>
      <c r="AJ877" s="278"/>
      <c r="AK877" s="277"/>
      <c r="AL877" s="278"/>
      <c r="AM877" s="277"/>
      <c r="AN877" s="278"/>
      <c r="AO877" s="278"/>
      <c r="AP877" s="278"/>
      <c r="AQ877" s="278"/>
      <c r="AR877" s="278"/>
      <c r="AS877" s="278"/>
    </row>
    <row r="878" spans="1:45">
      <c r="A878" s="277"/>
      <c r="B878" s="298" t="b">
        <v>0</v>
      </c>
      <c r="C878" s="278"/>
      <c r="D878" s="299" t="b">
        <v>0</v>
      </c>
      <c r="E878" s="277"/>
      <c r="F878" s="298" t="b">
        <v>0</v>
      </c>
      <c r="G878" s="278"/>
      <c r="H878" s="299" t="b">
        <v>0</v>
      </c>
      <c r="I878" s="277"/>
      <c r="J878" s="278"/>
      <c r="K878" s="277"/>
      <c r="L878" s="278"/>
      <c r="M878" s="277"/>
      <c r="N878" s="278"/>
      <c r="O878" s="277"/>
      <c r="P878" s="278"/>
      <c r="Q878" s="277"/>
      <c r="R878" s="278"/>
      <c r="S878" s="277"/>
      <c r="T878" s="278"/>
      <c r="U878" s="277"/>
      <c r="V878" s="278"/>
      <c r="W878" s="277"/>
      <c r="X878" s="278"/>
      <c r="Y878" s="277"/>
      <c r="Z878" s="278"/>
      <c r="AA878" s="277"/>
      <c r="AB878" s="278"/>
      <c r="AC878" s="277"/>
      <c r="AD878" s="278"/>
      <c r="AE878" s="277"/>
      <c r="AF878" s="278"/>
      <c r="AG878" s="277"/>
      <c r="AH878" s="278"/>
      <c r="AI878" s="277"/>
      <c r="AJ878" s="278"/>
      <c r="AK878" s="277"/>
      <c r="AL878" s="278"/>
      <c r="AM878" s="277"/>
      <c r="AN878" s="278"/>
      <c r="AO878" s="278"/>
      <c r="AP878" s="278"/>
      <c r="AQ878" s="278"/>
      <c r="AR878" s="278"/>
      <c r="AS878" s="278"/>
    </row>
    <row r="879" spans="1:45">
      <c r="A879" s="277"/>
      <c r="B879" s="298" t="b">
        <v>0</v>
      </c>
      <c r="C879" s="278"/>
      <c r="D879" s="299" t="b">
        <v>0</v>
      </c>
      <c r="E879" s="277"/>
      <c r="F879" s="298" t="b">
        <v>0</v>
      </c>
      <c r="G879" s="278"/>
      <c r="H879" s="299" t="b">
        <v>0</v>
      </c>
      <c r="I879" s="277"/>
      <c r="J879" s="278"/>
      <c r="K879" s="277"/>
      <c r="L879" s="278"/>
      <c r="M879" s="277"/>
      <c r="N879" s="278"/>
      <c r="O879" s="277"/>
      <c r="P879" s="278"/>
      <c r="Q879" s="277"/>
      <c r="R879" s="278"/>
      <c r="S879" s="277"/>
      <c r="T879" s="278"/>
      <c r="U879" s="277"/>
      <c r="V879" s="278"/>
      <c r="W879" s="277"/>
      <c r="X879" s="278"/>
      <c r="Y879" s="277"/>
      <c r="Z879" s="278"/>
      <c r="AA879" s="277"/>
      <c r="AB879" s="278"/>
      <c r="AC879" s="277"/>
      <c r="AD879" s="278"/>
      <c r="AE879" s="277"/>
      <c r="AF879" s="278"/>
      <c r="AG879" s="277"/>
      <c r="AH879" s="278"/>
      <c r="AI879" s="277"/>
      <c r="AJ879" s="278"/>
      <c r="AK879" s="277"/>
      <c r="AL879" s="278"/>
      <c r="AM879" s="277"/>
      <c r="AN879" s="278"/>
      <c r="AO879" s="278"/>
      <c r="AP879" s="278"/>
      <c r="AQ879" s="278"/>
      <c r="AR879" s="278"/>
      <c r="AS879" s="278"/>
    </row>
    <row r="880" spans="1:45">
      <c r="A880" s="277"/>
      <c r="B880" s="298" t="b">
        <v>0</v>
      </c>
      <c r="C880" s="278"/>
      <c r="D880" s="299" t="b">
        <v>0</v>
      </c>
      <c r="E880" s="277"/>
      <c r="F880" s="298" t="b">
        <v>0</v>
      </c>
      <c r="G880" s="278"/>
      <c r="H880" s="299" t="b">
        <v>0</v>
      </c>
      <c r="I880" s="277"/>
      <c r="J880" s="278"/>
      <c r="K880" s="277"/>
      <c r="L880" s="278"/>
      <c r="M880" s="277"/>
      <c r="N880" s="278"/>
      <c r="O880" s="277"/>
      <c r="P880" s="278"/>
      <c r="Q880" s="277"/>
      <c r="R880" s="278"/>
      <c r="S880" s="277"/>
      <c r="T880" s="278"/>
      <c r="U880" s="277"/>
      <c r="V880" s="278"/>
      <c r="W880" s="277"/>
      <c r="X880" s="278"/>
      <c r="Y880" s="277"/>
      <c r="Z880" s="278"/>
      <c r="AA880" s="277"/>
      <c r="AB880" s="278"/>
      <c r="AC880" s="277"/>
      <c r="AD880" s="278"/>
      <c r="AE880" s="277"/>
      <c r="AF880" s="278"/>
      <c r="AG880" s="277"/>
      <c r="AH880" s="278"/>
      <c r="AI880" s="277"/>
      <c r="AJ880" s="278"/>
      <c r="AK880" s="277"/>
      <c r="AL880" s="278"/>
      <c r="AM880" s="277"/>
      <c r="AN880" s="278"/>
      <c r="AO880" s="278"/>
      <c r="AP880" s="278"/>
      <c r="AQ880" s="278"/>
      <c r="AR880" s="278"/>
      <c r="AS880" s="278"/>
    </row>
    <row r="881" spans="1:45">
      <c r="A881" s="277"/>
      <c r="B881" s="298" t="b">
        <v>0</v>
      </c>
      <c r="C881" s="278"/>
      <c r="D881" s="299" t="b">
        <v>0</v>
      </c>
      <c r="E881" s="277"/>
      <c r="F881" s="298" t="b">
        <v>0</v>
      </c>
      <c r="G881" s="278"/>
      <c r="H881" s="299" t="b">
        <v>0</v>
      </c>
      <c r="I881" s="277"/>
      <c r="J881" s="278"/>
      <c r="K881" s="277"/>
      <c r="L881" s="278"/>
      <c r="M881" s="277"/>
      <c r="N881" s="278"/>
      <c r="O881" s="277"/>
      <c r="P881" s="278"/>
      <c r="Q881" s="277"/>
      <c r="R881" s="278"/>
      <c r="S881" s="277"/>
      <c r="T881" s="278"/>
      <c r="U881" s="277"/>
      <c r="V881" s="278"/>
      <c r="W881" s="277"/>
      <c r="X881" s="278"/>
      <c r="Y881" s="277"/>
      <c r="Z881" s="278"/>
      <c r="AA881" s="277"/>
      <c r="AB881" s="278"/>
      <c r="AC881" s="277"/>
      <c r="AD881" s="278"/>
      <c r="AE881" s="277"/>
      <c r="AF881" s="278"/>
      <c r="AG881" s="277"/>
      <c r="AH881" s="278"/>
      <c r="AI881" s="277"/>
      <c r="AJ881" s="278"/>
      <c r="AK881" s="277"/>
      <c r="AL881" s="278"/>
      <c r="AM881" s="277"/>
      <c r="AN881" s="278"/>
      <c r="AO881" s="278"/>
      <c r="AP881" s="278"/>
      <c r="AQ881" s="278"/>
      <c r="AR881" s="278"/>
      <c r="AS881" s="278"/>
    </row>
    <row r="882" spans="1:45">
      <c r="A882" s="277"/>
      <c r="B882" s="298" t="b">
        <v>0</v>
      </c>
      <c r="C882" s="278"/>
      <c r="D882" s="299" t="b">
        <v>0</v>
      </c>
      <c r="E882" s="277"/>
      <c r="F882" s="298" t="b">
        <v>0</v>
      </c>
      <c r="G882" s="278"/>
      <c r="H882" s="299" t="b">
        <v>0</v>
      </c>
      <c r="I882" s="277"/>
      <c r="J882" s="278"/>
      <c r="K882" s="277"/>
      <c r="L882" s="278"/>
      <c r="M882" s="277"/>
      <c r="N882" s="278"/>
      <c r="O882" s="277"/>
      <c r="P882" s="278"/>
      <c r="Q882" s="277"/>
      <c r="R882" s="278"/>
      <c r="S882" s="277"/>
      <c r="T882" s="278"/>
      <c r="U882" s="277"/>
      <c r="V882" s="278"/>
      <c r="W882" s="277"/>
      <c r="X882" s="278"/>
      <c r="Y882" s="277"/>
      <c r="Z882" s="278"/>
      <c r="AA882" s="277"/>
      <c r="AB882" s="278"/>
      <c r="AC882" s="277"/>
      <c r="AD882" s="278"/>
      <c r="AE882" s="277"/>
      <c r="AF882" s="278"/>
      <c r="AG882" s="277"/>
      <c r="AH882" s="278"/>
      <c r="AI882" s="277"/>
      <c r="AJ882" s="278"/>
      <c r="AK882" s="277"/>
      <c r="AL882" s="278"/>
      <c r="AM882" s="277"/>
      <c r="AN882" s="278"/>
      <c r="AO882" s="278"/>
      <c r="AP882" s="278"/>
      <c r="AQ882" s="278"/>
      <c r="AR882" s="278"/>
      <c r="AS882" s="278"/>
    </row>
    <row r="883" spans="1:45">
      <c r="A883" s="277"/>
      <c r="B883" s="298" t="b">
        <v>0</v>
      </c>
      <c r="C883" s="278"/>
      <c r="D883" s="299" t="b">
        <v>0</v>
      </c>
      <c r="E883" s="277"/>
      <c r="F883" s="298" t="b">
        <v>0</v>
      </c>
      <c r="G883" s="278"/>
      <c r="H883" s="299" t="b">
        <v>0</v>
      </c>
      <c r="I883" s="277"/>
      <c r="J883" s="278"/>
      <c r="K883" s="277"/>
      <c r="L883" s="278"/>
      <c r="M883" s="277"/>
      <c r="N883" s="278"/>
      <c r="O883" s="277"/>
      <c r="P883" s="278"/>
      <c r="Q883" s="277"/>
      <c r="R883" s="278"/>
      <c r="S883" s="277"/>
      <c r="T883" s="278"/>
      <c r="U883" s="277"/>
      <c r="V883" s="278"/>
      <c r="W883" s="277"/>
      <c r="X883" s="278"/>
      <c r="Y883" s="277"/>
      <c r="Z883" s="278"/>
      <c r="AA883" s="277"/>
      <c r="AB883" s="278"/>
      <c r="AC883" s="277"/>
      <c r="AD883" s="278"/>
      <c r="AE883" s="277"/>
      <c r="AF883" s="278"/>
      <c r="AG883" s="277"/>
      <c r="AH883" s="278"/>
      <c r="AI883" s="277"/>
      <c r="AJ883" s="278"/>
      <c r="AK883" s="277"/>
      <c r="AL883" s="278"/>
      <c r="AM883" s="277"/>
      <c r="AN883" s="278"/>
      <c r="AO883" s="278"/>
      <c r="AP883" s="278"/>
      <c r="AQ883" s="278"/>
      <c r="AR883" s="278"/>
      <c r="AS883" s="278"/>
    </row>
    <row r="884" spans="1:45">
      <c r="A884" s="277"/>
      <c r="B884" s="298" t="b">
        <v>0</v>
      </c>
      <c r="C884" s="278"/>
      <c r="D884" s="299" t="b">
        <v>0</v>
      </c>
      <c r="E884" s="277"/>
      <c r="F884" s="298" t="b">
        <v>0</v>
      </c>
      <c r="G884" s="278"/>
      <c r="H884" s="299" t="b">
        <v>0</v>
      </c>
      <c r="I884" s="277"/>
      <c r="J884" s="278"/>
      <c r="K884" s="277"/>
      <c r="L884" s="278"/>
      <c r="M884" s="277"/>
      <c r="N884" s="278"/>
      <c r="O884" s="277"/>
      <c r="P884" s="278"/>
      <c r="Q884" s="277"/>
      <c r="R884" s="278"/>
      <c r="S884" s="277"/>
      <c r="T884" s="278"/>
      <c r="U884" s="277"/>
      <c r="V884" s="278"/>
      <c r="W884" s="277"/>
      <c r="X884" s="278"/>
      <c r="Y884" s="277"/>
      <c r="Z884" s="278"/>
      <c r="AA884" s="277"/>
      <c r="AB884" s="278"/>
      <c r="AC884" s="277"/>
      <c r="AD884" s="278"/>
      <c r="AE884" s="277"/>
      <c r="AF884" s="278"/>
      <c r="AG884" s="277"/>
      <c r="AH884" s="278"/>
      <c r="AI884" s="277"/>
      <c r="AJ884" s="278"/>
      <c r="AK884" s="277"/>
      <c r="AL884" s="278"/>
      <c r="AM884" s="277"/>
      <c r="AN884" s="278"/>
      <c r="AO884" s="278"/>
      <c r="AP884" s="278"/>
      <c r="AQ884" s="278"/>
      <c r="AR884" s="278"/>
      <c r="AS884" s="278"/>
    </row>
    <row r="885" spans="1:45">
      <c r="A885" s="277"/>
      <c r="B885" s="298" t="b">
        <v>0</v>
      </c>
      <c r="C885" s="278"/>
      <c r="D885" s="299" t="b">
        <v>0</v>
      </c>
      <c r="E885" s="277"/>
      <c r="F885" s="298" t="b">
        <v>0</v>
      </c>
      <c r="G885" s="278"/>
      <c r="H885" s="299" t="b">
        <v>0</v>
      </c>
      <c r="I885" s="277"/>
      <c r="J885" s="278"/>
      <c r="K885" s="277"/>
      <c r="L885" s="278"/>
      <c r="M885" s="277"/>
      <c r="N885" s="278"/>
      <c r="O885" s="277"/>
      <c r="P885" s="278"/>
      <c r="Q885" s="277"/>
      <c r="R885" s="278"/>
      <c r="S885" s="277"/>
      <c r="T885" s="278"/>
      <c r="U885" s="277"/>
      <c r="V885" s="278"/>
      <c r="W885" s="277"/>
      <c r="X885" s="278"/>
      <c r="Y885" s="277"/>
      <c r="Z885" s="278"/>
      <c r="AA885" s="277"/>
      <c r="AB885" s="278"/>
      <c r="AC885" s="277"/>
      <c r="AD885" s="278"/>
      <c r="AE885" s="277"/>
      <c r="AF885" s="278"/>
      <c r="AG885" s="277"/>
      <c r="AH885" s="278"/>
      <c r="AI885" s="277"/>
      <c r="AJ885" s="278"/>
      <c r="AK885" s="277"/>
      <c r="AL885" s="278"/>
      <c r="AM885" s="277"/>
      <c r="AN885" s="278"/>
      <c r="AO885" s="278"/>
      <c r="AP885" s="278"/>
      <c r="AQ885" s="278"/>
      <c r="AR885" s="278"/>
      <c r="AS885" s="278"/>
    </row>
    <row r="886" spans="1:45">
      <c r="A886" s="277"/>
      <c r="B886" s="298" t="b">
        <v>0</v>
      </c>
      <c r="C886" s="278"/>
      <c r="D886" s="299" t="b">
        <v>0</v>
      </c>
      <c r="E886" s="277"/>
      <c r="F886" s="298" t="b">
        <v>0</v>
      </c>
      <c r="G886" s="278"/>
      <c r="H886" s="299" t="b">
        <v>0</v>
      </c>
      <c r="I886" s="277"/>
      <c r="J886" s="278"/>
      <c r="K886" s="277"/>
      <c r="L886" s="278"/>
      <c r="M886" s="277"/>
      <c r="N886" s="278"/>
      <c r="O886" s="277"/>
      <c r="P886" s="278"/>
      <c r="Q886" s="277"/>
      <c r="R886" s="278"/>
      <c r="S886" s="277"/>
      <c r="T886" s="278"/>
      <c r="U886" s="277"/>
      <c r="V886" s="278"/>
      <c r="W886" s="277"/>
      <c r="X886" s="278"/>
      <c r="Y886" s="277"/>
      <c r="Z886" s="278"/>
      <c r="AA886" s="277"/>
      <c r="AB886" s="278"/>
      <c r="AC886" s="277"/>
      <c r="AD886" s="278"/>
      <c r="AE886" s="277"/>
      <c r="AF886" s="278"/>
      <c r="AG886" s="277"/>
      <c r="AH886" s="278"/>
      <c r="AI886" s="277"/>
      <c r="AJ886" s="278"/>
      <c r="AK886" s="277"/>
      <c r="AL886" s="278"/>
      <c r="AM886" s="277"/>
      <c r="AN886" s="278"/>
      <c r="AO886" s="278"/>
      <c r="AP886" s="278"/>
      <c r="AQ886" s="278"/>
      <c r="AR886" s="278"/>
      <c r="AS886" s="278"/>
    </row>
    <row r="887" spans="1:45">
      <c r="A887" s="277"/>
      <c r="B887" s="298" t="b">
        <v>0</v>
      </c>
      <c r="C887" s="278"/>
      <c r="D887" s="299" t="b">
        <v>0</v>
      </c>
      <c r="E887" s="277"/>
      <c r="F887" s="298" t="b">
        <v>0</v>
      </c>
      <c r="G887" s="278"/>
      <c r="H887" s="299" t="b">
        <v>0</v>
      </c>
      <c r="I887" s="277"/>
      <c r="J887" s="278"/>
      <c r="K887" s="277"/>
      <c r="L887" s="278"/>
      <c r="M887" s="277"/>
      <c r="N887" s="278"/>
      <c r="O887" s="277"/>
      <c r="P887" s="278"/>
      <c r="Q887" s="277"/>
      <c r="R887" s="278"/>
      <c r="S887" s="277"/>
      <c r="T887" s="278"/>
      <c r="U887" s="277"/>
      <c r="V887" s="278"/>
      <c r="W887" s="277"/>
      <c r="X887" s="278"/>
      <c r="Y887" s="277"/>
      <c r="Z887" s="278"/>
      <c r="AA887" s="277"/>
      <c r="AB887" s="278"/>
      <c r="AC887" s="277"/>
      <c r="AD887" s="278"/>
      <c r="AE887" s="277"/>
      <c r="AF887" s="278"/>
      <c r="AG887" s="277"/>
      <c r="AH887" s="278"/>
      <c r="AI887" s="277"/>
      <c r="AJ887" s="278"/>
      <c r="AK887" s="277"/>
      <c r="AL887" s="278"/>
      <c r="AM887" s="277"/>
      <c r="AN887" s="278"/>
      <c r="AO887" s="278"/>
      <c r="AP887" s="278"/>
      <c r="AQ887" s="278"/>
      <c r="AR887" s="278"/>
      <c r="AS887" s="278"/>
    </row>
    <row r="888" spans="1:45">
      <c r="A888" s="277"/>
      <c r="B888" s="298" t="b">
        <v>0</v>
      </c>
      <c r="C888" s="278"/>
      <c r="D888" s="299" t="b">
        <v>0</v>
      </c>
      <c r="E888" s="277"/>
      <c r="F888" s="298" t="b">
        <v>0</v>
      </c>
      <c r="G888" s="278"/>
      <c r="H888" s="299" t="b">
        <v>0</v>
      </c>
      <c r="I888" s="277"/>
      <c r="J888" s="278"/>
      <c r="K888" s="277"/>
      <c r="L888" s="278"/>
      <c r="M888" s="277"/>
      <c r="N888" s="278"/>
      <c r="O888" s="277"/>
      <c r="P888" s="278"/>
      <c r="Q888" s="277"/>
      <c r="R888" s="278"/>
      <c r="S888" s="277"/>
      <c r="T888" s="278"/>
      <c r="U888" s="277"/>
      <c r="V888" s="278"/>
      <c r="W888" s="277"/>
      <c r="X888" s="278"/>
      <c r="Y888" s="277"/>
      <c r="Z888" s="278"/>
      <c r="AA888" s="277"/>
      <c r="AB888" s="278"/>
      <c r="AC888" s="277"/>
      <c r="AD888" s="278"/>
      <c r="AE888" s="277"/>
      <c r="AF888" s="278"/>
      <c r="AG888" s="277"/>
      <c r="AH888" s="278"/>
      <c r="AI888" s="277"/>
      <c r="AJ888" s="278"/>
      <c r="AK888" s="277"/>
      <c r="AL888" s="278"/>
      <c r="AM888" s="277"/>
      <c r="AN888" s="278"/>
      <c r="AO888" s="278"/>
      <c r="AP888" s="278"/>
      <c r="AQ888" s="278"/>
      <c r="AR888" s="278"/>
      <c r="AS888" s="278"/>
    </row>
    <row r="889" spans="1:45">
      <c r="A889" s="277"/>
      <c r="B889" s="298" t="b">
        <v>0</v>
      </c>
      <c r="C889" s="278"/>
      <c r="D889" s="299" t="b">
        <v>0</v>
      </c>
      <c r="E889" s="277"/>
      <c r="F889" s="298" t="b">
        <v>0</v>
      </c>
      <c r="G889" s="278"/>
      <c r="H889" s="299" t="b">
        <v>0</v>
      </c>
      <c r="I889" s="277"/>
      <c r="J889" s="278"/>
      <c r="K889" s="277"/>
      <c r="L889" s="278"/>
      <c r="M889" s="277"/>
      <c r="N889" s="278"/>
      <c r="O889" s="277"/>
      <c r="P889" s="278"/>
      <c r="Q889" s="277"/>
      <c r="R889" s="278"/>
      <c r="S889" s="277"/>
      <c r="T889" s="278"/>
      <c r="U889" s="277"/>
      <c r="V889" s="278"/>
      <c r="W889" s="277"/>
      <c r="X889" s="278"/>
      <c r="Y889" s="277"/>
      <c r="Z889" s="278"/>
      <c r="AA889" s="277"/>
      <c r="AB889" s="278"/>
      <c r="AC889" s="277"/>
      <c r="AD889" s="278"/>
      <c r="AE889" s="277"/>
      <c r="AF889" s="278"/>
      <c r="AG889" s="277"/>
      <c r="AH889" s="278"/>
      <c r="AI889" s="277"/>
      <c r="AJ889" s="278"/>
      <c r="AK889" s="277"/>
      <c r="AL889" s="278"/>
      <c r="AM889" s="277"/>
      <c r="AN889" s="278"/>
      <c r="AO889" s="278"/>
      <c r="AP889" s="278"/>
      <c r="AQ889" s="278"/>
      <c r="AR889" s="278"/>
      <c r="AS889" s="278"/>
    </row>
    <row r="890" spans="1:45">
      <c r="A890" s="277"/>
      <c r="B890" s="298" t="b">
        <v>0</v>
      </c>
      <c r="C890" s="278"/>
      <c r="D890" s="299" t="b">
        <v>0</v>
      </c>
      <c r="E890" s="277"/>
      <c r="F890" s="298" t="b">
        <v>0</v>
      </c>
      <c r="G890" s="278"/>
      <c r="H890" s="299" t="b">
        <v>0</v>
      </c>
      <c r="I890" s="277"/>
      <c r="J890" s="278"/>
      <c r="K890" s="277"/>
      <c r="L890" s="278"/>
      <c r="M890" s="277"/>
      <c r="N890" s="278"/>
      <c r="O890" s="277"/>
      <c r="P890" s="278"/>
      <c r="Q890" s="277"/>
      <c r="R890" s="278"/>
      <c r="S890" s="277"/>
      <c r="T890" s="278"/>
      <c r="U890" s="277"/>
      <c r="V890" s="278"/>
      <c r="W890" s="277"/>
      <c r="X890" s="278"/>
      <c r="Y890" s="277"/>
      <c r="Z890" s="278"/>
      <c r="AA890" s="277"/>
      <c r="AB890" s="278"/>
      <c r="AC890" s="277"/>
      <c r="AD890" s="278"/>
      <c r="AE890" s="277"/>
      <c r="AF890" s="278"/>
      <c r="AG890" s="277"/>
      <c r="AH890" s="278"/>
      <c r="AI890" s="277"/>
      <c r="AJ890" s="278"/>
      <c r="AK890" s="277"/>
      <c r="AL890" s="278"/>
      <c r="AM890" s="277"/>
      <c r="AN890" s="278"/>
      <c r="AO890" s="278"/>
      <c r="AP890" s="278"/>
      <c r="AQ890" s="278"/>
      <c r="AR890" s="278"/>
      <c r="AS890" s="278"/>
    </row>
    <row r="891" spans="1:45">
      <c r="A891" s="277"/>
      <c r="B891" s="298" t="b">
        <v>0</v>
      </c>
      <c r="C891" s="278"/>
      <c r="D891" s="299" t="b">
        <v>0</v>
      </c>
      <c r="E891" s="277"/>
      <c r="F891" s="298" t="b">
        <v>0</v>
      </c>
      <c r="G891" s="278"/>
      <c r="H891" s="299" t="b">
        <v>0</v>
      </c>
      <c r="I891" s="277"/>
      <c r="J891" s="278"/>
      <c r="K891" s="277"/>
      <c r="L891" s="278"/>
      <c r="M891" s="277"/>
      <c r="N891" s="278"/>
      <c r="O891" s="277"/>
      <c r="P891" s="278"/>
      <c r="Q891" s="277"/>
      <c r="R891" s="278"/>
      <c r="S891" s="277"/>
      <c r="T891" s="278"/>
      <c r="U891" s="277"/>
      <c r="V891" s="278"/>
      <c r="W891" s="277"/>
      <c r="X891" s="278"/>
      <c r="Y891" s="277"/>
      <c r="Z891" s="278"/>
      <c r="AA891" s="277"/>
      <c r="AB891" s="278"/>
      <c r="AC891" s="277"/>
      <c r="AD891" s="278"/>
      <c r="AE891" s="277"/>
      <c r="AF891" s="278"/>
      <c r="AG891" s="277"/>
      <c r="AH891" s="278"/>
      <c r="AI891" s="277"/>
      <c r="AJ891" s="278"/>
      <c r="AK891" s="277"/>
      <c r="AL891" s="278"/>
      <c r="AM891" s="277"/>
      <c r="AN891" s="278"/>
      <c r="AO891" s="278"/>
      <c r="AP891" s="278"/>
      <c r="AQ891" s="278"/>
      <c r="AR891" s="278"/>
      <c r="AS891" s="278"/>
    </row>
    <row r="892" spans="1:45">
      <c r="A892" s="277"/>
      <c r="B892" s="298" t="b">
        <v>0</v>
      </c>
      <c r="C892" s="278"/>
      <c r="D892" s="299" t="b">
        <v>0</v>
      </c>
      <c r="E892" s="277"/>
      <c r="F892" s="298" t="b">
        <v>0</v>
      </c>
      <c r="G892" s="278"/>
      <c r="H892" s="299" t="b">
        <v>0</v>
      </c>
      <c r="I892" s="277"/>
      <c r="J892" s="278"/>
      <c r="K892" s="277"/>
      <c r="L892" s="278"/>
      <c r="M892" s="277"/>
      <c r="N892" s="278"/>
      <c r="O892" s="277"/>
      <c r="P892" s="278"/>
      <c r="Q892" s="277"/>
      <c r="R892" s="278"/>
      <c r="S892" s="277"/>
      <c r="T892" s="278"/>
      <c r="U892" s="277"/>
      <c r="V892" s="278"/>
      <c r="W892" s="277"/>
      <c r="X892" s="278"/>
      <c r="Y892" s="277"/>
      <c r="Z892" s="278"/>
      <c r="AA892" s="277"/>
      <c r="AB892" s="278"/>
      <c r="AC892" s="277"/>
      <c r="AD892" s="278"/>
      <c r="AE892" s="277"/>
      <c r="AF892" s="278"/>
      <c r="AG892" s="277"/>
      <c r="AH892" s="278"/>
      <c r="AI892" s="277"/>
      <c r="AJ892" s="278"/>
      <c r="AK892" s="277"/>
      <c r="AL892" s="278"/>
      <c r="AM892" s="277"/>
      <c r="AN892" s="278"/>
      <c r="AO892" s="278"/>
      <c r="AP892" s="278"/>
      <c r="AQ892" s="278"/>
      <c r="AR892" s="278"/>
      <c r="AS892" s="278"/>
    </row>
    <row r="893" spans="1:45">
      <c r="A893" s="277"/>
      <c r="B893" s="298" t="b">
        <v>0</v>
      </c>
      <c r="C893" s="278"/>
      <c r="D893" s="299" t="b">
        <v>0</v>
      </c>
      <c r="E893" s="277"/>
      <c r="F893" s="298" t="b">
        <v>0</v>
      </c>
      <c r="G893" s="278"/>
      <c r="H893" s="299" t="b">
        <v>0</v>
      </c>
      <c r="I893" s="277"/>
      <c r="J893" s="278"/>
      <c r="K893" s="277"/>
      <c r="L893" s="278"/>
      <c r="M893" s="277"/>
      <c r="N893" s="278"/>
      <c r="O893" s="277"/>
      <c r="P893" s="278"/>
      <c r="Q893" s="277"/>
      <c r="R893" s="278"/>
      <c r="S893" s="277"/>
      <c r="T893" s="278"/>
      <c r="U893" s="277"/>
      <c r="V893" s="278"/>
      <c r="W893" s="277"/>
      <c r="X893" s="278"/>
      <c r="Y893" s="277"/>
      <c r="Z893" s="278"/>
      <c r="AA893" s="277"/>
      <c r="AB893" s="278"/>
      <c r="AC893" s="277"/>
      <c r="AD893" s="278"/>
      <c r="AE893" s="277"/>
      <c r="AF893" s="278"/>
      <c r="AG893" s="277"/>
      <c r="AH893" s="278"/>
      <c r="AI893" s="277"/>
      <c r="AJ893" s="278"/>
      <c r="AK893" s="277"/>
      <c r="AL893" s="278"/>
      <c r="AM893" s="277"/>
      <c r="AN893" s="278"/>
      <c r="AO893" s="278"/>
      <c r="AP893" s="278"/>
      <c r="AQ893" s="278"/>
      <c r="AR893" s="278"/>
      <c r="AS893" s="278"/>
    </row>
    <row r="894" spans="1:45">
      <c r="A894" s="277"/>
      <c r="B894" s="298" t="b">
        <v>0</v>
      </c>
      <c r="C894" s="278"/>
      <c r="D894" s="299" t="b">
        <v>0</v>
      </c>
      <c r="E894" s="277"/>
      <c r="F894" s="298" t="b">
        <v>0</v>
      </c>
      <c r="G894" s="278"/>
      <c r="H894" s="299" t="b">
        <v>0</v>
      </c>
      <c r="I894" s="277"/>
      <c r="J894" s="278"/>
      <c r="K894" s="277"/>
      <c r="L894" s="278"/>
      <c r="M894" s="277"/>
      <c r="N894" s="278"/>
      <c r="O894" s="277"/>
      <c r="P894" s="278"/>
      <c r="Q894" s="277"/>
      <c r="R894" s="278"/>
      <c r="S894" s="277"/>
      <c r="T894" s="278"/>
      <c r="U894" s="277"/>
      <c r="V894" s="278"/>
      <c r="W894" s="277"/>
      <c r="X894" s="278"/>
      <c r="Y894" s="277"/>
      <c r="Z894" s="278"/>
      <c r="AA894" s="277"/>
      <c r="AB894" s="278"/>
      <c r="AC894" s="277"/>
      <c r="AD894" s="278"/>
      <c r="AE894" s="277"/>
      <c r="AF894" s="278"/>
      <c r="AG894" s="277"/>
      <c r="AH894" s="278"/>
      <c r="AI894" s="277"/>
      <c r="AJ894" s="278"/>
      <c r="AK894" s="277"/>
      <c r="AL894" s="278"/>
      <c r="AM894" s="277"/>
      <c r="AN894" s="278"/>
      <c r="AO894" s="278"/>
      <c r="AP894" s="278"/>
      <c r="AQ894" s="278"/>
      <c r="AR894" s="278"/>
      <c r="AS894" s="278"/>
    </row>
    <row r="895" spans="1:45">
      <c r="A895" s="277"/>
      <c r="B895" s="298" t="b">
        <v>0</v>
      </c>
      <c r="C895" s="278"/>
      <c r="D895" s="299" t="b">
        <v>0</v>
      </c>
      <c r="E895" s="277"/>
      <c r="F895" s="298" t="b">
        <v>0</v>
      </c>
      <c r="G895" s="278"/>
      <c r="H895" s="299" t="b">
        <v>0</v>
      </c>
      <c r="I895" s="277"/>
      <c r="J895" s="278"/>
      <c r="K895" s="277"/>
      <c r="L895" s="278"/>
      <c r="M895" s="277"/>
      <c r="N895" s="278"/>
      <c r="O895" s="277"/>
      <c r="P895" s="278"/>
      <c r="Q895" s="277"/>
      <c r="R895" s="278"/>
      <c r="S895" s="277"/>
      <c r="T895" s="278"/>
      <c r="U895" s="277"/>
      <c r="V895" s="278"/>
      <c r="W895" s="277"/>
      <c r="X895" s="278"/>
      <c r="Y895" s="277"/>
      <c r="Z895" s="278"/>
      <c r="AA895" s="277"/>
      <c r="AB895" s="278"/>
      <c r="AC895" s="277"/>
      <c r="AD895" s="278"/>
      <c r="AE895" s="277"/>
      <c r="AF895" s="278"/>
      <c r="AG895" s="277"/>
      <c r="AH895" s="278"/>
      <c r="AI895" s="277"/>
      <c r="AJ895" s="278"/>
      <c r="AK895" s="277"/>
      <c r="AL895" s="278"/>
      <c r="AM895" s="277"/>
      <c r="AN895" s="278"/>
      <c r="AO895" s="278"/>
      <c r="AP895" s="278"/>
      <c r="AQ895" s="278"/>
      <c r="AR895" s="278"/>
      <c r="AS895" s="278"/>
    </row>
    <row r="896" spans="1:45">
      <c r="A896" s="277"/>
      <c r="B896" s="298" t="b">
        <v>0</v>
      </c>
      <c r="C896" s="278"/>
      <c r="D896" s="299" t="b">
        <v>0</v>
      </c>
      <c r="E896" s="277"/>
      <c r="F896" s="298" t="b">
        <v>0</v>
      </c>
      <c r="G896" s="278"/>
      <c r="H896" s="299" t="b">
        <v>0</v>
      </c>
      <c r="I896" s="277"/>
      <c r="J896" s="278"/>
      <c r="K896" s="277"/>
      <c r="L896" s="278"/>
      <c r="M896" s="277"/>
      <c r="N896" s="278"/>
      <c r="O896" s="277"/>
      <c r="P896" s="278"/>
      <c r="Q896" s="277"/>
      <c r="R896" s="278"/>
      <c r="S896" s="277"/>
      <c r="T896" s="278"/>
      <c r="U896" s="277"/>
      <c r="V896" s="278"/>
      <c r="W896" s="277"/>
      <c r="X896" s="278"/>
      <c r="Y896" s="277"/>
      <c r="Z896" s="278"/>
      <c r="AA896" s="277"/>
      <c r="AB896" s="278"/>
      <c r="AC896" s="277"/>
      <c r="AD896" s="278"/>
      <c r="AE896" s="277"/>
      <c r="AF896" s="278"/>
      <c r="AG896" s="277"/>
      <c r="AH896" s="278"/>
      <c r="AI896" s="277"/>
      <c r="AJ896" s="278"/>
      <c r="AK896" s="277"/>
      <c r="AL896" s="278"/>
      <c r="AM896" s="277"/>
      <c r="AN896" s="278"/>
      <c r="AO896" s="278"/>
      <c r="AP896" s="278"/>
      <c r="AQ896" s="278"/>
      <c r="AR896" s="278"/>
      <c r="AS896" s="278"/>
    </row>
    <row r="897" spans="1:45">
      <c r="A897" s="277"/>
      <c r="B897" s="298" t="b">
        <v>0</v>
      </c>
      <c r="C897" s="278"/>
      <c r="D897" s="299" t="b">
        <v>0</v>
      </c>
      <c r="E897" s="277"/>
      <c r="F897" s="298" t="b">
        <v>0</v>
      </c>
      <c r="G897" s="278"/>
      <c r="H897" s="299" t="b">
        <v>0</v>
      </c>
      <c r="I897" s="277"/>
      <c r="J897" s="278"/>
      <c r="K897" s="277"/>
      <c r="L897" s="278"/>
      <c r="M897" s="277"/>
      <c r="N897" s="278"/>
      <c r="O897" s="277"/>
      <c r="P897" s="278"/>
      <c r="Q897" s="277"/>
      <c r="R897" s="278"/>
      <c r="S897" s="277"/>
      <c r="T897" s="278"/>
      <c r="U897" s="277"/>
      <c r="V897" s="278"/>
      <c r="W897" s="277"/>
      <c r="X897" s="278"/>
      <c r="Y897" s="277"/>
      <c r="Z897" s="278"/>
      <c r="AA897" s="277"/>
      <c r="AB897" s="278"/>
      <c r="AC897" s="277"/>
      <c r="AD897" s="278"/>
      <c r="AE897" s="277"/>
      <c r="AF897" s="278"/>
      <c r="AG897" s="277"/>
      <c r="AH897" s="278"/>
      <c r="AI897" s="277"/>
      <c r="AJ897" s="278"/>
      <c r="AK897" s="277"/>
      <c r="AL897" s="278"/>
      <c r="AM897" s="277"/>
      <c r="AN897" s="278"/>
      <c r="AO897" s="278"/>
      <c r="AP897" s="278"/>
      <c r="AQ897" s="278"/>
      <c r="AR897" s="278"/>
      <c r="AS897" s="278"/>
    </row>
    <row r="898" spans="1:45">
      <c r="A898" s="277"/>
      <c r="B898" s="298" t="b">
        <v>0</v>
      </c>
      <c r="C898" s="278"/>
      <c r="D898" s="299" t="b">
        <v>0</v>
      </c>
      <c r="E898" s="277"/>
      <c r="F898" s="298" t="b">
        <v>0</v>
      </c>
      <c r="G898" s="278"/>
      <c r="H898" s="299" t="b">
        <v>0</v>
      </c>
      <c r="I898" s="277"/>
      <c r="J898" s="278"/>
      <c r="K898" s="277"/>
      <c r="L898" s="278"/>
      <c r="M898" s="277"/>
      <c r="N898" s="278"/>
      <c r="O898" s="277"/>
      <c r="P898" s="278"/>
      <c r="Q898" s="277"/>
      <c r="R898" s="278"/>
      <c r="S898" s="277"/>
      <c r="T898" s="278"/>
      <c r="U898" s="277"/>
      <c r="V898" s="278"/>
      <c r="W898" s="277"/>
      <c r="X898" s="278"/>
      <c r="Y898" s="277"/>
      <c r="Z898" s="278"/>
      <c r="AA898" s="277"/>
      <c r="AB898" s="278"/>
      <c r="AC898" s="277"/>
      <c r="AD898" s="278"/>
      <c r="AE898" s="277"/>
      <c r="AF898" s="278"/>
      <c r="AG898" s="277"/>
      <c r="AH898" s="278"/>
      <c r="AI898" s="277"/>
      <c r="AJ898" s="278"/>
      <c r="AK898" s="277"/>
      <c r="AL898" s="278"/>
      <c r="AM898" s="277"/>
      <c r="AN898" s="278"/>
      <c r="AO898" s="278"/>
      <c r="AP898" s="278"/>
      <c r="AQ898" s="278"/>
      <c r="AR898" s="278"/>
      <c r="AS898" s="278"/>
    </row>
    <row r="899" spans="1:45">
      <c r="A899" s="277"/>
      <c r="B899" s="298" t="b">
        <v>0</v>
      </c>
      <c r="C899" s="278"/>
      <c r="D899" s="299" t="b">
        <v>0</v>
      </c>
      <c r="E899" s="277"/>
      <c r="F899" s="298" t="b">
        <v>0</v>
      </c>
      <c r="G899" s="278"/>
      <c r="H899" s="299" t="b">
        <v>0</v>
      </c>
      <c r="I899" s="277"/>
      <c r="J899" s="278"/>
      <c r="K899" s="277"/>
      <c r="L899" s="278"/>
      <c r="M899" s="277"/>
      <c r="N899" s="278"/>
      <c r="O899" s="277"/>
      <c r="P899" s="278"/>
      <c r="Q899" s="277"/>
      <c r="R899" s="278"/>
      <c r="S899" s="277"/>
      <c r="T899" s="278"/>
      <c r="U899" s="277"/>
      <c r="V899" s="278"/>
      <c r="W899" s="277"/>
      <c r="X899" s="278"/>
      <c r="Y899" s="277"/>
      <c r="Z899" s="278"/>
      <c r="AA899" s="277"/>
      <c r="AB899" s="278"/>
      <c r="AC899" s="277"/>
      <c r="AD899" s="278"/>
      <c r="AE899" s="277"/>
      <c r="AF899" s="278"/>
      <c r="AG899" s="277"/>
      <c r="AH899" s="278"/>
      <c r="AI899" s="277"/>
      <c r="AJ899" s="278"/>
      <c r="AK899" s="277"/>
      <c r="AL899" s="278"/>
      <c r="AM899" s="277"/>
      <c r="AN899" s="278"/>
      <c r="AO899" s="278"/>
      <c r="AP899" s="278"/>
      <c r="AQ899" s="278"/>
      <c r="AR899" s="278"/>
      <c r="AS899" s="278"/>
    </row>
    <row r="900" spans="1:45">
      <c r="A900" s="277"/>
      <c r="B900" s="298" t="b">
        <v>0</v>
      </c>
      <c r="C900" s="278"/>
      <c r="D900" s="299" t="b">
        <v>0</v>
      </c>
      <c r="E900" s="277"/>
      <c r="F900" s="298" t="b">
        <v>0</v>
      </c>
      <c r="G900" s="278"/>
      <c r="H900" s="299" t="b">
        <v>0</v>
      </c>
      <c r="I900" s="277"/>
      <c r="J900" s="278"/>
      <c r="K900" s="277"/>
      <c r="L900" s="278"/>
      <c r="M900" s="277"/>
      <c r="N900" s="278"/>
      <c r="O900" s="277"/>
      <c r="P900" s="278"/>
      <c r="Q900" s="277"/>
      <c r="R900" s="278"/>
      <c r="S900" s="277"/>
      <c r="T900" s="278"/>
      <c r="U900" s="277"/>
      <c r="V900" s="278"/>
      <c r="W900" s="277"/>
      <c r="X900" s="278"/>
      <c r="Y900" s="277"/>
      <c r="Z900" s="278"/>
      <c r="AA900" s="277"/>
      <c r="AB900" s="278"/>
      <c r="AC900" s="277"/>
      <c r="AD900" s="278"/>
      <c r="AE900" s="277"/>
      <c r="AF900" s="278"/>
      <c r="AG900" s="277"/>
      <c r="AH900" s="278"/>
      <c r="AI900" s="277"/>
      <c r="AJ900" s="278"/>
      <c r="AK900" s="277"/>
      <c r="AL900" s="278"/>
      <c r="AM900" s="277"/>
      <c r="AN900" s="278"/>
      <c r="AO900" s="278"/>
      <c r="AP900" s="278"/>
      <c r="AQ900" s="278"/>
      <c r="AR900" s="278"/>
      <c r="AS900" s="278"/>
    </row>
    <row r="901" spans="1:45">
      <c r="A901" s="277"/>
      <c r="B901" s="298" t="b">
        <v>0</v>
      </c>
      <c r="C901" s="278"/>
      <c r="D901" s="299" t="b">
        <v>0</v>
      </c>
      <c r="E901" s="277"/>
      <c r="F901" s="298" t="b">
        <v>0</v>
      </c>
      <c r="G901" s="278"/>
      <c r="H901" s="299" t="b">
        <v>0</v>
      </c>
      <c r="I901" s="277"/>
      <c r="J901" s="278"/>
      <c r="K901" s="277"/>
      <c r="L901" s="278"/>
      <c r="M901" s="277"/>
      <c r="N901" s="278"/>
      <c r="O901" s="277"/>
      <c r="P901" s="278"/>
      <c r="Q901" s="277"/>
      <c r="R901" s="278"/>
      <c r="S901" s="277"/>
      <c r="T901" s="278"/>
      <c r="U901" s="277"/>
      <c r="V901" s="278"/>
      <c r="W901" s="277"/>
      <c r="X901" s="278"/>
      <c r="Y901" s="277"/>
      <c r="Z901" s="278"/>
      <c r="AA901" s="277"/>
      <c r="AB901" s="278"/>
      <c r="AC901" s="277"/>
      <c r="AD901" s="278"/>
      <c r="AE901" s="277"/>
      <c r="AF901" s="278"/>
      <c r="AG901" s="277"/>
      <c r="AH901" s="278"/>
      <c r="AI901" s="277"/>
      <c r="AJ901" s="278"/>
      <c r="AK901" s="277"/>
      <c r="AL901" s="278"/>
      <c r="AM901" s="277"/>
      <c r="AN901" s="278"/>
      <c r="AO901" s="278"/>
      <c r="AP901" s="278"/>
      <c r="AQ901" s="278"/>
      <c r="AR901" s="278"/>
      <c r="AS901" s="278"/>
    </row>
    <row r="902" spans="1:45">
      <c r="A902" s="277"/>
      <c r="B902" s="298" t="b">
        <v>0</v>
      </c>
      <c r="C902" s="278"/>
      <c r="D902" s="299" t="b">
        <v>0</v>
      </c>
      <c r="E902" s="277"/>
      <c r="F902" s="298" t="b">
        <v>0</v>
      </c>
      <c r="G902" s="278"/>
      <c r="H902" s="299" t="b">
        <v>0</v>
      </c>
      <c r="I902" s="277"/>
      <c r="J902" s="278"/>
      <c r="K902" s="277"/>
      <c r="L902" s="278"/>
      <c r="M902" s="277"/>
      <c r="N902" s="278"/>
      <c r="O902" s="277"/>
      <c r="P902" s="278"/>
      <c r="Q902" s="277"/>
      <c r="R902" s="278"/>
      <c r="S902" s="277"/>
      <c r="T902" s="278"/>
      <c r="U902" s="277"/>
      <c r="V902" s="278"/>
      <c r="W902" s="277"/>
      <c r="X902" s="278"/>
      <c r="Y902" s="277"/>
      <c r="Z902" s="278"/>
      <c r="AA902" s="277"/>
      <c r="AB902" s="278"/>
      <c r="AC902" s="277"/>
      <c r="AD902" s="278"/>
      <c r="AE902" s="277"/>
      <c r="AF902" s="278"/>
      <c r="AG902" s="277"/>
      <c r="AH902" s="278"/>
      <c r="AI902" s="277"/>
      <c r="AJ902" s="278"/>
      <c r="AK902" s="277"/>
      <c r="AL902" s="278"/>
      <c r="AM902" s="277"/>
      <c r="AN902" s="278"/>
      <c r="AO902" s="278"/>
      <c r="AP902" s="278"/>
      <c r="AQ902" s="278"/>
      <c r="AR902" s="278"/>
      <c r="AS902" s="278"/>
    </row>
    <row r="903" spans="1:45">
      <c r="A903" s="277"/>
      <c r="B903" s="298" t="b">
        <v>0</v>
      </c>
      <c r="C903" s="278"/>
      <c r="D903" s="299" t="b">
        <v>0</v>
      </c>
      <c r="E903" s="277"/>
      <c r="F903" s="298" t="b">
        <v>0</v>
      </c>
      <c r="G903" s="278"/>
      <c r="H903" s="299" t="b">
        <v>0</v>
      </c>
      <c r="I903" s="277"/>
      <c r="J903" s="278"/>
      <c r="K903" s="277"/>
      <c r="L903" s="278"/>
      <c r="M903" s="277"/>
      <c r="N903" s="278"/>
      <c r="O903" s="277"/>
      <c r="P903" s="278"/>
      <c r="Q903" s="277"/>
      <c r="R903" s="278"/>
      <c r="S903" s="277"/>
      <c r="T903" s="278"/>
      <c r="U903" s="277"/>
      <c r="V903" s="278"/>
      <c r="W903" s="277"/>
      <c r="X903" s="278"/>
      <c r="Y903" s="277"/>
      <c r="Z903" s="278"/>
      <c r="AA903" s="277"/>
      <c r="AB903" s="278"/>
      <c r="AC903" s="277"/>
      <c r="AD903" s="278"/>
      <c r="AE903" s="277"/>
      <c r="AF903" s="278"/>
      <c r="AG903" s="277"/>
      <c r="AH903" s="278"/>
      <c r="AI903" s="277"/>
      <c r="AJ903" s="278"/>
      <c r="AK903" s="277"/>
      <c r="AL903" s="278"/>
      <c r="AM903" s="277"/>
      <c r="AN903" s="278"/>
      <c r="AO903" s="278"/>
      <c r="AP903" s="278"/>
      <c r="AQ903" s="278"/>
      <c r="AR903" s="278"/>
      <c r="AS903" s="278"/>
    </row>
    <row r="904" spans="1:45">
      <c r="A904" s="277"/>
      <c r="B904" s="298" t="b">
        <v>0</v>
      </c>
      <c r="C904" s="278"/>
      <c r="D904" s="299" t="b">
        <v>0</v>
      </c>
      <c r="E904" s="277"/>
      <c r="F904" s="298" t="b">
        <v>0</v>
      </c>
      <c r="G904" s="278"/>
      <c r="H904" s="299" t="b">
        <v>0</v>
      </c>
      <c r="I904" s="277"/>
      <c r="J904" s="278"/>
      <c r="K904" s="277"/>
      <c r="L904" s="278"/>
      <c r="M904" s="277"/>
      <c r="N904" s="278"/>
      <c r="O904" s="277"/>
      <c r="P904" s="278"/>
      <c r="Q904" s="277"/>
      <c r="R904" s="278"/>
      <c r="S904" s="277"/>
      <c r="T904" s="278"/>
      <c r="U904" s="277"/>
      <c r="V904" s="278"/>
      <c r="W904" s="277"/>
      <c r="X904" s="278"/>
      <c r="Y904" s="277"/>
      <c r="Z904" s="278"/>
      <c r="AA904" s="277"/>
      <c r="AB904" s="278"/>
      <c r="AC904" s="277"/>
      <c r="AD904" s="278"/>
      <c r="AE904" s="277"/>
      <c r="AF904" s="278"/>
      <c r="AG904" s="277"/>
      <c r="AH904" s="278"/>
      <c r="AI904" s="277"/>
      <c r="AJ904" s="278"/>
      <c r="AK904" s="277"/>
      <c r="AL904" s="278"/>
      <c r="AM904" s="277"/>
      <c r="AN904" s="278"/>
      <c r="AO904" s="278"/>
      <c r="AP904" s="278"/>
      <c r="AQ904" s="278"/>
      <c r="AR904" s="278"/>
      <c r="AS904" s="278"/>
    </row>
    <row r="905" spans="1:45">
      <c r="A905" s="277"/>
      <c r="B905" s="298" t="b">
        <v>0</v>
      </c>
      <c r="C905" s="278"/>
      <c r="D905" s="299" t="b">
        <v>0</v>
      </c>
      <c r="E905" s="277"/>
      <c r="F905" s="298" t="b">
        <v>0</v>
      </c>
      <c r="G905" s="278"/>
      <c r="H905" s="299" t="b">
        <v>0</v>
      </c>
      <c r="I905" s="277"/>
      <c r="J905" s="278"/>
      <c r="K905" s="277"/>
      <c r="L905" s="278"/>
      <c r="M905" s="277"/>
      <c r="N905" s="278"/>
      <c r="O905" s="277"/>
      <c r="P905" s="278"/>
      <c r="Q905" s="277"/>
      <c r="R905" s="278"/>
      <c r="S905" s="277"/>
      <c r="T905" s="278"/>
      <c r="U905" s="277"/>
      <c r="V905" s="278"/>
      <c r="W905" s="277"/>
      <c r="X905" s="278"/>
      <c r="Y905" s="277"/>
      <c r="Z905" s="278"/>
      <c r="AA905" s="277"/>
      <c r="AB905" s="278"/>
      <c r="AC905" s="277"/>
      <c r="AD905" s="278"/>
      <c r="AE905" s="277"/>
      <c r="AF905" s="278"/>
      <c r="AG905" s="277"/>
      <c r="AH905" s="278"/>
      <c r="AI905" s="277"/>
      <c r="AJ905" s="278"/>
      <c r="AK905" s="277"/>
      <c r="AL905" s="278"/>
      <c r="AM905" s="277"/>
      <c r="AN905" s="278"/>
      <c r="AO905" s="278"/>
      <c r="AP905" s="278"/>
      <c r="AQ905" s="278"/>
      <c r="AR905" s="278"/>
      <c r="AS905" s="278"/>
    </row>
    <row r="906" spans="1:45">
      <c r="A906" s="277"/>
      <c r="B906" s="298" t="b">
        <v>0</v>
      </c>
      <c r="C906" s="278"/>
      <c r="D906" s="299" t="b">
        <v>0</v>
      </c>
      <c r="E906" s="277"/>
      <c r="F906" s="298" t="b">
        <v>0</v>
      </c>
      <c r="G906" s="278"/>
      <c r="H906" s="299" t="b">
        <v>0</v>
      </c>
      <c r="I906" s="277"/>
      <c r="J906" s="278"/>
      <c r="K906" s="277"/>
      <c r="L906" s="278"/>
      <c r="M906" s="277"/>
      <c r="N906" s="278"/>
      <c r="O906" s="277"/>
      <c r="P906" s="278"/>
      <c r="Q906" s="277"/>
      <c r="R906" s="278"/>
      <c r="S906" s="277"/>
      <c r="T906" s="278"/>
      <c r="U906" s="277"/>
      <c r="V906" s="278"/>
      <c r="W906" s="277"/>
      <c r="X906" s="278"/>
      <c r="Y906" s="277"/>
      <c r="Z906" s="278"/>
      <c r="AA906" s="277"/>
      <c r="AB906" s="278"/>
      <c r="AC906" s="277"/>
      <c r="AD906" s="278"/>
      <c r="AE906" s="277"/>
      <c r="AF906" s="278"/>
      <c r="AG906" s="277"/>
      <c r="AH906" s="278"/>
      <c r="AI906" s="277"/>
      <c r="AJ906" s="278"/>
      <c r="AK906" s="277"/>
      <c r="AL906" s="278"/>
      <c r="AM906" s="277"/>
      <c r="AN906" s="278"/>
      <c r="AO906" s="278"/>
      <c r="AP906" s="278"/>
      <c r="AQ906" s="278"/>
      <c r="AR906" s="278"/>
      <c r="AS906" s="278"/>
    </row>
    <row r="907" spans="1:45">
      <c r="A907" s="277"/>
      <c r="B907" s="298" t="b">
        <v>0</v>
      </c>
      <c r="C907" s="278"/>
      <c r="D907" s="299" t="b">
        <v>0</v>
      </c>
      <c r="E907" s="277"/>
      <c r="F907" s="298" t="b">
        <v>0</v>
      </c>
      <c r="G907" s="278"/>
      <c r="H907" s="299" t="b">
        <v>0</v>
      </c>
      <c r="I907" s="277"/>
      <c r="J907" s="278"/>
      <c r="K907" s="277"/>
      <c r="L907" s="278"/>
      <c r="M907" s="277"/>
      <c r="N907" s="278"/>
      <c r="O907" s="277"/>
      <c r="P907" s="278"/>
      <c r="Q907" s="277"/>
      <c r="R907" s="278"/>
      <c r="S907" s="277"/>
      <c r="T907" s="278"/>
      <c r="U907" s="277"/>
      <c r="V907" s="278"/>
      <c r="W907" s="277"/>
      <c r="X907" s="278"/>
      <c r="Y907" s="277"/>
      <c r="Z907" s="278"/>
      <c r="AA907" s="277"/>
      <c r="AB907" s="278"/>
      <c r="AC907" s="277"/>
      <c r="AD907" s="278"/>
      <c r="AE907" s="277"/>
      <c r="AF907" s="278"/>
      <c r="AG907" s="277"/>
      <c r="AH907" s="278"/>
      <c r="AI907" s="277"/>
      <c r="AJ907" s="278"/>
      <c r="AK907" s="277"/>
      <c r="AL907" s="278"/>
      <c r="AM907" s="277"/>
      <c r="AN907" s="278"/>
      <c r="AO907" s="278"/>
      <c r="AP907" s="278"/>
      <c r="AQ907" s="278"/>
      <c r="AR907" s="278"/>
      <c r="AS907" s="278"/>
    </row>
    <row r="908" spans="1:45">
      <c r="A908" s="277"/>
      <c r="B908" s="298" t="b">
        <v>0</v>
      </c>
      <c r="C908" s="278"/>
      <c r="D908" s="299" t="b">
        <v>0</v>
      </c>
      <c r="E908" s="277"/>
      <c r="F908" s="298" t="b">
        <v>0</v>
      </c>
      <c r="G908" s="278"/>
      <c r="H908" s="299" t="b">
        <v>0</v>
      </c>
      <c r="I908" s="277"/>
      <c r="J908" s="278"/>
      <c r="K908" s="277"/>
      <c r="L908" s="278"/>
      <c r="M908" s="277"/>
      <c r="N908" s="278"/>
      <c r="O908" s="277"/>
      <c r="P908" s="278"/>
      <c r="Q908" s="277"/>
      <c r="R908" s="278"/>
      <c r="S908" s="277"/>
      <c r="T908" s="278"/>
      <c r="U908" s="277"/>
      <c r="V908" s="278"/>
      <c r="W908" s="277"/>
      <c r="X908" s="278"/>
      <c r="Y908" s="277"/>
      <c r="Z908" s="278"/>
      <c r="AA908" s="277"/>
      <c r="AB908" s="278"/>
      <c r="AC908" s="277"/>
      <c r="AD908" s="278"/>
      <c r="AE908" s="277"/>
      <c r="AF908" s="278"/>
      <c r="AG908" s="277"/>
      <c r="AH908" s="278"/>
      <c r="AI908" s="277"/>
      <c r="AJ908" s="278"/>
      <c r="AK908" s="277"/>
      <c r="AL908" s="278"/>
      <c r="AM908" s="277"/>
      <c r="AN908" s="278"/>
      <c r="AO908" s="278"/>
      <c r="AP908" s="278"/>
      <c r="AQ908" s="278"/>
      <c r="AR908" s="278"/>
      <c r="AS908" s="278"/>
    </row>
    <row r="909" spans="1:45">
      <c r="A909" s="277"/>
      <c r="B909" s="298" t="b">
        <v>0</v>
      </c>
      <c r="C909" s="278"/>
      <c r="D909" s="299" t="b">
        <v>0</v>
      </c>
      <c r="E909" s="277"/>
      <c r="F909" s="298" t="b">
        <v>0</v>
      </c>
      <c r="G909" s="278"/>
      <c r="H909" s="299" t="b">
        <v>0</v>
      </c>
      <c r="I909" s="277"/>
      <c r="J909" s="278"/>
      <c r="K909" s="277"/>
      <c r="L909" s="278"/>
      <c r="M909" s="277"/>
      <c r="N909" s="278"/>
      <c r="O909" s="277"/>
      <c r="P909" s="278"/>
      <c r="Q909" s="277"/>
      <c r="R909" s="278"/>
      <c r="S909" s="277"/>
      <c r="T909" s="278"/>
      <c r="U909" s="277"/>
      <c r="V909" s="278"/>
      <c r="W909" s="277"/>
      <c r="X909" s="278"/>
      <c r="Y909" s="277"/>
      <c r="Z909" s="278"/>
      <c r="AA909" s="277"/>
      <c r="AB909" s="278"/>
      <c r="AC909" s="277"/>
      <c r="AD909" s="278"/>
      <c r="AE909" s="277"/>
      <c r="AF909" s="278"/>
      <c r="AG909" s="277"/>
      <c r="AH909" s="278"/>
      <c r="AI909" s="277"/>
      <c r="AJ909" s="278"/>
      <c r="AK909" s="277"/>
      <c r="AL909" s="278"/>
      <c r="AM909" s="277"/>
      <c r="AN909" s="278"/>
      <c r="AO909" s="278"/>
      <c r="AP909" s="278"/>
      <c r="AQ909" s="278"/>
      <c r="AR909" s="278"/>
      <c r="AS909" s="278"/>
    </row>
    <row r="910" spans="1:45">
      <c r="A910" s="277"/>
      <c r="B910" s="298" t="b">
        <v>0</v>
      </c>
      <c r="C910" s="278"/>
      <c r="D910" s="299" t="b">
        <v>0</v>
      </c>
      <c r="E910" s="277"/>
      <c r="F910" s="298" t="b">
        <v>0</v>
      </c>
      <c r="G910" s="278"/>
      <c r="H910" s="299" t="b">
        <v>0</v>
      </c>
      <c r="I910" s="277"/>
      <c r="J910" s="278"/>
      <c r="K910" s="277"/>
      <c r="L910" s="278"/>
      <c r="M910" s="277"/>
      <c r="N910" s="278"/>
      <c r="O910" s="277"/>
      <c r="P910" s="278"/>
      <c r="Q910" s="277"/>
      <c r="R910" s="278"/>
      <c r="S910" s="277"/>
      <c r="T910" s="278"/>
      <c r="U910" s="277"/>
      <c r="V910" s="278"/>
      <c r="W910" s="277"/>
      <c r="X910" s="278"/>
      <c r="Y910" s="277"/>
      <c r="Z910" s="278"/>
      <c r="AA910" s="277"/>
      <c r="AB910" s="278"/>
      <c r="AC910" s="277"/>
      <c r="AD910" s="278"/>
      <c r="AE910" s="277"/>
      <c r="AF910" s="278"/>
      <c r="AG910" s="277"/>
      <c r="AH910" s="278"/>
      <c r="AI910" s="277"/>
      <c r="AJ910" s="278"/>
      <c r="AK910" s="277"/>
      <c r="AL910" s="278"/>
      <c r="AM910" s="277"/>
      <c r="AN910" s="278"/>
      <c r="AO910" s="278"/>
      <c r="AP910" s="278"/>
      <c r="AQ910" s="278"/>
      <c r="AR910" s="278"/>
      <c r="AS910" s="278"/>
    </row>
    <row r="911" spans="1:45">
      <c r="A911" s="277"/>
      <c r="B911" s="298" t="b">
        <v>0</v>
      </c>
      <c r="C911" s="278"/>
      <c r="D911" s="299" t="b">
        <v>0</v>
      </c>
      <c r="E911" s="277"/>
      <c r="F911" s="298" t="b">
        <v>0</v>
      </c>
      <c r="G911" s="278"/>
      <c r="H911" s="299" t="b">
        <v>0</v>
      </c>
      <c r="I911" s="277"/>
      <c r="J911" s="278"/>
      <c r="K911" s="277"/>
      <c r="L911" s="278"/>
      <c r="M911" s="277"/>
      <c r="N911" s="278"/>
      <c r="O911" s="277"/>
      <c r="P911" s="278"/>
      <c r="Q911" s="277"/>
      <c r="R911" s="278"/>
      <c r="S911" s="277"/>
      <c r="T911" s="278"/>
      <c r="U911" s="277"/>
      <c r="V911" s="278"/>
      <c r="W911" s="277"/>
      <c r="X911" s="278"/>
      <c r="Y911" s="277"/>
      <c r="Z911" s="278"/>
      <c r="AA911" s="277"/>
      <c r="AB911" s="278"/>
      <c r="AC911" s="277"/>
      <c r="AD911" s="278"/>
      <c r="AE911" s="277"/>
      <c r="AF911" s="278"/>
      <c r="AG911" s="277"/>
      <c r="AH911" s="278"/>
      <c r="AI911" s="277"/>
      <c r="AJ911" s="278"/>
      <c r="AK911" s="277"/>
      <c r="AL911" s="278"/>
      <c r="AM911" s="277"/>
      <c r="AN911" s="278"/>
      <c r="AO911" s="278"/>
      <c r="AP911" s="278"/>
      <c r="AQ911" s="278"/>
      <c r="AR911" s="278"/>
      <c r="AS911" s="278"/>
    </row>
    <row r="912" spans="1:45">
      <c r="A912" s="277"/>
      <c r="B912" s="298" t="b">
        <v>0</v>
      </c>
      <c r="C912" s="278"/>
      <c r="D912" s="299" t="b">
        <v>0</v>
      </c>
      <c r="E912" s="277"/>
      <c r="F912" s="298" t="b">
        <v>0</v>
      </c>
      <c r="G912" s="278"/>
      <c r="H912" s="299" t="b">
        <v>0</v>
      </c>
      <c r="I912" s="277"/>
      <c r="J912" s="278"/>
      <c r="K912" s="277"/>
      <c r="L912" s="278"/>
      <c r="M912" s="277"/>
      <c r="N912" s="278"/>
      <c r="O912" s="277"/>
      <c r="P912" s="278"/>
      <c r="Q912" s="277"/>
      <c r="R912" s="278"/>
      <c r="S912" s="277"/>
      <c r="T912" s="278"/>
      <c r="U912" s="277"/>
      <c r="V912" s="278"/>
      <c r="W912" s="277"/>
      <c r="X912" s="278"/>
      <c r="Y912" s="277"/>
      <c r="Z912" s="278"/>
      <c r="AA912" s="277"/>
      <c r="AB912" s="278"/>
      <c r="AC912" s="277"/>
      <c r="AD912" s="278"/>
      <c r="AE912" s="277"/>
      <c r="AF912" s="278"/>
      <c r="AG912" s="277"/>
      <c r="AH912" s="278"/>
      <c r="AI912" s="277"/>
      <c r="AJ912" s="278"/>
      <c r="AK912" s="277"/>
      <c r="AL912" s="278"/>
      <c r="AM912" s="277"/>
      <c r="AN912" s="278"/>
      <c r="AO912" s="278"/>
      <c r="AP912" s="278"/>
      <c r="AQ912" s="278"/>
      <c r="AR912" s="278"/>
      <c r="AS912" s="278"/>
    </row>
    <row r="913" spans="1:45">
      <c r="A913" s="277"/>
      <c r="B913" s="298" t="b">
        <v>0</v>
      </c>
      <c r="C913" s="278"/>
      <c r="D913" s="299" t="b">
        <v>0</v>
      </c>
      <c r="E913" s="277"/>
      <c r="F913" s="298" t="b">
        <v>0</v>
      </c>
      <c r="G913" s="278"/>
      <c r="H913" s="299" t="b">
        <v>0</v>
      </c>
      <c r="I913" s="277"/>
      <c r="J913" s="278"/>
      <c r="K913" s="277"/>
      <c r="L913" s="278"/>
      <c r="M913" s="277"/>
      <c r="N913" s="278"/>
      <c r="O913" s="277"/>
      <c r="P913" s="278"/>
      <c r="Q913" s="277"/>
      <c r="R913" s="278"/>
      <c r="S913" s="277"/>
      <c r="T913" s="278"/>
      <c r="U913" s="277"/>
      <c r="V913" s="278"/>
      <c r="W913" s="277"/>
      <c r="X913" s="278"/>
      <c r="Y913" s="277"/>
      <c r="Z913" s="278"/>
      <c r="AA913" s="277"/>
      <c r="AB913" s="278"/>
      <c r="AC913" s="277"/>
      <c r="AD913" s="278"/>
      <c r="AE913" s="277"/>
      <c r="AF913" s="278"/>
      <c r="AG913" s="277"/>
      <c r="AH913" s="278"/>
      <c r="AI913" s="277"/>
      <c r="AJ913" s="278"/>
      <c r="AK913" s="277"/>
      <c r="AL913" s="278"/>
      <c r="AM913" s="277"/>
      <c r="AN913" s="278"/>
      <c r="AO913" s="278"/>
      <c r="AP913" s="278"/>
      <c r="AQ913" s="278"/>
      <c r="AR913" s="278"/>
      <c r="AS913" s="278"/>
    </row>
    <row r="914" spans="1:45">
      <c r="A914" s="277"/>
      <c r="B914" s="298" t="b">
        <v>0</v>
      </c>
      <c r="C914" s="278"/>
      <c r="D914" s="299" t="b">
        <v>0</v>
      </c>
      <c r="E914" s="277"/>
      <c r="F914" s="298" t="b">
        <v>0</v>
      </c>
      <c r="G914" s="278"/>
      <c r="H914" s="299" t="b">
        <v>0</v>
      </c>
      <c r="I914" s="277"/>
      <c r="J914" s="278"/>
      <c r="K914" s="277"/>
      <c r="L914" s="278"/>
      <c r="M914" s="277"/>
      <c r="N914" s="278"/>
      <c r="O914" s="277"/>
      <c r="P914" s="278"/>
      <c r="Q914" s="277"/>
      <c r="R914" s="278"/>
      <c r="S914" s="277"/>
      <c r="T914" s="278"/>
      <c r="U914" s="277"/>
      <c r="V914" s="278"/>
      <c r="W914" s="277"/>
      <c r="X914" s="278"/>
      <c r="Y914" s="277"/>
      <c r="Z914" s="278"/>
      <c r="AA914" s="277"/>
      <c r="AB914" s="278"/>
      <c r="AC914" s="277"/>
      <c r="AD914" s="278"/>
      <c r="AE914" s="277"/>
      <c r="AF914" s="278"/>
      <c r="AG914" s="277"/>
      <c r="AH914" s="278"/>
      <c r="AI914" s="277"/>
      <c r="AJ914" s="278"/>
      <c r="AK914" s="277"/>
      <c r="AL914" s="278"/>
      <c r="AM914" s="277"/>
      <c r="AN914" s="278"/>
      <c r="AO914" s="278"/>
      <c r="AP914" s="278"/>
      <c r="AQ914" s="278"/>
      <c r="AR914" s="278"/>
      <c r="AS914" s="278"/>
    </row>
    <row r="915" spans="1:45">
      <c r="A915" s="277"/>
      <c r="B915" s="298" t="b">
        <v>0</v>
      </c>
      <c r="C915" s="278"/>
      <c r="D915" s="299" t="b">
        <v>0</v>
      </c>
      <c r="E915" s="277"/>
      <c r="F915" s="298" t="b">
        <v>0</v>
      </c>
      <c r="G915" s="278"/>
      <c r="H915" s="299" t="b">
        <v>0</v>
      </c>
      <c r="I915" s="277"/>
      <c r="J915" s="278"/>
      <c r="K915" s="277"/>
      <c r="L915" s="278"/>
      <c r="M915" s="277"/>
      <c r="N915" s="278"/>
      <c r="O915" s="277"/>
      <c r="P915" s="278"/>
      <c r="Q915" s="277"/>
      <c r="R915" s="278"/>
      <c r="S915" s="277"/>
      <c r="T915" s="278"/>
      <c r="U915" s="277"/>
      <c r="V915" s="278"/>
      <c r="W915" s="277"/>
      <c r="X915" s="278"/>
      <c r="Y915" s="277"/>
      <c r="Z915" s="278"/>
      <c r="AA915" s="277"/>
      <c r="AB915" s="278"/>
      <c r="AC915" s="277"/>
      <c r="AD915" s="278"/>
      <c r="AE915" s="277"/>
      <c r="AF915" s="278"/>
      <c r="AG915" s="277"/>
      <c r="AH915" s="278"/>
      <c r="AI915" s="277"/>
      <c r="AJ915" s="278"/>
      <c r="AK915" s="277"/>
      <c r="AL915" s="278"/>
      <c r="AM915" s="277"/>
      <c r="AN915" s="278"/>
      <c r="AO915" s="278"/>
      <c r="AP915" s="278"/>
      <c r="AQ915" s="278"/>
      <c r="AR915" s="278"/>
      <c r="AS915" s="278"/>
    </row>
    <row r="916" spans="1:45">
      <c r="A916" s="277"/>
      <c r="B916" s="298" t="b">
        <v>0</v>
      </c>
      <c r="C916" s="278"/>
      <c r="D916" s="299" t="b">
        <v>0</v>
      </c>
      <c r="E916" s="277"/>
      <c r="F916" s="298" t="b">
        <v>0</v>
      </c>
      <c r="G916" s="278"/>
      <c r="H916" s="299" t="b">
        <v>0</v>
      </c>
      <c r="I916" s="277"/>
      <c r="J916" s="278"/>
      <c r="K916" s="277"/>
      <c r="L916" s="278"/>
      <c r="M916" s="277"/>
      <c r="N916" s="278"/>
      <c r="O916" s="277"/>
      <c r="P916" s="278"/>
      <c r="Q916" s="277"/>
      <c r="R916" s="278"/>
      <c r="S916" s="277"/>
      <c r="T916" s="278"/>
      <c r="U916" s="277"/>
      <c r="V916" s="278"/>
      <c r="W916" s="277"/>
      <c r="X916" s="278"/>
      <c r="Y916" s="277"/>
      <c r="Z916" s="278"/>
      <c r="AA916" s="277"/>
      <c r="AB916" s="278"/>
      <c r="AC916" s="277"/>
      <c r="AD916" s="278"/>
      <c r="AE916" s="277"/>
      <c r="AF916" s="278"/>
      <c r="AG916" s="277"/>
      <c r="AH916" s="278"/>
      <c r="AI916" s="277"/>
      <c r="AJ916" s="278"/>
      <c r="AK916" s="277"/>
      <c r="AL916" s="278"/>
      <c r="AM916" s="277"/>
      <c r="AN916" s="278"/>
      <c r="AO916" s="278"/>
      <c r="AP916" s="278"/>
      <c r="AQ916" s="278"/>
      <c r="AR916" s="278"/>
      <c r="AS916" s="278"/>
    </row>
    <row r="917" spans="1:45">
      <c r="A917" s="277"/>
      <c r="B917" s="298" t="b">
        <v>0</v>
      </c>
      <c r="C917" s="278"/>
      <c r="D917" s="299" t="b">
        <v>0</v>
      </c>
      <c r="E917" s="277"/>
      <c r="F917" s="298" t="b">
        <v>0</v>
      </c>
      <c r="G917" s="278"/>
      <c r="H917" s="299" t="b">
        <v>0</v>
      </c>
      <c r="I917" s="277"/>
      <c r="J917" s="278"/>
      <c r="K917" s="277"/>
      <c r="L917" s="278"/>
      <c r="M917" s="277"/>
      <c r="N917" s="278"/>
      <c r="O917" s="277"/>
      <c r="P917" s="278"/>
      <c r="Q917" s="277"/>
      <c r="R917" s="278"/>
      <c r="S917" s="277"/>
      <c r="T917" s="278"/>
      <c r="U917" s="277"/>
      <c r="V917" s="278"/>
      <c r="W917" s="277"/>
      <c r="X917" s="278"/>
      <c r="Y917" s="277"/>
      <c r="Z917" s="278"/>
      <c r="AA917" s="277"/>
      <c r="AB917" s="278"/>
      <c r="AC917" s="277"/>
      <c r="AD917" s="278"/>
      <c r="AE917" s="277"/>
      <c r="AF917" s="278"/>
      <c r="AG917" s="277"/>
      <c r="AH917" s="278"/>
      <c r="AI917" s="277"/>
      <c r="AJ917" s="278"/>
      <c r="AK917" s="277"/>
      <c r="AL917" s="278"/>
      <c r="AM917" s="277"/>
      <c r="AN917" s="278"/>
      <c r="AO917" s="278"/>
      <c r="AP917" s="278"/>
      <c r="AQ917" s="278"/>
      <c r="AR917" s="278"/>
      <c r="AS917" s="278"/>
    </row>
    <row r="918" spans="1:45">
      <c r="A918" s="277"/>
      <c r="B918" s="298" t="b">
        <v>0</v>
      </c>
      <c r="C918" s="278"/>
      <c r="D918" s="299" t="b">
        <v>0</v>
      </c>
      <c r="E918" s="277"/>
      <c r="F918" s="298" t="b">
        <v>0</v>
      </c>
      <c r="G918" s="278"/>
      <c r="H918" s="299" t="b">
        <v>0</v>
      </c>
      <c r="I918" s="277"/>
      <c r="J918" s="278"/>
      <c r="K918" s="277"/>
      <c r="L918" s="278"/>
      <c r="M918" s="277"/>
      <c r="N918" s="278"/>
      <c r="O918" s="277"/>
      <c r="P918" s="278"/>
      <c r="Q918" s="277"/>
      <c r="R918" s="278"/>
      <c r="S918" s="277"/>
      <c r="T918" s="278"/>
      <c r="U918" s="277"/>
      <c r="V918" s="278"/>
      <c r="W918" s="277"/>
      <c r="X918" s="278"/>
      <c r="Y918" s="277"/>
      <c r="Z918" s="278"/>
      <c r="AA918" s="277"/>
      <c r="AB918" s="278"/>
      <c r="AC918" s="277"/>
      <c r="AD918" s="278"/>
      <c r="AE918" s="277"/>
      <c r="AF918" s="278"/>
      <c r="AG918" s="277"/>
      <c r="AH918" s="278"/>
      <c r="AI918" s="277"/>
      <c r="AJ918" s="278"/>
      <c r="AK918" s="277"/>
      <c r="AL918" s="278"/>
      <c r="AM918" s="277"/>
      <c r="AN918" s="278"/>
      <c r="AO918" s="278"/>
      <c r="AP918" s="278"/>
      <c r="AQ918" s="278"/>
      <c r="AR918" s="278"/>
      <c r="AS918" s="278"/>
    </row>
    <row r="919" spans="1:45">
      <c r="A919" s="277"/>
      <c r="B919" s="298" t="b">
        <v>0</v>
      </c>
      <c r="C919" s="278"/>
      <c r="D919" s="299" t="b">
        <v>0</v>
      </c>
      <c r="E919" s="277"/>
      <c r="F919" s="298" t="b">
        <v>0</v>
      </c>
      <c r="G919" s="278"/>
      <c r="H919" s="299" t="b">
        <v>0</v>
      </c>
      <c r="I919" s="277"/>
      <c r="J919" s="278"/>
      <c r="K919" s="277"/>
      <c r="L919" s="278"/>
      <c r="M919" s="277"/>
      <c r="N919" s="278"/>
      <c r="O919" s="277"/>
      <c r="P919" s="278"/>
      <c r="Q919" s="277"/>
      <c r="R919" s="278"/>
      <c r="S919" s="277"/>
      <c r="T919" s="278"/>
      <c r="U919" s="277"/>
      <c r="V919" s="278"/>
      <c r="W919" s="277"/>
      <c r="X919" s="278"/>
      <c r="Y919" s="277"/>
      <c r="Z919" s="278"/>
      <c r="AA919" s="277"/>
      <c r="AB919" s="278"/>
      <c r="AC919" s="277"/>
      <c r="AD919" s="278"/>
      <c r="AE919" s="277"/>
      <c r="AF919" s="278"/>
      <c r="AG919" s="277"/>
      <c r="AH919" s="278"/>
      <c r="AI919" s="277"/>
      <c r="AJ919" s="278"/>
      <c r="AK919" s="277"/>
      <c r="AL919" s="278"/>
      <c r="AM919" s="277"/>
      <c r="AN919" s="278"/>
      <c r="AO919" s="278"/>
      <c r="AP919" s="278"/>
      <c r="AQ919" s="278"/>
      <c r="AR919" s="278"/>
      <c r="AS919" s="278"/>
    </row>
    <row r="920" spans="1:45">
      <c r="A920" s="277"/>
      <c r="B920" s="298" t="b">
        <v>0</v>
      </c>
      <c r="C920" s="278"/>
      <c r="D920" s="299" t="b">
        <v>0</v>
      </c>
      <c r="E920" s="277"/>
      <c r="F920" s="298" t="b">
        <v>0</v>
      </c>
      <c r="G920" s="278"/>
      <c r="H920" s="299" t="b">
        <v>0</v>
      </c>
      <c r="I920" s="277"/>
      <c r="J920" s="278"/>
      <c r="K920" s="277"/>
      <c r="L920" s="278"/>
      <c r="M920" s="277"/>
      <c r="N920" s="278"/>
      <c r="O920" s="277"/>
      <c r="P920" s="278"/>
      <c r="Q920" s="277"/>
      <c r="R920" s="278"/>
      <c r="S920" s="277"/>
      <c r="T920" s="278"/>
      <c r="U920" s="277"/>
      <c r="V920" s="278"/>
      <c r="W920" s="277"/>
      <c r="X920" s="278"/>
      <c r="Y920" s="277"/>
      <c r="Z920" s="278"/>
      <c r="AA920" s="277"/>
      <c r="AB920" s="278"/>
      <c r="AC920" s="277"/>
      <c r="AD920" s="278"/>
      <c r="AE920" s="277"/>
      <c r="AF920" s="278"/>
      <c r="AG920" s="277"/>
      <c r="AH920" s="278"/>
      <c r="AI920" s="277"/>
      <c r="AJ920" s="278"/>
      <c r="AK920" s="277"/>
      <c r="AL920" s="278"/>
      <c r="AM920" s="277"/>
      <c r="AN920" s="278"/>
      <c r="AO920" s="278"/>
      <c r="AP920" s="278"/>
      <c r="AQ920" s="278"/>
      <c r="AR920" s="278"/>
      <c r="AS920" s="278"/>
    </row>
    <row r="921" spans="1:45">
      <c r="A921" s="277"/>
      <c r="B921" s="298" t="b">
        <v>0</v>
      </c>
      <c r="C921" s="278"/>
      <c r="D921" s="299" t="b">
        <v>0</v>
      </c>
      <c r="E921" s="277"/>
      <c r="F921" s="298" t="b">
        <v>0</v>
      </c>
      <c r="G921" s="278"/>
      <c r="H921" s="299" t="b">
        <v>0</v>
      </c>
      <c r="I921" s="277"/>
      <c r="J921" s="278"/>
      <c r="K921" s="277"/>
      <c r="L921" s="278"/>
      <c r="M921" s="277"/>
      <c r="N921" s="278"/>
      <c r="O921" s="277"/>
      <c r="P921" s="278"/>
      <c r="Q921" s="277"/>
      <c r="R921" s="278"/>
      <c r="S921" s="277"/>
      <c r="T921" s="278"/>
      <c r="U921" s="277"/>
      <c r="V921" s="278"/>
      <c r="W921" s="277"/>
      <c r="X921" s="278"/>
      <c r="Y921" s="277"/>
      <c r="Z921" s="278"/>
      <c r="AA921" s="277"/>
      <c r="AB921" s="278"/>
      <c r="AC921" s="277"/>
      <c r="AD921" s="278"/>
      <c r="AE921" s="277"/>
      <c r="AF921" s="278"/>
      <c r="AG921" s="277"/>
      <c r="AH921" s="278"/>
      <c r="AI921" s="277"/>
      <c r="AJ921" s="278"/>
      <c r="AK921" s="277"/>
      <c r="AL921" s="278"/>
      <c r="AM921" s="277"/>
      <c r="AN921" s="278"/>
      <c r="AO921" s="278"/>
      <c r="AP921" s="278"/>
      <c r="AQ921" s="278"/>
      <c r="AR921" s="278"/>
      <c r="AS921" s="278"/>
    </row>
    <row r="922" spans="1:45">
      <c r="A922" s="277"/>
      <c r="B922" s="298" t="b">
        <v>0</v>
      </c>
      <c r="C922" s="278"/>
      <c r="D922" s="299" t="b">
        <v>0</v>
      </c>
      <c r="E922" s="277"/>
      <c r="F922" s="298" t="b">
        <v>0</v>
      </c>
      <c r="G922" s="278"/>
      <c r="H922" s="299" t="b">
        <v>0</v>
      </c>
      <c r="I922" s="277"/>
      <c r="J922" s="278"/>
      <c r="K922" s="277"/>
      <c r="L922" s="278"/>
      <c r="M922" s="277"/>
      <c r="N922" s="278"/>
      <c r="O922" s="277"/>
      <c r="P922" s="278"/>
      <c r="Q922" s="277"/>
      <c r="R922" s="278"/>
      <c r="S922" s="277"/>
      <c r="T922" s="278"/>
      <c r="U922" s="277"/>
      <c r="V922" s="278"/>
      <c r="W922" s="277"/>
      <c r="X922" s="278"/>
      <c r="Y922" s="277"/>
      <c r="Z922" s="278"/>
      <c r="AA922" s="277"/>
      <c r="AB922" s="278"/>
      <c r="AC922" s="277"/>
      <c r="AD922" s="278"/>
      <c r="AE922" s="277"/>
      <c r="AF922" s="278"/>
      <c r="AG922" s="277"/>
      <c r="AH922" s="278"/>
      <c r="AI922" s="277"/>
      <c r="AJ922" s="278"/>
      <c r="AK922" s="277"/>
      <c r="AL922" s="278"/>
      <c r="AM922" s="277"/>
      <c r="AN922" s="278"/>
      <c r="AO922" s="278"/>
      <c r="AP922" s="278"/>
      <c r="AQ922" s="278"/>
      <c r="AR922" s="278"/>
      <c r="AS922" s="278"/>
    </row>
    <row r="923" spans="1:45">
      <c r="A923" s="277"/>
      <c r="B923" s="298" t="b">
        <v>0</v>
      </c>
      <c r="C923" s="278"/>
      <c r="D923" s="299" t="b">
        <v>0</v>
      </c>
      <c r="E923" s="277"/>
      <c r="F923" s="298" t="b">
        <v>0</v>
      </c>
      <c r="G923" s="278"/>
      <c r="H923" s="299" t="b">
        <v>0</v>
      </c>
      <c r="I923" s="277"/>
      <c r="J923" s="278"/>
      <c r="K923" s="277"/>
      <c r="L923" s="278"/>
      <c r="M923" s="277"/>
      <c r="N923" s="278"/>
      <c r="O923" s="277"/>
      <c r="P923" s="278"/>
      <c r="Q923" s="277"/>
      <c r="R923" s="278"/>
      <c r="S923" s="277"/>
      <c r="T923" s="278"/>
      <c r="U923" s="277"/>
      <c r="V923" s="278"/>
      <c r="W923" s="277"/>
      <c r="X923" s="278"/>
      <c r="Y923" s="277"/>
      <c r="Z923" s="278"/>
      <c r="AA923" s="277"/>
      <c r="AB923" s="278"/>
      <c r="AC923" s="277"/>
      <c r="AD923" s="278"/>
      <c r="AE923" s="277"/>
      <c r="AF923" s="278"/>
      <c r="AG923" s="277"/>
      <c r="AH923" s="278"/>
      <c r="AI923" s="277"/>
      <c r="AJ923" s="278"/>
      <c r="AK923" s="277"/>
      <c r="AL923" s="278"/>
      <c r="AM923" s="277"/>
      <c r="AN923" s="278"/>
      <c r="AO923" s="278"/>
      <c r="AP923" s="278"/>
      <c r="AQ923" s="278"/>
      <c r="AR923" s="278"/>
      <c r="AS923" s="278"/>
    </row>
    <row r="924" spans="1:45">
      <c r="A924" s="277"/>
      <c r="B924" s="298" t="b">
        <v>0</v>
      </c>
      <c r="C924" s="278"/>
      <c r="D924" s="299" t="b">
        <v>0</v>
      </c>
      <c r="E924" s="277"/>
      <c r="F924" s="298" t="b">
        <v>0</v>
      </c>
      <c r="G924" s="278"/>
      <c r="H924" s="299" t="b">
        <v>0</v>
      </c>
      <c r="I924" s="277"/>
      <c r="J924" s="278"/>
      <c r="K924" s="277"/>
      <c r="L924" s="278"/>
      <c r="M924" s="277"/>
      <c r="N924" s="278"/>
      <c r="O924" s="277"/>
      <c r="P924" s="278"/>
      <c r="Q924" s="277"/>
      <c r="R924" s="278"/>
      <c r="S924" s="277"/>
      <c r="T924" s="278"/>
      <c r="U924" s="277"/>
      <c r="V924" s="278"/>
      <c r="W924" s="277"/>
      <c r="X924" s="278"/>
      <c r="Y924" s="277"/>
      <c r="Z924" s="278"/>
      <c r="AA924" s="277"/>
      <c r="AB924" s="278"/>
      <c r="AC924" s="277"/>
      <c r="AD924" s="278"/>
      <c r="AE924" s="277"/>
      <c r="AF924" s="278"/>
      <c r="AG924" s="277"/>
      <c r="AH924" s="278"/>
      <c r="AI924" s="277"/>
      <c r="AJ924" s="278"/>
      <c r="AK924" s="277"/>
      <c r="AL924" s="278"/>
      <c r="AM924" s="277"/>
      <c r="AN924" s="278"/>
      <c r="AO924" s="278"/>
      <c r="AP924" s="278"/>
      <c r="AQ924" s="278"/>
      <c r="AR924" s="278"/>
      <c r="AS924" s="278"/>
    </row>
    <row r="925" spans="1:45">
      <c r="A925" s="277"/>
      <c r="B925" s="298" t="b">
        <v>0</v>
      </c>
      <c r="C925" s="278"/>
      <c r="D925" s="299" t="b">
        <v>0</v>
      </c>
      <c r="E925" s="277"/>
      <c r="F925" s="298" t="b">
        <v>0</v>
      </c>
      <c r="G925" s="278"/>
      <c r="H925" s="299" t="b">
        <v>0</v>
      </c>
      <c r="I925" s="277"/>
      <c r="J925" s="278"/>
      <c r="K925" s="277"/>
      <c r="L925" s="278"/>
      <c r="M925" s="277"/>
      <c r="N925" s="278"/>
      <c r="O925" s="277"/>
      <c r="P925" s="278"/>
      <c r="Q925" s="277"/>
      <c r="R925" s="278"/>
      <c r="S925" s="277"/>
      <c r="T925" s="278"/>
      <c r="U925" s="277"/>
      <c r="V925" s="278"/>
      <c r="W925" s="277"/>
      <c r="X925" s="278"/>
      <c r="Y925" s="277"/>
      <c r="Z925" s="278"/>
      <c r="AA925" s="277"/>
      <c r="AB925" s="278"/>
      <c r="AC925" s="277"/>
      <c r="AD925" s="278"/>
      <c r="AE925" s="277"/>
      <c r="AF925" s="278"/>
      <c r="AG925" s="277"/>
      <c r="AH925" s="278"/>
      <c r="AI925" s="277"/>
      <c r="AJ925" s="278"/>
      <c r="AK925" s="277"/>
      <c r="AL925" s="278"/>
      <c r="AM925" s="277"/>
      <c r="AN925" s="278"/>
      <c r="AO925" s="278"/>
      <c r="AP925" s="278"/>
      <c r="AQ925" s="278"/>
      <c r="AR925" s="278"/>
      <c r="AS925" s="278"/>
    </row>
    <row r="926" spans="1:45">
      <c r="A926" s="277"/>
      <c r="B926" s="298" t="b">
        <v>0</v>
      </c>
      <c r="C926" s="278"/>
      <c r="D926" s="299" t="b">
        <v>0</v>
      </c>
      <c r="E926" s="277"/>
      <c r="F926" s="298" t="b">
        <v>0</v>
      </c>
      <c r="G926" s="278"/>
      <c r="H926" s="299" t="b">
        <v>0</v>
      </c>
      <c r="I926" s="277"/>
      <c r="J926" s="278"/>
      <c r="K926" s="277"/>
      <c r="L926" s="278"/>
      <c r="M926" s="277"/>
      <c r="N926" s="278"/>
      <c r="O926" s="277"/>
      <c r="P926" s="278"/>
      <c r="Q926" s="277"/>
      <c r="R926" s="278"/>
      <c r="S926" s="277"/>
      <c r="T926" s="278"/>
      <c r="U926" s="277"/>
      <c r="V926" s="278"/>
      <c r="W926" s="277"/>
      <c r="X926" s="278"/>
      <c r="Y926" s="277"/>
      <c r="Z926" s="278"/>
      <c r="AA926" s="277"/>
      <c r="AB926" s="278"/>
      <c r="AC926" s="277"/>
      <c r="AD926" s="278"/>
      <c r="AE926" s="277"/>
      <c r="AF926" s="278"/>
      <c r="AG926" s="277"/>
      <c r="AH926" s="278"/>
      <c r="AI926" s="277"/>
      <c r="AJ926" s="278"/>
      <c r="AK926" s="277"/>
      <c r="AL926" s="278"/>
      <c r="AM926" s="277"/>
      <c r="AN926" s="278"/>
      <c r="AO926" s="278"/>
      <c r="AP926" s="278"/>
      <c r="AQ926" s="278"/>
      <c r="AR926" s="278"/>
      <c r="AS926" s="278"/>
    </row>
    <row r="927" spans="1:45">
      <c r="A927" s="277"/>
      <c r="B927" s="298" t="b">
        <v>0</v>
      </c>
      <c r="C927" s="278"/>
      <c r="D927" s="299" t="b">
        <v>0</v>
      </c>
      <c r="E927" s="277"/>
      <c r="F927" s="298" t="b">
        <v>0</v>
      </c>
      <c r="G927" s="278"/>
      <c r="H927" s="299" t="b">
        <v>0</v>
      </c>
      <c r="I927" s="277"/>
      <c r="J927" s="278"/>
      <c r="K927" s="277"/>
      <c r="L927" s="278"/>
      <c r="M927" s="277"/>
      <c r="N927" s="278"/>
      <c r="O927" s="277"/>
      <c r="P927" s="278"/>
      <c r="Q927" s="277"/>
      <c r="R927" s="278"/>
      <c r="S927" s="277"/>
      <c r="T927" s="278"/>
      <c r="U927" s="277"/>
      <c r="V927" s="278"/>
      <c r="W927" s="277"/>
      <c r="X927" s="278"/>
      <c r="Y927" s="277"/>
      <c r="Z927" s="278"/>
      <c r="AA927" s="277"/>
      <c r="AB927" s="278"/>
      <c r="AC927" s="277"/>
      <c r="AD927" s="278"/>
      <c r="AE927" s="277"/>
      <c r="AF927" s="278"/>
      <c r="AG927" s="277"/>
      <c r="AH927" s="278"/>
      <c r="AI927" s="277"/>
      <c r="AJ927" s="278"/>
      <c r="AK927" s="277"/>
      <c r="AL927" s="278"/>
      <c r="AM927" s="277"/>
      <c r="AN927" s="278"/>
      <c r="AO927" s="278"/>
      <c r="AP927" s="278"/>
      <c r="AQ927" s="278"/>
      <c r="AR927" s="278"/>
      <c r="AS927" s="278"/>
    </row>
    <row r="928" spans="1:45">
      <c r="A928" s="277"/>
      <c r="B928" s="298" t="b">
        <v>0</v>
      </c>
      <c r="C928" s="278"/>
      <c r="D928" s="299" t="b">
        <v>0</v>
      </c>
      <c r="E928" s="277"/>
      <c r="F928" s="298" t="b">
        <v>0</v>
      </c>
      <c r="G928" s="278"/>
      <c r="H928" s="299" t="b">
        <v>0</v>
      </c>
      <c r="I928" s="277"/>
      <c r="J928" s="278"/>
      <c r="K928" s="277"/>
      <c r="L928" s="278"/>
      <c r="M928" s="277"/>
      <c r="N928" s="278"/>
      <c r="O928" s="277"/>
      <c r="P928" s="278"/>
      <c r="Q928" s="277"/>
      <c r="R928" s="278"/>
      <c r="S928" s="277"/>
      <c r="T928" s="278"/>
      <c r="U928" s="277"/>
      <c r="V928" s="278"/>
      <c r="W928" s="277"/>
      <c r="X928" s="278"/>
      <c r="Y928" s="277"/>
      <c r="Z928" s="278"/>
      <c r="AA928" s="277"/>
      <c r="AB928" s="278"/>
      <c r="AC928" s="277"/>
      <c r="AD928" s="278"/>
      <c r="AE928" s="277"/>
      <c r="AF928" s="278"/>
      <c r="AG928" s="277"/>
      <c r="AH928" s="278"/>
      <c r="AI928" s="277"/>
      <c r="AJ928" s="278"/>
      <c r="AK928" s="277"/>
      <c r="AL928" s="278"/>
      <c r="AM928" s="277"/>
      <c r="AN928" s="278"/>
      <c r="AO928" s="278"/>
      <c r="AP928" s="278"/>
      <c r="AQ928" s="278"/>
      <c r="AR928" s="278"/>
      <c r="AS928" s="278"/>
    </row>
    <row r="929" spans="1:45">
      <c r="A929" s="277"/>
      <c r="B929" s="298" t="b">
        <v>0</v>
      </c>
      <c r="C929" s="278"/>
      <c r="D929" s="299" t="b">
        <v>0</v>
      </c>
      <c r="E929" s="277"/>
      <c r="F929" s="298" t="b">
        <v>0</v>
      </c>
      <c r="G929" s="278"/>
      <c r="H929" s="299" t="b">
        <v>0</v>
      </c>
      <c r="I929" s="277"/>
      <c r="J929" s="278"/>
      <c r="K929" s="277"/>
      <c r="L929" s="278"/>
      <c r="M929" s="277"/>
      <c r="N929" s="278"/>
      <c r="O929" s="277"/>
      <c r="P929" s="278"/>
      <c r="Q929" s="277"/>
      <c r="R929" s="278"/>
      <c r="S929" s="277"/>
      <c r="T929" s="278"/>
      <c r="U929" s="277"/>
      <c r="V929" s="278"/>
      <c r="W929" s="277"/>
      <c r="X929" s="278"/>
      <c r="Y929" s="277"/>
      <c r="Z929" s="278"/>
      <c r="AA929" s="277"/>
      <c r="AB929" s="278"/>
      <c r="AC929" s="277"/>
      <c r="AD929" s="278"/>
      <c r="AE929" s="277"/>
      <c r="AF929" s="278"/>
      <c r="AG929" s="277"/>
      <c r="AH929" s="278"/>
      <c r="AI929" s="277"/>
      <c r="AJ929" s="278"/>
      <c r="AK929" s="277"/>
      <c r="AL929" s="278"/>
      <c r="AM929" s="277"/>
      <c r="AN929" s="278"/>
      <c r="AO929" s="278"/>
      <c r="AP929" s="278"/>
      <c r="AQ929" s="278"/>
      <c r="AR929" s="278"/>
      <c r="AS929" s="278"/>
    </row>
    <row r="930" spans="1:45">
      <c r="A930" s="277"/>
      <c r="B930" s="298" t="b">
        <v>0</v>
      </c>
      <c r="C930" s="278"/>
      <c r="D930" s="299" t="b">
        <v>0</v>
      </c>
      <c r="E930" s="277"/>
      <c r="F930" s="298" t="b">
        <v>0</v>
      </c>
      <c r="G930" s="278"/>
      <c r="H930" s="299" t="b">
        <v>0</v>
      </c>
      <c r="I930" s="277"/>
      <c r="J930" s="278"/>
      <c r="K930" s="277"/>
      <c r="L930" s="278"/>
      <c r="M930" s="277"/>
      <c r="N930" s="278"/>
      <c r="O930" s="277"/>
      <c r="P930" s="278"/>
      <c r="Q930" s="277"/>
      <c r="R930" s="278"/>
      <c r="S930" s="277"/>
      <c r="T930" s="278"/>
      <c r="U930" s="277"/>
      <c r="V930" s="278"/>
      <c r="W930" s="277"/>
      <c r="X930" s="278"/>
      <c r="Y930" s="277"/>
      <c r="Z930" s="278"/>
      <c r="AA930" s="277"/>
      <c r="AB930" s="278"/>
      <c r="AC930" s="277"/>
      <c r="AD930" s="278"/>
      <c r="AE930" s="277"/>
      <c r="AF930" s="278"/>
      <c r="AG930" s="277"/>
      <c r="AH930" s="278"/>
      <c r="AI930" s="277"/>
      <c r="AJ930" s="278"/>
      <c r="AK930" s="277"/>
      <c r="AL930" s="278"/>
      <c r="AM930" s="277"/>
      <c r="AN930" s="278"/>
      <c r="AO930" s="278"/>
      <c r="AP930" s="278"/>
      <c r="AQ930" s="278"/>
      <c r="AR930" s="278"/>
      <c r="AS930" s="278"/>
    </row>
    <row r="931" spans="1:45">
      <c r="A931" s="277"/>
      <c r="B931" s="298" t="b">
        <v>0</v>
      </c>
      <c r="C931" s="278"/>
      <c r="D931" s="299" t="b">
        <v>0</v>
      </c>
      <c r="E931" s="277"/>
      <c r="F931" s="298" t="b">
        <v>0</v>
      </c>
      <c r="G931" s="278"/>
      <c r="H931" s="299" t="b">
        <v>0</v>
      </c>
      <c r="I931" s="277"/>
      <c r="J931" s="278"/>
      <c r="K931" s="277"/>
      <c r="L931" s="278"/>
      <c r="M931" s="277"/>
      <c r="N931" s="278"/>
      <c r="O931" s="277"/>
      <c r="P931" s="278"/>
      <c r="Q931" s="277"/>
      <c r="R931" s="278"/>
      <c r="S931" s="277"/>
      <c r="T931" s="278"/>
      <c r="U931" s="277"/>
      <c r="V931" s="278"/>
      <c r="W931" s="277"/>
      <c r="X931" s="278"/>
      <c r="Y931" s="277"/>
      <c r="Z931" s="278"/>
      <c r="AA931" s="277"/>
      <c r="AB931" s="278"/>
      <c r="AC931" s="277"/>
      <c r="AD931" s="278"/>
      <c r="AE931" s="277"/>
      <c r="AF931" s="278"/>
      <c r="AG931" s="277"/>
      <c r="AH931" s="278"/>
      <c r="AI931" s="277"/>
      <c r="AJ931" s="278"/>
      <c r="AK931" s="277"/>
      <c r="AL931" s="278"/>
      <c r="AM931" s="277"/>
      <c r="AN931" s="278"/>
      <c r="AO931" s="278"/>
      <c r="AP931" s="278"/>
      <c r="AQ931" s="278"/>
      <c r="AR931" s="278"/>
      <c r="AS931" s="278"/>
    </row>
    <row r="932" spans="1:45">
      <c r="A932" s="277"/>
      <c r="B932" s="298" t="b">
        <v>0</v>
      </c>
      <c r="C932" s="278"/>
      <c r="D932" s="299" t="b">
        <v>0</v>
      </c>
      <c r="E932" s="277"/>
      <c r="F932" s="298" t="b">
        <v>0</v>
      </c>
      <c r="G932" s="278"/>
      <c r="H932" s="299" t="b">
        <v>0</v>
      </c>
      <c r="I932" s="277"/>
      <c r="J932" s="278"/>
      <c r="K932" s="277"/>
      <c r="L932" s="278"/>
      <c r="M932" s="277"/>
      <c r="N932" s="278"/>
      <c r="O932" s="277"/>
      <c r="P932" s="278"/>
      <c r="Q932" s="277"/>
      <c r="R932" s="278"/>
      <c r="S932" s="277"/>
      <c r="T932" s="278"/>
      <c r="U932" s="277"/>
      <c r="V932" s="278"/>
      <c r="W932" s="277"/>
      <c r="X932" s="278"/>
      <c r="Y932" s="277"/>
      <c r="Z932" s="278"/>
      <c r="AA932" s="277"/>
      <c r="AB932" s="278"/>
      <c r="AC932" s="277"/>
      <c r="AD932" s="278"/>
      <c r="AE932" s="277"/>
      <c r="AF932" s="278"/>
      <c r="AG932" s="277"/>
      <c r="AH932" s="278"/>
      <c r="AI932" s="277"/>
      <c r="AJ932" s="278"/>
      <c r="AK932" s="277"/>
      <c r="AL932" s="278"/>
      <c r="AM932" s="277"/>
      <c r="AN932" s="278"/>
      <c r="AO932" s="278"/>
      <c r="AP932" s="278"/>
      <c r="AQ932" s="278"/>
      <c r="AR932" s="278"/>
      <c r="AS932" s="278"/>
    </row>
    <row r="933" spans="1:45">
      <c r="A933" s="277"/>
      <c r="B933" s="298" t="b">
        <v>0</v>
      </c>
      <c r="C933" s="278"/>
      <c r="D933" s="299" t="b">
        <v>0</v>
      </c>
      <c r="E933" s="277"/>
      <c r="F933" s="298" t="b">
        <v>0</v>
      </c>
      <c r="G933" s="278"/>
      <c r="H933" s="299" t="b">
        <v>0</v>
      </c>
      <c r="I933" s="277"/>
      <c r="J933" s="278"/>
      <c r="K933" s="277"/>
      <c r="L933" s="278"/>
      <c r="M933" s="277"/>
      <c r="N933" s="278"/>
      <c r="O933" s="277"/>
      <c r="P933" s="278"/>
      <c r="Q933" s="277"/>
      <c r="R933" s="278"/>
      <c r="S933" s="277"/>
      <c r="T933" s="278"/>
      <c r="U933" s="277"/>
      <c r="V933" s="278"/>
      <c r="W933" s="277"/>
      <c r="X933" s="278"/>
      <c r="Y933" s="277"/>
      <c r="Z933" s="278"/>
      <c r="AA933" s="277"/>
      <c r="AB933" s="278"/>
      <c r="AC933" s="277"/>
      <c r="AD933" s="278"/>
      <c r="AE933" s="277"/>
      <c r="AF933" s="278"/>
      <c r="AG933" s="277"/>
      <c r="AH933" s="278"/>
      <c r="AI933" s="277"/>
      <c r="AJ933" s="278"/>
      <c r="AK933" s="277"/>
      <c r="AL933" s="278"/>
      <c r="AM933" s="277"/>
      <c r="AN933" s="278"/>
      <c r="AO933" s="278"/>
      <c r="AP933" s="278"/>
      <c r="AQ933" s="278"/>
      <c r="AR933" s="278"/>
      <c r="AS933" s="278"/>
    </row>
    <row r="934" spans="1:45">
      <c r="A934" s="277"/>
      <c r="B934" s="298" t="b">
        <v>0</v>
      </c>
      <c r="C934" s="278"/>
      <c r="D934" s="299" t="b">
        <v>0</v>
      </c>
      <c r="E934" s="277"/>
      <c r="F934" s="298" t="b">
        <v>0</v>
      </c>
      <c r="G934" s="278"/>
      <c r="H934" s="299" t="b">
        <v>0</v>
      </c>
      <c r="I934" s="277"/>
      <c r="J934" s="278"/>
      <c r="K934" s="277"/>
      <c r="L934" s="278"/>
      <c r="M934" s="277"/>
      <c r="N934" s="278"/>
      <c r="O934" s="277"/>
      <c r="P934" s="278"/>
      <c r="Q934" s="277"/>
      <c r="R934" s="278"/>
      <c r="S934" s="277"/>
      <c r="T934" s="278"/>
      <c r="U934" s="277"/>
      <c r="V934" s="278"/>
      <c r="W934" s="277"/>
      <c r="X934" s="278"/>
      <c r="Y934" s="277"/>
      <c r="Z934" s="278"/>
      <c r="AA934" s="277"/>
      <c r="AB934" s="278"/>
      <c r="AC934" s="277"/>
      <c r="AD934" s="278"/>
      <c r="AE934" s="277"/>
      <c r="AF934" s="278"/>
      <c r="AG934" s="277"/>
      <c r="AH934" s="278"/>
      <c r="AI934" s="277"/>
      <c r="AJ934" s="278"/>
      <c r="AK934" s="277"/>
      <c r="AL934" s="278"/>
      <c r="AM934" s="277"/>
      <c r="AN934" s="278"/>
      <c r="AO934" s="278"/>
      <c r="AP934" s="278"/>
      <c r="AQ934" s="278"/>
      <c r="AR934" s="278"/>
      <c r="AS934" s="278"/>
    </row>
    <row r="935" spans="1:45">
      <c r="A935" s="277"/>
      <c r="B935" s="298" t="b">
        <v>0</v>
      </c>
      <c r="C935" s="278"/>
      <c r="D935" s="299" t="b">
        <v>0</v>
      </c>
      <c r="E935" s="277"/>
      <c r="F935" s="298" t="b">
        <v>0</v>
      </c>
      <c r="G935" s="278"/>
      <c r="H935" s="299" t="b">
        <v>0</v>
      </c>
      <c r="I935" s="277"/>
      <c r="J935" s="278"/>
      <c r="K935" s="277"/>
      <c r="L935" s="278"/>
      <c r="M935" s="277"/>
      <c r="N935" s="278"/>
      <c r="O935" s="277"/>
      <c r="P935" s="278"/>
      <c r="Q935" s="277"/>
      <c r="R935" s="278"/>
      <c r="S935" s="277"/>
      <c r="T935" s="278"/>
      <c r="U935" s="277"/>
      <c r="V935" s="278"/>
      <c r="W935" s="277"/>
      <c r="X935" s="278"/>
      <c r="Y935" s="277"/>
      <c r="Z935" s="278"/>
      <c r="AA935" s="277"/>
      <c r="AB935" s="278"/>
      <c r="AC935" s="277"/>
      <c r="AD935" s="278"/>
      <c r="AE935" s="277"/>
      <c r="AF935" s="278"/>
      <c r="AG935" s="277"/>
      <c r="AH935" s="278"/>
      <c r="AI935" s="277"/>
      <c r="AJ935" s="278"/>
      <c r="AK935" s="277"/>
      <c r="AL935" s="278"/>
      <c r="AM935" s="277"/>
      <c r="AN935" s="278"/>
      <c r="AO935" s="278"/>
      <c r="AP935" s="278"/>
      <c r="AQ935" s="278"/>
      <c r="AR935" s="278"/>
      <c r="AS935" s="278"/>
    </row>
    <row r="936" spans="1:45">
      <c r="A936" s="277"/>
      <c r="B936" s="298" t="b">
        <v>0</v>
      </c>
      <c r="C936" s="278"/>
      <c r="D936" s="299" t="b">
        <v>0</v>
      </c>
      <c r="E936" s="277"/>
      <c r="F936" s="298" t="b">
        <v>0</v>
      </c>
      <c r="G936" s="278"/>
      <c r="H936" s="299" t="b">
        <v>0</v>
      </c>
      <c r="I936" s="277"/>
      <c r="J936" s="278"/>
      <c r="K936" s="277"/>
      <c r="L936" s="278"/>
      <c r="M936" s="277"/>
      <c r="N936" s="278"/>
      <c r="O936" s="277"/>
      <c r="P936" s="278"/>
      <c r="Q936" s="277"/>
      <c r="R936" s="278"/>
      <c r="S936" s="277"/>
      <c r="T936" s="278"/>
      <c r="U936" s="277"/>
      <c r="V936" s="278"/>
      <c r="W936" s="277"/>
      <c r="X936" s="278"/>
      <c r="Y936" s="277"/>
      <c r="Z936" s="278"/>
      <c r="AA936" s="277"/>
      <c r="AB936" s="278"/>
      <c r="AC936" s="277"/>
      <c r="AD936" s="278"/>
      <c r="AE936" s="277"/>
      <c r="AF936" s="278"/>
      <c r="AG936" s="277"/>
      <c r="AH936" s="278"/>
      <c r="AI936" s="277"/>
      <c r="AJ936" s="278"/>
      <c r="AK936" s="277"/>
      <c r="AL936" s="278"/>
      <c r="AM936" s="277"/>
      <c r="AN936" s="278"/>
      <c r="AO936" s="278"/>
      <c r="AP936" s="278"/>
      <c r="AQ936" s="278"/>
      <c r="AR936" s="278"/>
      <c r="AS936" s="278"/>
    </row>
    <row r="937" spans="1:45">
      <c r="A937" s="277"/>
      <c r="B937" s="298" t="b">
        <v>0</v>
      </c>
      <c r="C937" s="278"/>
      <c r="D937" s="299" t="b">
        <v>0</v>
      </c>
      <c r="E937" s="277"/>
      <c r="F937" s="298" t="b">
        <v>0</v>
      </c>
      <c r="G937" s="278"/>
      <c r="H937" s="299" t="b">
        <v>0</v>
      </c>
      <c r="I937" s="277"/>
      <c r="J937" s="278"/>
      <c r="K937" s="277"/>
      <c r="L937" s="278"/>
      <c r="M937" s="277"/>
      <c r="N937" s="278"/>
      <c r="O937" s="277"/>
      <c r="P937" s="278"/>
      <c r="Q937" s="277"/>
      <c r="R937" s="278"/>
      <c r="S937" s="277"/>
      <c r="T937" s="278"/>
      <c r="U937" s="277"/>
      <c r="V937" s="278"/>
      <c r="W937" s="277"/>
      <c r="X937" s="278"/>
      <c r="Y937" s="277"/>
      <c r="Z937" s="278"/>
      <c r="AA937" s="277"/>
      <c r="AB937" s="278"/>
      <c r="AC937" s="277"/>
      <c r="AD937" s="278"/>
      <c r="AE937" s="277"/>
      <c r="AF937" s="278"/>
      <c r="AG937" s="277"/>
      <c r="AH937" s="278"/>
      <c r="AI937" s="277"/>
      <c r="AJ937" s="278"/>
      <c r="AK937" s="277"/>
      <c r="AL937" s="278"/>
      <c r="AM937" s="277"/>
      <c r="AN937" s="278"/>
      <c r="AO937" s="278"/>
      <c r="AP937" s="278"/>
      <c r="AQ937" s="278"/>
      <c r="AR937" s="278"/>
      <c r="AS937" s="278"/>
    </row>
    <row r="938" spans="1:45">
      <c r="A938" s="277"/>
      <c r="B938" s="298" t="b">
        <v>0</v>
      </c>
      <c r="C938" s="278"/>
      <c r="D938" s="299" t="b">
        <v>0</v>
      </c>
      <c r="E938" s="277"/>
      <c r="F938" s="298" t="b">
        <v>0</v>
      </c>
      <c r="G938" s="278"/>
      <c r="H938" s="299" t="b">
        <v>0</v>
      </c>
      <c r="I938" s="277"/>
      <c r="J938" s="278"/>
      <c r="K938" s="277"/>
      <c r="L938" s="278"/>
      <c r="M938" s="277"/>
      <c r="N938" s="278"/>
      <c r="O938" s="277"/>
      <c r="P938" s="278"/>
      <c r="Q938" s="277"/>
      <c r="R938" s="278"/>
      <c r="S938" s="277"/>
      <c r="T938" s="278"/>
      <c r="U938" s="277"/>
      <c r="V938" s="278"/>
      <c r="W938" s="277"/>
      <c r="X938" s="278"/>
      <c r="Y938" s="277"/>
      <c r="Z938" s="278"/>
      <c r="AA938" s="277"/>
      <c r="AB938" s="278"/>
      <c r="AC938" s="277"/>
      <c r="AD938" s="278"/>
      <c r="AE938" s="277"/>
      <c r="AF938" s="278"/>
      <c r="AG938" s="277"/>
      <c r="AH938" s="278"/>
      <c r="AI938" s="277"/>
      <c r="AJ938" s="278"/>
      <c r="AK938" s="277"/>
      <c r="AL938" s="278"/>
      <c r="AM938" s="277"/>
      <c r="AN938" s="278"/>
      <c r="AO938" s="278"/>
      <c r="AP938" s="278"/>
      <c r="AQ938" s="278"/>
      <c r="AR938" s="278"/>
      <c r="AS938" s="278"/>
    </row>
    <row r="939" spans="1:45">
      <c r="A939" s="277"/>
      <c r="B939" s="298" t="b">
        <v>0</v>
      </c>
      <c r="C939" s="278"/>
      <c r="D939" s="299" t="b">
        <v>0</v>
      </c>
      <c r="E939" s="277"/>
      <c r="F939" s="298" t="b">
        <v>0</v>
      </c>
      <c r="G939" s="278"/>
      <c r="H939" s="299" t="b">
        <v>0</v>
      </c>
      <c r="I939" s="277"/>
      <c r="J939" s="278"/>
      <c r="K939" s="277"/>
      <c r="L939" s="278"/>
      <c r="M939" s="277"/>
      <c r="N939" s="278"/>
      <c r="O939" s="277"/>
      <c r="P939" s="278"/>
      <c r="Q939" s="277"/>
      <c r="R939" s="278"/>
      <c r="S939" s="277"/>
      <c r="T939" s="278"/>
      <c r="U939" s="277"/>
      <c r="V939" s="278"/>
      <c r="W939" s="277"/>
      <c r="X939" s="278"/>
      <c r="Y939" s="277"/>
      <c r="Z939" s="278"/>
      <c r="AA939" s="277"/>
      <c r="AB939" s="278"/>
      <c r="AC939" s="277"/>
      <c r="AD939" s="278"/>
      <c r="AE939" s="277"/>
      <c r="AF939" s="278"/>
      <c r="AG939" s="277"/>
      <c r="AH939" s="278"/>
      <c r="AI939" s="277"/>
      <c r="AJ939" s="278"/>
      <c r="AK939" s="277"/>
      <c r="AL939" s="278"/>
      <c r="AM939" s="277"/>
      <c r="AN939" s="278"/>
      <c r="AO939" s="278"/>
      <c r="AP939" s="278"/>
      <c r="AQ939" s="278"/>
      <c r="AR939" s="278"/>
      <c r="AS939" s="278"/>
    </row>
    <row r="940" spans="1:45">
      <c r="A940" s="277"/>
      <c r="B940" s="298" t="b">
        <v>0</v>
      </c>
      <c r="C940" s="278"/>
      <c r="D940" s="299" t="b">
        <v>0</v>
      </c>
      <c r="E940" s="277"/>
      <c r="F940" s="298" t="b">
        <v>0</v>
      </c>
      <c r="G940" s="278"/>
      <c r="H940" s="299" t="b">
        <v>0</v>
      </c>
      <c r="I940" s="277"/>
      <c r="J940" s="278"/>
      <c r="K940" s="277"/>
      <c r="L940" s="278"/>
      <c r="M940" s="277"/>
      <c r="N940" s="278"/>
      <c r="O940" s="277"/>
      <c r="P940" s="278"/>
      <c r="Q940" s="277"/>
      <c r="R940" s="278"/>
      <c r="S940" s="277"/>
      <c r="T940" s="278"/>
      <c r="U940" s="277"/>
      <c r="V940" s="278"/>
      <c r="W940" s="277"/>
      <c r="X940" s="278"/>
      <c r="Y940" s="277"/>
      <c r="Z940" s="278"/>
      <c r="AA940" s="277"/>
      <c r="AB940" s="278"/>
      <c r="AC940" s="277"/>
      <c r="AD940" s="278"/>
      <c r="AE940" s="277"/>
      <c r="AF940" s="278"/>
      <c r="AG940" s="277"/>
      <c r="AH940" s="278"/>
      <c r="AI940" s="277"/>
      <c r="AJ940" s="278"/>
      <c r="AK940" s="277"/>
      <c r="AL940" s="278"/>
      <c r="AM940" s="277"/>
      <c r="AN940" s="278"/>
      <c r="AO940" s="278"/>
      <c r="AP940" s="278"/>
      <c r="AQ940" s="278"/>
      <c r="AR940" s="278"/>
      <c r="AS940" s="278"/>
    </row>
    <row r="941" spans="1:45">
      <c r="A941" s="277"/>
      <c r="B941" s="298" t="b">
        <v>0</v>
      </c>
      <c r="C941" s="278"/>
      <c r="D941" s="299" t="b">
        <v>0</v>
      </c>
      <c r="E941" s="277"/>
      <c r="F941" s="298" t="b">
        <v>0</v>
      </c>
      <c r="G941" s="278"/>
      <c r="H941" s="299" t="b">
        <v>0</v>
      </c>
      <c r="I941" s="277"/>
      <c r="J941" s="278"/>
      <c r="K941" s="277"/>
      <c r="L941" s="278"/>
      <c r="M941" s="277"/>
      <c r="N941" s="278"/>
      <c r="O941" s="277"/>
      <c r="P941" s="278"/>
      <c r="Q941" s="277"/>
      <c r="R941" s="278"/>
      <c r="S941" s="277"/>
      <c r="T941" s="278"/>
      <c r="U941" s="277"/>
      <c r="V941" s="278"/>
      <c r="W941" s="277"/>
      <c r="X941" s="278"/>
      <c r="Y941" s="277"/>
      <c r="Z941" s="278"/>
      <c r="AA941" s="277"/>
      <c r="AB941" s="278"/>
      <c r="AC941" s="277"/>
      <c r="AD941" s="278"/>
      <c r="AE941" s="277"/>
      <c r="AF941" s="278"/>
      <c r="AG941" s="277"/>
      <c r="AH941" s="278"/>
      <c r="AI941" s="277"/>
      <c r="AJ941" s="278"/>
      <c r="AK941" s="277"/>
      <c r="AL941" s="278"/>
      <c r="AM941" s="277"/>
      <c r="AN941" s="278"/>
      <c r="AO941" s="278"/>
      <c r="AP941" s="278"/>
      <c r="AQ941" s="278"/>
      <c r="AR941" s="278"/>
      <c r="AS941" s="278"/>
    </row>
    <row r="942" spans="1:45">
      <c r="A942" s="277"/>
      <c r="B942" s="298" t="b">
        <v>0</v>
      </c>
      <c r="C942" s="278"/>
      <c r="D942" s="299" t="b">
        <v>0</v>
      </c>
      <c r="E942" s="277"/>
      <c r="F942" s="298" t="b">
        <v>0</v>
      </c>
      <c r="G942" s="278"/>
      <c r="H942" s="299" t="b">
        <v>0</v>
      </c>
      <c r="I942" s="277"/>
      <c r="J942" s="278"/>
      <c r="K942" s="277"/>
      <c r="L942" s="278"/>
      <c r="M942" s="277"/>
      <c r="N942" s="278"/>
      <c r="O942" s="277"/>
      <c r="P942" s="278"/>
      <c r="Q942" s="277"/>
      <c r="R942" s="278"/>
      <c r="S942" s="277"/>
      <c r="T942" s="278"/>
      <c r="U942" s="277"/>
      <c r="V942" s="278"/>
      <c r="W942" s="277"/>
      <c r="X942" s="278"/>
      <c r="Y942" s="277"/>
      <c r="Z942" s="278"/>
      <c r="AA942" s="277"/>
      <c r="AB942" s="278"/>
      <c r="AC942" s="277"/>
      <c r="AD942" s="278"/>
      <c r="AE942" s="277"/>
      <c r="AF942" s="278"/>
      <c r="AG942" s="277"/>
      <c r="AH942" s="278"/>
      <c r="AI942" s="277"/>
      <c r="AJ942" s="278"/>
      <c r="AK942" s="277"/>
      <c r="AL942" s="278"/>
      <c r="AM942" s="277"/>
      <c r="AN942" s="278"/>
      <c r="AO942" s="278"/>
      <c r="AP942" s="278"/>
      <c r="AQ942" s="278"/>
      <c r="AR942" s="278"/>
      <c r="AS942" s="278"/>
    </row>
    <row r="943" spans="1:45">
      <c r="A943" s="277"/>
      <c r="B943" s="298" t="b">
        <v>0</v>
      </c>
      <c r="C943" s="278"/>
      <c r="D943" s="299" t="b">
        <v>0</v>
      </c>
      <c r="E943" s="277"/>
      <c r="F943" s="298" t="b">
        <v>0</v>
      </c>
      <c r="G943" s="278"/>
      <c r="H943" s="299" t="b">
        <v>0</v>
      </c>
      <c r="I943" s="277"/>
      <c r="J943" s="278"/>
      <c r="K943" s="277"/>
      <c r="L943" s="278"/>
      <c r="M943" s="277"/>
      <c r="N943" s="278"/>
      <c r="O943" s="277"/>
      <c r="P943" s="278"/>
      <c r="Q943" s="277"/>
      <c r="R943" s="278"/>
      <c r="S943" s="277"/>
      <c r="T943" s="278"/>
      <c r="U943" s="277"/>
      <c r="V943" s="278"/>
      <c r="W943" s="277"/>
      <c r="X943" s="278"/>
      <c r="Y943" s="277"/>
      <c r="Z943" s="278"/>
      <c r="AA943" s="277"/>
      <c r="AB943" s="278"/>
      <c r="AC943" s="277"/>
      <c r="AD943" s="278"/>
      <c r="AE943" s="277"/>
      <c r="AF943" s="278"/>
      <c r="AG943" s="277"/>
      <c r="AH943" s="278"/>
      <c r="AI943" s="277"/>
      <c r="AJ943" s="278"/>
      <c r="AK943" s="277"/>
      <c r="AL943" s="278"/>
      <c r="AM943" s="277"/>
      <c r="AN943" s="278"/>
      <c r="AO943" s="278"/>
      <c r="AP943" s="278"/>
      <c r="AQ943" s="278"/>
      <c r="AR943" s="278"/>
      <c r="AS943" s="278"/>
    </row>
    <row r="944" spans="1:45">
      <c r="A944" s="277"/>
      <c r="B944" s="298" t="b">
        <v>0</v>
      </c>
      <c r="C944" s="278"/>
      <c r="D944" s="299" t="b">
        <v>0</v>
      </c>
      <c r="E944" s="277"/>
      <c r="F944" s="298" t="b">
        <v>0</v>
      </c>
      <c r="G944" s="278"/>
      <c r="H944" s="299" t="b">
        <v>0</v>
      </c>
      <c r="I944" s="277"/>
      <c r="J944" s="278"/>
      <c r="K944" s="277"/>
      <c r="L944" s="278"/>
      <c r="M944" s="277"/>
      <c r="N944" s="278"/>
      <c r="O944" s="277"/>
      <c r="P944" s="278"/>
      <c r="Q944" s="277"/>
      <c r="R944" s="278"/>
      <c r="S944" s="277"/>
      <c r="T944" s="278"/>
      <c r="U944" s="277"/>
      <c r="V944" s="278"/>
      <c r="W944" s="277"/>
      <c r="X944" s="278"/>
      <c r="Y944" s="277"/>
      <c r="Z944" s="278"/>
      <c r="AA944" s="277"/>
      <c r="AB944" s="278"/>
      <c r="AC944" s="277"/>
      <c r="AD944" s="278"/>
      <c r="AE944" s="277"/>
      <c r="AF944" s="278"/>
      <c r="AG944" s="277"/>
      <c r="AH944" s="278"/>
      <c r="AI944" s="277"/>
      <c r="AJ944" s="278"/>
      <c r="AK944" s="277"/>
      <c r="AL944" s="278"/>
      <c r="AM944" s="277"/>
      <c r="AN944" s="278"/>
      <c r="AO944" s="278"/>
      <c r="AP944" s="278"/>
      <c r="AQ944" s="278"/>
      <c r="AR944" s="278"/>
      <c r="AS944" s="278"/>
    </row>
    <row r="945" spans="1:45">
      <c r="A945" s="277"/>
      <c r="B945" s="298" t="b">
        <v>0</v>
      </c>
      <c r="C945" s="278"/>
      <c r="D945" s="299" t="b">
        <v>0</v>
      </c>
      <c r="E945" s="277"/>
      <c r="F945" s="298" t="b">
        <v>0</v>
      </c>
      <c r="G945" s="278"/>
      <c r="H945" s="299" t="b">
        <v>0</v>
      </c>
      <c r="I945" s="277"/>
      <c r="J945" s="278"/>
      <c r="K945" s="277"/>
      <c r="L945" s="278"/>
      <c r="M945" s="277"/>
      <c r="N945" s="278"/>
      <c r="O945" s="277"/>
      <c r="P945" s="278"/>
      <c r="Q945" s="277"/>
      <c r="R945" s="278"/>
      <c r="S945" s="277"/>
      <c r="T945" s="278"/>
      <c r="U945" s="277"/>
      <c r="V945" s="278"/>
      <c r="W945" s="277"/>
      <c r="X945" s="278"/>
      <c r="Y945" s="277"/>
      <c r="Z945" s="278"/>
      <c r="AA945" s="277"/>
      <c r="AB945" s="278"/>
      <c r="AC945" s="277"/>
      <c r="AD945" s="278"/>
      <c r="AE945" s="277"/>
      <c r="AF945" s="278"/>
      <c r="AG945" s="277"/>
      <c r="AH945" s="278"/>
      <c r="AI945" s="277"/>
      <c r="AJ945" s="278"/>
      <c r="AK945" s="277"/>
      <c r="AL945" s="278"/>
      <c r="AM945" s="277"/>
      <c r="AN945" s="278"/>
      <c r="AO945" s="278"/>
      <c r="AP945" s="278"/>
      <c r="AQ945" s="278"/>
      <c r="AR945" s="278"/>
      <c r="AS945" s="278"/>
    </row>
    <row r="946" spans="1:45">
      <c r="A946" s="277"/>
      <c r="B946" s="298" t="b">
        <v>0</v>
      </c>
      <c r="C946" s="278"/>
      <c r="D946" s="299" t="b">
        <v>0</v>
      </c>
      <c r="E946" s="277"/>
      <c r="F946" s="298" t="b">
        <v>0</v>
      </c>
      <c r="G946" s="278"/>
      <c r="H946" s="299" t="b">
        <v>0</v>
      </c>
      <c r="I946" s="277"/>
      <c r="J946" s="278"/>
      <c r="K946" s="277"/>
      <c r="L946" s="278"/>
      <c r="M946" s="277"/>
      <c r="N946" s="278"/>
      <c r="O946" s="277"/>
      <c r="P946" s="278"/>
      <c r="Q946" s="277"/>
      <c r="R946" s="278"/>
      <c r="S946" s="277"/>
      <c r="T946" s="278"/>
      <c r="U946" s="277"/>
      <c r="V946" s="278"/>
      <c r="W946" s="277"/>
      <c r="X946" s="278"/>
      <c r="Y946" s="277"/>
      <c r="Z946" s="278"/>
      <c r="AA946" s="277"/>
      <c r="AB946" s="278"/>
      <c r="AC946" s="277"/>
      <c r="AD946" s="278"/>
      <c r="AE946" s="277"/>
      <c r="AF946" s="278"/>
      <c r="AG946" s="277"/>
      <c r="AH946" s="278"/>
      <c r="AI946" s="277"/>
      <c r="AJ946" s="278"/>
      <c r="AK946" s="277"/>
      <c r="AL946" s="278"/>
      <c r="AM946" s="277"/>
      <c r="AN946" s="278"/>
      <c r="AO946" s="278"/>
      <c r="AP946" s="278"/>
      <c r="AQ946" s="278"/>
      <c r="AR946" s="278"/>
      <c r="AS946" s="278"/>
    </row>
    <row r="947" spans="1:45">
      <c r="A947" s="277"/>
      <c r="B947" s="298" t="b">
        <v>0</v>
      </c>
      <c r="C947" s="278"/>
      <c r="D947" s="299" t="b">
        <v>0</v>
      </c>
      <c r="E947" s="277"/>
      <c r="F947" s="298" t="b">
        <v>0</v>
      </c>
      <c r="G947" s="278"/>
      <c r="H947" s="299" t="b">
        <v>0</v>
      </c>
      <c r="I947" s="277"/>
      <c r="J947" s="278"/>
      <c r="K947" s="277"/>
      <c r="L947" s="278"/>
      <c r="M947" s="277"/>
      <c r="N947" s="278"/>
      <c r="O947" s="277"/>
      <c r="P947" s="278"/>
      <c r="Q947" s="277"/>
      <c r="R947" s="278"/>
      <c r="S947" s="277"/>
      <c r="T947" s="278"/>
      <c r="U947" s="277"/>
      <c r="V947" s="278"/>
      <c r="W947" s="277"/>
      <c r="X947" s="278"/>
      <c r="Y947" s="277"/>
      <c r="Z947" s="278"/>
      <c r="AA947" s="277"/>
      <c r="AB947" s="278"/>
      <c r="AC947" s="277"/>
      <c r="AD947" s="278"/>
      <c r="AE947" s="277"/>
      <c r="AF947" s="278"/>
      <c r="AG947" s="277"/>
      <c r="AH947" s="278"/>
      <c r="AI947" s="277"/>
      <c r="AJ947" s="278"/>
      <c r="AK947" s="277"/>
      <c r="AL947" s="278"/>
      <c r="AM947" s="277"/>
      <c r="AN947" s="278"/>
      <c r="AO947" s="278"/>
      <c r="AP947" s="278"/>
      <c r="AQ947" s="278"/>
      <c r="AR947" s="278"/>
      <c r="AS947" s="278"/>
    </row>
    <row r="948" spans="1:45">
      <c r="A948" s="277"/>
      <c r="B948" s="298" t="b">
        <v>0</v>
      </c>
      <c r="C948" s="278"/>
      <c r="D948" s="299" t="b">
        <v>0</v>
      </c>
      <c r="E948" s="277"/>
      <c r="F948" s="298" t="b">
        <v>0</v>
      </c>
      <c r="G948" s="278"/>
      <c r="H948" s="299" t="b">
        <v>0</v>
      </c>
      <c r="I948" s="277"/>
      <c r="J948" s="278"/>
      <c r="K948" s="277"/>
      <c r="L948" s="278"/>
      <c r="M948" s="277"/>
      <c r="N948" s="278"/>
      <c r="O948" s="277"/>
      <c r="P948" s="278"/>
      <c r="Q948" s="277"/>
      <c r="R948" s="278"/>
      <c r="S948" s="277"/>
      <c r="T948" s="278"/>
      <c r="U948" s="277"/>
      <c r="V948" s="278"/>
      <c r="W948" s="277"/>
      <c r="X948" s="278"/>
      <c r="Y948" s="277"/>
      <c r="Z948" s="278"/>
      <c r="AA948" s="277"/>
      <c r="AB948" s="278"/>
      <c r="AC948" s="277"/>
      <c r="AD948" s="278"/>
      <c r="AE948" s="277"/>
      <c r="AF948" s="278"/>
      <c r="AG948" s="277"/>
      <c r="AH948" s="278"/>
      <c r="AI948" s="277"/>
      <c r="AJ948" s="278"/>
      <c r="AK948" s="277"/>
      <c r="AL948" s="278"/>
      <c r="AM948" s="277"/>
      <c r="AN948" s="278"/>
      <c r="AO948" s="278"/>
      <c r="AP948" s="278"/>
      <c r="AQ948" s="278"/>
      <c r="AR948" s="278"/>
      <c r="AS948" s="278"/>
    </row>
    <row r="949" spans="1:45">
      <c r="A949" s="277"/>
      <c r="B949" s="298" t="b">
        <v>0</v>
      </c>
      <c r="C949" s="278"/>
      <c r="D949" s="299" t="b">
        <v>0</v>
      </c>
      <c r="E949" s="277"/>
      <c r="F949" s="298" t="b">
        <v>0</v>
      </c>
      <c r="G949" s="278"/>
      <c r="H949" s="299" t="b">
        <v>0</v>
      </c>
      <c r="I949" s="277"/>
      <c r="J949" s="278"/>
      <c r="K949" s="277"/>
      <c r="L949" s="278"/>
      <c r="M949" s="277"/>
      <c r="N949" s="278"/>
      <c r="O949" s="277"/>
      <c r="P949" s="278"/>
      <c r="Q949" s="277"/>
      <c r="R949" s="278"/>
      <c r="S949" s="277"/>
      <c r="T949" s="278"/>
      <c r="U949" s="277"/>
      <c r="V949" s="278"/>
      <c r="W949" s="277"/>
      <c r="X949" s="278"/>
      <c r="Y949" s="277"/>
      <c r="Z949" s="278"/>
      <c r="AA949" s="277"/>
      <c r="AB949" s="278"/>
      <c r="AC949" s="277"/>
      <c r="AD949" s="278"/>
      <c r="AE949" s="277"/>
      <c r="AF949" s="278"/>
      <c r="AG949" s="277"/>
      <c r="AH949" s="278"/>
      <c r="AI949" s="277"/>
      <c r="AJ949" s="278"/>
      <c r="AK949" s="277"/>
      <c r="AL949" s="278"/>
      <c r="AM949" s="277"/>
      <c r="AN949" s="278"/>
      <c r="AO949" s="278"/>
      <c r="AP949" s="278"/>
      <c r="AQ949" s="278"/>
      <c r="AR949" s="278"/>
      <c r="AS949" s="278"/>
    </row>
    <row r="950" spans="1:45">
      <c r="A950" s="277"/>
      <c r="B950" s="298" t="b">
        <v>0</v>
      </c>
      <c r="C950" s="278"/>
      <c r="D950" s="299" t="b">
        <v>0</v>
      </c>
      <c r="E950" s="277"/>
      <c r="F950" s="298" t="b">
        <v>0</v>
      </c>
      <c r="G950" s="278"/>
      <c r="H950" s="299" t="b">
        <v>0</v>
      </c>
      <c r="I950" s="277"/>
      <c r="J950" s="278"/>
      <c r="K950" s="277"/>
      <c r="L950" s="278"/>
      <c r="M950" s="277"/>
      <c r="N950" s="278"/>
      <c r="O950" s="277"/>
      <c r="P950" s="278"/>
      <c r="Q950" s="277"/>
      <c r="R950" s="278"/>
      <c r="S950" s="277"/>
      <c r="T950" s="278"/>
      <c r="U950" s="277"/>
      <c r="V950" s="278"/>
      <c r="W950" s="277"/>
      <c r="X950" s="278"/>
      <c r="Y950" s="277"/>
      <c r="Z950" s="278"/>
      <c r="AA950" s="277"/>
      <c r="AB950" s="278"/>
      <c r="AC950" s="277"/>
      <c r="AD950" s="278"/>
      <c r="AE950" s="277"/>
      <c r="AF950" s="278"/>
      <c r="AG950" s="277"/>
      <c r="AH950" s="278"/>
      <c r="AI950" s="277"/>
      <c r="AJ950" s="278"/>
      <c r="AK950" s="277"/>
      <c r="AL950" s="278"/>
      <c r="AM950" s="277"/>
      <c r="AN950" s="278"/>
      <c r="AO950" s="278"/>
      <c r="AP950" s="278"/>
      <c r="AQ950" s="278"/>
      <c r="AR950" s="278"/>
      <c r="AS950" s="278"/>
    </row>
    <row r="951" spans="1:45">
      <c r="A951" s="277"/>
      <c r="B951" s="298" t="b">
        <v>0</v>
      </c>
      <c r="C951" s="278"/>
      <c r="D951" s="299" t="b">
        <v>0</v>
      </c>
      <c r="E951" s="277"/>
      <c r="F951" s="298" t="b">
        <v>0</v>
      </c>
      <c r="G951" s="278"/>
      <c r="H951" s="299" t="b">
        <v>0</v>
      </c>
      <c r="I951" s="277"/>
      <c r="J951" s="278"/>
      <c r="K951" s="277"/>
      <c r="L951" s="278"/>
      <c r="M951" s="277"/>
      <c r="N951" s="278"/>
      <c r="O951" s="277"/>
      <c r="P951" s="278"/>
      <c r="Q951" s="277"/>
      <c r="R951" s="278"/>
      <c r="S951" s="277"/>
      <c r="T951" s="278"/>
      <c r="U951" s="277"/>
      <c r="V951" s="278"/>
      <c r="W951" s="277"/>
      <c r="X951" s="278"/>
      <c r="Y951" s="277"/>
      <c r="Z951" s="278"/>
      <c r="AA951" s="277"/>
      <c r="AB951" s="278"/>
      <c r="AC951" s="277"/>
      <c r="AD951" s="278"/>
      <c r="AE951" s="277"/>
      <c r="AF951" s="278"/>
      <c r="AG951" s="277"/>
      <c r="AH951" s="278"/>
      <c r="AI951" s="277"/>
      <c r="AJ951" s="278"/>
      <c r="AK951" s="277"/>
      <c r="AL951" s="278"/>
      <c r="AM951" s="277"/>
      <c r="AN951" s="278"/>
      <c r="AO951" s="278"/>
      <c r="AP951" s="278"/>
      <c r="AQ951" s="278"/>
      <c r="AR951" s="278"/>
      <c r="AS951" s="278"/>
    </row>
    <row r="952" spans="1:45">
      <c r="A952" s="277"/>
      <c r="B952" s="298" t="b">
        <v>0</v>
      </c>
      <c r="C952" s="278"/>
      <c r="D952" s="299" t="b">
        <v>0</v>
      </c>
      <c r="E952" s="277"/>
      <c r="F952" s="298" t="b">
        <v>0</v>
      </c>
      <c r="G952" s="278"/>
      <c r="H952" s="299" t="b">
        <v>0</v>
      </c>
      <c r="I952" s="277"/>
      <c r="J952" s="278"/>
      <c r="K952" s="277"/>
      <c r="L952" s="278"/>
      <c r="M952" s="277"/>
      <c r="N952" s="278"/>
      <c r="O952" s="277"/>
      <c r="P952" s="278"/>
      <c r="Q952" s="277"/>
      <c r="R952" s="278"/>
      <c r="S952" s="277"/>
      <c r="T952" s="278"/>
      <c r="U952" s="277"/>
      <c r="V952" s="278"/>
      <c r="W952" s="277"/>
      <c r="X952" s="278"/>
      <c r="Y952" s="277"/>
      <c r="Z952" s="278"/>
      <c r="AA952" s="277"/>
      <c r="AB952" s="278"/>
      <c r="AC952" s="277"/>
      <c r="AD952" s="278"/>
      <c r="AE952" s="277"/>
      <c r="AF952" s="278"/>
      <c r="AG952" s="277"/>
      <c r="AH952" s="278"/>
      <c r="AI952" s="277"/>
      <c r="AJ952" s="278"/>
      <c r="AK952" s="277"/>
      <c r="AL952" s="278"/>
      <c r="AM952" s="277"/>
      <c r="AN952" s="278"/>
      <c r="AO952" s="278"/>
      <c r="AP952" s="278"/>
      <c r="AQ952" s="278"/>
      <c r="AR952" s="278"/>
      <c r="AS952" s="278"/>
    </row>
    <row r="953" spans="1:45">
      <c r="A953" s="277"/>
      <c r="B953" s="298" t="b">
        <v>0</v>
      </c>
      <c r="C953" s="278"/>
      <c r="D953" s="299" t="b">
        <v>0</v>
      </c>
      <c r="E953" s="277"/>
      <c r="F953" s="298" t="b">
        <v>0</v>
      </c>
      <c r="G953" s="278"/>
      <c r="H953" s="299" t="b">
        <v>0</v>
      </c>
      <c r="I953" s="277"/>
      <c r="J953" s="278"/>
      <c r="K953" s="277"/>
      <c r="L953" s="278"/>
      <c r="M953" s="277"/>
      <c r="N953" s="278"/>
      <c r="O953" s="277"/>
      <c r="P953" s="278"/>
      <c r="Q953" s="277"/>
      <c r="R953" s="278"/>
      <c r="S953" s="277"/>
      <c r="T953" s="278"/>
      <c r="U953" s="277"/>
      <c r="V953" s="278"/>
      <c r="W953" s="277"/>
      <c r="X953" s="278"/>
      <c r="Y953" s="277"/>
      <c r="Z953" s="278"/>
      <c r="AA953" s="277"/>
      <c r="AB953" s="278"/>
      <c r="AC953" s="277"/>
      <c r="AD953" s="278"/>
      <c r="AE953" s="277"/>
      <c r="AF953" s="278"/>
      <c r="AG953" s="277"/>
      <c r="AH953" s="278"/>
      <c r="AI953" s="277"/>
      <c r="AJ953" s="278"/>
      <c r="AK953" s="277"/>
      <c r="AL953" s="278"/>
      <c r="AM953" s="277"/>
      <c r="AN953" s="278"/>
      <c r="AO953" s="278"/>
      <c r="AP953" s="278"/>
      <c r="AQ953" s="278"/>
      <c r="AR953" s="278"/>
      <c r="AS953" s="278"/>
    </row>
    <row r="954" spans="1:45">
      <c r="A954" s="277"/>
      <c r="B954" s="298" t="b">
        <v>0</v>
      </c>
      <c r="C954" s="278"/>
      <c r="D954" s="299" t="b">
        <v>0</v>
      </c>
      <c r="E954" s="277"/>
      <c r="F954" s="298" t="b">
        <v>0</v>
      </c>
      <c r="G954" s="278"/>
      <c r="H954" s="299" t="b">
        <v>0</v>
      </c>
      <c r="I954" s="277"/>
      <c r="J954" s="278"/>
      <c r="K954" s="277"/>
      <c r="L954" s="278"/>
      <c r="M954" s="277"/>
      <c r="N954" s="278"/>
      <c r="O954" s="277"/>
      <c r="P954" s="278"/>
      <c r="Q954" s="277"/>
      <c r="R954" s="278"/>
      <c r="S954" s="277"/>
      <c r="T954" s="278"/>
      <c r="U954" s="277"/>
      <c r="V954" s="278"/>
      <c r="W954" s="277"/>
      <c r="X954" s="278"/>
      <c r="Y954" s="277"/>
      <c r="Z954" s="278"/>
      <c r="AA954" s="277"/>
      <c r="AB954" s="278"/>
      <c r="AC954" s="277"/>
      <c r="AD954" s="278"/>
      <c r="AE954" s="277"/>
      <c r="AF954" s="278"/>
      <c r="AG954" s="277"/>
      <c r="AH954" s="278"/>
      <c r="AI954" s="277"/>
      <c r="AJ954" s="278"/>
      <c r="AK954" s="277"/>
      <c r="AL954" s="278"/>
      <c r="AM954" s="277"/>
      <c r="AN954" s="278"/>
      <c r="AO954" s="278"/>
      <c r="AP954" s="278"/>
      <c r="AQ954" s="278"/>
      <c r="AR954" s="278"/>
      <c r="AS954" s="278"/>
    </row>
    <row r="955" spans="1:45">
      <c r="A955" s="277"/>
      <c r="B955" s="298" t="b">
        <v>0</v>
      </c>
      <c r="C955" s="278"/>
      <c r="D955" s="299" t="b">
        <v>0</v>
      </c>
      <c r="E955" s="277"/>
      <c r="F955" s="298" t="b">
        <v>0</v>
      </c>
      <c r="G955" s="278"/>
      <c r="H955" s="299" t="b">
        <v>0</v>
      </c>
      <c r="I955" s="277"/>
      <c r="J955" s="278"/>
      <c r="K955" s="277"/>
      <c r="L955" s="278"/>
      <c r="M955" s="277"/>
      <c r="N955" s="278"/>
      <c r="O955" s="277"/>
      <c r="P955" s="278"/>
      <c r="Q955" s="277"/>
      <c r="R955" s="278"/>
      <c r="S955" s="277"/>
      <c r="T955" s="278"/>
      <c r="U955" s="277"/>
      <c r="V955" s="278"/>
      <c r="W955" s="277"/>
      <c r="X955" s="278"/>
      <c r="Y955" s="277"/>
      <c r="Z955" s="278"/>
      <c r="AA955" s="277"/>
      <c r="AB955" s="278"/>
      <c r="AC955" s="277"/>
      <c r="AD955" s="278"/>
      <c r="AE955" s="277"/>
      <c r="AF955" s="278"/>
      <c r="AG955" s="277"/>
      <c r="AH955" s="278"/>
      <c r="AI955" s="277"/>
      <c r="AJ955" s="278"/>
      <c r="AK955" s="277"/>
      <c r="AL955" s="278"/>
      <c r="AM955" s="277"/>
      <c r="AN955" s="278"/>
      <c r="AO955" s="278"/>
      <c r="AP955" s="278"/>
      <c r="AQ955" s="278"/>
      <c r="AR955" s="278"/>
      <c r="AS955" s="278"/>
    </row>
    <row r="956" spans="1:45">
      <c r="A956" s="277"/>
      <c r="B956" s="298" t="b">
        <v>0</v>
      </c>
      <c r="C956" s="278"/>
      <c r="D956" s="299" t="b">
        <v>0</v>
      </c>
      <c r="E956" s="277"/>
      <c r="F956" s="298" t="b">
        <v>0</v>
      </c>
      <c r="G956" s="278"/>
      <c r="H956" s="299" t="b">
        <v>0</v>
      </c>
      <c r="I956" s="277"/>
      <c r="J956" s="278"/>
      <c r="K956" s="277"/>
      <c r="L956" s="278"/>
      <c r="M956" s="277"/>
      <c r="N956" s="278"/>
      <c r="O956" s="277"/>
      <c r="P956" s="278"/>
      <c r="Q956" s="277"/>
      <c r="R956" s="278"/>
      <c r="S956" s="277"/>
      <c r="T956" s="278"/>
      <c r="U956" s="277"/>
      <c r="V956" s="278"/>
      <c r="W956" s="277"/>
      <c r="X956" s="278"/>
      <c r="Y956" s="277"/>
      <c r="Z956" s="278"/>
      <c r="AA956" s="277"/>
      <c r="AB956" s="278"/>
      <c r="AC956" s="277"/>
      <c r="AD956" s="278"/>
      <c r="AE956" s="277"/>
      <c r="AF956" s="278"/>
      <c r="AG956" s="277"/>
      <c r="AH956" s="278"/>
      <c r="AI956" s="277"/>
      <c r="AJ956" s="278"/>
      <c r="AK956" s="277"/>
      <c r="AL956" s="278"/>
      <c r="AM956" s="277"/>
      <c r="AN956" s="278"/>
      <c r="AO956" s="278"/>
      <c r="AP956" s="278"/>
      <c r="AQ956" s="278"/>
      <c r="AR956" s="278"/>
      <c r="AS956" s="278"/>
    </row>
    <row r="957" spans="1:45">
      <c r="A957" s="277"/>
      <c r="B957" s="298" t="b">
        <v>0</v>
      </c>
      <c r="C957" s="278"/>
      <c r="D957" s="299" t="b">
        <v>0</v>
      </c>
      <c r="E957" s="277"/>
      <c r="F957" s="298" t="b">
        <v>0</v>
      </c>
      <c r="G957" s="278"/>
      <c r="H957" s="299" t="b">
        <v>0</v>
      </c>
      <c r="I957" s="277"/>
      <c r="J957" s="278"/>
      <c r="K957" s="277"/>
      <c r="L957" s="278"/>
      <c r="M957" s="277"/>
      <c r="N957" s="278"/>
      <c r="O957" s="277"/>
      <c r="P957" s="278"/>
      <c r="Q957" s="277"/>
      <c r="R957" s="278"/>
      <c r="S957" s="277"/>
      <c r="T957" s="278"/>
      <c r="U957" s="277"/>
      <c r="V957" s="278"/>
      <c r="W957" s="277"/>
      <c r="X957" s="278"/>
      <c r="Y957" s="277"/>
      <c r="Z957" s="278"/>
      <c r="AA957" s="277"/>
      <c r="AB957" s="278"/>
      <c r="AC957" s="277"/>
      <c r="AD957" s="278"/>
      <c r="AE957" s="277"/>
      <c r="AF957" s="278"/>
      <c r="AG957" s="277"/>
      <c r="AH957" s="278"/>
      <c r="AI957" s="277"/>
      <c r="AJ957" s="278"/>
      <c r="AK957" s="277"/>
      <c r="AL957" s="278"/>
      <c r="AM957" s="277"/>
      <c r="AN957" s="278"/>
      <c r="AO957" s="278"/>
      <c r="AP957" s="278"/>
      <c r="AQ957" s="278"/>
      <c r="AR957" s="278"/>
      <c r="AS957" s="278"/>
    </row>
    <row r="958" spans="1:45">
      <c r="A958" s="277"/>
      <c r="B958" s="298" t="b">
        <v>0</v>
      </c>
      <c r="C958" s="278"/>
      <c r="D958" s="299" t="b">
        <v>0</v>
      </c>
      <c r="E958" s="277"/>
      <c r="F958" s="298" t="b">
        <v>0</v>
      </c>
      <c r="G958" s="278"/>
      <c r="H958" s="299" t="b">
        <v>0</v>
      </c>
      <c r="I958" s="277"/>
      <c r="J958" s="278"/>
      <c r="K958" s="277"/>
      <c r="L958" s="278"/>
      <c r="M958" s="277"/>
      <c r="N958" s="278"/>
      <c r="O958" s="277"/>
      <c r="P958" s="278"/>
      <c r="Q958" s="277"/>
      <c r="R958" s="278"/>
      <c r="S958" s="277"/>
      <c r="T958" s="278"/>
      <c r="U958" s="277"/>
      <c r="V958" s="278"/>
      <c r="W958" s="277"/>
      <c r="X958" s="278"/>
      <c r="Y958" s="277"/>
      <c r="Z958" s="278"/>
      <c r="AA958" s="277"/>
      <c r="AB958" s="278"/>
      <c r="AC958" s="277"/>
      <c r="AD958" s="278"/>
      <c r="AE958" s="277"/>
      <c r="AF958" s="278"/>
      <c r="AG958" s="277"/>
      <c r="AH958" s="278"/>
      <c r="AI958" s="277"/>
      <c r="AJ958" s="278"/>
      <c r="AK958" s="277"/>
      <c r="AL958" s="278"/>
      <c r="AM958" s="277"/>
      <c r="AN958" s="278"/>
      <c r="AO958" s="278"/>
      <c r="AP958" s="278"/>
      <c r="AQ958" s="278"/>
      <c r="AR958" s="278"/>
      <c r="AS958" s="278"/>
    </row>
    <row r="959" spans="1:45">
      <c r="A959" s="277"/>
      <c r="B959" s="298" t="b">
        <v>0</v>
      </c>
      <c r="C959" s="278"/>
      <c r="D959" s="299" t="b">
        <v>0</v>
      </c>
      <c r="E959" s="277"/>
      <c r="F959" s="298" t="b">
        <v>0</v>
      </c>
      <c r="G959" s="278"/>
      <c r="H959" s="299" t="b">
        <v>0</v>
      </c>
      <c r="I959" s="277"/>
      <c r="J959" s="278"/>
      <c r="K959" s="277"/>
      <c r="L959" s="278"/>
      <c r="M959" s="277"/>
      <c r="N959" s="278"/>
      <c r="O959" s="277"/>
      <c r="P959" s="278"/>
      <c r="Q959" s="277"/>
      <c r="R959" s="278"/>
      <c r="S959" s="277"/>
      <c r="T959" s="278"/>
      <c r="U959" s="277"/>
      <c r="V959" s="278"/>
      <c r="W959" s="277"/>
      <c r="X959" s="278"/>
      <c r="Y959" s="277"/>
      <c r="Z959" s="278"/>
      <c r="AA959" s="277"/>
      <c r="AB959" s="278"/>
      <c r="AC959" s="277"/>
      <c r="AD959" s="278"/>
      <c r="AE959" s="277"/>
      <c r="AF959" s="278"/>
      <c r="AG959" s="277"/>
      <c r="AH959" s="278"/>
      <c r="AI959" s="277"/>
      <c r="AJ959" s="278"/>
      <c r="AK959" s="277"/>
      <c r="AL959" s="278"/>
      <c r="AM959" s="277"/>
      <c r="AN959" s="278"/>
      <c r="AO959" s="278"/>
      <c r="AP959" s="278"/>
      <c r="AQ959" s="278"/>
      <c r="AR959" s="278"/>
      <c r="AS959" s="278"/>
    </row>
    <row r="960" spans="1:45">
      <c r="A960" s="277"/>
      <c r="B960" s="298" t="b">
        <v>0</v>
      </c>
      <c r="C960" s="278"/>
      <c r="D960" s="299" t="b">
        <v>0</v>
      </c>
      <c r="E960" s="277"/>
      <c r="F960" s="298" t="b">
        <v>0</v>
      </c>
      <c r="G960" s="278"/>
      <c r="H960" s="299" t="b">
        <v>0</v>
      </c>
      <c r="I960" s="277"/>
      <c r="J960" s="278"/>
      <c r="K960" s="277"/>
      <c r="L960" s="278"/>
      <c r="M960" s="277"/>
      <c r="N960" s="278"/>
      <c r="O960" s="277"/>
      <c r="P960" s="278"/>
      <c r="Q960" s="277"/>
      <c r="R960" s="278"/>
      <c r="S960" s="277"/>
      <c r="T960" s="278"/>
      <c r="U960" s="277"/>
      <c r="V960" s="278"/>
      <c r="W960" s="277"/>
      <c r="X960" s="278"/>
      <c r="Y960" s="277"/>
      <c r="Z960" s="278"/>
      <c r="AA960" s="277"/>
      <c r="AB960" s="278"/>
      <c r="AC960" s="277"/>
      <c r="AD960" s="278"/>
      <c r="AE960" s="277"/>
      <c r="AF960" s="278"/>
      <c r="AG960" s="277"/>
      <c r="AH960" s="278"/>
      <c r="AI960" s="277"/>
      <c r="AJ960" s="278"/>
      <c r="AK960" s="277"/>
      <c r="AL960" s="278"/>
      <c r="AM960" s="277"/>
      <c r="AN960" s="278"/>
      <c r="AO960" s="278"/>
      <c r="AP960" s="278"/>
      <c r="AQ960" s="278"/>
      <c r="AR960" s="278"/>
      <c r="AS960" s="278"/>
    </row>
    <row r="961" spans="1:45">
      <c r="A961" s="277"/>
      <c r="B961" s="298" t="b">
        <v>0</v>
      </c>
      <c r="C961" s="278"/>
      <c r="D961" s="299" t="b">
        <v>0</v>
      </c>
      <c r="E961" s="277"/>
      <c r="F961" s="298" t="b">
        <v>0</v>
      </c>
      <c r="G961" s="278"/>
      <c r="H961" s="299" t="b">
        <v>0</v>
      </c>
      <c r="I961" s="277"/>
      <c r="J961" s="278"/>
      <c r="K961" s="277"/>
      <c r="L961" s="278"/>
      <c r="M961" s="277"/>
      <c r="N961" s="278"/>
      <c r="O961" s="277"/>
      <c r="P961" s="278"/>
      <c r="Q961" s="277"/>
      <c r="R961" s="278"/>
      <c r="S961" s="277"/>
      <c r="T961" s="278"/>
      <c r="U961" s="277"/>
      <c r="V961" s="278"/>
      <c r="W961" s="277"/>
      <c r="X961" s="278"/>
      <c r="Y961" s="277"/>
      <c r="Z961" s="278"/>
      <c r="AA961" s="277"/>
      <c r="AB961" s="278"/>
      <c r="AC961" s="277"/>
      <c r="AD961" s="278"/>
      <c r="AE961" s="277"/>
      <c r="AF961" s="278"/>
      <c r="AG961" s="277"/>
      <c r="AH961" s="278"/>
      <c r="AI961" s="277"/>
      <c r="AJ961" s="278"/>
      <c r="AK961" s="277"/>
      <c r="AL961" s="278"/>
      <c r="AM961" s="277"/>
      <c r="AN961" s="278"/>
      <c r="AO961" s="278"/>
      <c r="AP961" s="278"/>
      <c r="AQ961" s="278"/>
      <c r="AR961" s="278"/>
      <c r="AS961" s="278"/>
    </row>
    <row r="962" spans="1:45">
      <c r="A962" s="277"/>
      <c r="B962" s="298" t="b">
        <v>0</v>
      </c>
      <c r="C962" s="278"/>
      <c r="D962" s="299" t="b">
        <v>0</v>
      </c>
      <c r="E962" s="277"/>
      <c r="F962" s="298" t="b">
        <v>0</v>
      </c>
      <c r="G962" s="278"/>
      <c r="H962" s="299" t="b">
        <v>0</v>
      </c>
      <c r="I962" s="277"/>
      <c r="J962" s="278"/>
      <c r="K962" s="277"/>
      <c r="L962" s="278"/>
      <c r="M962" s="277"/>
      <c r="N962" s="278"/>
      <c r="O962" s="277"/>
      <c r="P962" s="278"/>
      <c r="Q962" s="277"/>
      <c r="R962" s="278"/>
      <c r="S962" s="277"/>
      <c r="T962" s="278"/>
      <c r="U962" s="277"/>
      <c r="V962" s="278"/>
      <c r="W962" s="277"/>
      <c r="X962" s="278"/>
      <c r="Y962" s="277"/>
      <c r="Z962" s="278"/>
      <c r="AA962" s="277"/>
      <c r="AB962" s="278"/>
      <c r="AC962" s="277"/>
      <c r="AD962" s="278"/>
      <c r="AE962" s="277"/>
      <c r="AF962" s="278"/>
      <c r="AG962" s="277"/>
      <c r="AH962" s="278"/>
      <c r="AI962" s="277"/>
      <c r="AJ962" s="278"/>
      <c r="AK962" s="277"/>
      <c r="AL962" s="278"/>
      <c r="AM962" s="277"/>
      <c r="AN962" s="278"/>
      <c r="AO962" s="278"/>
      <c r="AP962" s="278"/>
      <c r="AQ962" s="278"/>
      <c r="AR962" s="278"/>
      <c r="AS962" s="278"/>
    </row>
    <row r="963" spans="1:45">
      <c r="A963" s="277"/>
      <c r="B963" s="298" t="b">
        <v>0</v>
      </c>
      <c r="C963" s="278"/>
      <c r="D963" s="299" t="b">
        <v>0</v>
      </c>
      <c r="E963" s="277"/>
      <c r="F963" s="298" t="b">
        <v>0</v>
      </c>
      <c r="G963" s="278"/>
      <c r="H963" s="299" t="b">
        <v>0</v>
      </c>
      <c r="I963" s="277"/>
      <c r="J963" s="278"/>
      <c r="K963" s="277"/>
      <c r="L963" s="278"/>
      <c r="M963" s="277"/>
      <c r="N963" s="278"/>
      <c r="O963" s="277"/>
      <c r="P963" s="278"/>
      <c r="Q963" s="277"/>
      <c r="R963" s="278"/>
      <c r="S963" s="277"/>
      <c r="T963" s="278"/>
      <c r="U963" s="277"/>
      <c r="V963" s="278"/>
      <c r="W963" s="277"/>
      <c r="X963" s="278"/>
      <c r="Y963" s="277"/>
      <c r="Z963" s="278"/>
      <c r="AA963" s="277"/>
      <c r="AB963" s="278"/>
      <c r="AC963" s="277"/>
      <c r="AD963" s="278"/>
      <c r="AE963" s="277"/>
      <c r="AF963" s="278"/>
      <c r="AG963" s="277"/>
      <c r="AH963" s="278"/>
      <c r="AI963" s="277"/>
      <c r="AJ963" s="278"/>
      <c r="AK963" s="277"/>
      <c r="AL963" s="278"/>
      <c r="AM963" s="277"/>
      <c r="AN963" s="278"/>
      <c r="AO963" s="278"/>
      <c r="AP963" s="278"/>
      <c r="AQ963" s="278"/>
      <c r="AR963" s="278"/>
      <c r="AS963" s="278"/>
    </row>
    <row r="964" spans="1:45">
      <c r="A964" s="277"/>
      <c r="B964" s="298" t="b">
        <v>0</v>
      </c>
      <c r="C964" s="278"/>
      <c r="D964" s="299" t="b">
        <v>0</v>
      </c>
      <c r="E964" s="277"/>
      <c r="F964" s="298" t="b">
        <v>0</v>
      </c>
      <c r="G964" s="278"/>
      <c r="H964" s="299" t="b">
        <v>0</v>
      </c>
      <c r="I964" s="277"/>
      <c r="J964" s="278"/>
      <c r="K964" s="277"/>
      <c r="L964" s="278"/>
      <c r="M964" s="277"/>
      <c r="N964" s="278"/>
      <c r="O964" s="277"/>
      <c r="P964" s="278"/>
      <c r="Q964" s="277"/>
      <c r="R964" s="278"/>
      <c r="S964" s="277"/>
      <c r="T964" s="278"/>
      <c r="U964" s="277"/>
      <c r="V964" s="278"/>
      <c r="W964" s="277"/>
      <c r="X964" s="278"/>
      <c r="Y964" s="277"/>
      <c r="Z964" s="278"/>
      <c r="AA964" s="277"/>
      <c r="AB964" s="278"/>
      <c r="AC964" s="277"/>
      <c r="AD964" s="278"/>
      <c r="AE964" s="277"/>
      <c r="AF964" s="278"/>
      <c r="AG964" s="277"/>
      <c r="AH964" s="278"/>
      <c r="AI964" s="277"/>
      <c r="AJ964" s="278"/>
      <c r="AK964" s="277"/>
      <c r="AL964" s="278"/>
      <c r="AM964" s="277"/>
      <c r="AN964" s="278"/>
      <c r="AO964" s="278"/>
      <c r="AP964" s="278"/>
      <c r="AQ964" s="278"/>
      <c r="AR964" s="278"/>
      <c r="AS964" s="278"/>
    </row>
    <row r="965" spans="1:45">
      <c r="A965" s="277"/>
      <c r="B965" s="298" t="b">
        <v>0</v>
      </c>
      <c r="C965" s="278"/>
      <c r="D965" s="299" t="b">
        <v>0</v>
      </c>
      <c r="E965" s="277"/>
      <c r="F965" s="298" t="b">
        <v>0</v>
      </c>
      <c r="G965" s="278"/>
      <c r="H965" s="299" t="b">
        <v>0</v>
      </c>
      <c r="I965" s="277"/>
      <c r="J965" s="278"/>
      <c r="K965" s="277"/>
      <c r="L965" s="278"/>
      <c r="M965" s="277"/>
      <c r="N965" s="278"/>
      <c r="O965" s="277"/>
      <c r="P965" s="278"/>
      <c r="Q965" s="277"/>
      <c r="R965" s="278"/>
      <c r="S965" s="277"/>
      <c r="T965" s="278"/>
      <c r="U965" s="277"/>
      <c r="V965" s="278"/>
      <c r="W965" s="277"/>
      <c r="X965" s="278"/>
      <c r="Y965" s="277"/>
      <c r="Z965" s="278"/>
      <c r="AA965" s="277"/>
      <c r="AB965" s="278"/>
      <c r="AC965" s="277"/>
      <c r="AD965" s="278"/>
      <c r="AE965" s="277"/>
      <c r="AF965" s="278"/>
      <c r="AG965" s="277"/>
      <c r="AH965" s="278"/>
      <c r="AI965" s="277"/>
      <c r="AJ965" s="278"/>
      <c r="AK965" s="277"/>
      <c r="AL965" s="278"/>
      <c r="AM965" s="277"/>
      <c r="AN965" s="278"/>
      <c r="AO965" s="278"/>
      <c r="AP965" s="278"/>
      <c r="AQ965" s="278"/>
      <c r="AR965" s="278"/>
      <c r="AS965" s="278"/>
    </row>
    <row r="966" spans="1:45">
      <c r="A966" s="277"/>
      <c r="B966" s="298" t="b">
        <v>0</v>
      </c>
      <c r="C966" s="278"/>
      <c r="D966" s="299" t="b">
        <v>0</v>
      </c>
      <c r="E966" s="277"/>
      <c r="F966" s="298" t="b">
        <v>0</v>
      </c>
      <c r="G966" s="278"/>
      <c r="H966" s="299" t="b">
        <v>0</v>
      </c>
      <c r="I966" s="277"/>
      <c r="J966" s="278"/>
      <c r="K966" s="277"/>
      <c r="L966" s="278"/>
      <c r="M966" s="277"/>
      <c r="N966" s="278"/>
      <c r="O966" s="277"/>
      <c r="P966" s="278"/>
      <c r="Q966" s="277"/>
      <c r="R966" s="278"/>
      <c r="S966" s="277"/>
      <c r="T966" s="278"/>
      <c r="U966" s="277"/>
      <c r="V966" s="278"/>
      <c r="W966" s="277"/>
      <c r="X966" s="278"/>
      <c r="Y966" s="277"/>
      <c r="Z966" s="278"/>
      <c r="AA966" s="277"/>
      <c r="AB966" s="278"/>
      <c r="AC966" s="277"/>
      <c r="AD966" s="278"/>
      <c r="AE966" s="277"/>
      <c r="AF966" s="278"/>
      <c r="AG966" s="277"/>
      <c r="AH966" s="278"/>
      <c r="AI966" s="277"/>
      <c r="AJ966" s="278"/>
      <c r="AK966" s="277"/>
      <c r="AL966" s="278"/>
      <c r="AM966" s="277"/>
      <c r="AN966" s="278"/>
      <c r="AO966" s="278"/>
      <c r="AP966" s="278"/>
      <c r="AQ966" s="278"/>
      <c r="AR966" s="278"/>
      <c r="AS966" s="278"/>
    </row>
    <row r="967" spans="1:45">
      <c r="A967" s="277"/>
      <c r="B967" s="298" t="b">
        <v>0</v>
      </c>
      <c r="C967" s="278"/>
      <c r="D967" s="299" t="b">
        <v>0</v>
      </c>
      <c r="E967" s="277"/>
      <c r="F967" s="298" t="b">
        <v>0</v>
      </c>
      <c r="G967" s="278"/>
      <c r="H967" s="299" t="b">
        <v>0</v>
      </c>
      <c r="I967" s="277"/>
      <c r="J967" s="278"/>
      <c r="K967" s="277"/>
      <c r="L967" s="278"/>
      <c r="M967" s="277"/>
      <c r="N967" s="278"/>
      <c r="O967" s="277"/>
      <c r="P967" s="278"/>
      <c r="Q967" s="277"/>
      <c r="R967" s="278"/>
      <c r="S967" s="277"/>
      <c r="T967" s="278"/>
      <c r="U967" s="277"/>
      <c r="V967" s="278"/>
      <c r="W967" s="277"/>
      <c r="X967" s="278"/>
      <c r="Y967" s="277"/>
      <c r="Z967" s="278"/>
      <c r="AA967" s="277"/>
      <c r="AB967" s="278"/>
      <c r="AC967" s="277"/>
      <c r="AD967" s="278"/>
      <c r="AE967" s="277"/>
      <c r="AF967" s="278"/>
      <c r="AG967" s="277"/>
      <c r="AH967" s="278"/>
      <c r="AI967" s="277"/>
      <c r="AJ967" s="278"/>
      <c r="AK967" s="277"/>
      <c r="AL967" s="278"/>
      <c r="AM967" s="277"/>
      <c r="AN967" s="278"/>
      <c r="AO967" s="278"/>
      <c r="AP967" s="278"/>
      <c r="AQ967" s="278"/>
      <c r="AR967" s="278"/>
      <c r="AS967" s="278"/>
    </row>
    <row r="968" spans="1:45">
      <c r="A968" s="277"/>
      <c r="B968" s="298" t="b">
        <v>0</v>
      </c>
      <c r="C968" s="278"/>
      <c r="D968" s="299" t="b">
        <v>0</v>
      </c>
      <c r="E968" s="277"/>
      <c r="F968" s="298" t="b">
        <v>0</v>
      </c>
      <c r="G968" s="278"/>
      <c r="H968" s="299" t="b">
        <v>0</v>
      </c>
      <c r="I968" s="277"/>
      <c r="J968" s="278"/>
      <c r="K968" s="277"/>
      <c r="L968" s="278"/>
      <c r="M968" s="277"/>
      <c r="N968" s="278"/>
      <c r="O968" s="277"/>
      <c r="P968" s="278"/>
      <c r="Q968" s="277"/>
      <c r="R968" s="278"/>
      <c r="S968" s="277"/>
      <c r="T968" s="278"/>
      <c r="U968" s="277"/>
      <c r="V968" s="278"/>
      <c r="W968" s="277"/>
      <c r="X968" s="278"/>
      <c r="Y968" s="277"/>
      <c r="Z968" s="278"/>
      <c r="AA968" s="277"/>
      <c r="AB968" s="278"/>
      <c r="AC968" s="277"/>
      <c r="AD968" s="278"/>
      <c r="AE968" s="277"/>
      <c r="AF968" s="278"/>
      <c r="AG968" s="277"/>
      <c r="AH968" s="278"/>
      <c r="AI968" s="277"/>
      <c r="AJ968" s="278"/>
      <c r="AK968" s="277"/>
      <c r="AL968" s="278"/>
      <c r="AM968" s="277"/>
      <c r="AN968" s="278"/>
      <c r="AO968" s="278"/>
      <c r="AP968" s="278"/>
      <c r="AQ968" s="278"/>
      <c r="AR968" s="278"/>
      <c r="AS968" s="278"/>
    </row>
    <row r="969" spans="1:45">
      <c r="A969" s="277"/>
      <c r="B969" s="298" t="b">
        <v>0</v>
      </c>
      <c r="C969" s="278"/>
      <c r="D969" s="299" t="b">
        <v>0</v>
      </c>
      <c r="E969" s="277"/>
      <c r="F969" s="298" t="b">
        <v>0</v>
      </c>
      <c r="G969" s="278"/>
      <c r="H969" s="299" t="b">
        <v>0</v>
      </c>
      <c r="I969" s="277"/>
      <c r="J969" s="278"/>
      <c r="K969" s="277"/>
      <c r="L969" s="278"/>
      <c r="M969" s="277"/>
      <c r="N969" s="278"/>
      <c r="O969" s="277"/>
      <c r="P969" s="278"/>
      <c r="Q969" s="277"/>
      <c r="R969" s="278"/>
      <c r="S969" s="277"/>
      <c r="T969" s="278"/>
      <c r="U969" s="277"/>
      <c r="V969" s="278"/>
      <c r="W969" s="277"/>
      <c r="X969" s="278"/>
      <c r="Y969" s="277"/>
      <c r="Z969" s="278"/>
      <c r="AA969" s="277"/>
      <c r="AB969" s="278"/>
      <c r="AC969" s="277"/>
      <c r="AD969" s="278"/>
      <c r="AE969" s="277"/>
      <c r="AF969" s="278"/>
      <c r="AG969" s="277"/>
      <c r="AH969" s="278"/>
      <c r="AI969" s="277"/>
      <c r="AJ969" s="278"/>
      <c r="AK969" s="277"/>
      <c r="AL969" s="278"/>
      <c r="AM969" s="277"/>
      <c r="AN969" s="278"/>
      <c r="AO969" s="278"/>
      <c r="AP969" s="278"/>
      <c r="AQ969" s="278"/>
      <c r="AR969" s="278"/>
      <c r="AS969" s="278"/>
    </row>
    <row r="970" spans="1:45">
      <c r="A970" s="277"/>
      <c r="B970" s="298" t="b">
        <v>0</v>
      </c>
      <c r="C970" s="278"/>
      <c r="D970" s="299" t="b">
        <v>0</v>
      </c>
      <c r="E970" s="277"/>
      <c r="F970" s="298" t="b">
        <v>0</v>
      </c>
      <c r="G970" s="278"/>
      <c r="H970" s="299" t="b">
        <v>0</v>
      </c>
      <c r="I970" s="277"/>
      <c r="J970" s="278"/>
      <c r="K970" s="277"/>
      <c r="L970" s="278"/>
      <c r="M970" s="277"/>
      <c r="N970" s="278"/>
      <c r="O970" s="277"/>
      <c r="P970" s="278"/>
      <c r="Q970" s="277"/>
      <c r="R970" s="278"/>
      <c r="S970" s="277"/>
      <c r="T970" s="278"/>
      <c r="U970" s="277"/>
      <c r="V970" s="278"/>
      <c r="W970" s="277"/>
      <c r="X970" s="278"/>
      <c r="Y970" s="277"/>
      <c r="Z970" s="278"/>
      <c r="AA970" s="277"/>
      <c r="AB970" s="278"/>
      <c r="AC970" s="277"/>
      <c r="AD970" s="278"/>
      <c r="AE970" s="277"/>
      <c r="AF970" s="278"/>
      <c r="AG970" s="277"/>
      <c r="AH970" s="278"/>
      <c r="AI970" s="277"/>
      <c r="AJ970" s="278"/>
      <c r="AK970" s="277"/>
      <c r="AL970" s="278"/>
      <c r="AM970" s="277"/>
      <c r="AN970" s="278"/>
      <c r="AO970" s="278"/>
      <c r="AP970" s="278"/>
      <c r="AQ970" s="278"/>
      <c r="AR970" s="278"/>
      <c r="AS970" s="278"/>
    </row>
    <row r="971" spans="1:45">
      <c r="A971" s="277"/>
      <c r="B971" s="298" t="b">
        <v>0</v>
      </c>
      <c r="C971" s="278"/>
      <c r="D971" s="299" t="b">
        <v>0</v>
      </c>
      <c r="E971" s="277"/>
      <c r="F971" s="298" t="b">
        <v>0</v>
      </c>
      <c r="G971" s="278"/>
      <c r="H971" s="299" t="b">
        <v>0</v>
      </c>
      <c r="I971" s="277"/>
      <c r="J971" s="278"/>
      <c r="K971" s="277"/>
      <c r="L971" s="278"/>
      <c r="M971" s="277"/>
      <c r="N971" s="278"/>
      <c r="O971" s="277"/>
      <c r="P971" s="278"/>
      <c r="Q971" s="277"/>
      <c r="R971" s="278"/>
      <c r="S971" s="277"/>
      <c r="T971" s="278"/>
      <c r="U971" s="277"/>
      <c r="V971" s="278"/>
      <c r="W971" s="277"/>
      <c r="X971" s="278"/>
      <c r="Y971" s="277"/>
      <c r="Z971" s="278"/>
      <c r="AA971" s="277"/>
      <c r="AB971" s="278"/>
      <c r="AC971" s="277"/>
      <c r="AD971" s="278"/>
      <c r="AE971" s="277"/>
      <c r="AF971" s="278"/>
      <c r="AG971" s="277"/>
      <c r="AH971" s="278"/>
      <c r="AI971" s="277"/>
      <c r="AJ971" s="278"/>
      <c r="AK971" s="277"/>
      <c r="AL971" s="278"/>
      <c r="AM971" s="277"/>
      <c r="AN971" s="278"/>
      <c r="AO971" s="278"/>
      <c r="AP971" s="278"/>
      <c r="AQ971" s="278"/>
      <c r="AR971" s="278"/>
      <c r="AS971" s="278"/>
    </row>
    <row r="972" spans="1:45">
      <c r="A972" s="277"/>
      <c r="B972" s="298" t="b">
        <v>0</v>
      </c>
      <c r="C972" s="278"/>
      <c r="D972" s="299" t="b">
        <v>0</v>
      </c>
      <c r="E972" s="277"/>
      <c r="F972" s="298" t="b">
        <v>0</v>
      </c>
      <c r="G972" s="278"/>
      <c r="H972" s="299" t="b">
        <v>0</v>
      </c>
      <c r="I972" s="277"/>
      <c r="J972" s="278"/>
      <c r="K972" s="277"/>
      <c r="L972" s="278"/>
      <c r="M972" s="277"/>
      <c r="N972" s="278"/>
      <c r="O972" s="277"/>
      <c r="P972" s="278"/>
      <c r="Q972" s="277"/>
      <c r="R972" s="278"/>
      <c r="S972" s="277"/>
      <c r="T972" s="278"/>
      <c r="U972" s="277"/>
      <c r="V972" s="278"/>
      <c r="W972" s="277"/>
      <c r="X972" s="278"/>
      <c r="Y972" s="277"/>
      <c r="Z972" s="278"/>
      <c r="AA972" s="277"/>
      <c r="AB972" s="278"/>
      <c r="AC972" s="277"/>
      <c r="AD972" s="278"/>
      <c r="AE972" s="277"/>
      <c r="AF972" s="278"/>
      <c r="AG972" s="277"/>
      <c r="AH972" s="278"/>
      <c r="AI972" s="277"/>
      <c r="AJ972" s="278"/>
      <c r="AK972" s="277"/>
      <c r="AL972" s="278"/>
      <c r="AM972" s="277"/>
      <c r="AN972" s="278"/>
      <c r="AO972" s="278"/>
      <c r="AP972" s="278"/>
      <c r="AQ972" s="278"/>
      <c r="AR972" s="278"/>
      <c r="AS972" s="278"/>
    </row>
    <row r="973" spans="1:45">
      <c r="A973" s="277"/>
      <c r="B973" s="298" t="b">
        <v>0</v>
      </c>
      <c r="C973" s="278"/>
      <c r="D973" s="299" t="b">
        <v>0</v>
      </c>
      <c r="E973" s="277"/>
      <c r="F973" s="298" t="b">
        <v>0</v>
      </c>
      <c r="G973" s="278"/>
      <c r="H973" s="299" t="b">
        <v>0</v>
      </c>
      <c r="I973" s="277"/>
      <c r="J973" s="278"/>
      <c r="K973" s="277"/>
      <c r="L973" s="278"/>
      <c r="M973" s="277"/>
      <c r="N973" s="278"/>
      <c r="O973" s="277"/>
      <c r="P973" s="278"/>
      <c r="Q973" s="277"/>
      <c r="R973" s="278"/>
      <c r="S973" s="277"/>
      <c r="T973" s="278"/>
      <c r="U973" s="277"/>
      <c r="V973" s="278"/>
      <c r="W973" s="277"/>
      <c r="X973" s="278"/>
      <c r="Y973" s="277"/>
      <c r="Z973" s="278"/>
      <c r="AA973" s="277"/>
      <c r="AB973" s="278"/>
      <c r="AC973" s="277"/>
      <c r="AD973" s="278"/>
      <c r="AE973" s="277"/>
      <c r="AF973" s="278"/>
      <c r="AG973" s="277"/>
      <c r="AH973" s="278"/>
      <c r="AI973" s="277"/>
      <c r="AJ973" s="278"/>
      <c r="AK973" s="277"/>
      <c r="AL973" s="278"/>
      <c r="AM973" s="277"/>
      <c r="AN973" s="278"/>
      <c r="AO973" s="278"/>
      <c r="AP973" s="278"/>
      <c r="AQ973" s="278"/>
      <c r="AR973" s="278"/>
      <c r="AS973" s="278"/>
    </row>
    <row r="974" spans="1:45">
      <c r="A974" s="277"/>
      <c r="B974" s="298" t="b">
        <v>0</v>
      </c>
      <c r="C974" s="278"/>
      <c r="D974" s="299" t="b">
        <v>0</v>
      </c>
      <c r="E974" s="277"/>
      <c r="F974" s="298" t="b">
        <v>0</v>
      </c>
      <c r="G974" s="278"/>
      <c r="H974" s="299" t="b">
        <v>0</v>
      </c>
      <c r="I974" s="277"/>
      <c r="J974" s="278"/>
      <c r="K974" s="277"/>
      <c r="L974" s="278"/>
      <c r="M974" s="277"/>
      <c r="N974" s="278"/>
      <c r="O974" s="277"/>
      <c r="P974" s="278"/>
      <c r="Q974" s="277"/>
      <c r="R974" s="278"/>
      <c r="S974" s="277"/>
      <c r="T974" s="278"/>
      <c r="U974" s="277"/>
      <c r="V974" s="278"/>
      <c r="W974" s="277"/>
      <c r="X974" s="278"/>
      <c r="Y974" s="277"/>
      <c r="Z974" s="278"/>
      <c r="AA974" s="277"/>
      <c r="AB974" s="278"/>
      <c r="AC974" s="277"/>
      <c r="AD974" s="278"/>
      <c r="AE974" s="277"/>
      <c r="AF974" s="278"/>
      <c r="AG974" s="277"/>
      <c r="AH974" s="278"/>
      <c r="AI974" s="277"/>
      <c r="AJ974" s="278"/>
      <c r="AK974" s="277"/>
      <c r="AL974" s="278"/>
      <c r="AM974" s="277"/>
      <c r="AN974" s="278"/>
      <c r="AO974" s="278"/>
      <c r="AP974" s="278"/>
      <c r="AQ974" s="278"/>
      <c r="AR974" s="278"/>
      <c r="AS974" s="278"/>
    </row>
    <row r="975" spans="1:45">
      <c r="A975" s="277"/>
      <c r="B975" s="298" t="b">
        <v>0</v>
      </c>
      <c r="C975" s="278"/>
      <c r="D975" s="299" t="b">
        <v>0</v>
      </c>
      <c r="E975" s="277"/>
      <c r="F975" s="298" t="b">
        <v>0</v>
      </c>
      <c r="G975" s="278"/>
      <c r="H975" s="299" t="b">
        <v>0</v>
      </c>
      <c r="I975" s="277"/>
      <c r="J975" s="278"/>
      <c r="K975" s="277"/>
      <c r="L975" s="278"/>
      <c r="M975" s="277"/>
      <c r="N975" s="278"/>
      <c r="O975" s="277"/>
      <c r="P975" s="278"/>
      <c r="Q975" s="277"/>
      <c r="R975" s="278"/>
      <c r="S975" s="277"/>
      <c r="T975" s="278"/>
      <c r="U975" s="277"/>
      <c r="V975" s="278"/>
      <c r="W975" s="277"/>
      <c r="X975" s="278"/>
      <c r="Y975" s="277"/>
      <c r="Z975" s="278"/>
      <c r="AA975" s="277"/>
      <c r="AB975" s="278"/>
      <c r="AC975" s="277"/>
      <c r="AD975" s="278"/>
      <c r="AE975" s="277"/>
      <c r="AF975" s="278"/>
      <c r="AG975" s="277"/>
      <c r="AH975" s="278"/>
      <c r="AI975" s="277"/>
      <c r="AJ975" s="278"/>
      <c r="AK975" s="277"/>
      <c r="AL975" s="278"/>
      <c r="AM975" s="277"/>
      <c r="AN975" s="278"/>
      <c r="AO975" s="278"/>
      <c r="AP975" s="278"/>
      <c r="AQ975" s="278"/>
      <c r="AR975" s="278"/>
      <c r="AS975" s="278"/>
    </row>
    <row r="976" spans="1:45">
      <c r="A976" s="277"/>
      <c r="B976" s="298" t="b">
        <v>0</v>
      </c>
      <c r="C976" s="278"/>
      <c r="D976" s="299" t="b">
        <v>0</v>
      </c>
      <c r="E976" s="277"/>
      <c r="F976" s="298" t="b">
        <v>0</v>
      </c>
      <c r="G976" s="278"/>
      <c r="H976" s="299" t="b">
        <v>0</v>
      </c>
      <c r="I976" s="277"/>
      <c r="J976" s="278"/>
      <c r="K976" s="277"/>
      <c r="L976" s="278"/>
      <c r="M976" s="277"/>
      <c r="N976" s="278"/>
      <c r="O976" s="277"/>
      <c r="P976" s="278"/>
      <c r="Q976" s="277"/>
      <c r="R976" s="278"/>
      <c r="S976" s="277"/>
      <c r="T976" s="278"/>
      <c r="U976" s="277"/>
      <c r="V976" s="278"/>
      <c r="W976" s="277"/>
      <c r="X976" s="278"/>
      <c r="Y976" s="277"/>
      <c r="Z976" s="278"/>
      <c r="AA976" s="277"/>
      <c r="AB976" s="278"/>
      <c r="AC976" s="277"/>
      <c r="AD976" s="278"/>
      <c r="AE976" s="277"/>
      <c r="AF976" s="278"/>
      <c r="AG976" s="277"/>
      <c r="AH976" s="278"/>
      <c r="AI976" s="277"/>
      <c r="AJ976" s="278"/>
      <c r="AK976" s="277"/>
      <c r="AL976" s="278"/>
      <c r="AM976" s="277"/>
      <c r="AN976" s="278"/>
      <c r="AO976" s="278"/>
      <c r="AP976" s="278"/>
      <c r="AQ976" s="278"/>
      <c r="AR976" s="278"/>
      <c r="AS976" s="278"/>
    </row>
    <row r="977" spans="1:45">
      <c r="A977" s="277"/>
      <c r="B977" s="298" t="b">
        <v>0</v>
      </c>
      <c r="C977" s="278"/>
      <c r="D977" s="299" t="b">
        <v>0</v>
      </c>
      <c r="E977" s="277"/>
      <c r="F977" s="298" t="b">
        <v>0</v>
      </c>
      <c r="G977" s="278"/>
      <c r="H977" s="299" t="b">
        <v>0</v>
      </c>
      <c r="I977" s="277"/>
      <c r="J977" s="278"/>
      <c r="K977" s="277"/>
      <c r="L977" s="278"/>
      <c r="M977" s="277"/>
      <c r="N977" s="278"/>
      <c r="O977" s="277"/>
      <c r="P977" s="278"/>
      <c r="Q977" s="277"/>
      <c r="R977" s="278"/>
      <c r="S977" s="277"/>
      <c r="T977" s="278"/>
      <c r="U977" s="277"/>
      <c r="V977" s="278"/>
      <c r="W977" s="277"/>
      <c r="X977" s="278"/>
      <c r="Y977" s="277"/>
      <c r="Z977" s="278"/>
      <c r="AA977" s="277"/>
      <c r="AB977" s="278"/>
      <c r="AC977" s="277"/>
      <c r="AD977" s="278"/>
      <c r="AE977" s="277"/>
      <c r="AF977" s="278"/>
      <c r="AG977" s="277"/>
      <c r="AH977" s="278"/>
      <c r="AI977" s="277"/>
      <c r="AJ977" s="278"/>
      <c r="AK977" s="277"/>
      <c r="AL977" s="278"/>
      <c r="AM977" s="277"/>
      <c r="AN977" s="278"/>
      <c r="AO977" s="278"/>
      <c r="AP977" s="278"/>
      <c r="AQ977" s="278"/>
      <c r="AR977" s="278"/>
      <c r="AS977" s="278"/>
    </row>
    <row r="978" spans="1:45">
      <c r="A978" s="277"/>
      <c r="B978" s="298" t="b">
        <v>0</v>
      </c>
      <c r="C978" s="278"/>
      <c r="D978" s="299" t="b">
        <v>0</v>
      </c>
      <c r="E978" s="277"/>
      <c r="F978" s="298" t="b">
        <v>0</v>
      </c>
      <c r="G978" s="278"/>
      <c r="H978" s="299" t="b">
        <v>0</v>
      </c>
      <c r="I978" s="277"/>
      <c r="J978" s="278"/>
      <c r="K978" s="277"/>
      <c r="L978" s="278"/>
      <c r="M978" s="277"/>
      <c r="N978" s="278"/>
      <c r="O978" s="277"/>
      <c r="P978" s="278"/>
      <c r="Q978" s="277"/>
      <c r="R978" s="278"/>
      <c r="S978" s="277"/>
      <c r="T978" s="278"/>
      <c r="U978" s="277"/>
      <c r="V978" s="278"/>
      <c r="W978" s="277"/>
      <c r="X978" s="278"/>
      <c r="Y978" s="277"/>
      <c r="Z978" s="278"/>
      <c r="AA978" s="277"/>
      <c r="AB978" s="278"/>
      <c r="AC978" s="277"/>
      <c r="AD978" s="278"/>
      <c r="AE978" s="277"/>
      <c r="AF978" s="278"/>
      <c r="AG978" s="277"/>
      <c r="AH978" s="278"/>
      <c r="AI978" s="277"/>
      <c r="AJ978" s="278"/>
      <c r="AK978" s="277"/>
      <c r="AL978" s="278"/>
      <c r="AM978" s="277"/>
      <c r="AN978" s="278"/>
      <c r="AO978" s="278"/>
      <c r="AP978" s="278"/>
      <c r="AQ978" s="278"/>
      <c r="AR978" s="278"/>
      <c r="AS978" s="278"/>
    </row>
    <row r="979" spans="1:45">
      <c r="A979" s="277"/>
      <c r="B979" s="298" t="b">
        <v>0</v>
      </c>
      <c r="C979" s="278"/>
      <c r="D979" s="299" t="b">
        <v>0</v>
      </c>
      <c r="E979" s="277"/>
      <c r="F979" s="298" t="b">
        <v>0</v>
      </c>
      <c r="G979" s="278"/>
      <c r="H979" s="299" t="b">
        <v>0</v>
      </c>
      <c r="I979" s="277"/>
      <c r="J979" s="278"/>
      <c r="K979" s="277"/>
      <c r="L979" s="278"/>
      <c r="M979" s="277"/>
      <c r="N979" s="278"/>
      <c r="O979" s="277"/>
      <c r="P979" s="278"/>
      <c r="Q979" s="277"/>
      <c r="R979" s="278"/>
      <c r="S979" s="277"/>
      <c r="T979" s="278"/>
      <c r="U979" s="277"/>
      <c r="V979" s="278"/>
      <c r="W979" s="277"/>
      <c r="X979" s="278"/>
      <c r="Y979" s="277"/>
      <c r="Z979" s="278"/>
      <c r="AA979" s="277"/>
      <c r="AB979" s="278"/>
      <c r="AC979" s="277"/>
      <c r="AD979" s="278"/>
      <c r="AE979" s="277"/>
      <c r="AF979" s="278"/>
      <c r="AG979" s="277"/>
      <c r="AH979" s="278"/>
      <c r="AI979" s="277"/>
      <c r="AJ979" s="278"/>
      <c r="AK979" s="277"/>
      <c r="AL979" s="278"/>
      <c r="AM979" s="277"/>
      <c r="AN979" s="278"/>
      <c r="AO979" s="278"/>
      <c r="AP979" s="278"/>
      <c r="AQ979" s="278"/>
      <c r="AR979" s="278"/>
      <c r="AS979" s="278"/>
    </row>
    <row r="980" spans="1:45">
      <c r="A980" s="277"/>
      <c r="B980" s="298" t="b">
        <v>0</v>
      </c>
      <c r="C980" s="278"/>
      <c r="D980" s="299" t="b">
        <v>0</v>
      </c>
      <c r="E980" s="277"/>
      <c r="F980" s="298" t="b">
        <v>0</v>
      </c>
      <c r="G980" s="278"/>
      <c r="H980" s="299" t="b">
        <v>0</v>
      </c>
      <c r="I980" s="277"/>
      <c r="J980" s="278"/>
      <c r="K980" s="277"/>
      <c r="L980" s="278"/>
      <c r="M980" s="277"/>
      <c r="N980" s="278"/>
      <c r="O980" s="277"/>
      <c r="P980" s="278"/>
      <c r="Q980" s="277"/>
      <c r="R980" s="278"/>
      <c r="S980" s="277"/>
      <c r="T980" s="278"/>
      <c r="U980" s="277"/>
      <c r="V980" s="278"/>
      <c r="W980" s="277"/>
      <c r="X980" s="278"/>
      <c r="Y980" s="277"/>
      <c r="Z980" s="278"/>
      <c r="AA980" s="277"/>
      <c r="AB980" s="278"/>
      <c r="AC980" s="277"/>
      <c r="AD980" s="278"/>
      <c r="AE980" s="277"/>
      <c r="AF980" s="278"/>
      <c r="AG980" s="277"/>
      <c r="AH980" s="278"/>
      <c r="AI980" s="277"/>
      <c r="AJ980" s="278"/>
      <c r="AK980" s="277"/>
      <c r="AL980" s="278"/>
      <c r="AM980" s="277"/>
      <c r="AN980" s="278"/>
      <c r="AO980" s="278"/>
      <c r="AP980" s="278"/>
      <c r="AQ980" s="278"/>
      <c r="AR980" s="278"/>
      <c r="AS980" s="278"/>
    </row>
    <row r="981" spans="1:45">
      <c r="A981" s="277"/>
      <c r="B981" s="298" t="b">
        <v>0</v>
      </c>
      <c r="C981" s="278"/>
      <c r="D981" s="299" t="b">
        <v>0</v>
      </c>
      <c r="E981" s="277"/>
      <c r="F981" s="298" t="b">
        <v>0</v>
      </c>
      <c r="G981" s="278"/>
      <c r="H981" s="299" t="b">
        <v>0</v>
      </c>
      <c r="I981" s="277"/>
      <c r="J981" s="278"/>
      <c r="K981" s="277"/>
      <c r="L981" s="278"/>
      <c r="M981" s="277"/>
      <c r="N981" s="278"/>
      <c r="O981" s="277"/>
      <c r="P981" s="278"/>
      <c r="Q981" s="277"/>
      <c r="R981" s="278"/>
      <c r="S981" s="277"/>
      <c r="T981" s="278"/>
      <c r="U981" s="277"/>
      <c r="V981" s="278"/>
      <c r="W981" s="277"/>
      <c r="X981" s="278"/>
      <c r="Y981" s="277"/>
      <c r="Z981" s="278"/>
      <c r="AA981" s="277"/>
      <c r="AB981" s="278"/>
      <c r="AC981" s="277"/>
      <c r="AD981" s="278"/>
      <c r="AE981" s="277"/>
      <c r="AF981" s="278"/>
      <c r="AG981" s="277"/>
      <c r="AH981" s="278"/>
      <c r="AI981" s="277"/>
      <c r="AJ981" s="278"/>
      <c r="AK981" s="277"/>
      <c r="AL981" s="278"/>
      <c r="AM981" s="277"/>
      <c r="AN981" s="278"/>
      <c r="AO981" s="278"/>
      <c r="AP981" s="278"/>
      <c r="AQ981" s="278"/>
      <c r="AR981" s="278"/>
      <c r="AS981" s="278"/>
    </row>
    <row r="982" spans="1:45">
      <c r="A982" s="277"/>
      <c r="B982" s="298" t="b">
        <v>0</v>
      </c>
      <c r="C982" s="278"/>
      <c r="D982" s="299" t="b">
        <v>0</v>
      </c>
      <c r="E982" s="277"/>
      <c r="F982" s="298" t="b">
        <v>0</v>
      </c>
      <c r="G982" s="278"/>
      <c r="H982" s="299" t="b">
        <v>0</v>
      </c>
      <c r="I982" s="277"/>
      <c r="J982" s="278"/>
      <c r="K982" s="277"/>
      <c r="L982" s="278"/>
      <c r="M982" s="277"/>
      <c r="N982" s="278"/>
      <c r="O982" s="277"/>
      <c r="P982" s="278"/>
      <c r="Q982" s="277"/>
      <c r="R982" s="278"/>
      <c r="S982" s="277"/>
      <c r="T982" s="278"/>
      <c r="U982" s="277"/>
      <c r="V982" s="278"/>
      <c r="W982" s="277"/>
      <c r="X982" s="278"/>
      <c r="Y982" s="277"/>
      <c r="Z982" s="278"/>
      <c r="AA982" s="277"/>
      <c r="AB982" s="278"/>
      <c r="AC982" s="277"/>
      <c r="AD982" s="278"/>
      <c r="AE982" s="277"/>
      <c r="AF982" s="278"/>
      <c r="AG982" s="277"/>
      <c r="AH982" s="278"/>
      <c r="AI982" s="277"/>
      <c r="AJ982" s="278"/>
      <c r="AK982" s="277"/>
      <c r="AL982" s="278"/>
      <c r="AM982" s="277"/>
      <c r="AN982" s="278"/>
      <c r="AO982" s="278"/>
      <c r="AP982" s="278"/>
      <c r="AQ982" s="278"/>
      <c r="AR982" s="278"/>
      <c r="AS982" s="278"/>
    </row>
    <row r="983" spans="1:45">
      <c r="A983" s="277"/>
      <c r="B983" s="298" t="b">
        <v>0</v>
      </c>
      <c r="C983" s="278"/>
      <c r="D983" s="299" t="b">
        <v>0</v>
      </c>
      <c r="E983" s="277"/>
      <c r="F983" s="298" t="b">
        <v>0</v>
      </c>
      <c r="G983" s="278"/>
      <c r="H983" s="299" t="b">
        <v>0</v>
      </c>
      <c r="I983" s="277"/>
      <c r="J983" s="278"/>
      <c r="K983" s="277"/>
      <c r="L983" s="278"/>
      <c r="M983" s="277"/>
      <c r="N983" s="278"/>
      <c r="O983" s="277"/>
      <c r="P983" s="278"/>
      <c r="Q983" s="277"/>
      <c r="R983" s="278"/>
      <c r="S983" s="277"/>
      <c r="T983" s="278"/>
      <c r="U983" s="277"/>
      <c r="V983" s="278"/>
      <c r="W983" s="277"/>
      <c r="X983" s="278"/>
      <c r="Y983" s="277"/>
      <c r="Z983" s="278"/>
      <c r="AA983" s="277"/>
      <c r="AB983" s="278"/>
      <c r="AC983" s="277"/>
      <c r="AD983" s="278"/>
      <c r="AE983" s="277"/>
      <c r="AF983" s="278"/>
      <c r="AG983" s="277"/>
      <c r="AH983" s="278"/>
      <c r="AI983" s="277"/>
      <c r="AJ983" s="278"/>
      <c r="AK983" s="277"/>
      <c r="AL983" s="278"/>
      <c r="AM983" s="277"/>
      <c r="AN983" s="278"/>
      <c r="AO983" s="278"/>
      <c r="AP983" s="278"/>
      <c r="AQ983" s="278"/>
      <c r="AR983" s="278"/>
      <c r="AS983" s="278"/>
    </row>
    <row r="984" spans="1:45">
      <c r="A984" s="277"/>
      <c r="B984" s="298" t="b">
        <v>0</v>
      </c>
      <c r="C984" s="278"/>
      <c r="D984" s="299" t="b">
        <v>0</v>
      </c>
      <c r="E984" s="277"/>
      <c r="F984" s="298" t="b">
        <v>0</v>
      </c>
      <c r="G984" s="278"/>
      <c r="H984" s="299" t="b">
        <v>0</v>
      </c>
      <c r="I984" s="277"/>
      <c r="J984" s="278"/>
      <c r="K984" s="277"/>
      <c r="L984" s="278"/>
      <c r="M984" s="277"/>
      <c r="N984" s="278"/>
      <c r="O984" s="277"/>
      <c r="P984" s="278"/>
      <c r="Q984" s="277"/>
      <c r="R984" s="278"/>
      <c r="S984" s="277"/>
      <c r="T984" s="278"/>
      <c r="U984" s="277"/>
      <c r="V984" s="278"/>
      <c r="W984" s="277"/>
      <c r="X984" s="278"/>
      <c r="Y984" s="277"/>
      <c r="Z984" s="278"/>
      <c r="AA984" s="277"/>
      <c r="AB984" s="278"/>
      <c r="AC984" s="277"/>
      <c r="AD984" s="278"/>
      <c r="AE984" s="277"/>
      <c r="AF984" s="278"/>
      <c r="AG984" s="277"/>
      <c r="AH984" s="278"/>
      <c r="AI984" s="277"/>
      <c r="AJ984" s="278"/>
      <c r="AK984" s="277"/>
      <c r="AL984" s="278"/>
      <c r="AM984" s="277"/>
      <c r="AN984" s="278"/>
      <c r="AO984" s="278"/>
      <c r="AP984" s="278"/>
      <c r="AQ984" s="278"/>
      <c r="AR984" s="278"/>
      <c r="AS984" s="278"/>
    </row>
    <row r="985" spans="1:45">
      <c r="A985" s="277"/>
      <c r="B985" s="298" t="b">
        <v>0</v>
      </c>
      <c r="C985" s="278"/>
      <c r="D985" s="299" t="b">
        <v>0</v>
      </c>
      <c r="E985" s="277"/>
      <c r="F985" s="298" t="b">
        <v>0</v>
      </c>
      <c r="G985" s="278"/>
      <c r="H985" s="299" t="b">
        <v>0</v>
      </c>
      <c r="I985" s="277"/>
      <c r="J985" s="278"/>
      <c r="K985" s="277"/>
      <c r="L985" s="278"/>
      <c r="M985" s="277"/>
      <c r="N985" s="278"/>
      <c r="O985" s="277"/>
      <c r="P985" s="278"/>
      <c r="Q985" s="277"/>
      <c r="R985" s="278"/>
      <c r="S985" s="277"/>
      <c r="T985" s="278"/>
      <c r="U985" s="277"/>
      <c r="V985" s="278"/>
      <c r="W985" s="277"/>
      <c r="X985" s="278"/>
      <c r="Y985" s="277"/>
      <c r="Z985" s="278"/>
      <c r="AA985" s="277"/>
      <c r="AB985" s="278"/>
      <c r="AC985" s="277"/>
      <c r="AD985" s="278"/>
      <c r="AE985" s="277"/>
      <c r="AF985" s="278"/>
      <c r="AG985" s="277"/>
      <c r="AH985" s="278"/>
      <c r="AI985" s="277"/>
      <c r="AJ985" s="278"/>
      <c r="AK985" s="277"/>
      <c r="AL985" s="278"/>
      <c r="AM985" s="277"/>
      <c r="AN985" s="278"/>
      <c r="AO985" s="278"/>
      <c r="AP985" s="278"/>
      <c r="AQ985" s="278"/>
      <c r="AR985" s="278"/>
      <c r="AS985" s="278"/>
    </row>
    <row r="986" spans="1:45">
      <c r="A986" s="277"/>
      <c r="B986" s="298" t="b">
        <v>0</v>
      </c>
      <c r="C986" s="278"/>
      <c r="D986" s="299" t="b">
        <v>0</v>
      </c>
      <c r="E986" s="277"/>
      <c r="F986" s="298" t="b">
        <v>0</v>
      </c>
      <c r="G986" s="278"/>
      <c r="H986" s="299" t="b">
        <v>0</v>
      </c>
      <c r="I986" s="277"/>
      <c r="J986" s="278"/>
      <c r="K986" s="277"/>
      <c r="L986" s="278"/>
      <c r="M986" s="277"/>
      <c r="N986" s="278"/>
      <c r="O986" s="277"/>
      <c r="P986" s="278"/>
      <c r="Q986" s="277"/>
      <c r="R986" s="278"/>
      <c r="S986" s="277"/>
      <c r="T986" s="278"/>
      <c r="U986" s="277"/>
      <c r="V986" s="278"/>
      <c r="W986" s="277"/>
      <c r="X986" s="278"/>
      <c r="Y986" s="277"/>
      <c r="Z986" s="278"/>
      <c r="AA986" s="277"/>
      <c r="AB986" s="278"/>
      <c r="AC986" s="277"/>
      <c r="AD986" s="278"/>
      <c r="AE986" s="277"/>
      <c r="AF986" s="278"/>
      <c r="AG986" s="277"/>
      <c r="AH986" s="278"/>
      <c r="AI986" s="277"/>
      <c r="AJ986" s="278"/>
      <c r="AK986" s="277"/>
      <c r="AL986" s="278"/>
      <c r="AM986" s="277"/>
      <c r="AN986" s="278"/>
      <c r="AO986" s="278"/>
      <c r="AP986" s="278"/>
      <c r="AQ986" s="278"/>
      <c r="AR986" s="278"/>
      <c r="AS986" s="278"/>
    </row>
    <row r="987" spans="1:45">
      <c r="A987" s="277"/>
      <c r="B987" s="298" t="b">
        <v>0</v>
      </c>
      <c r="C987" s="278"/>
      <c r="D987" s="299" t="b">
        <v>0</v>
      </c>
      <c r="E987" s="277"/>
      <c r="F987" s="298" t="b">
        <v>0</v>
      </c>
      <c r="G987" s="278"/>
      <c r="H987" s="299" t="b">
        <v>0</v>
      </c>
      <c r="I987" s="277"/>
      <c r="J987" s="278"/>
      <c r="K987" s="277"/>
      <c r="L987" s="278"/>
      <c r="M987" s="277"/>
      <c r="N987" s="278"/>
      <c r="O987" s="277"/>
      <c r="P987" s="278"/>
      <c r="Q987" s="277"/>
      <c r="R987" s="278"/>
      <c r="S987" s="277"/>
      <c r="T987" s="278"/>
      <c r="U987" s="277"/>
      <c r="V987" s="278"/>
      <c r="W987" s="277"/>
      <c r="X987" s="278"/>
      <c r="Y987" s="277"/>
      <c r="Z987" s="278"/>
      <c r="AA987" s="277"/>
      <c r="AB987" s="278"/>
      <c r="AC987" s="277"/>
      <c r="AD987" s="278"/>
      <c r="AE987" s="277"/>
      <c r="AF987" s="278"/>
      <c r="AG987" s="277"/>
      <c r="AH987" s="278"/>
      <c r="AI987" s="277"/>
      <c r="AJ987" s="278"/>
      <c r="AK987" s="277"/>
      <c r="AL987" s="278"/>
      <c r="AM987" s="277"/>
      <c r="AN987" s="278"/>
      <c r="AO987" s="278"/>
      <c r="AP987" s="278"/>
      <c r="AQ987" s="278"/>
      <c r="AR987" s="278"/>
      <c r="AS987" s="278"/>
    </row>
    <row r="988" spans="1:45">
      <c r="A988" s="277"/>
      <c r="B988" s="298" t="b">
        <v>0</v>
      </c>
      <c r="C988" s="278"/>
      <c r="D988" s="299" t="b">
        <v>0</v>
      </c>
      <c r="E988" s="277"/>
      <c r="F988" s="298" t="b">
        <v>0</v>
      </c>
      <c r="G988" s="278"/>
      <c r="H988" s="299" t="b">
        <v>0</v>
      </c>
      <c r="I988" s="277"/>
      <c r="J988" s="278"/>
      <c r="K988" s="277"/>
      <c r="L988" s="278"/>
      <c r="M988" s="277"/>
      <c r="N988" s="278"/>
      <c r="O988" s="277"/>
      <c r="P988" s="278"/>
      <c r="Q988" s="277"/>
      <c r="R988" s="278"/>
      <c r="S988" s="277"/>
      <c r="T988" s="278"/>
      <c r="U988" s="277"/>
      <c r="V988" s="278"/>
      <c r="W988" s="277"/>
      <c r="X988" s="278"/>
      <c r="Y988" s="277"/>
      <c r="Z988" s="278"/>
      <c r="AA988" s="277"/>
      <c r="AB988" s="278"/>
      <c r="AC988" s="277"/>
      <c r="AD988" s="278"/>
      <c r="AE988" s="277"/>
      <c r="AF988" s="278"/>
      <c r="AG988" s="277"/>
      <c r="AH988" s="278"/>
      <c r="AI988" s="277"/>
      <c r="AJ988" s="278"/>
      <c r="AK988" s="277"/>
      <c r="AL988" s="278"/>
      <c r="AM988" s="277"/>
      <c r="AN988" s="278"/>
      <c r="AO988" s="278"/>
      <c r="AP988" s="278"/>
      <c r="AQ988" s="278"/>
      <c r="AR988" s="278"/>
      <c r="AS988" s="278"/>
    </row>
    <row r="989" spans="1:45">
      <c r="A989" s="277"/>
      <c r="B989" s="298" t="b">
        <v>0</v>
      </c>
      <c r="C989" s="278"/>
      <c r="D989" s="299" t="b">
        <v>0</v>
      </c>
      <c r="E989" s="277"/>
      <c r="F989" s="298" t="b">
        <v>0</v>
      </c>
      <c r="G989" s="278"/>
      <c r="H989" s="299" t="b">
        <v>0</v>
      </c>
      <c r="I989" s="277"/>
      <c r="J989" s="278"/>
      <c r="K989" s="277"/>
      <c r="L989" s="278"/>
      <c r="M989" s="277"/>
      <c r="N989" s="278"/>
      <c r="O989" s="277"/>
      <c r="P989" s="278"/>
      <c r="Q989" s="277"/>
      <c r="R989" s="278"/>
      <c r="S989" s="277"/>
      <c r="T989" s="278"/>
      <c r="U989" s="277"/>
      <c r="V989" s="278"/>
      <c r="W989" s="277"/>
      <c r="X989" s="278"/>
      <c r="Y989" s="277"/>
      <c r="Z989" s="278"/>
      <c r="AA989" s="277"/>
      <c r="AB989" s="278"/>
      <c r="AC989" s="277"/>
      <c r="AD989" s="278"/>
      <c r="AE989" s="277"/>
      <c r="AF989" s="278"/>
      <c r="AG989" s="277"/>
      <c r="AH989" s="278"/>
      <c r="AI989" s="277"/>
      <c r="AJ989" s="278"/>
      <c r="AK989" s="277"/>
      <c r="AL989" s="278"/>
      <c r="AM989" s="277"/>
      <c r="AN989" s="278"/>
      <c r="AO989" s="278"/>
      <c r="AP989" s="278"/>
      <c r="AQ989" s="278"/>
      <c r="AR989" s="278"/>
      <c r="AS989" s="278"/>
    </row>
    <row r="990" spans="1:45">
      <c r="A990" s="277"/>
      <c r="B990" s="298" t="b">
        <v>0</v>
      </c>
      <c r="C990" s="278"/>
      <c r="D990" s="299" t="b">
        <v>0</v>
      </c>
      <c r="E990" s="277"/>
      <c r="F990" s="298" t="b">
        <v>0</v>
      </c>
      <c r="G990" s="278"/>
      <c r="H990" s="299" t="b">
        <v>0</v>
      </c>
      <c r="I990" s="277"/>
      <c r="J990" s="278"/>
      <c r="K990" s="277"/>
      <c r="L990" s="278"/>
      <c r="M990" s="277"/>
      <c r="N990" s="278"/>
      <c r="O990" s="277"/>
      <c r="P990" s="278"/>
      <c r="Q990" s="277"/>
      <c r="R990" s="278"/>
      <c r="S990" s="277"/>
      <c r="T990" s="278"/>
      <c r="U990" s="277"/>
      <c r="V990" s="278"/>
      <c r="W990" s="277"/>
      <c r="X990" s="278"/>
      <c r="Y990" s="277"/>
      <c r="Z990" s="278"/>
      <c r="AA990" s="277"/>
      <c r="AB990" s="278"/>
      <c r="AC990" s="277"/>
      <c r="AD990" s="278"/>
      <c r="AE990" s="277"/>
      <c r="AF990" s="278"/>
      <c r="AG990" s="277"/>
      <c r="AH990" s="278"/>
      <c r="AI990" s="277"/>
      <c r="AJ990" s="278"/>
      <c r="AK990" s="277"/>
      <c r="AL990" s="278"/>
      <c r="AM990" s="277"/>
      <c r="AN990" s="278"/>
      <c r="AO990" s="278"/>
      <c r="AP990" s="278"/>
      <c r="AQ990" s="278"/>
      <c r="AR990" s="278"/>
      <c r="AS990" s="278"/>
    </row>
    <row r="991" spans="1:45">
      <c r="A991" s="277"/>
      <c r="B991" s="298" t="b">
        <v>0</v>
      </c>
      <c r="C991" s="278"/>
      <c r="D991" s="299" t="b">
        <v>0</v>
      </c>
      <c r="E991" s="277"/>
      <c r="F991" s="298" t="b">
        <v>0</v>
      </c>
      <c r="G991" s="278"/>
      <c r="H991" s="299" t="b">
        <v>0</v>
      </c>
      <c r="I991" s="277"/>
      <c r="J991" s="278"/>
      <c r="K991" s="277"/>
      <c r="L991" s="278"/>
      <c r="M991" s="277"/>
      <c r="N991" s="278"/>
      <c r="O991" s="277"/>
      <c r="P991" s="278"/>
      <c r="Q991" s="277"/>
      <c r="R991" s="278"/>
      <c r="S991" s="277"/>
      <c r="T991" s="278"/>
      <c r="U991" s="277"/>
      <c r="V991" s="278"/>
      <c r="W991" s="277"/>
      <c r="X991" s="278"/>
      <c r="Y991" s="277"/>
      <c r="Z991" s="278"/>
      <c r="AA991" s="277"/>
      <c r="AB991" s="278"/>
      <c r="AC991" s="277"/>
      <c r="AD991" s="278"/>
      <c r="AE991" s="277"/>
      <c r="AF991" s="278"/>
      <c r="AG991" s="277"/>
      <c r="AH991" s="278"/>
      <c r="AI991" s="277"/>
      <c r="AJ991" s="278"/>
      <c r="AK991" s="277"/>
      <c r="AL991" s="278"/>
      <c r="AM991" s="277"/>
      <c r="AN991" s="278"/>
      <c r="AO991" s="278"/>
      <c r="AP991" s="278"/>
      <c r="AQ991" s="278"/>
      <c r="AR991" s="278"/>
      <c r="AS991" s="278"/>
    </row>
    <row r="992" spans="1:45">
      <c r="A992" s="277"/>
      <c r="B992" s="298" t="b">
        <v>0</v>
      </c>
      <c r="C992" s="278"/>
      <c r="D992" s="299" t="b">
        <v>0</v>
      </c>
      <c r="E992" s="277"/>
      <c r="F992" s="298" t="b">
        <v>0</v>
      </c>
      <c r="G992" s="278"/>
      <c r="H992" s="299" t="b">
        <v>0</v>
      </c>
      <c r="I992" s="277"/>
      <c r="J992" s="278"/>
      <c r="K992" s="277"/>
      <c r="L992" s="278"/>
      <c r="M992" s="277"/>
      <c r="N992" s="278"/>
      <c r="O992" s="277"/>
      <c r="P992" s="278"/>
      <c r="Q992" s="277"/>
      <c r="R992" s="278"/>
      <c r="S992" s="277"/>
      <c r="T992" s="278"/>
      <c r="U992" s="277"/>
      <c r="V992" s="278"/>
      <c r="W992" s="277"/>
      <c r="X992" s="278"/>
      <c r="Y992" s="277"/>
      <c r="Z992" s="278"/>
      <c r="AA992" s="277"/>
      <c r="AB992" s="278"/>
      <c r="AC992" s="277"/>
      <c r="AD992" s="278"/>
      <c r="AE992" s="277"/>
      <c r="AF992" s="278"/>
      <c r="AG992" s="277"/>
      <c r="AH992" s="278"/>
      <c r="AI992" s="277"/>
      <c r="AJ992" s="278"/>
      <c r="AK992" s="277"/>
      <c r="AL992" s="278"/>
      <c r="AM992" s="277"/>
      <c r="AN992" s="278"/>
      <c r="AO992" s="278"/>
      <c r="AP992" s="278"/>
      <c r="AQ992" s="278"/>
      <c r="AR992" s="278"/>
      <c r="AS992" s="278"/>
    </row>
    <row r="993" spans="1:45">
      <c r="A993" s="277"/>
      <c r="B993" s="298" t="b">
        <v>0</v>
      </c>
      <c r="C993" s="278"/>
      <c r="D993" s="299" t="b">
        <v>0</v>
      </c>
      <c r="E993" s="277"/>
      <c r="F993" s="298" t="b">
        <v>0</v>
      </c>
      <c r="G993" s="278"/>
      <c r="H993" s="299" t="b">
        <v>0</v>
      </c>
      <c r="I993" s="277"/>
      <c r="J993" s="278"/>
      <c r="K993" s="277"/>
      <c r="L993" s="278"/>
      <c r="M993" s="277"/>
      <c r="N993" s="278"/>
      <c r="O993" s="277"/>
      <c r="P993" s="278"/>
      <c r="Q993" s="277"/>
      <c r="R993" s="278"/>
      <c r="S993" s="277"/>
      <c r="T993" s="278"/>
      <c r="U993" s="277"/>
      <c r="V993" s="278"/>
      <c r="W993" s="277"/>
      <c r="X993" s="278"/>
      <c r="Y993" s="277"/>
      <c r="Z993" s="278"/>
      <c r="AA993" s="277"/>
      <c r="AB993" s="278"/>
      <c r="AC993" s="277"/>
      <c r="AD993" s="278"/>
      <c r="AE993" s="277"/>
      <c r="AF993" s="278"/>
      <c r="AG993" s="277"/>
      <c r="AH993" s="278"/>
      <c r="AI993" s="277"/>
      <c r="AJ993" s="278"/>
      <c r="AK993" s="277"/>
      <c r="AL993" s="278"/>
      <c r="AM993" s="277"/>
      <c r="AN993" s="278"/>
      <c r="AO993" s="278"/>
      <c r="AP993" s="278"/>
      <c r="AQ993" s="278"/>
      <c r="AR993" s="278"/>
      <c r="AS993" s="278"/>
    </row>
    <row r="994" spans="1:45">
      <c r="A994" s="277"/>
      <c r="B994" s="298" t="b">
        <v>0</v>
      </c>
      <c r="C994" s="278"/>
      <c r="D994" s="299" t="b">
        <v>0</v>
      </c>
      <c r="E994" s="277"/>
      <c r="F994" s="298" t="b">
        <v>0</v>
      </c>
      <c r="G994" s="278"/>
      <c r="H994" s="299" t="b">
        <v>0</v>
      </c>
      <c r="I994" s="277"/>
      <c r="J994" s="278"/>
      <c r="K994" s="277"/>
      <c r="L994" s="278"/>
      <c r="M994" s="277"/>
      <c r="N994" s="278"/>
      <c r="O994" s="277"/>
      <c r="P994" s="278"/>
      <c r="Q994" s="277"/>
      <c r="R994" s="278"/>
      <c r="S994" s="277"/>
      <c r="T994" s="278"/>
      <c r="U994" s="277"/>
      <c r="V994" s="278"/>
      <c r="W994" s="277"/>
      <c r="X994" s="278"/>
      <c r="Y994" s="277"/>
      <c r="Z994" s="278"/>
      <c r="AA994" s="277"/>
      <c r="AB994" s="278"/>
      <c r="AC994" s="277"/>
      <c r="AD994" s="278"/>
      <c r="AE994" s="277"/>
      <c r="AF994" s="278"/>
      <c r="AG994" s="277"/>
      <c r="AH994" s="278"/>
      <c r="AI994" s="277"/>
      <c r="AJ994" s="278"/>
      <c r="AK994" s="277"/>
      <c r="AL994" s="278"/>
      <c r="AM994" s="277"/>
      <c r="AN994" s="278"/>
      <c r="AO994" s="278"/>
      <c r="AP994" s="278"/>
      <c r="AQ994" s="278"/>
      <c r="AR994" s="278"/>
      <c r="AS994" s="278"/>
    </row>
    <row r="995" spans="1:45">
      <c r="A995" s="277"/>
      <c r="B995" s="298" t="b">
        <v>0</v>
      </c>
      <c r="C995" s="278"/>
      <c r="D995" s="299" t="b">
        <v>0</v>
      </c>
      <c r="E995" s="277"/>
      <c r="F995" s="298" t="b">
        <v>0</v>
      </c>
      <c r="G995" s="278"/>
      <c r="H995" s="299" t="b">
        <v>0</v>
      </c>
      <c r="I995" s="277"/>
      <c r="J995" s="278"/>
      <c r="K995" s="277"/>
      <c r="L995" s="278"/>
      <c r="M995" s="277"/>
      <c r="N995" s="278"/>
      <c r="O995" s="277"/>
      <c r="P995" s="278"/>
      <c r="Q995" s="277"/>
      <c r="R995" s="278"/>
      <c r="S995" s="277"/>
      <c r="T995" s="278"/>
      <c r="U995" s="277"/>
      <c r="V995" s="278"/>
      <c r="W995" s="277"/>
      <c r="X995" s="278"/>
      <c r="Y995" s="277"/>
      <c r="Z995" s="278"/>
      <c r="AA995" s="277"/>
      <c r="AB995" s="278"/>
      <c r="AC995" s="277"/>
      <c r="AD995" s="278"/>
      <c r="AE995" s="277"/>
      <c r="AF995" s="278"/>
      <c r="AG995" s="277"/>
      <c r="AH995" s="278"/>
      <c r="AI995" s="277"/>
      <c r="AJ995" s="278"/>
      <c r="AK995" s="277"/>
      <c r="AL995" s="278"/>
      <c r="AM995" s="277"/>
      <c r="AN995" s="278"/>
      <c r="AO995" s="278"/>
      <c r="AP995" s="278"/>
      <c r="AQ995" s="278"/>
      <c r="AR995" s="278"/>
      <c r="AS995" s="278"/>
    </row>
    <row r="996" spans="1:45">
      <c r="A996" s="277"/>
      <c r="B996" s="298" t="b">
        <v>0</v>
      </c>
      <c r="C996" s="278"/>
      <c r="D996" s="299" t="b">
        <v>0</v>
      </c>
      <c r="E996" s="277"/>
      <c r="F996" s="298" t="b">
        <v>0</v>
      </c>
      <c r="G996" s="278"/>
      <c r="H996" s="299" t="b">
        <v>0</v>
      </c>
      <c r="I996" s="277"/>
      <c r="J996" s="278"/>
      <c r="K996" s="277"/>
      <c r="L996" s="278"/>
      <c r="M996" s="277"/>
      <c r="N996" s="278"/>
      <c r="O996" s="277"/>
      <c r="P996" s="278"/>
      <c r="Q996" s="277"/>
      <c r="R996" s="278"/>
      <c r="S996" s="277"/>
      <c r="T996" s="278"/>
      <c r="U996" s="277"/>
      <c r="V996" s="278"/>
      <c r="W996" s="277"/>
      <c r="X996" s="278"/>
      <c r="Y996" s="277"/>
      <c r="Z996" s="278"/>
      <c r="AA996" s="277"/>
      <c r="AB996" s="278"/>
      <c r="AC996" s="277"/>
      <c r="AD996" s="278"/>
      <c r="AE996" s="277"/>
      <c r="AF996" s="278"/>
      <c r="AG996" s="277"/>
      <c r="AH996" s="278"/>
      <c r="AI996" s="277"/>
      <c r="AJ996" s="278"/>
      <c r="AK996" s="277"/>
      <c r="AL996" s="278"/>
      <c r="AM996" s="277"/>
      <c r="AN996" s="278"/>
      <c r="AO996" s="278"/>
      <c r="AP996" s="278"/>
      <c r="AQ996" s="278"/>
      <c r="AR996" s="278"/>
      <c r="AS996" s="278"/>
    </row>
    <row r="997" spans="1:45">
      <c r="A997" s="277"/>
      <c r="B997" s="298" t="b">
        <v>0</v>
      </c>
      <c r="C997" s="278"/>
      <c r="D997" s="299" t="b">
        <v>0</v>
      </c>
      <c r="E997" s="277"/>
      <c r="F997" s="298" t="b">
        <v>0</v>
      </c>
      <c r="G997" s="278"/>
      <c r="H997" s="299" t="b">
        <v>0</v>
      </c>
      <c r="I997" s="277"/>
      <c r="J997" s="278"/>
      <c r="K997" s="277"/>
      <c r="L997" s="278"/>
      <c r="M997" s="277"/>
      <c r="N997" s="278"/>
      <c r="O997" s="277"/>
      <c r="P997" s="278"/>
      <c r="Q997" s="277"/>
      <c r="R997" s="278"/>
      <c r="S997" s="277"/>
      <c r="T997" s="278"/>
      <c r="U997" s="277"/>
      <c r="V997" s="278"/>
      <c r="W997" s="277"/>
      <c r="X997" s="278"/>
      <c r="Y997" s="277"/>
      <c r="Z997" s="278"/>
      <c r="AA997" s="277"/>
      <c r="AB997" s="278"/>
      <c r="AC997" s="277"/>
      <c r="AD997" s="278"/>
      <c r="AE997" s="277"/>
      <c r="AF997" s="278"/>
      <c r="AG997" s="277"/>
      <c r="AH997" s="278"/>
      <c r="AI997" s="277"/>
      <c r="AJ997" s="278"/>
      <c r="AK997" s="277"/>
      <c r="AL997" s="278"/>
      <c r="AM997" s="277"/>
      <c r="AN997" s="278"/>
      <c r="AO997" s="278"/>
      <c r="AP997" s="278"/>
      <c r="AQ997" s="278"/>
      <c r="AR997" s="278"/>
      <c r="AS997" s="278"/>
    </row>
    <row r="998" spans="1:45">
      <c r="A998" s="277"/>
      <c r="B998" s="298" t="b">
        <v>0</v>
      </c>
      <c r="C998" s="278"/>
      <c r="D998" s="299" t="b">
        <v>0</v>
      </c>
      <c r="E998" s="277"/>
      <c r="F998" s="298" t="b">
        <v>0</v>
      </c>
      <c r="G998" s="278"/>
      <c r="H998" s="299" t="b">
        <v>0</v>
      </c>
      <c r="I998" s="277"/>
      <c r="J998" s="278"/>
      <c r="K998" s="277"/>
      <c r="L998" s="278"/>
      <c r="M998" s="277"/>
      <c r="N998" s="278"/>
      <c r="O998" s="277"/>
      <c r="P998" s="278"/>
      <c r="Q998" s="277"/>
      <c r="R998" s="278"/>
      <c r="S998" s="277"/>
      <c r="T998" s="278"/>
      <c r="U998" s="277"/>
      <c r="V998" s="278"/>
      <c r="W998" s="277"/>
      <c r="X998" s="278"/>
      <c r="Y998" s="277"/>
      <c r="Z998" s="278"/>
      <c r="AA998" s="277"/>
      <c r="AB998" s="278"/>
      <c r="AC998" s="277"/>
      <c r="AD998" s="278"/>
      <c r="AE998" s="277"/>
      <c r="AF998" s="278"/>
      <c r="AG998" s="277"/>
      <c r="AH998" s="278"/>
      <c r="AI998" s="277"/>
      <c r="AJ998" s="278"/>
      <c r="AK998" s="277"/>
      <c r="AL998" s="278"/>
      <c r="AM998" s="277"/>
      <c r="AN998" s="278"/>
      <c r="AO998" s="278"/>
      <c r="AP998" s="278"/>
      <c r="AQ998" s="278"/>
      <c r="AR998" s="278"/>
      <c r="AS998" s="278"/>
    </row>
    <row r="999" spans="1:45">
      <c r="A999" s="277"/>
      <c r="B999" s="298" t="b">
        <v>0</v>
      </c>
      <c r="C999" s="278"/>
      <c r="D999" s="299" t="b">
        <v>0</v>
      </c>
      <c r="E999" s="277"/>
      <c r="F999" s="298" t="b">
        <v>0</v>
      </c>
      <c r="G999" s="278"/>
      <c r="H999" s="299" t="b">
        <v>0</v>
      </c>
      <c r="I999" s="277"/>
      <c r="J999" s="278"/>
      <c r="K999" s="277"/>
      <c r="L999" s="278"/>
      <c r="M999" s="277"/>
      <c r="N999" s="278"/>
      <c r="O999" s="277"/>
      <c r="P999" s="278"/>
      <c r="Q999" s="277"/>
      <c r="R999" s="278"/>
      <c r="S999" s="277"/>
      <c r="T999" s="278"/>
      <c r="U999" s="277"/>
      <c r="V999" s="278"/>
      <c r="W999" s="277"/>
      <c r="X999" s="278"/>
      <c r="Y999" s="277"/>
      <c r="Z999" s="278"/>
      <c r="AA999" s="277"/>
      <c r="AB999" s="278"/>
      <c r="AC999" s="277"/>
      <c r="AD999" s="278"/>
      <c r="AE999" s="277"/>
      <c r="AF999" s="278"/>
      <c r="AG999" s="277"/>
      <c r="AH999" s="278"/>
      <c r="AI999" s="277"/>
      <c r="AJ999" s="278"/>
      <c r="AK999" s="277"/>
      <c r="AL999" s="278"/>
      <c r="AM999" s="277"/>
      <c r="AN999" s="278"/>
      <c r="AO999" s="278"/>
      <c r="AP999" s="278"/>
      <c r="AQ999" s="278"/>
      <c r="AR999" s="278"/>
      <c r="AS999" s="278"/>
    </row>
    <row r="1000" spans="1:45">
      <c r="A1000" s="277"/>
      <c r="B1000" s="298" t="b">
        <v>0</v>
      </c>
      <c r="C1000" s="278"/>
      <c r="D1000" s="299" t="b">
        <v>0</v>
      </c>
      <c r="E1000" s="277"/>
      <c r="F1000" s="298" t="b">
        <v>0</v>
      </c>
      <c r="G1000" s="278"/>
      <c r="H1000" s="299" t="b">
        <v>0</v>
      </c>
      <c r="I1000" s="277"/>
      <c r="J1000" s="278"/>
      <c r="K1000" s="277"/>
      <c r="L1000" s="278"/>
      <c r="M1000" s="277"/>
      <c r="N1000" s="278"/>
      <c r="O1000" s="277"/>
      <c r="P1000" s="278"/>
      <c r="Q1000" s="277"/>
      <c r="R1000" s="278"/>
      <c r="S1000" s="277"/>
      <c r="T1000" s="278"/>
      <c r="U1000" s="277"/>
      <c r="V1000" s="278"/>
      <c r="W1000" s="277"/>
      <c r="X1000" s="278"/>
      <c r="Y1000" s="277"/>
      <c r="Z1000" s="278"/>
      <c r="AA1000" s="277"/>
      <c r="AB1000" s="278"/>
      <c r="AC1000" s="277"/>
      <c r="AD1000" s="278"/>
      <c r="AE1000" s="277"/>
      <c r="AF1000" s="278"/>
      <c r="AG1000" s="277"/>
      <c r="AH1000" s="278"/>
      <c r="AI1000" s="277"/>
      <c r="AJ1000" s="278"/>
      <c r="AK1000" s="277"/>
      <c r="AL1000" s="278"/>
      <c r="AM1000" s="277"/>
      <c r="AN1000" s="278"/>
      <c r="AO1000" s="278"/>
      <c r="AP1000" s="278"/>
      <c r="AQ1000" s="278"/>
      <c r="AR1000" s="278"/>
      <c r="AS1000" s="278"/>
    </row>
    <row r="1001" spans="1:45">
      <c r="A1001" s="277"/>
      <c r="B1001" s="298" t="b">
        <v>0</v>
      </c>
      <c r="C1001" s="278"/>
      <c r="D1001" s="299" t="b">
        <v>0</v>
      </c>
      <c r="E1001" s="277"/>
      <c r="F1001" s="298" t="b">
        <v>0</v>
      </c>
      <c r="G1001" s="278"/>
      <c r="H1001" s="299" t="b">
        <v>0</v>
      </c>
      <c r="I1001" s="277"/>
      <c r="J1001" s="278"/>
      <c r="K1001" s="277"/>
      <c r="L1001" s="278"/>
      <c r="M1001" s="277"/>
      <c r="N1001" s="278"/>
      <c r="O1001" s="277"/>
      <c r="P1001" s="278"/>
      <c r="Q1001" s="277"/>
      <c r="R1001" s="278"/>
      <c r="S1001" s="277"/>
      <c r="T1001" s="278"/>
      <c r="U1001" s="277"/>
      <c r="V1001" s="278"/>
      <c r="W1001" s="277"/>
      <c r="X1001" s="278"/>
      <c r="Y1001" s="277"/>
      <c r="Z1001" s="278"/>
      <c r="AA1001" s="277"/>
      <c r="AB1001" s="278"/>
      <c r="AC1001" s="277"/>
      <c r="AD1001" s="278"/>
      <c r="AE1001" s="277"/>
      <c r="AF1001" s="278"/>
      <c r="AG1001" s="277"/>
      <c r="AH1001" s="278"/>
      <c r="AI1001" s="277"/>
      <c r="AJ1001" s="278"/>
      <c r="AK1001" s="277"/>
      <c r="AL1001" s="278"/>
      <c r="AM1001" s="277"/>
      <c r="AN1001" s="278"/>
      <c r="AO1001" s="278"/>
      <c r="AP1001" s="278"/>
      <c r="AQ1001" s="278"/>
      <c r="AR1001" s="278"/>
      <c r="AS1001" s="278"/>
    </row>
    <row r="1002" spans="1:45">
      <c r="A1002" s="277"/>
      <c r="B1002" s="298" t="b">
        <v>0</v>
      </c>
      <c r="C1002" s="278"/>
      <c r="D1002" s="299" t="b">
        <v>0</v>
      </c>
      <c r="E1002" s="277"/>
      <c r="F1002" s="298" t="b">
        <v>0</v>
      </c>
      <c r="G1002" s="278"/>
      <c r="H1002" s="299" t="b">
        <v>0</v>
      </c>
      <c r="I1002" s="277"/>
      <c r="J1002" s="278"/>
      <c r="K1002" s="277"/>
      <c r="L1002" s="278"/>
      <c r="M1002" s="277"/>
      <c r="N1002" s="278"/>
      <c r="O1002" s="277"/>
      <c r="P1002" s="278"/>
      <c r="Q1002" s="277"/>
      <c r="R1002" s="278"/>
      <c r="S1002" s="277"/>
      <c r="T1002" s="278"/>
      <c r="U1002" s="277"/>
      <c r="V1002" s="278"/>
      <c r="W1002" s="277"/>
      <c r="X1002" s="278"/>
      <c r="Y1002" s="277"/>
      <c r="Z1002" s="278"/>
      <c r="AA1002" s="277"/>
      <c r="AB1002" s="278"/>
      <c r="AC1002" s="277"/>
      <c r="AD1002" s="278"/>
      <c r="AE1002" s="277"/>
      <c r="AF1002" s="278"/>
      <c r="AG1002" s="277"/>
      <c r="AH1002" s="278"/>
      <c r="AI1002" s="277"/>
      <c r="AJ1002" s="278"/>
      <c r="AK1002" s="277"/>
      <c r="AL1002" s="278"/>
      <c r="AM1002" s="277"/>
      <c r="AN1002" s="278"/>
      <c r="AO1002" s="278"/>
      <c r="AP1002" s="278"/>
      <c r="AQ1002" s="278"/>
      <c r="AR1002" s="278"/>
      <c r="AS1002" s="278"/>
    </row>
    <row r="1003" spans="1:45">
      <c r="A1003" s="277"/>
      <c r="B1003" s="298" t="b">
        <v>0</v>
      </c>
      <c r="C1003" s="278"/>
      <c r="D1003" s="299" t="b">
        <v>0</v>
      </c>
      <c r="E1003" s="277"/>
      <c r="F1003" s="298" t="b">
        <v>0</v>
      </c>
      <c r="G1003" s="278"/>
      <c r="H1003" s="299" t="b">
        <v>0</v>
      </c>
      <c r="I1003" s="277"/>
      <c r="J1003" s="278"/>
      <c r="K1003" s="277"/>
      <c r="L1003" s="278"/>
      <c r="M1003" s="277"/>
      <c r="N1003" s="278"/>
      <c r="O1003" s="277"/>
      <c r="P1003" s="278"/>
      <c r="Q1003" s="277"/>
      <c r="R1003" s="278"/>
      <c r="S1003" s="277"/>
      <c r="T1003" s="278"/>
      <c r="U1003" s="277"/>
      <c r="V1003" s="278"/>
      <c r="W1003" s="277"/>
      <c r="X1003" s="278"/>
      <c r="Y1003" s="277"/>
      <c r="Z1003" s="278"/>
      <c r="AA1003" s="277"/>
      <c r="AB1003" s="278"/>
      <c r="AC1003" s="277"/>
      <c r="AD1003" s="278"/>
      <c r="AE1003" s="277"/>
      <c r="AF1003" s="278"/>
      <c r="AG1003" s="277"/>
      <c r="AH1003" s="278"/>
      <c r="AI1003" s="277"/>
      <c r="AJ1003" s="278"/>
      <c r="AK1003" s="277"/>
      <c r="AL1003" s="278"/>
      <c r="AM1003" s="277"/>
      <c r="AN1003" s="278"/>
      <c r="AO1003" s="278"/>
      <c r="AP1003" s="278"/>
      <c r="AQ1003" s="278"/>
      <c r="AR1003" s="278"/>
      <c r="AS1003" s="27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Achievements</vt:lpstr>
      <vt:lpstr>Heroes</vt:lpstr>
      <vt:lpstr>Monsters</vt:lpstr>
      <vt:lpstr>Items</vt:lpstr>
      <vt:lpstr>Keywords</vt:lpstr>
      <vt:lpstr>Baseside-Keyword</vt:lpstr>
      <vt:lpstr>Curses</vt:lpstr>
      <vt:lpstr>Tweaks</vt:lpstr>
      <vt:lpstr>Blessings</vt:lpstr>
      <vt:lpstr>Events</vt:lpstr>
      <vt:lpstr>Paste</vt:lpstr>
      <vt:lpstr>Paste Editor (Beta)</vt:lpstr>
      <vt:lpstr>Blessings (overview)</vt:lpstr>
      <vt:lpstr>Curses (overview)</vt:lpstr>
      <vt:lpstr>HIDDEN Hidden Helpsheet</vt:lpstr>
      <vt:lpstr>Experimental Curse Table</vt:lpstr>
      <vt:lpstr>Cursed tracker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Anilyka Barry</dc:creator>
  <cp:lastModifiedBy>Anilyka Barry</cp:lastModifiedBy>
  <dcterms:created xsi:type="dcterms:W3CDTF">2023-03-11T17:49:21Z</dcterms:created>
  <dcterms:modified xsi:type="dcterms:W3CDTF">2023-03-11T20:36:28Z</dcterms:modified>
</cp:coreProperties>
</file>