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Старая модель" sheetId="1" r:id="rId1"/>
    <sheet name="Модель v2 базовая" sheetId="2" r:id="rId2"/>
    <sheet name="Книги профессий" sheetId="5" r:id="rId3"/>
    <sheet name="модель V2 транспорт" sheetId="3" r:id="rId4"/>
    <sheet name="Подсчет морали и расписаний" sheetId="6" r:id="rId5"/>
    <sheet name="Снабжение революции" sheetId="7" r:id="rId6"/>
    <sheet name="растовщики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" i="6" l="1"/>
  <c r="AL5" i="6"/>
  <c r="W4" i="6"/>
  <c r="Z2" i="6"/>
  <c r="AF4" i="6"/>
  <c r="V4" i="6"/>
  <c r="X4" i="6"/>
  <c r="Y4" i="6"/>
  <c r="AE4" i="6"/>
  <c r="AD4" i="6"/>
  <c r="AC4" i="6"/>
  <c r="S4" i="6"/>
  <c r="R4" i="6"/>
  <c r="Q4" i="6"/>
  <c r="M4" i="6"/>
  <c r="L4" i="6"/>
  <c r="K4" i="6"/>
  <c r="J4" i="6"/>
  <c r="AB4" i="6"/>
  <c r="P4" i="6"/>
  <c r="AA4" i="6"/>
  <c r="Z4" i="6"/>
  <c r="U4" i="6"/>
  <c r="T4" i="6"/>
  <c r="O4" i="6"/>
  <c r="N4" i="6"/>
  <c r="I4" i="6"/>
  <c r="H4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H3" i="6"/>
  <c r="M2" i="5"/>
  <c r="B43" i="2"/>
  <c r="C43" i="2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188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O29" i="2"/>
  <c r="U29" i="2" s="1"/>
  <c r="V29" i="2" s="1"/>
  <c r="AW50" i="2" s="1"/>
  <c r="O19" i="2"/>
  <c r="BB4" i="2"/>
  <c r="BI52" i="2"/>
  <c r="BI53" i="2"/>
  <c r="BI54" i="2"/>
  <c r="BI55" i="2"/>
  <c r="BI56" i="2"/>
  <c r="BI58" i="2"/>
  <c r="BI59" i="2"/>
  <c r="BI61" i="2"/>
  <c r="BI62" i="2"/>
  <c r="BI63" i="2"/>
  <c r="B552" i="3" s="1"/>
  <c r="BI51" i="2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40" i="3"/>
  <c r="T40" i="3" s="1"/>
  <c r="A20" i="3"/>
  <c r="T20" i="3" s="1"/>
  <c r="B20" i="3"/>
  <c r="A21" i="3"/>
  <c r="B21" i="3"/>
  <c r="A22" i="3"/>
  <c r="B22" i="3"/>
  <c r="A23" i="3"/>
  <c r="B23" i="3"/>
  <c r="A24" i="3"/>
  <c r="T24" i="3" s="1"/>
  <c r="B24" i="3"/>
  <c r="A25" i="3"/>
  <c r="B25" i="3"/>
  <c r="A26" i="3"/>
  <c r="B26" i="3"/>
  <c r="A27" i="3"/>
  <c r="B27" i="3"/>
  <c r="A28" i="3"/>
  <c r="T28" i="3" s="1"/>
  <c r="B28" i="3"/>
  <c r="A29" i="3"/>
  <c r="B29" i="3"/>
  <c r="A30" i="3"/>
  <c r="B30" i="3"/>
  <c r="A31" i="3"/>
  <c r="B31" i="3"/>
  <c r="A32" i="3"/>
  <c r="T32" i="3" s="1"/>
  <c r="B32" i="3"/>
  <c r="A33" i="3"/>
  <c r="B33" i="3"/>
  <c r="A34" i="3"/>
  <c r="B34" i="3"/>
  <c r="A35" i="3"/>
  <c r="B35" i="3"/>
  <c r="A36" i="3"/>
  <c r="T36" i="3" s="1"/>
  <c r="B36" i="3"/>
  <c r="A37" i="3"/>
  <c r="B37" i="3"/>
  <c r="A38" i="3"/>
  <c r="B38" i="3"/>
  <c r="A39" i="3"/>
  <c r="B39" i="3"/>
  <c r="A19" i="3"/>
  <c r="T19" i="3" s="1"/>
  <c r="A75" i="3"/>
  <c r="T75" i="3" s="1"/>
  <c r="B75" i="3"/>
  <c r="A76" i="3"/>
  <c r="B76" i="3"/>
  <c r="A77" i="3"/>
  <c r="B77" i="3"/>
  <c r="A78" i="3"/>
  <c r="B78" i="3"/>
  <c r="A79" i="3"/>
  <c r="T79" i="3" s="1"/>
  <c r="B79" i="3"/>
  <c r="A80" i="3"/>
  <c r="B80" i="3"/>
  <c r="A81" i="3"/>
  <c r="B81" i="3"/>
  <c r="A82" i="3"/>
  <c r="B82" i="3"/>
  <c r="A83" i="3"/>
  <c r="T83" i="3" s="1"/>
  <c r="B83" i="3"/>
  <c r="A84" i="3"/>
  <c r="B84" i="3"/>
  <c r="A85" i="3"/>
  <c r="B85" i="3"/>
  <c r="A86" i="3"/>
  <c r="B86" i="3"/>
  <c r="A87" i="3"/>
  <c r="T87" i="3" s="1"/>
  <c r="B87" i="3"/>
  <c r="A88" i="3"/>
  <c r="B88" i="3"/>
  <c r="A89" i="3"/>
  <c r="B89" i="3"/>
  <c r="A90" i="3"/>
  <c r="T90" i="3" s="1"/>
  <c r="B90" i="3"/>
  <c r="A91" i="3"/>
  <c r="T91" i="3" s="1"/>
  <c r="B91" i="3"/>
  <c r="A92" i="3"/>
  <c r="T92" i="3" s="1"/>
  <c r="B92" i="3"/>
  <c r="A93" i="3"/>
  <c r="T93" i="3" s="1"/>
  <c r="B93" i="3"/>
  <c r="A94" i="3"/>
  <c r="B94" i="3"/>
  <c r="A95" i="3"/>
  <c r="B95" i="3"/>
  <c r="A96" i="3"/>
  <c r="B96" i="3"/>
  <c r="A97" i="3"/>
  <c r="B97" i="3"/>
  <c r="A98" i="3"/>
  <c r="T98" i="3" s="1"/>
  <c r="B98" i="3"/>
  <c r="A74" i="3"/>
  <c r="T74" i="3" s="1"/>
  <c r="T94" i="3"/>
  <c r="T96" i="3"/>
  <c r="T76" i="3"/>
  <c r="T77" i="3"/>
  <c r="T78" i="3"/>
  <c r="T80" i="3"/>
  <c r="T81" i="3"/>
  <c r="T82" i="3"/>
  <c r="T84" i="3"/>
  <c r="T85" i="3"/>
  <c r="T86" i="3"/>
  <c r="T88" i="3"/>
  <c r="T89" i="3"/>
  <c r="T95" i="3"/>
  <c r="T97" i="3"/>
  <c r="T21" i="3"/>
  <c r="T22" i="3"/>
  <c r="T23" i="3"/>
  <c r="T25" i="3"/>
  <c r="T26" i="3"/>
  <c r="T27" i="3"/>
  <c r="T29" i="3"/>
  <c r="T30" i="3"/>
  <c r="T31" i="3"/>
  <c r="T33" i="3"/>
  <c r="T34" i="3"/>
  <c r="T35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550" i="3"/>
  <c r="A549" i="3"/>
  <c r="T549" i="3" s="1"/>
  <c r="D549" i="3"/>
  <c r="E549" i="3"/>
  <c r="H549" i="3"/>
  <c r="K549" i="3"/>
  <c r="M549" i="3"/>
  <c r="A550" i="3"/>
  <c r="D550" i="3"/>
  <c r="E550" i="3"/>
  <c r="H550" i="3"/>
  <c r="K550" i="3"/>
  <c r="M550" i="3"/>
  <c r="A551" i="3"/>
  <c r="T551" i="3" s="1"/>
  <c r="B551" i="3"/>
  <c r="W551" i="3" s="1"/>
  <c r="D551" i="3"/>
  <c r="E551" i="3"/>
  <c r="H551" i="3"/>
  <c r="K551" i="3"/>
  <c r="M551" i="3"/>
  <c r="A552" i="3"/>
  <c r="T552" i="3" s="1"/>
  <c r="D552" i="3"/>
  <c r="E552" i="3"/>
  <c r="H552" i="3"/>
  <c r="K552" i="3"/>
  <c r="M552" i="3"/>
  <c r="A553" i="3"/>
  <c r="B553" i="3"/>
  <c r="D553" i="3"/>
  <c r="E553" i="3"/>
  <c r="H553" i="3"/>
  <c r="K553" i="3"/>
  <c r="M553" i="3"/>
  <c r="A554" i="3"/>
  <c r="B554" i="3"/>
  <c r="D554" i="3"/>
  <c r="E554" i="3"/>
  <c r="H554" i="3"/>
  <c r="K554" i="3"/>
  <c r="M554" i="3"/>
  <c r="A555" i="3"/>
  <c r="B555" i="3"/>
  <c r="D555" i="3"/>
  <c r="E555" i="3"/>
  <c r="H555" i="3"/>
  <c r="K555" i="3"/>
  <c r="M555" i="3"/>
  <c r="A556" i="3"/>
  <c r="B556" i="3"/>
  <c r="D556" i="3"/>
  <c r="E556" i="3"/>
  <c r="H556" i="3"/>
  <c r="K556" i="3"/>
  <c r="M556" i="3"/>
  <c r="B550" i="3"/>
  <c r="BH51" i="2"/>
  <c r="BH52" i="2"/>
  <c r="BH53" i="2"/>
  <c r="BH54" i="2"/>
  <c r="BH55" i="2"/>
  <c r="BH56" i="2"/>
  <c r="BH58" i="2"/>
  <c r="BH59" i="2"/>
  <c r="BH61" i="2"/>
  <c r="BH62" i="2"/>
  <c r="BH63" i="2"/>
  <c r="BB63" i="2"/>
  <c r="BB62" i="2"/>
  <c r="BB61" i="2"/>
  <c r="BB59" i="2"/>
  <c r="BB58" i="2"/>
  <c r="BB55" i="2"/>
  <c r="BB56" i="2"/>
  <c r="BB54" i="2"/>
  <c r="BB53" i="2"/>
  <c r="BB52" i="2"/>
  <c r="BB51" i="2"/>
  <c r="AW49" i="2"/>
  <c r="AW48" i="2"/>
  <c r="AW46" i="2"/>
  <c r="AW47" i="2"/>
  <c r="AW45" i="2"/>
  <c r="F549" i="3"/>
  <c r="F550" i="3"/>
  <c r="F551" i="3"/>
  <c r="F554" i="3"/>
  <c r="F555" i="3"/>
  <c r="F552" i="3"/>
  <c r="F553" i="3"/>
  <c r="F556" i="3"/>
  <c r="BB60" i="2" l="1"/>
  <c r="BH60" i="2" s="1"/>
  <c r="BI60" i="2" s="1"/>
  <c r="B549" i="3" s="1"/>
  <c r="U549" i="3" s="1"/>
  <c r="BB57" i="2"/>
  <c r="BH57" i="2" s="1"/>
  <c r="BI57" i="2" s="1"/>
  <c r="U550" i="3"/>
  <c r="W550" i="3"/>
  <c r="W552" i="3"/>
  <c r="U552" i="3"/>
  <c r="U551" i="3"/>
  <c r="G556" i="3"/>
  <c r="G553" i="3"/>
  <c r="G552" i="3"/>
  <c r="G555" i="3"/>
  <c r="G554" i="3"/>
  <c r="G551" i="3"/>
  <c r="G550" i="3"/>
  <c r="G549" i="3"/>
  <c r="AJ7" i="6"/>
  <c r="AI2" i="6"/>
  <c r="AJ2" i="6" s="1"/>
  <c r="AI7" i="6"/>
  <c r="AH3" i="6"/>
  <c r="AH4" i="6"/>
  <c r="AH5" i="6"/>
  <c r="AH6" i="6"/>
  <c r="AH2" i="6"/>
  <c r="AB2" i="6"/>
  <c r="O2" i="6"/>
  <c r="AD2" i="6"/>
  <c r="AE2" i="6"/>
  <c r="AC2" i="6"/>
  <c r="I2" i="6"/>
  <c r="J2" i="6"/>
  <c r="M2" i="6"/>
  <c r="N2" i="6"/>
  <c r="C3" i="6"/>
  <c r="D3" i="6" s="1"/>
  <c r="C4" i="6"/>
  <c r="D4" i="6" s="1"/>
  <c r="C5" i="6"/>
  <c r="D5" i="6" s="1"/>
  <c r="C6" i="6"/>
  <c r="D6" i="6" s="1"/>
  <c r="C2" i="6"/>
  <c r="D2" i="6" s="1"/>
  <c r="AI3" i="6" l="1"/>
  <c r="W549" i="3"/>
  <c r="I554" i="3"/>
  <c r="N554" i="3" s="1"/>
  <c r="O554" i="3" s="1"/>
  <c r="I549" i="3"/>
  <c r="N549" i="3" s="1"/>
  <c r="O549" i="3" s="1"/>
  <c r="V549" i="3" s="1"/>
  <c r="I550" i="3"/>
  <c r="N550" i="3" s="1"/>
  <c r="O550" i="3" s="1"/>
  <c r="V550" i="3" s="1"/>
  <c r="I552" i="3"/>
  <c r="N552" i="3" s="1"/>
  <c r="O552" i="3" s="1"/>
  <c r="V552" i="3" s="1"/>
  <c r="I556" i="3"/>
  <c r="N556" i="3" s="1"/>
  <c r="O556" i="3" s="1"/>
  <c r="I555" i="3"/>
  <c r="N555" i="3" s="1"/>
  <c r="O555" i="3" s="1"/>
  <c r="I551" i="3"/>
  <c r="N551" i="3" s="1"/>
  <c r="O551" i="3" s="1"/>
  <c r="V551" i="3" s="1"/>
  <c r="I553" i="3"/>
  <c r="N553" i="3" s="1"/>
  <c r="O553" i="3" s="1"/>
  <c r="S2" i="6"/>
  <c r="R2" i="6"/>
  <c r="W2" i="6"/>
  <c r="P2" i="6"/>
  <c r="Y2" i="6"/>
  <c r="X2" i="6"/>
  <c r="Q2" i="6"/>
  <c r="U2" i="6"/>
  <c r="V2" i="6"/>
  <c r="T2" i="6"/>
  <c r="AA2" i="6"/>
  <c r="L2" i="6"/>
  <c r="AF2" i="6"/>
  <c r="H2" i="6"/>
  <c r="K2" i="6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H43" i="2"/>
  <c r="I43" i="2" s="1"/>
  <c r="BR44" i="2"/>
  <c r="AI4" i="6" l="1"/>
  <c r="AJ3" i="6"/>
  <c r="BH40" i="2"/>
  <c r="BI40" i="2" s="1"/>
  <c r="BB40" i="2"/>
  <c r="AI5" i="6" l="1"/>
  <c r="AJ4" i="6"/>
  <c r="B540" i="3"/>
  <c r="B541" i="3"/>
  <c r="B542" i="3"/>
  <c r="B543" i="3"/>
  <c r="B544" i="3"/>
  <c r="B545" i="3"/>
  <c r="B546" i="3"/>
  <c r="B547" i="3"/>
  <c r="B548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D170" i="3"/>
  <c r="M170" i="3" s="1"/>
  <c r="D171" i="3"/>
  <c r="D172" i="3"/>
  <c r="M172" i="3" s="1"/>
  <c r="T172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A101" i="3"/>
  <c r="T101" i="3" s="1"/>
  <c r="AI6" i="6" l="1"/>
  <c r="AJ6" i="6" s="1"/>
  <c r="AJ5" i="6"/>
  <c r="E170" i="3"/>
  <c r="M171" i="3"/>
  <c r="E171" i="3"/>
  <c r="E172" i="3"/>
  <c r="F170" i="3"/>
  <c r="F172" i="3"/>
  <c r="F171" i="3"/>
  <c r="G170" i="3" l="1"/>
  <c r="G171" i="3"/>
  <c r="G172" i="3"/>
  <c r="F2" i="5"/>
  <c r="D89" i="3" l="1"/>
  <c r="D90" i="3"/>
  <c r="M90" i="3" s="1"/>
  <c r="D91" i="3"/>
  <c r="D92" i="3"/>
  <c r="M92" i="3" s="1"/>
  <c r="D93" i="3"/>
  <c r="D94" i="3"/>
  <c r="M94" i="3" s="1"/>
  <c r="E94" i="3"/>
  <c r="D95" i="3"/>
  <c r="D96" i="3"/>
  <c r="M96" i="3" s="1"/>
  <c r="E96" i="3"/>
  <c r="D97" i="3"/>
  <c r="D98" i="3"/>
  <c r="M98" i="3" s="1"/>
  <c r="F96" i="3"/>
  <c r="F94" i="3"/>
  <c r="E97" i="3" l="1"/>
  <c r="M97" i="3"/>
  <c r="E93" i="3"/>
  <c r="M93" i="3"/>
  <c r="E89" i="3"/>
  <c r="M89" i="3"/>
  <c r="E91" i="3"/>
  <c r="M91" i="3"/>
  <c r="E95" i="3"/>
  <c r="M95" i="3"/>
  <c r="E98" i="3"/>
  <c r="E92" i="3"/>
  <c r="E90" i="3"/>
  <c r="G96" i="3"/>
  <c r="G94" i="3"/>
  <c r="F98" i="3"/>
  <c r="F89" i="3"/>
  <c r="F92" i="3"/>
  <c r="F93" i="3"/>
  <c r="F95" i="3"/>
  <c r="F91" i="3"/>
  <c r="F97" i="3"/>
  <c r="F90" i="3"/>
  <c r="G91" i="3" l="1"/>
  <c r="G93" i="3"/>
  <c r="G95" i="3"/>
  <c r="G89" i="3"/>
  <c r="N89" i="3" s="1"/>
  <c r="G97" i="3"/>
  <c r="G98" i="3"/>
  <c r="G92" i="3"/>
  <c r="G90" i="3"/>
  <c r="W532" i="3" l="1"/>
  <c r="U533" i="3"/>
  <c r="U534" i="3"/>
  <c r="T522" i="3"/>
  <c r="D522" i="3"/>
  <c r="T523" i="3"/>
  <c r="D523" i="3"/>
  <c r="T524" i="3"/>
  <c r="D524" i="3"/>
  <c r="T525" i="3"/>
  <c r="D525" i="3"/>
  <c r="T526" i="3"/>
  <c r="D526" i="3"/>
  <c r="T527" i="3"/>
  <c r="D527" i="3"/>
  <c r="T528" i="3"/>
  <c r="D528" i="3"/>
  <c r="T529" i="3"/>
  <c r="D529" i="3"/>
  <c r="T530" i="3"/>
  <c r="D530" i="3"/>
  <c r="T531" i="3"/>
  <c r="D531" i="3"/>
  <c r="T532" i="3"/>
  <c r="D532" i="3"/>
  <c r="T533" i="3"/>
  <c r="D533" i="3"/>
  <c r="T534" i="3"/>
  <c r="D534" i="3"/>
  <c r="T535" i="3"/>
  <c r="D535" i="3"/>
  <c r="T536" i="3"/>
  <c r="D536" i="3"/>
  <c r="T537" i="3"/>
  <c r="D537" i="3"/>
  <c r="T538" i="3"/>
  <c r="D538" i="3"/>
  <c r="T539" i="3"/>
  <c r="D539" i="3"/>
  <c r="T540" i="3"/>
  <c r="U540" i="3"/>
  <c r="D540" i="3"/>
  <c r="T541" i="3"/>
  <c r="U541" i="3"/>
  <c r="D541" i="3"/>
  <c r="T542" i="3"/>
  <c r="U542" i="3"/>
  <c r="D542" i="3"/>
  <c r="T543" i="3"/>
  <c r="U543" i="3"/>
  <c r="D543" i="3"/>
  <c r="T544" i="3"/>
  <c r="U544" i="3"/>
  <c r="D544" i="3"/>
  <c r="T545" i="3"/>
  <c r="U545" i="3"/>
  <c r="D545" i="3"/>
  <c r="T546" i="3"/>
  <c r="U546" i="3"/>
  <c r="D546" i="3"/>
  <c r="T547" i="3"/>
  <c r="U547" i="3"/>
  <c r="D547" i="3"/>
  <c r="T548" i="3"/>
  <c r="U548" i="3"/>
  <c r="D548" i="3"/>
  <c r="BH50" i="2"/>
  <c r="BI50" i="2" s="1"/>
  <c r="B539" i="3" s="1"/>
  <c r="U539" i="3" s="1"/>
  <c r="BH49" i="2"/>
  <c r="BI49" i="2" s="1"/>
  <c r="B538" i="3" s="1"/>
  <c r="W538" i="3" s="1"/>
  <c r="BH48" i="2"/>
  <c r="BI48" i="2" s="1"/>
  <c r="E542" i="3" l="1"/>
  <c r="M542" i="3"/>
  <c r="E543" i="3"/>
  <c r="M543" i="3"/>
  <c r="E539" i="3"/>
  <c r="M539" i="3"/>
  <c r="E533" i="3"/>
  <c r="M533" i="3"/>
  <c r="E531" i="3"/>
  <c r="M531" i="3"/>
  <c r="E529" i="3"/>
  <c r="M529" i="3"/>
  <c r="E527" i="3"/>
  <c r="M527" i="3"/>
  <c r="E525" i="3"/>
  <c r="M525" i="3"/>
  <c r="E523" i="3"/>
  <c r="M523" i="3"/>
  <c r="E546" i="3"/>
  <c r="M546" i="3"/>
  <c r="E547" i="3"/>
  <c r="M547" i="3"/>
  <c r="E537" i="3"/>
  <c r="M537" i="3"/>
  <c r="E548" i="3"/>
  <c r="M548" i="3"/>
  <c r="E544" i="3"/>
  <c r="M544" i="3"/>
  <c r="E540" i="3"/>
  <c r="M540" i="3"/>
  <c r="E535" i="3"/>
  <c r="M535" i="3"/>
  <c r="E545" i="3"/>
  <c r="M545" i="3"/>
  <c r="E541" i="3"/>
  <c r="M541" i="3"/>
  <c r="E538" i="3"/>
  <c r="M538" i="3"/>
  <c r="E536" i="3"/>
  <c r="M536" i="3"/>
  <c r="E534" i="3"/>
  <c r="M534" i="3"/>
  <c r="E532" i="3"/>
  <c r="M532" i="3"/>
  <c r="E530" i="3"/>
  <c r="M530" i="3"/>
  <c r="E528" i="3"/>
  <c r="M528" i="3"/>
  <c r="E526" i="3"/>
  <c r="M526" i="3"/>
  <c r="E524" i="3"/>
  <c r="M524" i="3"/>
  <c r="E522" i="3"/>
  <c r="M522" i="3"/>
  <c r="U529" i="3"/>
  <c r="B537" i="3"/>
  <c r="U537" i="3" s="1"/>
  <c r="U532" i="3"/>
  <c r="U538" i="3"/>
  <c r="W534" i="3"/>
  <c r="U530" i="3"/>
  <c r="W530" i="3"/>
  <c r="U531" i="3"/>
  <c r="W531" i="3"/>
  <c r="W539" i="3"/>
  <c r="W542" i="3"/>
  <c r="W541" i="3"/>
  <c r="W543" i="3"/>
  <c r="W546" i="3"/>
  <c r="W540" i="3"/>
  <c r="W548" i="3"/>
  <c r="W547" i="3"/>
  <c r="W533" i="3"/>
  <c r="W529" i="3"/>
  <c r="W545" i="3"/>
  <c r="W544" i="3"/>
  <c r="W537" i="3" l="1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240" i="3"/>
  <c r="T239" i="3"/>
  <c r="A474" i="3"/>
  <c r="T474" i="3" s="1"/>
  <c r="C474" i="3"/>
  <c r="D474" i="3"/>
  <c r="M474" i="3" s="1"/>
  <c r="A475" i="3"/>
  <c r="T475" i="3" s="1"/>
  <c r="C475" i="3"/>
  <c r="D475" i="3"/>
  <c r="M475" i="3" s="1"/>
  <c r="A476" i="3"/>
  <c r="T476" i="3" s="1"/>
  <c r="C476" i="3"/>
  <c r="D476" i="3"/>
  <c r="M476" i="3" s="1"/>
  <c r="A477" i="3"/>
  <c r="T477" i="3" s="1"/>
  <c r="C477" i="3"/>
  <c r="D477" i="3"/>
  <c r="M477" i="3" s="1"/>
  <c r="A478" i="3"/>
  <c r="T478" i="3" s="1"/>
  <c r="C478" i="3"/>
  <c r="D478" i="3"/>
  <c r="M478" i="3" s="1"/>
  <c r="A479" i="3"/>
  <c r="T479" i="3" s="1"/>
  <c r="C479" i="3"/>
  <c r="D479" i="3"/>
  <c r="M479" i="3" s="1"/>
  <c r="A480" i="3"/>
  <c r="T480" i="3" s="1"/>
  <c r="C480" i="3"/>
  <c r="D480" i="3"/>
  <c r="M480" i="3" s="1"/>
  <c r="A481" i="3"/>
  <c r="T481" i="3" s="1"/>
  <c r="C481" i="3"/>
  <c r="D481" i="3"/>
  <c r="M481" i="3" s="1"/>
  <c r="A482" i="3"/>
  <c r="T482" i="3" s="1"/>
  <c r="C482" i="3"/>
  <c r="D482" i="3"/>
  <c r="M482" i="3" s="1"/>
  <c r="A483" i="3"/>
  <c r="T483" i="3" s="1"/>
  <c r="C483" i="3"/>
  <c r="D483" i="3"/>
  <c r="M483" i="3" s="1"/>
  <c r="A484" i="3"/>
  <c r="T484" i="3" s="1"/>
  <c r="C484" i="3"/>
  <c r="D484" i="3"/>
  <c r="M484" i="3" s="1"/>
  <c r="A485" i="3"/>
  <c r="T485" i="3" s="1"/>
  <c r="C485" i="3"/>
  <c r="D485" i="3"/>
  <c r="M485" i="3" s="1"/>
  <c r="A486" i="3"/>
  <c r="T486" i="3" s="1"/>
  <c r="C486" i="3"/>
  <c r="D486" i="3"/>
  <c r="M486" i="3" s="1"/>
  <c r="A487" i="3"/>
  <c r="T487" i="3" s="1"/>
  <c r="C487" i="3"/>
  <c r="D487" i="3"/>
  <c r="M487" i="3" s="1"/>
  <c r="A488" i="3"/>
  <c r="T488" i="3" s="1"/>
  <c r="C488" i="3"/>
  <c r="D488" i="3"/>
  <c r="M488" i="3" s="1"/>
  <c r="A489" i="3"/>
  <c r="T489" i="3" s="1"/>
  <c r="C489" i="3"/>
  <c r="D489" i="3"/>
  <c r="M489" i="3" s="1"/>
  <c r="A490" i="3"/>
  <c r="T490" i="3" s="1"/>
  <c r="C490" i="3"/>
  <c r="D490" i="3"/>
  <c r="M490" i="3" s="1"/>
  <c r="A491" i="3"/>
  <c r="T491" i="3" s="1"/>
  <c r="C491" i="3"/>
  <c r="D491" i="3"/>
  <c r="M491" i="3" s="1"/>
  <c r="A442" i="3"/>
  <c r="T442" i="3" s="1"/>
  <c r="C442" i="3"/>
  <c r="D442" i="3"/>
  <c r="M442" i="3" s="1"/>
  <c r="A443" i="3"/>
  <c r="T443" i="3" s="1"/>
  <c r="C443" i="3"/>
  <c r="D443" i="3"/>
  <c r="M443" i="3" s="1"/>
  <c r="A444" i="3"/>
  <c r="T444" i="3" s="1"/>
  <c r="C444" i="3"/>
  <c r="D444" i="3"/>
  <c r="M444" i="3" s="1"/>
  <c r="A445" i="3"/>
  <c r="T445" i="3" s="1"/>
  <c r="C445" i="3"/>
  <c r="D445" i="3"/>
  <c r="M445" i="3" s="1"/>
  <c r="A446" i="3"/>
  <c r="T446" i="3" s="1"/>
  <c r="C446" i="3"/>
  <c r="D446" i="3"/>
  <c r="M446" i="3" s="1"/>
  <c r="A447" i="3"/>
  <c r="T447" i="3" s="1"/>
  <c r="C447" i="3"/>
  <c r="D447" i="3"/>
  <c r="M447" i="3" s="1"/>
  <c r="A448" i="3"/>
  <c r="T448" i="3" s="1"/>
  <c r="C448" i="3"/>
  <c r="D448" i="3"/>
  <c r="M448" i="3" s="1"/>
  <c r="A449" i="3"/>
  <c r="T449" i="3" s="1"/>
  <c r="C449" i="3"/>
  <c r="D449" i="3"/>
  <c r="M449" i="3" s="1"/>
  <c r="A450" i="3"/>
  <c r="T450" i="3" s="1"/>
  <c r="C450" i="3"/>
  <c r="D450" i="3"/>
  <c r="M450" i="3" s="1"/>
  <c r="A451" i="3"/>
  <c r="T451" i="3" s="1"/>
  <c r="C451" i="3"/>
  <c r="D451" i="3"/>
  <c r="M451" i="3" s="1"/>
  <c r="A452" i="3"/>
  <c r="T452" i="3" s="1"/>
  <c r="C452" i="3"/>
  <c r="D452" i="3"/>
  <c r="M452" i="3" s="1"/>
  <c r="A453" i="3"/>
  <c r="T453" i="3" s="1"/>
  <c r="C453" i="3"/>
  <c r="D453" i="3"/>
  <c r="M453" i="3" s="1"/>
  <c r="A454" i="3"/>
  <c r="T454" i="3" s="1"/>
  <c r="C454" i="3"/>
  <c r="D454" i="3"/>
  <c r="M454" i="3" s="1"/>
  <c r="A455" i="3"/>
  <c r="T455" i="3" s="1"/>
  <c r="C455" i="3"/>
  <c r="D455" i="3"/>
  <c r="M455" i="3" s="1"/>
  <c r="A456" i="3"/>
  <c r="T456" i="3" s="1"/>
  <c r="C456" i="3"/>
  <c r="D456" i="3"/>
  <c r="M456" i="3" s="1"/>
  <c r="A457" i="3"/>
  <c r="T457" i="3" s="1"/>
  <c r="C457" i="3"/>
  <c r="D457" i="3"/>
  <c r="M457" i="3" s="1"/>
  <c r="A458" i="3"/>
  <c r="T458" i="3" s="1"/>
  <c r="C458" i="3"/>
  <c r="D458" i="3"/>
  <c r="M458" i="3" s="1"/>
  <c r="A459" i="3"/>
  <c r="T459" i="3" s="1"/>
  <c r="C459" i="3"/>
  <c r="D459" i="3"/>
  <c r="M459" i="3" s="1"/>
  <c r="A460" i="3"/>
  <c r="T460" i="3" s="1"/>
  <c r="C460" i="3"/>
  <c r="D460" i="3"/>
  <c r="M460" i="3" s="1"/>
  <c r="A461" i="3"/>
  <c r="T461" i="3" s="1"/>
  <c r="C461" i="3"/>
  <c r="D461" i="3"/>
  <c r="M461" i="3" s="1"/>
  <c r="A462" i="3"/>
  <c r="T462" i="3" s="1"/>
  <c r="C462" i="3"/>
  <c r="D462" i="3"/>
  <c r="M462" i="3" s="1"/>
  <c r="A463" i="3"/>
  <c r="T463" i="3" s="1"/>
  <c r="C463" i="3"/>
  <c r="D463" i="3"/>
  <c r="M463" i="3" s="1"/>
  <c r="A464" i="3"/>
  <c r="T464" i="3" s="1"/>
  <c r="C464" i="3"/>
  <c r="D464" i="3"/>
  <c r="M464" i="3" s="1"/>
  <c r="A465" i="3"/>
  <c r="T465" i="3" s="1"/>
  <c r="C465" i="3"/>
  <c r="D465" i="3"/>
  <c r="M465" i="3" s="1"/>
  <c r="A466" i="3"/>
  <c r="T466" i="3" s="1"/>
  <c r="C466" i="3"/>
  <c r="D466" i="3"/>
  <c r="M466" i="3" s="1"/>
  <c r="A467" i="3"/>
  <c r="T467" i="3" s="1"/>
  <c r="C467" i="3"/>
  <c r="D467" i="3"/>
  <c r="M467" i="3" s="1"/>
  <c r="A468" i="3"/>
  <c r="T468" i="3" s="1"/>
  <c r="C468" i="3"/>
  <c r="D468" i="3"/>
  <c r="M468" i="3" s="1"/>
  <c r="A469" i="3"/>
  <c r="T469" i="3" s="1"/>
  <c r="C469" i="3"/>
  <c r="D469" i="3"/>
  <c r="M469" i="3" s="1"/>
  <c r="A470" i="3"/>
  <c r="T470" i="3" s="1"/>
  <c r="C470" i="3"/>
  <c r="D470" i="3"/>
  <c r="M470" i="3" s="1"/>
  <c r="A471" i="3"/>
  <c r="T471" i="3" s="1"/>
  <c r="C471" i="3"/>
  <c r="D471" i="3"/>
  <c r="M471" i="3" s="1"/>
  <c r="A472" i="3"/>
  <c r="T472" i="3" s="1"/>
  <c r="C472" i="3"/>
  <c r="D472" i="3"/>
  <c r="M472" i="3" s="1"/>
  <c r="A473" i="3"/>
  <c r="T473" i="3" s="1"/>
  <c r="C473" i="3"/>
  <c r="D473" i="3"/>
  <c r="M473" i="3" s="1"/>
  <c r="A413" i="3"/>
  <c r="T413" i="3" s="1"/>
  <c r="C413" i="3"/>
  <c r="D413" i="3"/>
  <c r="M413" i="3" s="1"/>
  <c r="A414" i="3"/>
  <c r="T414" i="3" s="1"/>
  <c r="C414" i="3"/>
  <c r="D414" i="3"/>
  <c r="M414" i="3" s="1"/>
  <c r="A415" i="3"/>
  <c r="T415" i="3" s="1"/>
  <c r="C415" i="3"/>
  <c r="D415" i="3"/>
  <c r="M415" i="3" s="1"/>
  <c r="A416" i="3"/>
  <c r="T416" i="3" s="1"/>
  <c r="C416" i="3"/>
  <c r="D416" i="3"/>
  <c r="M416" i="3" s="1"/>
  <c r="A417" i="3"/>
  <c r="T417" i="3" s="1"/>
  <c r="C417" i="3"/>
  <c r="D417" i="3"/>
  <c r="M417" i="3" s="1"/>
  <c r="A418" i="3"/>
  <c r="T418" i="3" s="1"/>
  <c r="C418" i="3"/>
  <c r="D418" i="3"/>
  <c r="M418" i="3" s="1"/>
  <c r="A419" i="3"/>
  <c r="T419" i="3" s="1"/>
  <c r="C419" i="3"/>
  <c r="D419" i="3"/>
  <c r="M419" i="3" s="1"/>
  <c r="A420" i="3"/>
  <c r="T420" i="3" s="1"/>
  <c r="C420" i="3"/>
  <c r="D420" i="3"/>
  <c r="M420" i="3" s="1"/>
  <c r="A421" i="3"/>
  <c r="T421" i="3" s="1"/>
  <c r="C421" i="3"/>
  <c r="D421" i="3"/>
  <c r="M421" i="3" s="1"/>
  <c r="A422" i="3"/>
  <c r="T422" i="3" s="1"/>
  <c r="C422" i="3"/>
  <c r="D422" i="3"/>
  <c r="M422" i="3" s="1"/>
  <c r="A423" i="3"/>
  <c r="T423" i="3" s="1"/>
  <c r="C423" i="3"/>
  <c r="D423" i="3"/>
  <c r="M423" i="3" s="1"/>
  <c r="A424" i="3"/>
  <c r="T424" i="3" s="1"/>
  <c r="C424" i="3"/>
  <c r="D424" i="3"/>
  <c r="M424" i="3" s="1"/>
  <c r="A425" i="3"/>
  <c r="T425" i="3" s="1"/>
  <c r="C425" i="3"/>
  <c r="D425" i="3"/>
  <c r="M425" i="3" s="1"/>
  <c r="A426" i="3"/>
  <c r="T426" i="3" s="1"/>
  <c r="C426" i="3"/>
  <c r="D426" i="3"/>
  <c r="M426" i="3" s="1"/>
  <c r="A427" i="3"/>
  <c r="T427" i="3" s="1"/>
  <c r="C427" i="3"/>
  <c r="D427" i="3"/>
  <c r="M427" i="3" s="1"/>
  <c r="A428" i="3"/>
  <c r="T428" i="3" s="1"/>
  <c r="C428" i="3"/>
  <c r="D428" i="3"/>
  <c r="M428" i="3" s="1"/>
  <c r="A429" i="3"/>
  <c r="T429" i="3" s="1"/>
  <c r="C429" i="3"/>
  <c r="D429" i="3"/>
  <c r="M429" i="3" s="1"/>
  <c r="A430" i="3"/>
  <c r="T430" i="3" s="1"/>
  <c r="C430" i="3"/>
  <c r="D430" i="3"/>
  <c r="M430" i="3" s="1"/>
  <c r="A431" i="3"/>
  <c r="T431" i="3" s="1"/>
  <c r="C431" i="3"/>
  <c r="D431" i="3"/>
  <c r="M431" i="3" s="1"/>
  <c r="A432" i="3"/>
  <c r="T432" i="3" s="1"/>
  <c r="C432" i="3"/>
  <c r="D432" i="3"/>
  <c r="M432" i="3" s="1"/>
  <c r="A433" i="3"/>
  <c r="T433" i="3" s="1"/>
  <c r="C433" i="3"/>
  <c r="D433" i="3"/>
  <c r="M433" i="3" s="1"/>
  <c r="A434" i="3"/>
  <c r="T434" i="3" s="1"/>
  <c r="C434" i="3"/>
  <c r="D434" i="3"/>
  <c r="M434" i="3" s="1"/>
  <c r="A435" i="3"/>
  <c r="T435" i="3" s="1"/>
  <c r="C435" i="3"/>
  <c r="D435" i="3"/>
  <c r="M435" i="3" s="1"/>
  <c r="A436" i="3"/>
  <c r="T436" i="3" s="1"/>
  <c r="C436" i="3"/>
  <c r="D436" i="3"/>
  <c r="M436" i="3" s="1"/>
  <c r="A437" i="3"/>
  <c r="T437" i="3" s="1"/>
  <c r="C437" i="3"/>
  <c r="D437" i="3"/>
  <c r="M437" i="3" s="1"/>
  <c r="A438" i="3"/>
  <c r="T438" i="3" s="1"/>
  <c r="C438" i="3"/>
  <c r="D438" i="3"/>
  <c r="M438" i="3" s="1"/>
  <c r="A439" i="3"/>
  <c r="T439" i="3" s="1"/>
  <c r="C439" i="3"/>
  <c r="D439" i="3"/>
  <c r="M439" i="3" s="1"/>
  <c r="A440" i="3"/>
  <c r="T440" i="3" s="1"/>
  <c r="C440" i="3"/>
  <c r="D440" i="3"/>
  <c r="M440" i="3" s="1"/>
  <c r="A441" i="3"/>
  <c r="T441" i="3" s="1"/>
  <c r="C441" i="3"/>
  <c r="D441" i="3"/>
  <c r="M441" i="3" s="1"/>
  <c r="A383" i="3"/>
  <c r="T383" i="3" s="1"/>
  <c r="C383" i="3"/>
  <c r="D383" i="3"/>
  <c r="M383" i="3" s="1"/>
  <c r="A384" i="3"/>
  <c r="T384" i="3" s="1"/>
  <c r="C384" i="3"/>
  <c r="D384" i="3"/>
  <c r="M384" i="3" s="1"/>
  <c r="A385" i="3"/>
  <c r="T385" i="3" s="1"/>
  <c r="C385" i="3"/>
  <c r="D385" i="3"/>
  <c r="M385" i="3" s="1"/>
  <c r="A386" i="3"/>
  <c r="T386" i="3" s="1"/>
  <c r="C386" i="3"/>
  <c r="D386" i="3"/>
  <c r="M386" i="3" s="1"/>
  <c r="A387" i="3"/>
  <c r="T387" i="3" s="1"/>
  <c r="C387" i="3"/>
  <c r="D387" i="3"/>
  <c r="M387" i="3" s="1"/>
  <c r="A388" i="3"/>
  <c r="T388" i="3" s="1"/>
  <c r="C388" i="3"/>
  <c r="D388" i="3"/>
  <c r="M388" i="3" s="1"/>
  <c r="A389" i="3"/>
  <c r="T389" i="3" s="1"/>
  <c r="C389" i="3"/>
  <c r="D389" i="3"/>
  <c r="M389" i="3" s="1"/>
  <c r="A390" i="3"/>
  <c r="T390" i="3" s="1"/>
  <c r="C390" i="3"/>
  <c r="D390" i="3"/>
  <c r="M390" i="3" s="1"/>
  <c r="A391" i="3"/>
  <c r="T391" i="3" s="1"/>
  <c r="C391" i="3"/>
  <c r="D391" i="3"/>
  <c r="M391" i="3" s="1"/>
  <c r="A392" i="3"/>
  <c r="T392" i="3" s="1"/>
  <c r="C392" i="3"/>
  <c r="D392" i="3"/>
  <c r="M392" i="3" s="1"/>
  <c r="A393" i="3"/>
  <c r="T393" i="3" s="1"/>
  <c r="C393" i="3"/>
  <c r="D393" i="3"/>
  <c r="M393" i="3" s="1"/>
  <c r="A394" i="3"/>
  <c r="T394" i="3" s="1"/>
  <c r="C394" i="3"/>
  <c r="D394" i="3"/>
  <c r="M394" i="3" s="1"/>
  <c r="A395" i="3"/>
  <c r="T395" i="3" s="1"/>
  <c r="C395" i="3"/>
  <c r="D395" i="3"/>
  <c r="M395" i="3" s="1"/>
  <c r="A396" i="3"/>
  <c r="T396" i="3" s="1"/>
  <c r="C396" i="3"/>
  <c r="D396" i="3"/>
  <c r="M396" i="3" s="1"/>
  <c r="A397" i="3"/>
  <c r="T397" i="3" s="1"/>
  <c r="C397" i="3"/>
  <c r="D397" i="3"/>
  <c r="M397" i="3" s="1"/>
  <c r="A398" i="3"/>
  <c r="T398" i="3" s="1"/>
  <c r="C398" i="3"/>
  <c r="D398" i="3"/>
  <c r="M398" i="3" s="1"/>
  <c r="A399" i="3"/>
  <c r="T399" i="3" s="1"/>
  <c r="C399" i="3"/>
  <c r="D399" i="3"/>
  <c r="M399" i="3" s="1"/>
  <c r="A400" i="3"/>
  <c r="T400" i="3" s="1"/>
  <c r="C400" i="3"/>
  <c r="D400" i="3"/>
  <c r="M400" i="3" s="1"/>
  <c r="A401" i="3"/>
  <c r="T401" i="3" s="1"/>
  <c r="C401" i="3"/>
  <c r="D401" i="3"/>
  <c r="M401" i="3" s="1"/>
  <c r="A402" i="3"/>
  <c r="T402" i="3" s="1"/>
  <c r="C402" i="3"/>
  <c r="D402" i="3"/>
  <c r="M402" i="3" s="1"/>
  <c r="A403" i="3"/>
  <c r="T403" i="3" s="1"/>
  <c r="C403" i="3"/>
  <c r="D403" i="3"/>
  <c r="M403" i="3" s="1"/>
  <c r="A404" i="3"/>
  <c r="T404" i="3" s="1"/>
  <c r="C404" i="3"/>
  <c r="D404" i="3"/>
  <c r="M404" i="3" s="1"/>
  <c r="A405" i="3"/>
  <c r="T405" i="3" s="1"/>
  <c r="C405" i="3"/>
  <c r="D405" i="3"/>
  <c r="M405" i="3" s="1"/>
  <c r="A406" i="3"/>
  <c r="T406" i="3" s="1"/>
  <c r="C406" i="3"/>
  <c r="D406" i="3"/>
  <c r="M406" i="3" s="1"/>
  <c r="A407" i="3"/>
  <c r="T407" i="3" s="1"/>
  <c r="C407" i="3"/>
  <c r="D407" i="3"/>
  <c r="M407" i="3" s="1"/>
  <c r="A408" i="3"/>
  <c r="T408" i="3" s="1"/>
  <c r="C408" i="3"/>
  <c r="D408" i="3"/>
  <c r="M408" i="3" s="1"/>
  <c r="A409" i="3"/>
  <c r="T409" i="3" s="1"/>
  <c r="C409" i="3"/>
  <c r="D409" i="3"/>
  <c r="M409" i="3" s="1"/>
  <c r="A410" i="3"/>
  <c r="T410" i="3" s="1"/>
  <c r="C410" i="3"/>
  <c r="D410" i="3"/>
  <c r="M410" i="3" s="1"/>
  <c r="A411" i="3"/>
  <c r="T411" i="3" s="1"/>
  <c r="C411" i="3"/>
  <c r="D411" i="3"/>
  <c r="M411" i="3" s="1"/>
  <c r="A412" i="3"/>
  <c r="T412" i="3" s="1"/>
  <c r="C412" i="3"/>
  <c r="D412" i="3"/>
  <c r="M412" i="3" s="1"/>
  <c r="A329" i="3"/>
  <c r="T329" i="3" s="1"/>
  <c r="C329" i="3"/>
  <c r="D329" i="3"/>
  <c r="M329" i="3" s="1"/>
  <c r="A330" i="3"/>
  <c r="T330" i="3" s="1"/>
  <c r="C330" i="3"/>
  <c r="D330" i="3"/>
  <c r="M330" i="3" s="1"/>
  <c r="A331" i="3"/>
  <c r="T331" i="3" s="1"/>
  <c r="C331" i="3"/>
  <c r="D331" i="3"/>
  <c r="M331" i="3" s="1"/>
  <c r="A332" i="3"/>
  <c r="T332" i="3" s="1"/>
  <c r="C332" i="3"/>
  <c r="D332" i="3"/>
  <c r="M332" i="3" s="1"/>
  <c r="A333" i="3"/>
  <c r="T333" i="3" s="1"/>
  <c r="C333" i="3"/>
  <c r="D333" i="3"/>
  <c r="M333" i="3" s="1"/>
  <c r="A334" i="3"/>
  <c r="T334" i="3" s="1"/>
  <c r="C334" i="3"/>
  <c r="D334" i="3"/>
  <c r="M334" i="3" s="1"/>
  <c r="A335" i="3"/>
  <c r="T335" i="3" s="1"/>
  <c r="C335" i="3"/>
  <c r="D335" i="3"/>
  <c r="M335" i="3" s="1"/>
  <c r="A336" i="3"/>
  <c r="T336" i="3" s="1"/>
  <c r="C336" i="3"/>
  <c r="D336" i="3"/>
  <c r="M336" i="3" s="1"/>
  <c r="A337" i="3"/>
  <c r="T337" i="3" s="1"/>
  <c r="C337" i="3"/>
  <c r="D337" i="3"/>
  <c r="M337" i="3" s="1"/>
  <c r="A338" i="3"/>
  <c r="T338" i="3" s="1"/>
  <c r="C338" i="3"/>
  <c r="D338" i="3"/>
  <c r="M338" i="3" s="1"/>
  <c r="A339" i="3"/>
  <c r="T339" i="3" s="1"/>
  <c r="C339" i="3"/>
  <c r="D339" i="3"/>
  <c r="M339" i="3" s="1"/>
  <c r="A340" i="3"/>
  <c r="T340" i="3" s="1"/>
  <c r="C340" i="3"/>
  <c r="D340" i="3"/>
  <c r="M340" i="3" s="1"/>
  <c r="A341" i="3"/>
  <c r="T341" i="3" s="1"/>
  <c r="C341" i="3"/>
  <c r="D341" i="3"/>
  <c r="M341" i="3" s="1"/>
  <c r="A342" i="3"/>
  <c r="T342" i="3" s="1"/>
  <c r="C342" i="3"/>
  <c r="D342" i="3"/>
  <c r="M342" i="3" s="1"/>
  <c r="A343" i="3"/>
  <c r="T343" i="3" s="1"/>
  <c r="C343" i="3"/>
  <c r="D343" i="3"/>
  <c r="M343" i="3" s="1"/>
  <c r="A344" i="3"/>
  <c r="T344" i="3" s="1"/>
  <c r="C344" i="3"/>
  <c r="D344" i="3"/>
  <c r="M344" i="3" s="1"/>
  <c r="A345" i="3"/>
  <c r="T345" i="3" s="1"/>
  <c r="C345" i="3"/>
  <c r="D345" i="3"/>
  <c r="M345" i="3" s="1"/>
  <c r="A346" i="3"/>
  <c r="T346" i="3" s="1"/>
  <c r="C346" i="3"/>
  <c r="D346" i="3"/>
  <c r="M346" i="3" s="1"/>
  <c r="A347" i="3"/>
  <c r="T347" i="3" s="1"/>
  <c r="C347" i="3"/>
  <c r="D347" i="3"/>
  <c r="M347" i="3" s="1"/>
  <c r="A348" i="3"/>
  <c r="T348" i="3" s="1"/>
  <c r="C348" i="3"/>
  <c r="D348" i="3"/>
  <c r="M348" i="3" s="1"/>
  <c r="A349" i="3"/>
  <c r="T349" i="3" s="1"/>
  <c r="C349" i="3"/>
  <c r="D349" i="3"/>
  <c r="M349" i="3" s="1"/>
  <c r="A350" i="3"/>
  <c r="T350" i="3" s="1"/>
  <c r="C350" i="3"/>
  <c r="D350" i="3"/>
  <c r="M350" i="3" s="1"/>
  <c r="A351" i="3"/>
  <c r="T351" i="3" s="1"/>
  <c r="C351" i="3"/>
  <c r="D351" i="3"/>
  <c r="M351" i="3" s="1"/>
  <c r="A352" i="3"/>
  <c r="T352" i="3" s="1"/>
  <c r="C352" i="3"/>
  <c r="D352" i="3"/>
  <c r="M352" i="3" s="1"/>
  <c r="A353" i="3"/>
  <c r="T353" i="3" s="1"/>
  <c r="C353" i="3"/>
  <c r="D353" i="3"/>
  <c r="M353" i="3" s="1"/>
  <c r="A354" i="3"/>
  <c r="T354" i="3" s="1"/>
  <c r="C354" i="3"/>
  <c r="D354" i="3"/>
  <c r="M354" i="3" s="1"/>
  <c r="A355" i="3"/>
  <c r="T355" i="3" s="1"/>
  <c r="C355" i="3"/>
  <c r="D355" i="3"/>
  <c r="M355" i="3" s="1"/>
  <c r="A356" i="3"/>
  <c r="T356" i="3" s="1"/>
  <c r="C356" i="3"/>
  <c r="D356" i="3"/>
  <c r="M356" i="3" s="1"/>
  <c r="A357" i="3"/>
  <c r="T357" i="3" s="1"/>
  <c r="C357" i="3"/>
  <c r="D357" i="3"/>
  <c r="M357" i="3" s="1"/>
  <c r="A358" i="3"/>
  <c r="T358" i="3" s="1"/>
  <c r="C358" i="3"/>
  <c r="D358" i="3"/>
  <c r="M358" i="3" s="1"/>
  <c r="A359" i="3"/>
  <c r="T359" i="3" s="1"/>
  <c r="C359" i="3"/>
  <c r="D359" i="3"/>
  <c r="M359" i="3" s="1"/>
  <c r="A360" i="3"/>
  <c r="T360" i="3" s="1"/>
  <c r="C360" i="3"/>
  <c r="D360" i="3"/>
  <c r="M360" i="3" s="1"/>
  <c r="A361" i="3"/>
  <c r="T361" i="3" s="1"/>
  <c r="C361" i="3"/>
  <c r="D361" i="3"/>
  <c r="M361" i="3" s="1"/>
  <c r="A362" i="3"/>
  <c r="T362" i="3" s="1"/>
  <c r="C362" i="3"/>
  <c r="D362" i="3"/>
  <c r="M362" i="3" s="1"/>
  <c r="A363" i="3"/>
  <c r="T363" i="3" s="1"/>
  <c r="C363" i="3"/>
  <c r="D363" i="3"/>
  <c r="M363" i="3" s="1"/>
  <c r="A364" i="3"/>
  <c r="T364" i="3" s="1"/>
  <c r="C364" i="3"/>
  <c r="D364" i="3"/>
  <c r="M364" i="3" s="1"/>
  <c r="A365" i="3"/>
  <c r="T365" i="3" s="1"/>
  <c r="C365" i="3"/>
  <c r="D365" i="3"/>
  <c r="M365" i="3" s="1"/>
  <c r="A366" i="3"/>
  <c r="T366" i="3" s="1"/>
  <c r="C366" i="3"/>
  <c r="D366" i="3"/>
  <c r="M366" i="3" s="1"/>
  <c r="A367" i="3"/>
  <c r="T367" i="3" s="1"/>
  <c r="C367" i="3"/>
  <c r="D367" i="3"/>
  <c r="M367" i="3" s="1"/>
  <c r="A368" i="3"/>
  <c r="T368" i="3" s="1"/>
  <c r="C368" i="3"/>
  <c r="D368" i="3"/>
  <c r="M368" i="3" s="1"/>
  <c r="A369" i="3"/>
  <c r="T369" i="3" s="1"/>
  <c r="C369" i="3"/>
  <c r="D369" i="3"/>
  <c r="M369" i="3" s="1"/>
  <c r="A370" i="3"/>
  <c r="T370" i="3" s="1"/>
  <c r="C370" i="3"/>
  <c r="D370" i="3"/>
  <c r="M370" i="3" s="1"/>
  <c r="A371" i="3"/>
  <c r="T371" i="3" s="1"/>
  <c r="C371" i="3"/>
  <c r="D371" i="3"/>
  <c r="M371" i="3" s="1"/>
  <c r="A372" i="3"/>
  <c r="T372" i="3" s="1"/>
  <c r="C372" i="3"/>
  <c r="D372" i="3"/>
  <c r="M372" i="3" s="1"/>
  <c r="A373" i="3"/>
  <c r="T373" i="3" s="1"/>
  <c r="C373" i="3"/>
  <c r="D373" i="3"/>
  <c r="M373" i="3" s="1"/>
  <c r="A374" i="3"/>
  <c r="T374" i="3" s="1"/>
  <c r="C374" i="3"/>
  <c r="D374" i="3"/>
  <c r="M374" i="3" s="1"/>
  <c r="A375" i="3"/>
  <c r="T375" i="3" s="1"/>
  <c r="C375" i="3"/>
  <c r="D375" i="3"/>
  <c r="M375" i="3" s="1"/>
  <c r="A376" i="3"/>
  <c r="T376" i="3" s="1"/>
  <c r="C376" i="3"/>
  <c r="D376" i="3"/>
  <c r="M376" i="3" s="1"/>
  <c r="A377" i="3"/>
  <c r="T377" i="3" s="1"/>
  <c r="C377" i="3"/>
  <c r="D377" i="3"/>
  <c r="M377" i="3" s="1"/>
  <c r="A378" i="3"/>
  <c r="T378" i="3" s="1"/>
  <c r="C378" i="3"/>
  <c r="D378" i="3"/>
  <c r="M378" i="3" s="1"/>
  <c r="A379" i="3"/>
  <c r="T379" i="3" s="1"/>
  <c r="C379" i="3"/>
  <c r="D379" i="3"/>
  <c r="M379" i="3" s="1"/>
  <c r="A380" i="3"/>
  <c r="T380" i="3" s="1"/>
  <c r="C380" i="3"/>
  <c r="D380" i="3"/>
  <c r="M380" i="3" s="1"/>
  <c r="A381" i="3"/>
  <c r="T381" i="3" s="1"/>
  <c r="C381" i="3"/>
  <c r="D381" i="3"/>
  <c r="M381" i="3" s="1"/>
  <c r="A382" i="3"/>
  <c r="T382" i="3" s="1"/>
  <c r="C382" i="3"/>
  <c r="D382" i="3"/>
  <c r="M382" i="3" s="1"/>
  <c r="A308" i="3"/>
  <c r="T308" i="3" s="1"/>
  <c r="C308" i="3"/>
  <c r="D308" i="3"/>
  <c r="M308" i="3" s="1"/>
  <c r="A309" i="3"/>
  <c r="T309" i="3" s="1"/>
  <c r="C309" i="3"/>
  <c r="D309" i="3"/>
  <c r="M309" i="3" s="1"/>
  <c r="A310" i="3"/>
  <c r="T310" i="3" s="1"/>
  <c r="C310" i="3"/>
  <c r="D310" i="3"/>
  <c r="M310" i="3" s="1"/>
  <c r="A311" i="3"/>
  <c r="T311" i="3" s="1"/>
  <c r="C311" i="3"/>
  <c r="D311" i="3"/>
  <c r="M311" i="3" s="1"/>
  <c r="A312" i="3"/>
  <c r="T312" i="3" s="1"/>
  <c r="C312" i="3"/>
  <c r="D312" i="3"/>
  <c r="M312" i="3" s="1"/>
  <c r="A313" i="3"/>
  <c r="T313" i="3" s="1"/>
  <c r="C313" i="3"/>
  <c r="D313" i="3"/>
  <c r="M313" i="3" s="1"/>
  <c r="A314" i="3"/>
  <c r="T314" i="3" s="1"/>
  <c r="C314" i="3"/>
  <c r="D314" i="3"/>
  <c r="M314" i="3" s="1"/>
  <c r="A315" i="3"/>
  <c r="T315" i="3" s="1"/>
  <c r="C315" i="3"/>
  <c r="D315" i="3"/>
  <c r="M315" i="3" s="1"/>
  <c r="A316" i="3"/>
  <c r="T316" i="3" s="1"/>
  <c r="C316" i="3"/>
  <c r="D316" i="3"/>
  <c r="M316" i="3" s="1"/>
  <c r="A317" i="3"/>
  <c r="T317" i="3" s="1"/>
  <c r="C317" i="3"/>
  <c r="D317" i="3"/>
  <c r="M317" i="3" s="1"/>
  <c r="A318" i="3"/>
  <c r="T318" i="3" s="1"/>
  <c r="C318" i="3"/>
  <c r="D318" i="3"/>
  <c r="M318" i="3" s="1"/>
  <c r="A319" i="3"/>
  <c r="T319" i="3" s="1"/>
  <c r="C319" i="3"/>
  <c r="D319" i="3"/>
  <c r="M319" i="3" s="1"/>
  <c r="A320" i="3"/>
  <c r="T320" i="3" s="1"/>
  <c r="C320" i="3"/>
  <c r="D320" i="3"/>
  <c r="M320" i="3" s="1"/>
  <c r="A321" i="3"/>
  <c r="T321" i="3" s="1"/>
  <c r="C321" i="3"/>
  <c r="D321" i="3"/>
  <c r="M321" i="3" s="1"/>
  <c r="A322" i="3"/>
  <c r="T322" i="3" s="1"/>
  <c r="C322" i="3"/>
  <c r="D322" i="3"/>
  <c r="M322" i="3" s="1"/>
  <c r="A323" i="3"/>
  <c r="T323" i="3" s="1"/>
  <c r="C323" i="3"/>
  <c r="D323" i="3"/>
  <c r="M323" i="3" s="1"/>
  <c r="A324" i="3"/>
  <c r="T324" i="3" s="1"/>
  <c r="C324" i="3"/>
  <c r="D324" i="3"/>
  <c r="M324" i="3" s="1"/>
  <c r="A325" i="3"/>
  <c r="T325" i="3" s="1"/>
  <c r="C325" i="3"/>
  <c r="D325" i="3"/>
  <c r="M325" i="3" s="1"/>
  <c r="A326" i="3"/>
  <c r="T326" i="3" s="1"/>
  <c r="C326" i="3"/>
  <c r="D326" i="3"/>
  <c r="M326" i="3" s="1"/>
  <c r="A327" i="3"/>
  <c r="T327" i="3" s="1"/>
  <c r="C327" i="3"/>
  <c r="D327" i="3"/>
  <c r="M327" i="3" s="1"/>
  <c r="A328" i="3"/>
  <c r="T328" i="3" s="1"/>
  <c r="C328" i="3"/>
  <c r="D328" i="3"/>
  <c r="M328" i="3" s="1"/>
  <c r="A241" i="3"/>
  <c r="T241" i="3" s="1"/>
  <c r="A242" i="3"/>
  <c r="T242" i="3" s="1"/>
  <c r="A243" i="3"/>
  <c r="T243" i="3" s="1"/>
  <c r="A244" i="3"/>
  <c r="T244" i="3" s="1"/>
  <c r="A245" i="3"/>
  <c r="T245" i="3" s="1"/>
  <c r="A246" i="3"/>
  <c r="T246" i="3" s="1"/>
  <c r="A247" i="3"/>
  <c r="T247" i="3" s="1"/>
  <c r="A248" i="3"/>
  <c r="T248" i="3" s="1"/>
  <c r="A249" i="3"/>
  <c r="T249" i="3" s="1"/>
  <c r="A250" i="3"/>
  <c r="T250" i="3" s="1"/>
  <c r="A251" i="3"/>
  <c r="T251" i="3" s="1"/>
  <c r="A252" i="3"/>
  <c r="T252" i="3" s="1"/>
  <c r="A253" i="3"/>
  <c r="T253" i="3" s="1"/>
  <c r="A254" i="3"/>
  <c r="T254" i="3" s="1"/>
  <c r="A255" i="3"/>
  <c r="T255" i="3" s="1"/>
  <c r="A256" i="3"/>
  <c r="T256" i="3" s="1"/>
  <c r="A257" i="3"/>
  <c r="T257" i="3" s="1"/>
  <c r="A258" i="3"/>
  <c r="T258" i="3" s="1"/>
  <c r="A259" i="3"/>
  <c r="T259" i="3" s="1"/>
  <c r="A260" i="3"/>
  <c r="T260" i="3" s="1"/>
  <c r="A261" i="3"/>
  <c r="T261" i="3" s="1"/>
  <c r="A262" i="3"/>
  <c r="T262" i="3" s="1"/>
  <c r="A263" i="3"/>
  <c r="T263" i="3" s="1"/>
  <c r="A264" i="3"/>
  <c r="T264" i="3" s="1"/>
  <c r="A265" i="3"/>
  <c r="T265" i="3" s="1"/>
  <c r="A266" i="3"/>
  <c r="T266" i="3" s="1"/>
  <c r="A267" i="3"/>
  <c r="T267" i="3" s="1"/>
  <c r="A268" i="3"/>
  <c r="T268" i="3" s="1"/>
  <c r="A269" i="3"/>
  <c r="T269" i="3" s="1"/>
  <c r="A270" i="3"/>
  <c r="T270" i="3" s="1"/>
  <c r="A271" i="3"/>
  <c r="T271" i="3" s="1"/>
  <c r="A272" i="3"/>
  <c r="T272" i="3" s="1"/>
  <c r="A273" i="3"/>
  <c r="T273" i="3" s="1"/>
  <c r="A274" i="3"/>
  <c r="T274" i="3" s="1"/>
  <c r="A275" i="3"/>
  <c r="T275" i="3" s="1"/>
  <c r="A276" i="3"/>
  <c r="T276" i="3" s="1"/>
  <c r="A277" i="3"/>
  <c r="T277" i="3" s="1"/>
  <c r="A278" i="3"/>
  <c r="T278" i="3" s="1"/>
  <c r="A279" i="3"/>
  <c r="T279" i="3" s="1"/>
  <c r="A280" i="3"/>
  <c r="T280" i="3" s="1"/>
  <c r="A281" i="3"/>
  <c r="T281" i="3" s="1"/>
  <c r="A282" i="3"/>
  <c r="T282" i="3" s="1"/>
  <c r="A283" i="3"/>
  <c r="T283" i="3" s="1"/>
  <c r="A284" i="3"/>
  <c r="T284" i="3" s="1"/>
  <c r="A285" i="3"/>
  <c r="T285" i="3" s="1"/>
  <c r="A286" i="3"/>
  <c r="T286" i="3" s="1"/>
  <c r="A287" i="3"/>
  <c r="T287" i="3" s="1"/>
  <c r="A288" i="3"/>
  <c r="T288" i="3" s="1"/>
  <c r="A289" i="3"/>
  <c r="T289" i="3" s="1"/>
  <c r="A290" i="3"/>
  <c r="T290" i="3" s="1"/>
  <c r="A291" i="3"/>
  <c r="T291" i="3" s="1"/>
  <c r="A292" i="3"/>
  <c r="T292" i="3" s="1"/>
  <c r="A293" i="3"/>
  <c r="T293" i="3" s="1"/>
  <c r="A294" i="3"/>
  <c r="T294" i="3" s="1"/>
  <c r="A295" i="3"/>
  <c r="T295" i="3" s="1"/>
  <c r="A296" i="3"/>
  <c r="T296" i="3" s="1"/>
  <c r="A297" i="3"/>
  <c r="T297" i="3" s="1"/>
  <c r="A298" i="3"/>
  <c r="T298" i="3" s="1"/>
  <c r="A299" i="3"/>
  <c r="T299" i="3" s="1"/>
  <c r="A300" i="3"/>
  <c r="T300" i="3" s="1"/>
  <c r="A301" i="3"/>
  <c r="T301" i="3" s="1"/>
  <c r="A302" i="3"/>
  <c r="T302" i="3" s="1"/>
  <c r="A303" i="3"/>
  <c r="T303" i="3" s="1"/>
  <c r="A304" i="3"/>
  <c r="T304" i="3" s="1"/>
  <c r="A305" i="3"/>
  <c r="T305" i="3" s="1"/>
  <c r="A306" i="3"/>
  <c r="T306" i="3" s="1"/>
  <c r="A307" i="3"/>
  <c r="T307" i="3" s="1"/>
  <c r="A240" i="3"/>
  <c r="T240" i="3" s="1"/>
  <c r="C293" i="3"/>
  <c r="D293" i="3"/>
  <c r="M293" i="3" s="1"/>
  <c r="C294" i="3"/>
  <c r="D294" i="3"/>
  <c r="M294" i="3" s="1"/>
  <c r="C295" i="3"/>
  <c r="D295" i="3"/>
  <c r="M295" i="3" s="1"/>
  <c r="C296" i="3"/>
  <c r="D296" i="3"/>
  <c r="M296" i="3" s="1"/>
  <c r="C297" i="3"/>
  <c r="D297" i="3"/>
  <c r="M297" i="3" s="1"/>
  <c r="C298" i="3"/>
  <c r="D298" i="3"/>
  <c r="M298" i="3" s="1"/>
  <c r="C299" i="3"/>
  <c r="D299" i="3"/>
  <c r="M299" i="3" s="1"/>
  <c r="C300" i="3"/>
  <c r="D300" i="3"/>
  <c r="M300" i="3" s="1"/>
  <c r="C301" i="3"/>
  <c r="D301" i="3"/>
  <c r="M301" i="3" s="1"/>
  <c r="C302" i="3"/>
  <c r="D302" i="3"/>
  <c r="M302" i="3" s="1"/>
  <c r="C303" i="3"/>
  <c r="D303" i="3"/>
  <c r="M303" i="3" s="1"/>
  <c r="C304" i="3"/>
  <c r="D304" i="3"/>
  <c r="M304" i="3" s="1"/>
  <c r="C305" i="3"/>
  <c r="D305" i="3"/>
  <c r="M305" i="3" s="1"/>
  <c r="C306" i="3"/>
  <c r="D306" i="3"/>
  <c r="M306" i="3" s="1"/>
  <c r="C307" i="3"/>
  <c r="D307" i="3"/>
  <c r="M307" i="3" s="1"/>
  <c r="C275" i="3"/>
  <c r="D275" i="3"/>
  <c r="M275" i="3" s="1"/>
  <c r="C276" i="3"/>
  <c r="D276" i="3"/>
  <c r="M276" i="3" s="1"/>
  <c r="C277" i="3"/>
  <c r="D277" i="3"/>
  <c r="M277" i="3" s="1"/>
  <c r="C278" i="3"/>
  <c r="D278" i="3"/>
  <c r="M278" i="3" s="1"/>
  <c r="C279" i="3"/>
  <c r="D279" i="3"/>
  <c r="M279" i="3" s="1"/>
  <c r="C280" i="3"/>
  <c r="D280" i="3"/>
  <c r="M280" i="3" s="1"/>
  <c r="C281" i="3"/>
  <c r="D281" i="3"/>
  <c r="M281" i="3" s="1"/>
  <c r="C282" i="3"/>
  <c r="D282" i="3"/>
  <c r="M282" i="3" s="1"/>
  <c r="C283" i="3"/>
  <c r="D283" i="3"/>
  <c r="M283" i="3" s="1"/>
  <c r="C284" i="3"/>
  <c r="D284" i="3"/>
  <c r="M284" i="3" s="1"/>
  <c r="C285" i="3"/>
  <c r="D285" i="3"/>
  <c r="M285" i="3" s="1"/>
  <c r="C286" i="3"/>
  <c r="D286" i="3"/>
  <c r="M286" i="3" s="1"/>
  <c r="C287" i="3"/>
  <c r="D287" i="3"/>
  <c r="M287" i="3" s="1"/>
  <c r="C288" i="3"/>
  <c r="D288" i="3"/>
  <c r="M288" i="3" s="1"/>
  <c r="C289" i="3"/>
  <c r="D289" i="3"/>
  <c r="M289" i="3" s="1"/>
  <c r="C290" i="3"/>
  <c r="D290" i="3"/>
  <c r="M290" i="3" s="1"/>
  <c r="C291" i="3"/>
  <c r="D291" i="3"/>
  <c r="M291" i="3" s="1"/>
  <c r="C292" i="3"/>
  <c r="D292" i="3"/>
  <c r="M292" i="3" s="1"/>
  <c r="C259" i="3"/>
  <c r="D259" i="3"/>
  <c r="M259" i="3" s="1"/>
  <c r="C260" i="3"/>
  <c r="D260" i="3"/>
  <c r="M260" i="3" s="1"/>
  <c r="C261" i="3"/>
  <c r="D261" i="3"/>
  <c r="M261" i="3" s="1"/>
  <c r="C262" i="3"/>
  <c r="D262" i="3"/>
  <c r="M262" i="3" s="1"/>
  <c r="C263" i="3"/>
  <c r="D263" i="3"/>
  <c r="M263" i="3" s="1"/>
  <c r="C264" i="3"/>
  <c r="D264" i="3"/>
  <c r="M264" i="3" s="1"/>
  <c r="C265" i="3"/>
  <c r="D265" i="3"/>
  <c r="M265" i="3" s="1"/>
  <c r="C266" i="3"/>
  <c r="D266" i="3"/>
  <c r="M266" i="3" s="1"/>
  <c r="C267" i="3"/>
  <c r="D267" i="3"/>
  <c r="M267" i="3" s="1"/>
  <c r="C268" i="3"/>
  <c r="D268" i="3"/>
  <c r="M268" i="3" s="1"/>
  <c r="C269" i="3"/>
  <c r="D269" i="3"/>
  <c r="M269" i="3" s="1"/>
  <c r="C270" i="3"/>
  <c r="D270" i="3"/>
  <c r="M270" i="3" s="1"/>
  <c r="C271" i="3"/>
  <c r="D271" i="3"/>
  <c r="M271" i="3" s="1"/>
  <c r="C272" i="3"/>
  <c r="D272" i="3"/>
  <c r="M272" i="3" s="1"/>
  <c r="C273" i="3"/>
  <c r="D273" i="3"/>
  <c r="M273" i="3" s="1"/>
  <c r="C274" i="3"/>
  <c r="D274" i="3"/>
  <c r="M274" i="3" s="1"/>
  <c r="C242" i="3"/>
  <c r="D242" i="3"/>
  <c r="M242" i="3" s="1"/>
  <c r="C243" i="3"/>
  <c r="D243" i="3"/>
  <c r="M243" i="3" s="1"/>
  <c r="C244" i="3"/>
  <c r="D244" i="3"/>
  <c r="M244" i="3" s="1"/>
  <c r="C245" i="3"/>
  <c r="D245" i="3"/>
  <c r="M245" i="3" s="1"/>
  <c r="C246" i="3"/>
  <c r="D246" i="3"/>
  <c r="M246" i="3" s="1"/>
  <c r="C247" i="3"/>
  <c r="D247" i="3"/>
  <c r="M247" i="3" s="1"/>
  <c r="C248" i="3"/>
  <c r="D248" i="3"/>
  <c r="M248" i="3" s="1"/>
  <c r="C249" i="3"/>
  <c r="D249" i="3"/>
  <c r="M249" i="3" s="1"/>
  <c r="C250" i="3"/>
  <c r="D250" i="3"/>
  <c r="M250" i="3" s="1"/>
  <c r="C251" i="3"/>
  <c r="D251" i="3"/>
  <c r="M251" i="3" s="1"/>
  <c r="C252" i="3"/>
  <c r="D252" i="3"/>
  <c r="M252" i="3" s="1"/>
  <c r="C253" i="3"/>
  <c r="D253" i="3"/>
  <c r="M253" i="3" s="1"/>
  <c r="C254" i="3"/>
  <c r="D254" i="3"/>
  <c r="M254" i="3" s="1"/>
  <c r="C255" i="3"/>
  <c r="D255" i="3"/>
  <c r="M255" i="3" s="1"/>
  <c r="C256" i="3"/>
  <c r="D256" i="3"/>
  <c r="M256" i="3" s="1"/>
  <c r="C257" i="3"/>
  <c r="D257" i="3"/>
  <c r="M257" i="3" s="1"/>
  <c r="C258" i="3"/>
  <c r="D258" i="3"/>
  <c r="M258" i="3" s="1"/>
  <c r="D241" i="3"/>
  <c r="M241" i="3" s="1"/>
  <c r="C241" i="3"/>
  <c r="D240" i="3"/>
  <c r="M240" i="3" s="1"/>
  <c r="C240" i="3"/>
  <c r="V18" i="5"/>
  <c r="V17" i="5"/>
  <c r="V15" i="5"/>
  <c r="V14" i="5"/>
  <c r="U6" i="5"/>
  <c r="V19" i="5"/>
  <c r="U13" i="5"/>
  <c r="U22" i="5"/>
  <c r="U12" i="5"/>
  <c r="U21" i="5"/>
  <c r="U7" i="5"/>
  <c r="V16" i="5"/>
  <c r="V7" i="5"/>
  <c r="U5" i="5"/>
  <c r="U20" i="5"/>
  <c r="V3" i="5"/>
  <c r="U17" i="5"/>
  <c r="V2" i="5"/>
  <c r="V22" i="5"/>
  <c r="V10" i="5"/>
  <c r="V21" i="5"/>
  <c r="V5" i="5"/>
  <c r="U9" i="5"/>
  <c r="V20" i="5"/>
  <c r="V8" i="5"/>
  <c r="V4" i="5"/>
  <c r="U16" i="5"/>
  <c r="V9" i="5"/>
  <c r="U3" i="5"/>
  <c r="U8" i="5"/>
  <c r="V6" i="5"/>
  <c r="V11" i="5"/>
  <c r="U10" i="5"/>
  <c r="U2" i="5"/>
  <c r="U4" i="5"/>
  <c r="U15" i="5"/>
  <c r="V12" i="5"/>
  <c r="U19" i="5"/>
  <c r="U14" i="5"/>
  <c r="V13" i="5"/>
  <c r="U18" i="5"/>
  <c r="U11" i="5"/>
  <c r="E397" i="3" l="1"/>
  <c r="E440" i="3"/>
  <c r="E432" i="3"/>
  <c r="E487" i="3"/>
  <c r="E333" i="3"/>
  <c r="E409" i="3"/>
  <c r="E405" i="3"/>
  <c r="E401" i="3"/>
  <c r="E389" i="3"/>
  <c r="E385" i="3"/>
  <c r="E436" i="3"/>
  <c r="E483" i="3"/>
  <c r="E479" i="3"/>
  <c r="E438" i="3"/>
  <c r="E434" i="3"/>
  <c r="E430" i="3"/>
  <c r="E426" i="3"/>
  <c r="E422" i="3"/>
  <c r="E418" i="3"/>
  <c r="E414" i="3"/>
  <c r="E471" i="3"/>
  <c r="E467" i="3"/>
  <c r="E463" i="3"/>
  <c r="E459" i="3"/>
  <c r="E455" i="3"/>
  <c r="E451" i="3"/>
  <c r="E447" i="3"/>
  <c r="E489" i="3"/>
  <c r="E325" i="3"/>
  <c r="E321" i="3"/>
  <c r="E317" i="3"/>
  <c r="E313" i="3"/>
  <c r="E309" i="3"/>
  <c r="E380" i="3"/>
  <c r="E376" i="3"/>
  <c r="E372" i="3"/>
  <c r="E368" i="3"/>
  <c r="E360" i="3"/>
  <c r="E352" i="3"/>
  <c r="E344" i="3"/>
  <c r="E468" i="3"/>
  <c r="E460" i="3"/>
  <c r="E452" i="3"/>
  <c r="E444" i="3"/>
  <c r="E490" i="3"/>
  <c r="E474" i="3"/>
  <c r="E257" i="3"/>
  <c r="E256" i="3"/>
  <c r="E255" i="3"/>
  <c r="E253" i="3"/>
  <c r="E252" i="3"/>
  <c r="E251" i="3"/>
  <c r="E249" i="3"/>
  <c r="E248" i="3"/>
  <c r="E247" i="3"/>
  <c r="E245" i="3"/>
  <c r="E244" i="3"/>
  <c r="E243" i="3"/>
  <c r="E274" i="3"/>
  <c r="E273" i="3"/>
  <c r="E272" i="3"/>
  <c r="E270" i="3"/>
  <c r="E269" i="3"/>
  <c r="E268" i="3"/>
  <c r="E266" i="3"/>
  <c r="E265" i="3"/>
  <c r="E264" i="3"/>
  <c r="E262" i="3"/>
  <c r="E261" i="3"/>
  <c r="E260" i="3"/>
  <c r="E292" i="3"/>
  <c r="E291" i="3"/>
  <c r="E290" i="3"/>
  <c r="E289" i="3"/>
  <c r="E288" i="3"/>
  <c r="E287" i="3"/>
  <c r="E286" i="3"/>
  <c r="E285" i="3"/>
  <c r="E284" i="3"/>
  <c r="E283" i="3"/>
  <c r="E278" i="3"/>
  <c r="E335" i="3"/>
  <c r="E331" i="3"/>
  <c r="E327" i="3"/>
  <c r="E323" i="3"/>
  <c r="E319" i="3"/>
  <c r="E315" i="3"/>
  <c r="E311" i="3"/>
  <c r="E378" i="3"/>
  <c r="E374" i="3"/>
  <c r="E370" i="3"/>
  <c r="E366" i="3"/>
  <c r="E362" i="3"/>
  <c r="E358" i="3"/>
  <c r="E354" i="3"/>
  <c r="E350" i="3"/>
  <c r="E346" i="3"/>
  <c r="E342" i="3"/>
  <c r="E338" i="3"/>
  <c r="E485" i="3"/>
  <c r="E481" i="3"/>
  <c r="E477" i="3"/>
  <c r="E393" i="3"/>
  <c r="E428" i="3"/>
  <c r="E424" i="3"/>
  <c r="E420" i="3"/>
  <c r="E416" i="3"/>
  <c r="E473" i="3"/>
  <c r="E465" i="3"/>
  <c r="E457" i="3"/>
  <c r="E449" i="3"/>
  <c r="E445" i="3"/>
  <c r="E476" i="3"/>
  <c r="E277" i="3"/>
  <c r="E276" i="3"/>
  <c r="E275" i="3"/>
  <c r="E307" i="3"/>
  <c r="E306" i="3"/>
  <c r="E304" i="3"/>
  <c r="E355" i="3"/>
  <c r="E347" i="3"/>
  <c r="E339" i="3"/>
  <c r="E297" i="3"/>
  <c r="E254" i="3"/>
  <c r="E246" i="3"/>
  <c r="E282" i="3"/>
  <c r="E303" i="3"/>
  <c r="E302" i="3"/>
  <c r="E300" i="3"/>
  <c r="E299" i="3"/>
  <c r="E298" i="3"/>
  <c r="E296" i="3"/>
  <c r="E295" i="3"/>
  <c r="E294" i="3"/>
  <c r="E379" i="3"/>
  <c r="E371" i="3"/>
  <c r="E363" i="3"/>
  <c r="E359" i="3"/>
  <c r="E357" i="3"/>
  <c r="E356" i="3"/>
  <c r="E351" i="3"/>
  <c r="E349" i="3"/>
  <c r="E348" i="3"/>
  <c r="E343" i="3"/>
  <c r="E341" i="3"/>
  <c r="E340" i="3"/>
  <c r="E332" i="3"/>
  <c r="E412" i="3"/>
  <c r="E408" i="3"/>
  <c r="E404" i="3"/>
  <c r="E400" i="3"/>
  <c r="E396" i="3"/>
  <c r="E392" i="3"/>
  <c r="E388" i="3"/>
  <c r="E384" i="3"/>
  <c r="E439" i="3"/>
  <c r="E435" i="3"/>
  <c r="E431" i="3"/>
  <c r="E427" i="3"/>
  <c r="E423" i="3"/>
  <c r="E419" i="3"/>
  <c r="E415" i="3"/>
  <c r="E472" i="3"/>
  <c r="E470" i="3"/>
  <c r="E469" i="3"/>
  <c r="E464" i="3"/>
  <c r="E462" i="3"/>
  <c r="E461" i="3"/>
  <c r="E456" i="3"/>
  <c r="E454" i="3"/>
  <c r="E453" i="3"/>
  <c r="E448" i="3"/>
  <c r="E446" i="3"/>
  <c r="E443" i="3"/>
  <c r="E486" i="3"/>
  <c r="E482" i="3"/>
  <c r="E478" i="3"/>
  <c r="E475" i="3"/>
  <c r="E240" i="3"/>
  <c r="E241" i="3"/>
  <c r="E281" i="3"/>
  <c r="E280" i="3"/>
  <c r="E279" i="3"/>
  <c r="E326" i="3"/>
  <c r="E322" i="3"/>
  <c r="E318" i="3"/>
  <c r="E314" i="3"/>
  <c r="E310" i="3"/>
  <c r="E381" i="3"/>
  <c r="E377" i="3"/>
  <c r="E369" i="3"/>
  <c r="E361" i="3"/>
  <c r="E353" i="3"/>
  <c r="E345" i="3"/>
  <c r="E334" i="3"/>
  <c r="E330" i="3"/>
  <c r="E410" i="3"/>
  <c r="E406" i="3"/>
  <c r="E402" i="3"/>
  <c r="E398" i="3"/>
  <c r="E394" i="3"/>
  <c r="E390" i="3"/>
  <c r="E386" i="3"/>
  <c r="E466" i="3"/>
  <c r="E458" i="3"/>
  <c r="E450" i="3"/>
  <c r="E491" i="3"/>
  <c r="E488" i="3"/>
  <c r="E484" i="3"/>
  <c r="E480" i="3"/>
  <c r="E442" i="3"/>
  <c r="E328" i="3"/>
  <c r="E411" i="3"/>
  <c r="E407" i="3"/>
  <c r="E403" i="3"/>
  <c r="E250" i="3"/>
  <c r="E258" i="3"/>
  <c r="E301" i="3"/>
  <c r="E441" i="3"/>
  <c r="E437" i="3"/>
  <c r="E433" i="3"/>
  <c r="E429" i="3"/>
  <c r="E425" i="3"/>
  <c r="E421" i="3"/>
  <c r="E417" i="3"/>
  <c r="E413" i="3"/>
  <c r="E305" i="3"/>
  <c r="E320" i="3"/>
  <c r="E316" i="3"/>
  <c r="E312" i="3"/>
  <c r="E308" i="3"/>
  <c r="E242" i="3"/>
  <c r="E271" i="3"/>
  <c r="E267" i="3"/>
  <c r="E263" i="3"/>
  <c r="E259" i="3"/>
  <c r="E293" i="3"/>
  <c r="E324" i="3"/>
  <c r="E364" i="3"/>
  <c r="E399" i="3"/>
  <c r="E395" i="3"/>
  <c r="E391" i="3"/>
  <c r="E387" i="3"/>
  <c r="E383" i="3"/>
  <c r="E382" i="3"/>
  <c r="E375" i="3"/>
  <c r="E373" i="3"/>
  <c r="E329" i="3"/>
  <c r="E367" i="3"/>
  <c r="E365" i="3"/>
  <c r="E337" i="3"/>
  <c r="E336" i="3"/>
  <c r="F25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" i="5"/>
  <c r="D2" i="5" s="1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D521" i="3" l="1"/>
  <c r="M521" i="3" s="1"/>
  <c r="E521" i="3" l="1"/>
  <c r="G84" i="2"/>
  <c r="H520" i="3" s="1"/>
  <c r="T518" i="3"/>
  <c r="D516" i="3"/>
  <c r="M516" i="3" s="1"/>
  <c r="D517" i="3"/>
  <c r="M517" i="3" s="1"/>
  <c r="D518" i="3"/>
  <c r="M518" i="3" s="1"/>
  <c r="D519" i="3"/>
  <c r="M519" i="3" s="1"/>
  <c r="D520" i="3"/>
  <c r="M520" i="3" s="1"/>
  <c r="T516" i="3"/>
  <c r="T517" i="3"/>
  <c r="T519" i="3"/>
  <c r="T520" i="3"/>
  <c r="T521" i="3"/>
  <c r="E11" i="5"/>
  <c r="E199" i="5"/>
  <c r="E106" i="5"/>
  <c r="E66" i="5"/>
  <c r="E78" i="5"/>
  <c r="E123" i="5"/>
  <c r="E99" i="5"/>
  <c r="E103" i="5"/>
  <c r="E228" i="5"/>
  <c r="E213" i="5"/>
  <c r="E69" i="5"/>
  <c r="E8" i="5"/>
  <c r="E64" i="5"/>
  <c r="E88" i="5"/>
  <c r="E155" i="5"/>
  <c r="E28" i="5"/>
  <c r="E243" i="5"/>
  <c r="E73" i="5"/>
  <c r="E33" i="5"/>
  <c r="E118" i="5"/>
  <c r="E233" i="5"/>
  <c r="E202" i="5"/>
  <c r="E61" i="5"/>
  <c r="E215" i="5"/>
  <c r="E43" i="5"/>
  <c r="E56" i="5"/>
  <c r="E76" i="5"/>
  <c r="E57" i="5"/>
  <c r="E6" i="5"/>
  <c r="E38" i="5"/>
  <c r="E185" i="5"/>
  <c r="E195" i="5"/>
  <c r="E231" i="5"/>
  <c r="E14" i="5"/>
  <c r="E87" i="5"/>
  <c r="E100" i="5"/>
  <c r="E107" i="5"/>
  <c r="E154" i="5"/>
  <c r="E10" i="5"/>
  <c r="E168" i="5"/>
  <c r="E156" i="5"/>
  <c r="E71" i="5"/>
  <c r="E5" i="5"/>
  <c r="E159" i="5"/>
  <c r="E93" i="5"/>
  <c r="E104" i="5"/>
  <c r="E150" i="5"/>
  <c r="E144" i="5"/>
  <c r="E179" i="5"/>
  <c r="E2" i="5"/>
  <c r="E197" i="5"/>
  <c r="E37" i="5"/>
  <c r="E230" i="5"/>
  <c r="E203" i="5"/>
  <c r="E234" i="5"/>
  <c r="E116" i="5"/>
  <c r="E70" i="5"/>
  <c r="E214" i="5"/>
  <c r="E111" i="5"/>
  <c r="E137" i="5"/>
  <c r="E191" i="5"/>
  <c r="E170" i="5"/>
  <c r="E32" i="5"/>
  <c r="E241" i="5"/>
  <c r="E138" i="5"/>
  <c r="E80" i="5"/>
  <c r="E130" i="5"/>
  <c r="E109" i="5"/>
  <c r="E54" i="5"/>
  <c r="E143" i="5"/>
  <c r="E249" i="5"/>
  <c r="E165" i="5"/>
  <c r="E101" i="5"/>
  <c r="E216" i="5"/>
  <c r="E72" i="5"/>
  <c r="E152" i="5"/>
  <c r="E220" i="5"/>
  <c r="E131" i="5"/>
  <c r="E135" i="5"/>
  <c r="E81" i="5"/>
  <c r="E212" i="5"/>
  <c r="E201" i="5"/>
  <c r="E139" i="5"/>
  <c r="E117" i="5"/>
  <c r="E91" i="5"/>
  <c r="E253" i="5"/>
  <c r="E16" i="5"/>
  <c r="E160" i="5"/>
  <c r="E82" i="5"/>
  <c r="E52" i="5"/>
  <c r="E193" i="5"/>
  <c r="E55" i="5"/>
  <c r="E163" i="5"/>
  <c r="E239" i="5"/>
  <c r="E36" i="5"/>
  <c r="E60" i="5"/>
  <c r="E115" i="5"/>
  <c r="E229" i="5"/>
  <c r="E245" i="5"/>
  <c r="E172" i="5"/>
  <c r="E171" i="5"/>
  <c r="E3" i="5"/>
  <c r="E21" i="5"/>
  <c r="E237" i="5"/>
  <c r="E58" i="5"/>
  <c r="E42" i="5"/>
  <c r="E196" i="5"/>
  <c r="E134" i="5"/>
  <c r="E29" i="5"/>
  <c r="E50" i="5"/>
  <c r="E151" i="5"/>
  <c r="E89" i="5"/>
  <c r="E102" i="5"/>
  <c r="E46" i="5"/>
  <c r="E217" i="5"/>
  <c r="E114" i="5"/>
  <c r="E184" i="5"/>
  <c r="E141" i="5"/>
  <c r="E158" i="5"/>
  <c r="E200" i="5"/>
  <c r="E13" i="5"/>
  <c r="E145" i="5"/>
  <c r="E133" i="5"/>
  <c r="E236" i="5"/>
  <c r="E22" i="5"/>
  <c r="E198" i="5"/>
  <c r="E48" i="5"/>
  <c r="E20" i="5"/>
  <c r="E96" i="5"/>
  <c r="E207" i="5"/>
  <c r="E146" i="5"/>
  <c r="E67" i="5"/>
  <c r="E208" i="5"/>
  <c r="E24" i="5"/>
  <c r="E41" i="5"/>
  <c r="E75" i="5"/>
  <c r="E186" i="5"/>
  <c r="E49" i="5"/>
  <c r="E26" i="5"/>
  <c r="E45" i="5"/>
  <c r="E23" i="5"/>
  <c r="E19" i="5"/>
  <c r="E79" i="5"/>
  <c r="E162" i="5"/>
  <c r="E225" i="5"/>
  <c r="E219" i="5"/>
  <c r="E129" i="5"/>
  <c r="E242" i="5"/>
  <c r="E95" i="5"/>
  <c r="E153" i="5"/>
  <c r="E210" i="5"/>
  <c r="E247" i="5"/>
  <c r="E9" i="5"/>
  <c r="E59" i="5"/>
  <c r="E192" i="5"/>
  <c r="E140" i="5"/>
  <c r="E120" i="5"/>
  <c r="E112" i="5"/>
  <c r="E44" i="5"/>
  <c r="E174" i="5"/>
  <c r="E65" i="5"/>
  <c r="E27" i="5"/>
  <c r="E84" i="5"/>
  <c r="E132" i="5"/>
  <c r="E4" i="5"/>
  <c r="E194" i="5"/>
  <c r="E178" i="5"/>
  <c r="E188" i="5"/>
  <c r="E122" i="5"/>
  <c r="E173" i="5"/>
  <c r="E119" i="5"/>
  <c r="E51" i="5"/>
  <c r="E63" i="5"/>
  <c r="E149" i="5"/>
  <c r="E167" i="5"/>
  <c r="E110" i="5"/>
  <c r="E94" i="5"/>
  <c r="E181" i="5"/>
  <c r="E121" i="5"/>
  <c r="E83" i="5"/>
  <c r="E180" i="5"/>
  <c r="E246" i="5"/>
  <c r="E68" i="5"/>
  <c r="E136" i="5"/>
  <c r="E224" i="5"/>
  <c r="E34" i="5"/>
  <c r="E244" i="5"/>
  <c r="E25" i="5"/>
  <c r="E161" i="5"/>
  <c r="E147" i="5"/>
  <c r="E182" i="5"/>
  <c r="E142" i="5"/>
  <c r="E148" i="5"/>
  <c r="E157" i="5"/>
  <c r="E250" i="5"/>
  <c r="E240" i="5"/>
  <c r="E98" i="5"/>
  <c r="E12" i="5"/>
  <c r="E128" i="5"/>
  <c r="E211" i="5"/>
  <c r="E62" i="5"/>
  <c r="E47" i="5"/>
  <c r="E108" i="5"/>
  <c r="E166" i="5"/>
  <c r="E206" i="5"/>
  <c r="E227" i="5"/>
  <c r="E175" i="5"/>
  <c r="E232" i="5"/>
  <c r="E86" i="5"/>
  <c r="E169" i="5"/>
  <c r="E248" i="5"/>
  <c r="E97" i="5"/>
  <c r="E222" i="5"/>
  <c r="E187" i="5"/>
  <c r="E90" i="5"/>
  <c r="E18" i="5"/>
  <c r="E205" i="5"/>
  <c r="E251" i="5"/>
  <c r="E53" i="5"/>
  <c r="E125" i="5"/>
  <c r="E190" i="5"/>
  <c r="E40" i="5"/>
  <c r="E92" i="5"/>
  <c r="E177" i="5"/>
  <c r="E31" i="5"/>
  <c r="E127" i="5"/>
  <c r="E252" i="5"/>
  <c r="E221" i="5"/>
  <c r="E235" i="5"/>
  <c r="E176" i="5"/>
  <c r="E124" i="5"/>
  <c r="E226" i="5"/>
  <c r="E209" i="5"/>
  <c r="E77" i="5"/>
  <c r="E105" i="5"/>
  <c r="E85" i="5"/>
  <c r="E238" i="5"/>
  <c r="E204" i="5"/>
  <c r="E183" i="5"/>
  <c r="E35" i="5"/>
  <c r="E189" i="5"/>
  <c r="E30" i="5"/>
  <c r="E223" i="5"/>
  <c r="E74" i="5"/>
  <c r="E7" i="5"/>
  <c r="E113" i="5"/>
  <c r="E17" i="5"/>
  <c r="E218" i="5"/>
  <c r="E126" i="5"/>
  <c r="E15" i="5"/>
  <c r="E39" i="5"/>
  <c r="E164" i="5"/>
  <c r="H522" i="3" l="1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9" i="3"/>
  <c r="H543" i="3"/>
  <c r="H547" i="3"/>
  <c r="H541" i="3"/>
  <c r="H536" i="3"/>
  <c r="H540" i="3"/>
  <c r="H544" i="3"/>
  <c r="H548" i="3"/>
  <c r="H545" i="3"/>
  <c r="H538" i="3"/>
  <c r="H542" i="3"/>
  <c r="H537" i="3"/>
  <c r="H546" i="3"/>
  <c r="H474" i="3"/>
  <c r="H478" i="3"/>
  <c r="H482" i="3"/>
  <c r="H486" i="3"/>
  <c r="H490" i="3"/>
  <c r="H444" i="3"/>
  <c r="H448" i="3"/>
  <c r="H452" i="3"/>
  <c r="H456" i="3"/>
  <c r="H460" i="3"/>
  <c r="H464" i="3"/>
  <c r="H468" i="3"/>
  <c r="H472" i="3"/>
  <c r="H415" i="3"/>
  <c r="H419" i="3"/>
  <c r="H423" i="3"/>
  <c r="H427" i="3"/>
  <c r="H431" i="3"/>
  <c r="H435" i="3"/>
  <c r="H439" i="3"/>
  <c r="H384" i="3"/>
  <c r="H388" i="3"/>
  <c r="H392" i="3"/>
  <c r="H396" i="3"/>
  <c r="H400" i="3"/>
  <c r="H404" i="3"/>
  <c r="H408" i="3"/>
  <c r="H412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09" i="3"/>
  <c r="H313" i="3"/>
  <c r="H475" i="3"/>
  <c r="H479" i="3"/>
  <c r="H483" i="3"/>
  <c r="H487" i="3"/>
  <c r="H491" i="3"/>
  <c r="H445" i="3"/>
  <c r="H449" i="3"/>
  <c r="H453" i="3"/>
  <c r="H457" i="3"/>
  <c r="H461" i="3"/>
  <c r="H465" i="3"/>
  <c r="H469" i="3"/>
  <c r="H473" i="3"/>
  <c r="H416" i="3"/>
  <c r="H420" i="3"/>
  <c r="H424" i="3"/>
  <c r="H428" i="3"/>
  <c r="H432" i="3"/>
  <c r="H436" i="3"/>
  <c r="H440" i="3"/>
  <c r="H385" i="3"/>
  <c r="H389" i="3"/>
  <c r="H393" i="3"/>
  <c r="H397" i="3"/>
  <c r="H401" i="3"/>
  <c r="H405" i="3"/>
  <c r="H409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10" i="3"/>
  <c r="H476" i="3"/>
  <c r="H480" i="3"/>
  <c r="H484" i="3"/>
  <c r="H488" i="3"/>
  <c r="H442" i="3"/>
  <c r="H446" i="3"/>
  <c r="H450" i="3"/>
  <c r="H454" i="3"/>
  <c r="H458" i="3"/>
  <c r="H462" i="3"/>
  <c r="H466" i="3"/>
  <c r="H470" i="3"/>
  <c r="H413" i="3"/>
  <c r="H417" i="3"/>
  <c r="H421" i="3"/>
  <c r="H425" i="3"/>
  <c r="H429" i="3"/>
  <c r="H433" i="3"/>
  <c r="H437" i="3"/>
  <c r="H441" i="3"/>
  <c r="H386" i="3"/>
  <c r="H390" i="3"/>
  <c r="H394" i="3"/>
  <c r="H398" i="3"/>
  <c r="H402" i="3"/>
  <c r="H406" i="3"/>
  <c r="H410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11" i="3"/>
  <c r="H481" i="3"/>
  <c r="H489" i="3"/>
  <c r="H447" i="3"/>
  <c r="H455" i="3"/>
  <c r="H463" i="3"/>
  <c r="H471" i="3"/>
  <c r="H418" i="3"/>
  <c r="H426" i="3"/>
  <c r="H434" i="3"/>
  <c r="H383" i="3"/>
  <c r="H391" i="3"/>
  <c r="H399" i="3"/>
  <c r="H407" i="3"/>
  <c r="H331" i="3"/>
  <c r="H339" i="3"/>
  <c r="H347" i="3"/>
  <c r="H355" i="3"/>
  <c r="H363" i="3"/>
  <c r="H371" i="3"/>
  <c r="H379" i="3"/>
  <c r="H312" i="3"/>
  <c r="H316" i="3"/>
  <c r="H320" i="3"/>
  <c r="H324" i="3"/>
  <c r="H328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59" i="3"/>
  <c r="H260" i="3"/>
  <c r="H317" i="3"/>
  <c r="H321" i="3"/>
  <c r="H325" i="3"/>
  <c r="H477" i="3"/>
  <c r="H485" i="3"/>
  <c r="H443" i="3"/>
  <c r="H451" i="3"/>
  <c r="H459" i="3"/>
  <c r="H467" i="3"/>
  <c r="H414" i="3"/>
  <c r="H422" i="3"/>
  <c r="H430" i="3"/>
  <c r="H438" i="3"/>
  <c r="H387" i="3"/>
  <c r="H395" i="3"/>
  <c r="H403" i="3"/>
  <c r="H411" i="3"/>
  <c r="H335" i="3"/>
  <c r="H343" i="3"/>
  <c r="H351" i="3"/>
  <c r="H359" i="3"/>
  <c r="H367" i="3"/>
  <c r="H375" i="3"/>
  <c r="H308" i="3"/>
  <c r="H318" i="3"/>
  <c r="H322" i="3"/>
  <c r="H326" i="3"/>
  <c r="H262" i="3"/>
  <c r="H315" i="3"/>
  <c r="H323" i="3"/>
  <c r="H264" i="3"/>
  <c r="H267" i="3"/>
  <c r="H270" i="3"/>
  <c r="H273" i="3"/>
  <c r="H242" i="3"/>
  <c r="H245" i="3"/>
  <c r="H248" i="3"/>
  <c r="H250" i="3"/>
  <c r="H252" i="3"/>
  <c r="H257" i="3"/>
  <c r="H319" i="3"/>
  <c r="H327" i="3"/>
  <c r="H261" i="3"/>
  <c r="H263" i="3"/>
  <c r="H266" i="3"/>
  <c r="H269" i="3"/>
  <c r="H272" i="3"/>
  <c r="H243" i="3"/>
  <c r="H246" i="3"/>
  <c r="H249" i="3"/>
  <c r="H253" i="3"/>
  <c r="H255" i="3"/>
  <c r="H240" i="3"/>
  <c r="H241" i="3"/>
  <c r="H314" i="3"/>
  <c r="H265" i="3"/>
  <c r="H268" i="3"/>
  <c r="H271" i="3"/>
  <c r="H274" i="3"/>
  <c r="H244" i="3"/>
  <c r="H247" i="3"/>
  <c r="H251" i="3"/>
  <c r="H254" i="3"/>
  <c r="H256" i="3"/>
  <c r="H258" i="3"/>
  <c r="H521" i="3"/>
  <c r="H519" i="3"/>
  <c r="H518" i="3"/>
  <c r="H517" i="3"/>
  <c r="H516" i="3"/>
  <c r="E517" i="3"/>
  <c r="E516" i="3"/>
  <c r="E520" i="3"/>
  <c r="E519" i="3"/>
  <c r="E518" i="3"/>
  <c r="T514" i="3" l="1"/>
  <c r="D514" i="3"/>
  <c r="M514" i="3" s="1"/>
  <c r="H514" i="3"/>
  <c r="T515" i="3"/>
  <c r="D515" i="3"/>
  <c r="M515" i="3" s="1"/>
  <c r="H515" i="3"/>
  <c r="E514" i="3" l="1"/>
  <c r="E515" i="3"/>
  <c r="T513" i="3"/>
  <c r="T232" i="3" l="1"/>
  <c r="T233" i="3"/>
  <c r="T234" i="3"/>
  <c r="T235" i="3"/>
  <c r="T236" i="3"/>
  <c r="T237" i="3"/>
  <c r="T238" i="3"/>
  <c r="D231" i="3"/>
  <c r="M231" i="3" s="1"/>
  <c r="D232" i="3"/>
  <c r="M232" i="3" s="1"/>
  <c r="D233" i="3"/>
  <c r="M233" i="3" s="1"/>
  <c r="D234" i="3"/>
  <c r="M234" i="3" s="1"/>
  <c r="D235" i="3"/>
  <c r="M235" i="3" s="1"/>
  <c r="D236" i="3"/>
  <c r="M236" i="3" s="1"/>
  <c r="D237" i="3"/>
  <c r="M237" i="3" s="1"/>
  <c r="D238" i="3"/>
  <c r="M238" i="3" s="1"/>
  <c r="A231" i="3"/>
  <c r="T231" i="3" s="1"/>
  <c r="E232" i="3" l="1"/>
  <c r="E237" i="3"/>
  <c r="E233" i="3"/>
  <c r="E235" i="3"/>
  <c r="E231" i="3"/>
  <c r="E238" i="3"/>
  <c r="E234" i="3"/>
  <c r="E236" i="3"/>
  <c r="D54" i="3"/>
  <c r="M54" i="3" s="1"/>
  <c r="D55" i="3"/>
  <c r="M55" i="3" s="1"/>
  <c r="D56" i="3"/>
  <c r="M56" i="3" s="1"/>
  <c r="D57" i="3"/>
  <c r="M57" i="3" s="1"/>
  <c r="D58" i="3"/>
  <c r="M58" i="3" s="1"/>
  <c r="D59" i="3"/>
  <c r="M59" i="3" s="1"/>
  <c r="D60" i="3"/>
  <c r="M60" i="3" s="1"/>
  <c r="D61" i="3"/>
  <c r="M61" i="3" s="1"/>
  <c r="D62" i="3"/>
  <c r="M62" i="3" s="1"/>
  <c r="D63" i="3"/>
  <c r="M63" i="3" s="1"/>
  <c r="D64" i="3"/>
  <c r="M64" i="3" s="1"/>
  <c r="D65" i="3"/>
  <c r="M65" i="3" s="1"/>
  <c r="D66" i="3"/>
  <c r="M66" i="3" s="1"/>
  <c r="D67" i="3"/>
  <c r="M67" i="3" s="1"/>
  <c r="D68" i="3"/>
  <c r="M68" i="3" s="1"/>
  <c r="D69" i="3"/>
  <c r="M69" i="3" s="1"/>
  <c r="D70" i="3"/>
  <c r="M70" i="3" s="1"/>
  <c r="D71" i="3"/>
  <c r="M71" i="3" s="1"/>
  <c r="D72" i="3"/>
  <c r="M72" i="3" s="1"/>
  <c r="C44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E71" i="3" l="1"/>
  <c r="E59" i="3"/>
  <c r="E63" i="3"/>
  <c r="E55" i="3"/>
  <c r="E69" i="3"/>
  <c r="E65" i="3"/>
  <c r="E61" i="3"/>
  <c r="E57" i="3"/>
  <c r="E67" i="3"/>
  <c r="E72" i="3"/>
  <c r="E68" i="3"/>
  <c r="E64" i="3"/>
  <c r="E60" i="3"/>
  <c r="E56" i="3"/>
  <c r="E70" i="3"/>
  <c r="E66" i="3"/>
  <c r="E62" i="3"/>
  <c r="E58" i="3"/>
  <c r="E54" i="3"/>
  <c r="C45" i="2"/>
  <c r="H44" i="2"/>
  <c r="I44" i="2" s="1"/>
  <c r="U54" i="3" s="1"/>
  <c r="D513" i="3"/>
  <c r="M513" i="3" s="1"/>
  <c r="BQ31" i="2"/>
  <c r="BQ32" i="2"/>
  <c r="BQ33" i="2"/>
  <c r="BQ34" i="2"/>
  <c r="BQ35" i="2"/>
  <c r="BQ36" i="2"/>
  <c r="BQ37" i="2"/>
  <c r="BQ38" i="2"/>
  <c r="BQ30" i="2"/>
  <c r="E513" i="3" l="1"/>
  <c r="W54" i="3"/>
  <c r="H45" i="2"/>
  <c r="I45" i="2" s="1"/>
  <c r="T512" i="3"/>
  <c r="D512" i="3"/>
  <c r="M512" i="3" s="1"/>
  <c r="T511" i="3"/>
  <c r="D511" i="3"/>
  <c r="M511" i="3" s="1"/>
  <c r="U55" i="3" l="1"/>
  <c r="W55" i="3"/>
  <c r="H46" i="2"/>
  <c r="I46" i="2" s="1"/>
  <c r="E512" i="3"/>
  <c r="E511" i="3"/>
  <c r="E3" i="4"/>
  <c r="F3" i="4"/>
  <c r="G3" i="4" s="1"/>
  <c r="H3" i="4" s="1"/>
  <c r="I3" i="4" s="1"/>
  <c r="J3" i="4" s="1"/>
  <c r="K3" i="4" s="1"/>
  <c r="L3" i="4" s="1"/>
  <c r="D3" i="4"/>
  <c r="C3" i="4"/>
  <c r="D510" i="3"/>
  <c r="M510" i="3" s="1"/>
  <c r="D509" i="3"/>
  <c r="M509" i="3" s="1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A493" i="3"/>
  <c r="T493" i="3" s="1"/>
  <c r="BH19" i="2"/>
  <c r="BI19" i="2" s="1"/>
  <c r="T492" i="3"/>
  <c r="D493" i="3"/>
  <c r="M493" i="3" s="1"/>
  <c r="D494" i="3"/>
  <c r="M494" i="3" s="1"/>
  <c r="D495" i="3"/>
  <c r="M495" i="3" s="1"/>
  <c r="D496" i="3"/>
  <c r="M496" i="3" s="1"/>
  <c r="D497" i="3"/>
  <c r="M497" i="3" s="1"/>
  <c r="D498" i="3"/>
  <c r="M498" i="3" s="1"/>
  <c r="D499" i="3"/>
  <c r="M499" i="3" s="1"/>
  <c r="D500" i="3"/>
  <c r="M500" i="3" s="1"/>
  <c r="D501" i="3"/>
  <c r="M501" i="3" s="1"/>
  <c r="D502" i="3"/>
  <c r="M502" i="3" s="1"/>
  <c r="D503" i="3"/>
  <c r="M503" i="3" s="1"/>
  <c r="D504" i="3"/>
  <c r="M504" i="3" s="1"/>
  <c r="D505" i="3"/>
  <c r="M505" i="3" s="1"/>
  <c r="D506" i="3"/>
  <c r="M506" i="3" s="1"/>
  <c r="D507" i="3"/>
  <c r="M507" i="3" s="1"/>
  <c r="D508" i="3"/>
  <c r="M508" i="3" s="1"/>
  <c r="E504" i="3" l="1"/>
  <c r="E496" i="3"/>
  <c r="E509" i="3"/>
  <c r="E508" i="3"/>
  <c r="E500" i="3"/>
  <c r="E503" i="3"/>
  <c r="E495" i="3"/>
  <c r="E510" i="3"/>
  <c r="U56" i="3"/>
  <c r="W56" i="3"/>
  <c r="H47" i="2"/>
  <c r="I47" i="2" s="1"/>
  <c r="E499" i="3"/>
  <c r="E493" i="3"/>
  <c r="E501" i="3"/>
  <c r="E507" i="3"/>
  <c r="E505" i="3"/>
  <c r="E497" i="3"/>
  <c r="E506" i="3"/>
  <c r="E502" i="3"/>
  <c r="E498" i="3"/>
  <c r="E494" i="3"/>
  <c r="U57" i="3" l="1"/>
  <c r="W57" i="3"/>
  <c r="H48" i="2"/>
  <c r="I48" i="2" s="1"/>
  <c r="BH47" i="2"/>
  <c r="BI47" i="2" s="1"/>
  <c r="B536" i="3" s="1"/>
  <c r="BH46" i="2"/>
  <c r="BI46" i="2" s="1"/>
  <c r="B535" i="3" s="1"/>
  <c r="U536" i="3" l="1"/>
  <c r="W536" i="3"/>
  <c r="U535" i="3"/>
  <c r="W535" i="3"/>
  <c r="U58" i="3"/>
  <c r="W58" i="3"/>
  <c r="H49" i="2"/>
  <c r="I49" i="2" s="1"/>
  <c r="N11" i="3"/>
  <c r="N10" i="3"/>
  <c r="M10" i="3"/>
  <c r="L10" i="3"/>
  <c r="M11" i="3"/>
  <c r="N12" i="3"/>
  <c r="N13" i="3"/>
  <c r="M12" i="3"/>
  <c r="L11" i="3"/>
  <c r="K10" i="3"/>
  <c r="C14" i="3"/>
  <c r="C13" i="3"/>
  <c r="C12" i="3"/>
  <c r="C11" i="3"/>
  <c r="C10" i="3"/>
  <c r="K3" i="3" l="1"/>
  <c r="M3" i="3"/>
  <c r="L3" i="3"/>
  <c r="J3" i="3"/>
  <c r="U59" i="3"/>
  <c r="W59" i="3"/>
  <c r="N3" i="3"/>
  <c r="H50" i="2"/>
  <c r="I50" i="2" s="1"/>
  <c r="D22" i="3"/>
  <c r="M22" i="3" s="1"/>
  <c r="D23" i="3"/>
  <c r="M23" i="3" s="1"/>
  <c r="D24" i="3"/>
  <c r="M24" i="3" s="1"/>
  <c r="D25" i="3"/>
  <c r="M25" i="3" s="1"/>
  <c r="D26" i="3"/>
  <c r="M26" i="3" s="1"/>
  <c r="D27" i="3"/>
  <c r="M27" i="3" s="1"/>
  <c r="D28" i="3"/>
  <c r="M28" i="3" s="1"/>
  <c r="D29" i="3"/>
  <c r="M29" i="3" s="1"/>
  <c r="D30" i="3"/>
  <c r="M30" i="3" s="1"/>
  <c r="D31" i="3"/>
  <c r="M31" i="3" s="1"/>
  <c r="D32" i="3"/>
  <c r="M32" i="3" s="1"/>
  <c r="D33" i="3"/>
  <c r="M33" i="3" s="1"/>
  <c r="D34" i="3"/>
  <c r="M34" i="3" s="1"/>
  <c r="D35" i="3"/>
  <c r="M35" i="3" s="1"/>
  <c r="D36" i="3"/>
  <c r="M36" i="3" s="1"/>
  <c r="D37" i="3"/>
  <c r="M37" i="3" s="1"/>
  <c r="D38" i="3"/>
  <c r="M38" i="3" s="1"/>
  <c r="D39" i="3"/>
  <c r="M39" i="3" s="1"/>
  <c r="D40" i="3"/>
  <c r="M40" i="3" s="1"/>
  <c r="D41" i="3"/>
  <c r="M41" i="3" s="1"/>
  <c r="D42" i="3"/>
  <c r="M42" i="3" s="1"/>
  <c r="D43" i="3"/>
  <c r="M43" i="3" s="1"/>
  <c r="D44" i="3"/>
  <c r="M44" i="3" s="1"/>
  <c r="D45" i="3"/>
  <c r="M45" i="3" s="1"/>
  <c r="D46" i="3"/>
  <c r="M46" i="3" s="1"/>
  <c r="D47" i="3"/>
  <c r="M47" i="3" s="1"/>
  <c r="D48" i="3"/>
  <c r="M48" i="3" s="1"/>
  <c r="D49" i="3"/>
  <c r="M49" i="3" s="1"/>
  <c r="D50" i="3"/>
  <c r="M50" i="3" s="1"/>
  <c r="D51" i="3"/>
  <c r="M51" i="3" s="1"/>
  <c r="D52" i="3"/>
  <c r="M52" i="3" s="1"/>
  <c r="D53" i="3"/>
  <c r="M53" i="3" s="1"/>
  <c r="D74" i="3"/>
  <c r="M74" i="3" s="1"/>
  <c r="D75" i="3"/>
  <c r="D76" i="3"/>
  <c r="M76" i="3" s="1"/>
  <c r="D77" i="3"/>
  <c r="M77" i="3" s="1"/>
  <c r="D78" i="3"/>
  <c r="M78" i="3" s="1"/>
  <c r="D79" i="3"/>
  <c r="M79" i="3" s="1"/>
  <c r="D80" i="3"/>
  <c r="M80" i="3" s="1"/>
  <c r="D81" i="3"/>
  <c r="M81" i="3" s="1"/>
  <c r="D82" i="3"/>
  <c r="M82" i="3" s="1"/>
  <c r="D83" i="3"/>
  <c r="M83" i="3" s="1"/>
  <c r="D84" i="3"/>
  <c r="M84" i="3" s="1"/>
  <c r="D85" i="3"/>
  <c r="M85" i="3" s="1"/>
  <c r="D86" i="3"/>
  <c r="M86" i="3" s="1"/>
  <c r="D87" i="3"/>
  <c r="M87" i="3" s="1"/>
  <c r="D88" i="3"/>
  <c r="M88" i="3" s="1"/>
  <c r="D101" i="3"/>
  <c r="M101" i="3" s="1"/>
  <c r="D102" i="3"/>
  <c r="M102" i="3" s="1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4" i="3"/>
  <c r="M174" i="3" s="1"/>
  <c r="D175" i="3"/>
  <c r="M175" i="3" s="1"/>
  <c r="D176" i="3"/>
  <c r="M176" i="3" s="1"/>
  <c r="D177" i="3"/>
  <c r="M177" i="3" s="1"/>
  <c r="D178" i="3"/>
  <c r="M178" i="3" s="1"/>
  <c r="D179" i="3"/>
  <c r="M179" i="3" s="1"/>
  <c r="D180" i="3"/>
  <c r="M180" i="3" s="1"/>
  <c r="D181" i="3"/>
  <c r="M181" i="3" s="1"/>
  <c r="D182" i="3"/>
  <c r="M182" i="3" s="1"/>
  <c r="D183" i="3"/>
  <c r="M183" i="3" s="1"/>
  <c r="D184" i="3"/>
  <c r="M184" i="3" s="1"/>
  <c r="D185" i="3"/>
  <c r="M185" i="3" s="1"/>
  <c r="D186" i="3"/>
  <c r="M186" i="3" s="1"/>
  <c r="D188" i="3"/>
  <c r="M188" i="3" s="1"/>
  <c r="D189" i="3"/>
  <c r="M189" i="3" s="1"/>
  <c r="D190" i="3"/>
  <c r="M190" i="3" s="1"/>
  <c r="D191" i="3"/>
  <c r="M191" i="3" s="1"/>
  <c r="D192" i="3"/>
  <c r="M192" i="3" s="1"/>
  <c r="D193" i="3"/>
  <c r="M193" i="3" s="1"/>
  <c r="D194" i="3"/>
  <c r="M194" i="3" s="1"/>
  <c r="D195" i="3"/>
  <c r="M195" i="3" s="1"/>
  <c r="D196" i="3"/>
  <c r="M196" i="3" s="1"/>
  <c r="D197" i="3"/>
  <c r="M197" i="3" s="1"/>
  <c r="D198" i="3"/>
  <c r="M198" i="3" s="1"/>
  <c r="D199" i="3"/>
  <c r="M199" i="3" s="1"/>
  <c r="D200" i="3"/>
  <c r="M200" i="3" s="1"/>
  <c r="D201" i="3"/>
  <c r="M201" i="3" s="1"/>
  <c r="D202" i="3"/>
  <c r="M202" i="3" s="1"/>
  <c r="D203" i="3"/>
  <c r="M203" i="3" s="1"/>
  <c r="D204" i="3"/>
  <c r="M204" i="3" s="1"/>
  <c r="D205" i="3"/>
  <c r="M205" i="3" s="1"/>
  <c r="D206" i="3"/>
  <c r="M206" i="3" s="1"/>
  <c r="D207" i="3"/>
  <c r="M207" i="3" s="1"/>
  <c r="D208" i="3"/>
  <c r="M208" i="3" s="1"/>
  <c r="D209" i="3"/>
  <c r="M209" i="3" s="1"/>
  <c r="D210" i="3"/>
  <c r="M210" i="3" s="1"/>
  <c r="D211" i="3"/>
  <c r="M211" i="3" s="1"/>
  <c r="D212" i="3"/>
  <c r="M212" i="3" s="1"/>
  <c r="D213" i="3"/>
  <c r="M213" i="3" s="1"/>
  <c r="D214" i="3"/>
  <c r="M214" i="3" s="1"/>
  <c r="D215" i="3"/>
  <c r="M215" i="3" s="1"/>
  <c r="D216" i="3"/>
  <c r="M216" i="3" s="1"/>
  <c r="D217" i="3"/>
  <c r="M217" i="3" s="1"/>
  <c r="D218" i="3"/>
  <c r="M218" i="3" s="1"/>
  <c r="D219" i="3"/>
  <c r="M219" i="3" s="1"/>
  <c r="D220" i="3"/>
  <c r="M220" i="3" s="1"/>
  <c r="D221" i="3"/>
  <c r="M221" i="3" s="1"/>
  <c r="D222" i="3"/>
  <c r="M222" i="3" s="1"/>
  <c r="D223" i="3"/>
  <c r="M223" i="3" s="1"/>
  <c r="D224" i="3"/>
  <c r="M224" i="3" s="1"/>
  <c r="D225" i="3"/>
  <c r="M225" i="3" s="1"/>
  <c r="D226" i="3"/>
  <c r="M226" i="3" s="1"/>
  <c r="D227" i="3"/>
  <c r="M227" i="3" s="1"/>
  <c r="D228" i="3"/>
  <c r="M228" i="3" s="1"/>
  <c r="D20" i="3"/>
  <c r="M20" i="3" s="1"/>
  <c r="D21" i="3"/>
  <c r="M21" i="3" s="1"/>
  <c r="D19" i="3"/>
  <c r="M19" i="3" s="1"/>
  <c r="I6" i="3"/>
  <c r="I5" i="3"/>
  <c r="H5" i="3"/>
  <c r="I7" i="3"/>
  <c r="H6" i="3"/>
  <c r="G5" i="3"/>
  <c r="I8" i="3"/>
  <c r="H7" i="3"/>
  <c r="G6" i="3"/>
  <c r="F5" i="3"/>
  <c r="I4" i="3"/>
  <c r="H4" i="3"/>
  <c r="G4" i="3"/>
  <c r="F4" i="3"/>
  <c r="E4" i="3"/>
  <c r="I3" i="3"/>
  <c r="H3" i="3"/>
  <c r="F3" i="3"/>
  <c r="G3" i="3"/>
  <c r="E3" i="3"/>
  <c r="D3" i="3"/>
  <c r="G85" i="2"/>
  <c r="G86" i="2"/>
  <c r="G87" i="2"/>
  <c r="G88" i="2"/>
  <c r="F391" i="3"/>
  <c r="F299" i="3"/>
  <c r="F516" i="3"/>
  <c r="F297" i="3"/>
  <c r="F295" i="3"/>
  <c r="F320" i="3"/>
  <c r="F527" i="3"/>
  <c r="F358" i="3"/>
  <c r="F535" i="3"/>
  <c r="F296" i="3"/>
  <c r="F347" i="3"/>
  <c r="F440" i="3"/>
  <c r="F383" i="3"/>
  <c r="F416" i="3"/>
  <c r="F311" i="3"/>
  <c r="F234" i="3"/>
  <c r="F525" i="3"/>
  <c r="F493" i="3"/>
  <c r="F333" i="3"/>
  <c r="F343" i="3"/>
  <c r="F526" i="3"/>
  <c r="F319" i="3"/>
  <c r="F346" i="3"/>
  <c r="F490" i="3"/>
  <c r="F263" i="3"/>
  <c r="F287" i="3"/>
  <c r="F427" i="3"/>
  <c r="F370" i="3"/>
  <c r="F509" i="3"/>
  <c r="F404" i="3"/>
  <c r="F334" i="3"/>
  <c r="F262" i="3"/>
  <c r="F369" i="3"/>
  <c r="F407" i="3"/>
  <c r="F528" i="3"/>
  <c r="F380" i="3"/>
  <c r="F487" i="3"/>
  <c r="F453" i="3"/>
  <c r="F429" i="3"/>
  <c r="F408" i="3"/>
  <c r="F432" i="3"/>
  <c r="F336" i="3"/>
  <c r="F456" i="3"/>
  <c r="F288" i="3"/>
  <c r="F371" i="3"/>
  <c r="F533" i="3"/>
  <c r="F530" i="3"/>
  <c r="F323" i="3"/>
  <c r="F331" i="3"/>
  <c r="F476" i="3"/>
  <c r="F261" i="3"/>
  <c r="F522" i="3"/>
  <c r="F517" i="3"/>
  <c r="F415" i="3"/>
  <c r="F455" i="3"/>
  <c r="F247" i="3"/>
  <c r="F494" i="3"/>
  <c r="F368" i="3"/>
  <c r="F392" i="3"/>
  <c r="F452" i="3"/>
  <c r="F480" i="3"/>
  <c r="F360" i="3"/>
  <c r="F430" i="3"/>
  <c r="F510" i="3"/>
  <c r="F491" i="3"/>
  <c r="F357" i="3"/>
  <c r="F442" i="3"/>
  <c r="F547" i="3"/>
  <c r="F359" i="3"/>
  <c r="F531" i="3"/>
  <c r="F463" i="3"/>
  <c r="F478" i="3"/>
  <c r="F259" i="3"/>
  <c r="F532" i="3"/>
  <c r="F384" i="3"/>
  <c r="F309" i="3"/>
  <c r="F488" i="3"/>
  <c r="F235" i="3"/>
  <c r="F233" i="3"/>
  <c r="F355" i="3"/>
  <c r="F382" i="3"/>
  <c r="F451" i="3"/>
  <c r="F332" i="3"/>
  <c r="F381" i="3"/>
  <c r="F236" i="3"/>
  <c r="F300" i="3"/>
  <c r="F479" i="3"/>
  <c r="F321" i="3"/>
  <c r="F518" i="3"/>
  <c r="F465" i="3"/>
  <c r="F443" i="3"/>
  <c r="F475" i="3"/>
  <c r="F466" i="3"/>
  <c r="F540" i="3"/>
  <c r="F545" i="3"/>
  <c r="F519" i="3"/>
  <c r="F477" i="3"/>
  <c r="F238" i="3"/>
  <c r="F335" i="3"/>
  <c r="F497" i="3"/>
  <c r="F264" i="3"/>
  <c r="F444" i="3"/>
  <c r="F393" i="3"/>
  <c r="F251" i="3"/>
  <c r="F403" i="3"/>
  <c r="F548" i="3"/>
  <c r="F428" i="3"/>
  <c r="F308" i="3"/>
  <c r="F274" i="3"/>
  <c r="F250" i="3"/>
  <c r="F286" i="3"/>
  <c r="F406" i="3"/>
  <c r="F454" i="3"/>
  <c r="F275" i="3"/>
  <c r="F344" i="3"/>
  <c r="F496" i="3"/>
  <c r="F546" i="3"/>
  <c r="F248" i="3"/>
  <c r="F419" i="3"/>
  <c r="F284" i="3"/>
  <c r="F310" i="3"/>
  <c r="F345" i="3"/>
  <c r="F514" i="3"/>
  <c r="F441" i="3"/>
  <c r="F542" i="3"/>
  <c r="F260" i="3"/>
  <c r="F537" i="3"/>
  <c r="F379" i="3"/>
  <c r="F394" i="3"/>
  <c r="F272" i="3"/>
  <c r="F283" i="3"/>
  <c r="F285" i="3"/>
  <c r="F467" i="3"/>
  <c r="F395" i="3"/>
  <c r="F367" i="3"/>
  <c r="F521" i="3"/>
  <c r="F498" i="3"/>
  <c r="F464" i="3"/>
  <c r="F541" i="3"/>
  <c r="F307" i="3"/>
  <c r="F372" i="3"/>
  <c r="F348" i="3"/>
  <c r="F420" i="3"/>
  <c r="F252" i="3"/>
  <c r="F324" i="3"/>
  <c r="F312" i="3"/>
  <c r="F489" i="3"/>
  <c r="F249" i="3"/>
  <c r="F520" i="3"/>
  <c r="F511" i="3"/>
  <c r="F271" i="3"/>
  <c r="F356" i="3"/>
  <c r="F523" i="3"/>
  <c r="F418" i="3"/>
  <c r="F513" i="3"/>
  <c r="F515" i="3"/>
  <c r="F538" i="3"/>
  <c r="F273" i="3"/>
  <c r="F298" i="3"/>
  <c r="F396" i="3"/>
  <c r="F468" i="3"/>
  <c r="F524" i="3"/>
  <c r="F544" i="3"/>
  <c r="F417" i="3"/>
  <c r="F512" i="3"/>
  <c r="F539" i="3"/>
  <c r="F431" i="3"/>
  <c r="F536" i="3"/>
  <c r="F439" i="3"/>
  <c r="F543" i="3"/>
  <c r="F534" i="3"/>
  <c r="F322" i="3"/>
  <c r="F529" i="3"/>
  <c r="F495" i="3"/>
  <c r="F405" i="3"/>
  <c r="F276" i="3"/>
  <c r="F240" i="3"/>
  <c r="G532" i="3" l="1"/>
  <c r="I532" i="3" s="1"/>
  <c r="N532" i="3" s="1"/>
  <c r="O532" i="3" s="1"/>
  <c r="G298" i="3"/>
  <c r="I298" i="3" s="1"/>
  <c r="G429" i="3"/>
  <c r="I429" i="3" s="1"/>
  <c r="G307" i="3"/>
  <c r="I307" i="3" s="1"/>
  <c r="G497" i="3"/>
  <c r="G452" i="3"/>
  <c r="I452" i="3" s="1"/>
  <c r="G453" i="3"/>
  <c r="I453" i="3" s="1"/>
  <c r="G541" i="3"/>
  <c r="I541" i="3" s="1"/>
  <c r="G405" i="3"/>
  <c r="I405" i="3" s="1"/>
  <c r="G273" i="3"/>
  <c r="I273" i="3" s="1"/>
  <c r="G487" i="3"/>
  <c r="I487" i="3" s="1"/>
  <c r="G464" i="3"/>
  <c r="I464" i="3" s="1"/>
  <c r="G259" i="3"/>
  <c r="I259" i="3" s="1"/>
  <c r="G236" i="3"/>
  <c r="G380" i="3"/>
  <c r="I380" i="3" s="1"/>
  <c r="G498" i="3"/>
  <c r="G335" i="3"/>
  <c r="I335" i="3" s="1"/>
  <c r="G392" i="3"/>
  <c r="I392" i="3" s="1"/>
  <c r="G528" i="3"/>
  <c r="I528" i="3" s="1"/>
  <c r="G521" i="3"/>
  <c r="I521" i="3" s="1"/>
  <c r="G495" i="3"/>
  <c r="G538" i="3"/>
  <c r="I538" i="3" s="1"/>
  <c r="G407" i="3"/>
  <c r="I407" i="3" s="1"/>
  <c r="G367" i="3"/>
  <c r="I367" i="3" s="1"/>
  <c r="G238" i="3"/>
  <c r="G515" i="3"/>
  <c r="I515" i="3" s="1"/>
  <c r="G369" i="3"/>
  <c r="I369" i="3" s="1"/>
  <c r="G395" i="3"/>
  <c r="I395" i="3" s="1"/>
  <c r="G529" i="3"/>
  <c r="I529" i="3" s="1"/>
  <c r="G368" i="3"/>
  <c r="I368" i="3" s="1"/>
  <c r="G262" i="3"/>
  <c r="I262" i="3" s="1"/>
  <c r="G467" i="3"/>
  <c r="I467" i="3" s="1"/>
  <c r="G478" i="3"/>
  <c r="I478" i="3" s="1"/>
  <c r="G513" i="3"/>
  <c r="G334" i="3"/>
  <c r="I334" i="3" s="1"/>
  <c r="G285" i="3"/>
  <c r="I285" i="3" s="1"/>
  <c r="G477" i="3"/>
  <c r="I477" i="3" s="1"/>
  <c r="G381" i="3"/>
  <c r="I381" i="3" s="1"/>
  <c r="G404" i="3"/>
  <c r="I404" i="3" s="1"/>
  <c r="G283" i="3"/>
  <c r="I283" i="3" s="1"/>
  <c r="G322" i="3"/>
  <c r="I322" i="3" s="1"/>
  <c r="G494" i="3"/>
  <c r="G509" i="3"/>
  <c r="G272" i="3"/>
  <c r="I272" i="3" s="1"/>
  <c r="G463" i="3"/>
  <c r="I463" i="3" s="1"/>
  <c r="G418" i="3"/>
  <c r="I418" i="3" s="1"/>
  <c r="G370" i="3"/>
  <c r="I370" i="3" s="1"/>
  <c r="G519" i="3"/>
  <c r="I519" i="3" s="1"/>
  <c r="G247" i="3"/>
  <c r="I247" i="3" s="1"/>
  <c r="G427" i="3"/>
  <c r="I427" i="3" s="1"/>
  <c r="G394" i="3"/>
  <c r="I394" i="3" s="1"/>
  <c r="G534" i="3"/>
  <c r="I534" i="3" s="1"/>
  <c r="G332" i="3"/>
  <c r="I332" i="3" s="1"/>
  <c r="G287" i="3"/>
  <c r="I287" i="3" s="1"/>
  <c r="G379" i="3"/>
  <c r="I379" i="3" s="1"/>
  <c r="G531" i="3"/>
  <c r="I531" i="3" s="1"/>
  <c r="N531" i="3" s="1"/>
  <c r="O531" i="3" s="1"/>
  <c r="G523" i="3"/>
  <c r="I523" i="3" s="1"/>
  <c r="G263" i="3"/>
  <c r="I263" i="3" s="1"/>
  <c r="G537" i="3"/>
  <c r="I537" i="3" s="1"/>
  <c r="G545" i="3"/>
  <c r="I545" i="3" s="1"/>
  <c r="G455" i="3"/>
  <c r="I455" i="3" s="1"/>
  <c r="G490" i="3"/>
  <c r="I490" i="3" s="1"/>
  <c r="G260" i="3"/>
  <c r="I260" i="3" s="1"/>
  <c r="G543" i="3"/>
  <c r="I543" i="3" s="1"/>
  <c r="G451" i="3"/>
  <c r="I451" i="3" s="1"/>
  <c r="G346" i="3"/>
  <c r="I346" i="3" s="1"/>
  <c r="G542" i="3"/>
  <c r="I542" i="3" s="1"/>
  <c r="G359" i="3"/>
  <c r="I359" i="3" s="1"/>
  <c r="G356" i="3"/>
  <c r="I356" i="3" s="1"/>
  <c r="G319" i="3"/>
  <c r="I319" i="3" s="1"/>
  <c r="G441" i="3"/>
  <c r="I441" i="3" s="1"/>
  <c r="G439" i="3"/>
  <c r="I439" i="3" s="1"/>
  <c r="G415" i="3"/>
  <c r="I415" i="3" s="1"/>
  <c r="G526" i="3"/>
  <c r="I526" i="3" s="1"/>
  <c r="G514" i="3"/>
  <c r="I514" i="3" s="1"/>
  <c r="G540" i="3"/>
  <c r="I540" i="3" s="1"/>
  <c r="G517" i="3"/>
  <c r="I517" i="3" s="1"/>
  <c r="G343" i="3"/>
  <c r="I343" i="3" s="1"/>
  <c r="G345" i="3"/>
  <c r="I345" i="3" s="1"/>
  <c r="G536" i="3"/>
  <c r="I536" i="3" s="1"/>
  <c r="G271" i="3"/>
  <c r="I271" i="3" s="1"/>
  <c r="G333" i="3"/>
  <c r="I333" i="3" s="1"/>
  <c r="G310" i="3"/>
  <c r="I310" i="3" s="1"/>
  <c r="G547" i="3"/>
  <c r="G382" i="3"/>
  <c r="I382" i="3" s="1"/>
  <c r="G493" i="3"/>
  <c r="G284" i="3"/>
  <c r="I284" i="3" s="1"/>
  <c r="G466" i="3"/>
  <c r="I466" i="3" s="1"/>
  <c r="G522" i="3"/>
  <c r="I522" i="3" s="1"/>
  <c r="G525" i="3"/>
  <c r="I525" i="3" s="1"/>
  <c r="G419" i="3"/>
  <c r="I419" i="3" s="1"/>
  <c r="G431" i="3"/>
  <c r="I431" i="3" s="1"/>
  <c r="G511" i="3"/>
  <c r="G234" i="3"/>
  <c r="G248" i="3"/>
  <c r="I248" i="3" s="1"/>
  <c r="G442" i="3"/>
  <c r="I442" i="3" s="1"/>
  <c r="G261" i="3"/>
  <c r="I261" i="3" s="1"/>
  <c r="G311" i="3"/>
  <c r="I311" i="3" s="1"/>
  <c r="G546" i="3"/>
  <c r="I546" i="3" s="1"/>
  <c r="G475" i="3"/>
  <c r="I475" i="3" s="1"/>
  <c r="G355" i="3"/>
  <c r="I355" i="3" s="1"/>
  <c r="G416" i="3"/>
  <c r="I416" i="3" s="1"/>
  <c r="G496" i="3"/>
  <c r="G539" i="3"/>
  <c r="I539" i="3" s="1"/>
  <c r="G520" i="3"/>
  <c r="I520" i="3" s="1"/>
  <c r="G383" i="3"/>
  <c r="I383" i="3" s="1"/>
  <c r="G344" i="3"/>
  <c r="I344" i="3" s="1"/>
  <c r="G512" i="3"/>
  <c r="G476" i="3"/>
  <c r="I476" i="3" s="1"/>
  <c r="G440" i="3"/>
  <c r="I440" i="3" s="1"/>
  <c r="G275" i="3"/>
  <c r="I275" i="3" s="1"/>
  <c r="G443" i="3"/>
  <c r="I443" i="3" s="1"/>
  <c r="G331" i="3"/>
  <c r="I331" i="3" s="1"/>
  <c r="G347" i="3"/>
  <c r="I347" i="3" s="1"/>
  <c r="G454" i="3"/>
  <c r="I454" i="3" s="1"/>
  <c r="G357" i="3"/>
  <c r="I357" i="3" s="1"/>
  <c r="G233" i="3"/>
  <c r="G296" i="3"/>
  <c r="I296" i="3" s="1"/>
  <c r="G406" i="3"/>
  <c r="I406" i="3" s="1"/>
  <c r="G465" i="3"/>
  <c r="I465" i="3" s="1"/>
  <c r="G249" i="3"/>
  <c r="I249" i="3" s="1"/>
  <c r="G535" i="3"/>
  <c r="I535" i="3" s="1"/>
  <c r="G286" i="3"/>
  <c r="I286" i="3" s="1"/>
  <c r="G417" i="3"/>
  <c r="I417" i="3" s="1"/>
  <c r="G323" i="3"/>
  <c r="I323" i="3" s="1"/>
  <c r="G358" i="3"/>
  <c r="I358" i="3" s="1"/>
  <c r="G250" i="3"/>
  <c r="I250" i="3" s="1"/>
  <c r="G491" i="3"/>
  <c r="I491" i="3" s="1"/>
  <c r="G235" i="3"/>
  <c r="G527" i="3"/>
  <c r="I527" i="3" s="1"/>
  <c r="G274" i="3"/>
  <c r="I274" i="3" s="1"/>
  <c r="G518" i="3"/>
  <c r="I518" i="3" s="1"/>
  <c r="G530" i="3"/>
  <c r="I530" i="3" s="1"/>
  <c r="G320" i="3"/>
  <c r="I320" i="3" s="1"/>
  <c r="G308" i="3"/>
  <c r="I308" i="3" s="1"/>
  <c r="G510" i="3"/>
  <c r="G533" i="3"/>
  <c r="I533" i="3" s="1"/>
  <c r="N533" i="3" s="1"/>
  <c r="O533" i="3" s="1"/>
  <c r="G295" i="3"/>
  <c r="I295" i="3" s="1"/>
  <c r="G428" i="3"/>
  <c r="I428" i="3" s="1"/>
  <c r="G321" i="3"/>
  <c r="I321" i="3" s="1"/>
  <c r="G488" i="3"/>
  <c r="I488" i="3" s="1"/>
  <c r="G297" i="3"/>
  <c r="I297" i="3" s="1"/>
  <c r="G548" i="3"/>
  <c r="I548" i="3" s="1"/>
  <c r="G544" i="3"/>
  <c r="I544" i="3" s="1"/>
  <c r="G489" i="3"/>
  <c r="I489" i="3" s="1"/>
  <c r="G516" i="3"/>
  <c r="I516" i="3" s="1"/>
  <c r="G403" i="3"/>
  <c r="I403" i="3" s="1"/>
  <c r="G430" i="3"/>
  <c r="I430" i="3" s="1"/>
  <c r="G371" i="3"/>
  <c r="I371" i="3" s="1"/>
  <c r="G299" i="3"/>
  <c r="I299" i="3" s="1"/>
  <c r="G251" i="3"/>
  <c r="I251" i="3" s="1"/>
  <c r="G479" i="3"/>
  <c r="I479" i="3" s="1"/>
  <c r="G309" i="3"/>
  <c r="I309" i="3" s="1"/>
  <c r="G391" i="3"/>
  <c r="I391" i="3" s="1"/>
  <c r="G393" i="3"/>
  <c r="I393" i="3" s="1"/>
  <c r="G524" i="3"/>
  <c r="I524" i="3" s="1"/>
  <c r="M164" i="3"/>
  <c r="E164" i="3"/>
  <c r="M148" i="3"/>
  <c r="E148" i="3"/>
  <c r="M132" i="3"/>
  <c r="E132" i="3"/>
  <c r="M116" i="3"/>
  <c r="E116" i="3"/>
  <c r="M104" i="3"/>
  <c r="E104" i="3"/>
  <c r="M167" i="3"/>
  <c r="E167" i="3"/>
  <c r="M163" i="3"/>
  <c r="E163" i="3"/>
  <c r="M159" i="3"/>
  <c r="E159" i="3"/>
  <c r="M155" i="3"/>
  <c r="E155" i="3"/>
  <c r="M151" i="3"/>
  <c r="E151" i="3"/>
  <c r="M147" i="3"/>
  <c r="E147" i="3"/>
  <c r="M143" i="3"/>
  <c r="E143" i="3"/>
  <c r="M139" i="3"/>
  <c r="E139" i="3"/>
  <c r="M135" i="3"/>
  <c r="E135" i="3"/>
  <c r="M131" i="3"/>
  <c r="E131" i="3"/>
  <c r="M127" i="3"/>
  <c r="E127" i="3"/>
  <c r="M123" i="3"/>
  <c r="E123" i="3"/>
  <c r="M119" i="3"/>
  <c r="E119" i="3"/>
  <c r="M115" i="3"/>
  <c r="E115" i="3"/>
  <c r="M111" i="3"/>
  <c r="E111" i="3"/>
  <c r="M107" i="3"/>
  <c r="E107" i="3"/>
  <c r="M103" i="3"/>
  <c r="E103" i="3"/>
  <c r="M168" i="3"/>
  <c r="E168" i="3"/>
  <c r="M156" i="3"/>
  <c r="E156" i="3"/>
  <c r="M144" i="3"/>
  <c r="E144" i="3"/>
  <c r="M136" i="3"/>
  <c r="E136" i="3"/>
  <c r="M128" i="3"/>
  <c r="E128" i="3"/>
  <c r="M120" i="3"/>
  <c r="E120" i="3"/>
  <c r="M108" i="3"/>
  <c r="E108" i="3"/>
  <c r="M166" i="3"/>
  <c r="E166" i="3"/>
  <c r="M162" i="3"/>
  <c r="E162" i="3"/>
  <c r="M158" i="3"/>
  <c r="E158" i="3"/>
  <c r="M154" i="3"/>
  <c r="E154" i="3"/>
  <c r="M150" i="3"/>
  <c r="E150" i="3"/>
  <c r="M146" i="3"/>
  <c r="E146" i="3"/>
  <c r="M142" i="3"/>
  <c r="E142" i="3"/>
  <c r="M138" i="3"/>
  <c r="E138" i="3"/>
  <c r="M134" i="3"/>
  <c r="E134" i="3"/>
  <c r="M130" i="3"/>
  <c r="E130" i="3"/>
  <c r="M126" i="3"/>
  <c r="E126" i="3"/>
  <c r="M122" i="3"/>
  <c r="E122" i="3"/>
  <c r="M118" i="3"/>
  <c r="E118" i="3"/>
  <c r="M114" i="3"/>
  <c r="E114" i="3"/>
  <c r="M110" i="3"/>
  <c r="E110" i="3"/>
  <c r="M106" i="3"/>
  <c r="E106" i="3"/>
  <c r="M160" i="3"/>
  <c r="E160" i="3"/>
  <c r="M152" i="3"/>
  <c r="E152" i="3"/>
  <c r="M140" i="3"/>
  <c r="E140" i="3"/>
  <c r="M124" i="3"/>
  <c r="E124" i="3"/>
  <c r="M112" i="3"/>
  <c r="E112" i="3"/>
  <c r="M169" i="3"/>
  <c r="E169" i="3"/>
  <c r="E165" i="3"/>
  <c r="M165" i="3"/>
  <c r="M161" i="3"/>
  <c r="E161" i="3"/>
  <c r="E157" i="3"/>
  <c r="M157" i="3"/>
  <c r="M153" i="3"/>
  <c r="E153" i="3"/>
  <c r="E149" i="3"/>
  <c r="M149" i="3"/>
  <c r="M145" i="3"/>
  <c r="E145" i="3"/>
  <c r="E141" i="3"/>
  <c r="M141" i="3"/>
  <c r="M137" i="3"/>
  <c r="E137" i="3"/>
  <c r="E133" i="3"/>
  <c r="M133" i="3"/>
  <c r="M129" i="3"/>
  <c r="E129" i="3"/>
  <c r="E125" i="3"/>
  <c r="M125" i="3"/>
  <c r="M121" i="3"/>
  <c r="E121" i="3"/>
  <c r="E117" i="3"/>
  <c r="M117" i="3"/>
  <c r="M113" i="3"/>
  <c r="E113" i="3"/>
  <c r="E109" i="3"/>
  <c r="M109" i="3"/>
  <c r="M105" i="3"/>
  <c r="E105" i="3"/>
  <c r="H92" i="3"/>
  <c r="I92" i="3" s="1"/>
  <c r="H98" i="3"/>
  <c r="I98" i="3" s="1"/>
  <c r="H91" i="3"/>
  <c r="I91" i="3" s="1"/>
  <c r="H97" i="3"/>
  <c r="I97" i="3" s="1"/>
  <c r="H89" i="3"/>
  <c r="I89" i="3" s="1"/>
  <c r="H93" i="3"/>
  <c r="I93" i="3" s="1"/>
  <c r="H90" i="3"/>
  <c r="I90" i="3" s="1"/>
  <c r="H95" i="3"/>
  <c r="I95" i="3" s="1"/>
  <c r="H96" i="3"/>
  <c r="I96" i="3" s="1"/>
  <c r="H94" i="3"/>
  <c r="I94" i="3" s="1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I170" i="3" s="1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I172" i="3" s="1"/>
  <c r="H103" i="3"/>
  <c r="H111" i="3"/>
  <c r="H119" i="3"/>
  <c r="H127" i="3"/>
  <c r="H135" i="3"/>
  <c r="H143" i="3"/>
  <c r="H151" i="3"/>
  <c r="H159" i="3"/>
  <c r="H167" i="3"/>
  <c r="H147" i="3"/>
  <c r="H107" i="3"/>
  <c r="H115" i="3"/>
  <c r="H123" i="3"/>
  <c r="H131" i="3"/>
  <c r="H139" i="3"/>
  <c r="H155" i="3"/>
  <c r="H163" i="3"/>
  <c r="H171" i="3"/>
  <c r="I171" i="3" s="1"/>
  <c r="G432" i="3"/>
  <c r="G264" i="3"/>
  <c r="G300" i="3"/>
  <c r="G348" i="3"/>
  <c r="G336" i="3"/>
  <c r="G420" i="3"/>
  <c r="G456" i="3"/>
  <c r="G372" i="3"/>
  <c r="G276" i="3"/>
  <c r="G312" i="3"/>
  <c r="G396" i="3"/>
  <c r="G252" i="3"/>
  <c r="G288" i="3"/>
  <c r="G444" i="3"/>
  <c r="G480" i="3"/>
  <c r="G240" i="3"/>
  <c r="G468" i="3"/>
  <c r="G384" i="3"/>
  <c r="G408" i="3"/>
  <c r="G360" i="3"/>
  <c r="G324" i="3"/>
  <c r="H60" i="3"/>
  <c r="H61" i="3"/>
  <c r="H70" i="3"/>
  <c r="H71" i="3"/>
  <c r="H58" i="3"/>
  <c r="H69" i="3"/>
  <c r="H62" i="3"/>
  <c r="H63" i="3"/>
  <c r="H64" i="3"/>
  <c r="H65" i="3"/>
  <c r="H72" i="3"/>
  <c r="H54" i="3"/>
  <c r="H55" i="3"/>
  <c r="H56" i="3"/>
  <c r="H57" i="3"/>
  <c r="H66" i="3"/>
  <c r="H67" i="3"/>
  <c r="H68" i="3"/>
  <c r="H59" i="3"/>
  <c r="U60" i="3"/>
  <c r="W60" i="3"/>
  <c r="H235" i="3"/>
  <c r="H231" i="3"/>
  <c r="H232" i="3"/>
  <c r="H236" i="3"/>
  <c r="H233" i="3"/>
  <c r="H237" i="3"/>
  <c r="H234" i="3"/>
  <c r="H238" i="3"/>
  <c r="D13" i="3"/>
  <c r="M4" i="3" s="1"/>
  <c r="D11" i="3"/>
  <c r="K4" i="3" s="1"/>
  <c r="D14" i="3"/>
  <c r="N4" i="3" s="1"/>
  <c r="D10" i="3"/>
  <c r="J4" i="3" s="1"/>
  <c r="D12" i="3"/>
  <c r="L4" i="3" s="1"/>
  <c r="E12" i="3"/>
  <c r="L5" i="3" s="1"/>
  <c r="E10" i="3"/>
  <c r="J5" i="3" s="1"/>
  <c r="E13" i="3"/>
  <c r="M5" i="3" s="1"/>
  <c r="E14" i="3"/>
  <c r="N5" i="3" s="1"/>
  <c r="E11" i="3"/>
  <c r="K5" i="3" s="1"/>
  <c r="I12" i="3"/>
  <c r="L9" i="3" s="1"/>
  <c r="I11" i="3"/>
  <c r="K9" i="3" s="1"/>
  <c r="I13" i="3"/>
  <c r="M9" i="3" s="1"/>
  <c r="I10" i="3"/>
  <c r="J9" i="3" s="1"/>
  <c r="I14" i="3"/>
  <c r="N9" i="3" s="1"/>
  <c r="H13" i="3"/>
  <c r="M8" i="3" s="1"/>
  <c r="H14" i="3"/>
  <c r="N8" i="3" s="1"/>
  <c r="H10" i="3"/>
  <c r="J8" i="3" s="1"/>
  <c r="H11" i="3"/>
  <c r="K8" i="3" s="1"/>
  <c r="H12" i="3"/>
  <c r="L8" i="3" s="1"/>
  <c r="G14" i="3"/>
  <c r="N7" i="3" s="1"/>
  <c r="G10" i="3"/>
  <c r="J7" i="3" s="1"/>
  <c r="G11" i="3"/>
  <c r="K7" i="3" s="1"/>
  <c r="G12" i="3"/>
  <c r="L7" i="3" s="1"/>
  <c r="G13" i="3"/>
  <c r="M7" i="3" s="1"/>
  <c r="F11" i="3"/>
  <c r="K6" i="3" s="1"/>
  <c r="F13" i="3"/>
  <c r="M6" i="3" s="1"/>
  <c r="F12" i="3"/>
  <c r="L6" i="3" s="1"/>
  <c r="F10" i="3"/>
  <c r="J6" i="3" s="1"/>
  <c r="F14" i="3"/>
  <c r="N6" i="3" s="1"/>
  <c r="H51" i="2"/>
  <c r="I51" i="2" s="1"/>
  <c r="H513" i="3"/>
  <c r="H46" i="3"/>
  <c r="H41" i="3"/>
  <c r="H512" i="3"/>
  <c r="H511" i="3"/>
  <c r="H42" i="3"/>
  <c r="H40" i="3"/>
  <c r="H50" i="3"/>
  <c r="H226" i="3"/>
  <c r="H102" i="3"/>
  <c r="H101" i="3"/>
  <c r="H78" i="3"/>
  <c r="H82" i="3"/>
  <c r="H80" i="3"/>
  <c r="H225" i="3"/>
  <c r="H77" i="3"/>
  <c r="H74" i="3"/>
  <c r="H227" i="3"/>
  <c r="H75" i="3"/>
  <c r="H79" i="3"/>
  <c r="H83" i="3"/>
  <c r="H76" i="3"/>
  <c r="H84" i="3"/>
  <c r="H224" i="3"/>
  <c r="H81" i="3"/>
  <c r="H228" i="3"/>
  <c r="H190" i="3"/>
  <c r="H194" i="3"/>
  <c r="H198" i="3"/>
  <c r="H175" i="3"/>
  <c r="H179" i="3"/>
  <c r="H183" i="3"/>
  <c r="H174" i="3"/>
  <c r="H193" i="3"/>
  <c r="H201" i="3"/>
  <c r="H182" i="3"/>
  <c r="H191" i="3"/>
  <c r="H195" i="3"/>
  <c r="H199" i="3"/>
  <c r="H176" i="3"/>
  <c r="H180" i="3"/>
  <c r="H184" i="3"/>
  <c r="H189" i="3"/>
  <c r="H197" i="3"/>
  <c r="H178" i="3"/>
  <c r="H186" i="3"/>
  <c r="H188" i="3"/>
  <c r="H192" i="3"/>
  <c r="H196" i="3"/>
  <c r="H200" i="3"/>
  <c r="H177" i="3"/>
  <c r="H181" i="3"/>
  <c r="H185" i="3"/>
  <c r="H53" i="3"/>
  <c r="H49" i="3"/>
  <c r="H45" i="3"/>
  <c r="H494" i="3"/>
  <c r="H498" i="3"/>
  <c r="H502" i="3"/>
  <c r="H506" i="3"/>
  <c r="H497" i="3"/>
  <c r="H505" i="3"/>
  <c r="H495" i="3"/>
  <c r="H499" i="3"/>
  <c r="H503" i="3"/>
  <c r="H507" i="3"/>
  <c r="H510" i="3"/>
  <c r="H509" i="3"/>
  <c r="H496" i="3"/>
  <c r="H500" i="3"/>
  <c r="H504" i="3"/>
  <c r="H508" i="3"/>
  <c r="H501" i="3"/>
  <c r="H493" i="3"/>
  <c r="H88" i="3"/>
  <c r="H203" i="3"/>
  <c r="H207" i="3"/>
  <c r="H211" i="3"/>
  <c r="H215" i="3"/>
  <c r="H219" i="3"/>
  <c r="H223" i="3"/>
  <c r="H87" i="3"/>
  <c r="H206" i="3"/>
  <c r="H214" i="3"/>
  <c r="H222" i="3"/>
  <c r="H85" i="3"/>
  <c r="H204" i="3"/>
  <c r="H208" i="3"/>
  <c r="H212" i="3"/>
  <c r="H216" i="3"/>
  <c r="H220" i="3"/>
  <c r="H202" i="3"/>
  <c r="H86" i="3"/>
  <c r="H210" i="3"/>
  <c r="H218" i="3"/>
  <c r="H205" i="3"/>
  <c r="H209" i="3"/>
  <c r="H213" i="3"/>
  <c r="H217" i="3"/>
  <c r="H221" i="3"/>
  <c r="H52" i="3"/>
  <c r="H48" i="3"/>
  <c r="H44" i="3"/>
  <c r="H51" i="3"/>
  <c r="H47" i="3"/>
  <c r="H43" i="3"/>
  <c r="E23" i="3"/>
  <c r="E25" i="3"/>
  <c r="E29" i="3"/>
  <c r="E38" i="3"/>
  <c r="E226" i="3"/>
  <c r="E222" i="3"/>
  <c r="E214" i="3"/>
  <c r="E210" i="3"/>
  <c r="E202" i="3"/>
  <c r="E194" i="3"/>
  <c r="E185" i="3"/>
  <c r="E181" i="3"/>
  <c r="E101" i="3"/>
  <c r="E85" i="3"/>
  <c r="E77" i="3"/>
  <c r="E20" i="3"/>
  <c r="E225" i="3"/>
  <c r="E221" i="3"/>
  <c r="E217" i="3"/>
  <c r="E213" i="3"/>
  <c r="E209" i="3"/>
  <c r="E205" i="3"/>
  <c r="E201" i="3"/>
  <c r="E197" i="3"/>
  <c r="E193" i="3"/>
  <c r="E189" i="3"/>
  <c r="E184" i="3"/>
  <c r="E180" i="3"/>
  <c r="E176" i="3"/>
  <c r="E88" i="3"/>
  <c r="E84" i="3"/>
  <c r="E80" i="3"/>
  <c r="E76" i="3"/>
  <c r="E32" i="3"/>
  <c r="E228" i="3"/>
  <c r="E224" i="3"/>
  <c r="E220" i="3"/>
  <c r="E216" i="3"/>
  <c r="E212" i="3"/>
  <c r="E208" i="3"/>
  <c r="E204" i="3"/>
  <c r="E200" i="3"/>
  <c r="E196" i="3"/>
  <c r="E192" i="3"/>
  <c r="E188" i="3"/>
  <c r="E183" i="3"/>
  <c r="E179" i="3"/>
  <c r="E175" i="3"/>
  <c r="E87" i="3"/>
  <c r="E83" i="3"/>
  <c r="E79" i="3"/>
  <c r="C75" i="3"/>
  <c r="E75" i="3" s="1"/>
  <c r="E24" i="3"/>
  <c r="E227" i="3"/>
  <c r="E223" i="3"/>
  <c r="E219" i="3"/>
  <c r="E215" i="3"/>
  <c r="E211" i="3"/>
  <c r="E207" i="3"/>
  <c r="E203" i="3"/>
  <c r="E199" i="3"/>
  <c r="E195" i="3"/>
  <c r="E191" i="3"/>
  <c r="E186" i="3"/>
  <c r="E182" i="3"/>
  <c r="E178" i="3"/>
  <c r="E174" i="3"/>
  <c r="E102" i="3"/>
  <c r="E86" i="3"/>
  <c r="E82" i="3"/>
  <c r="E78" i="3"/>
  <c r="E74" i="3"/>
  <c r="E218" i="3"/>
  <c r="E206" i="3"/>
  <c r="E198" i="3"/>
  <c r="E190" i="3"/>
  <c r="E177" i="3"/>
  <c r="E81" i="3"/>
  <c r="E40" i="3"/>
  <c r="E19" i="3"/>
  <c r="E39" i="3"/>
  <c r="E47" i="3"/>
  <c r="E37" i="3"/>
  <c r="E50" i="3"/>
  <c r="E46" i="3"/>
  <c r="E42" i="3"/>
  <c r="E33" i="3"/>
  <c r="E52" i="3"/>
  <c r="E44" i="3"/>
  <c r="E21" i="3"/>
  <c r="E53" i="3"/>
  <c r="E49" i="3"/>
  <c r="E45" i="3"/>
  <c r="E41" i="3"/>
  <c r="E28" i="3"/>
  <c r="E36" i="3"/>
  <c r="E51" i="3"/>
  <c r="E43" i="3"/>
  <c r="E35" i="3"/>
  <c r="E31" i="3"/>
  <c r="E27" i="3"/>
  <c r="E48" i="3"/>
  <c r="E34" i="3"/>
  <c r="E30" i="3"/>
  <c r="E26" i="3"/>
  <c r="E22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19" i="3"/>
  <c r="E85" i="2"/>
  <c r="K43" i="3" s="1"/>
  <c r="E86" i="2"/>
  <c r="E87" i="2"/>
  <c r="E88" i="2"/>
  <c r="E84" i="2"/>
  <c r="AT38" i="2"/>
  <c r="AU38" i="2" s="1"/>
  <c r="AT41" i="2"/>
  <c r="AU41" i="2" s="1"/>
  <c r="AT44" i="2"/>
  <c r="AU44" i="2" s="1"/>
  <c r="AT71" i="2"/>
  <c r="AU71" i="2" s="1"/>
  <c r="F362" i="3"/>
  <c r="F59" i="3"/>
  <c r="F386" i="3"/>
  <c r="F445" i="3"/>
  <c r="F265" i="3"/>
  <c r="F282" i="3"/>
  <c r="F401" i="3"/>
  <c r="F304" i="3"/>
  <c r="F424" i="3"/>
  <c r="F365" i="3"/>
  <c r="F117" i="3"/>
  <c r="F152" i="3"/>
  <c r="F245" i="3"/>
  <c r="F373" i="3"/>
  <c r="F114" i="3"/>
  <c r="F351" i="3"/>
  <c r="F231" i="3"/>
  <c r="F66" i="3"/>
  <c r="F153" i="3"/>
  <c r="F361" i="3"/>
  <c r="F374" i="3"/>
  <c r="F136" i="3"/>
  <c r="F446" i="3"/>
  <c r="F67" i="3"/>
  <c r="F71" i="3"/>
  <c r="F470" i="3"/>
  <c r="F426" i="3"/>
  <c r="F483" i="3"/>
  <c r="F314" i="3"/>
  <c r="F68" i="3"/>
  <c r="F159" i="3"/>
  <c r="F60" i="3"/>
  <c r="F164" i="3"/>
  <c r="F149" i="3"/>
  <c r="F72" i="3"/>
  <c r="F349" i="3"/>
  <c r="F64" i="3"/>
  <c r="F449" i="3"/>
  <c r="F135" i="3"/>
  <c r="F121" i="3"/>
  <c r="F140" i="3"/>
  <c r="F127" i="3"/>
  <c r="F318" i="3"/>
  <c r="F61" i="3"/>
  <c r="F112" i="3"/>
  <c r="F317" i="3"/>
  <c r="F450" i="3"/>
  <c r="F70" i="3"/>
  <c r="F330" i="3"/>
  <c r="F128" i="3"/>
  <c r="F397" i="3"/>
  <c r="F57" i="3"/>
  <c r="F168" i="3"/>
  <c r="F341" i="3"/>
  <c r="F143" i="3"/>
  <c r="F482" i="3"/>
  <c r="F377" i="3"/>
  <c r="F305" i="3"/>
  <c r="F301" i="3"/>
  <c r="F316" i="3"/>
  <c r="F342" i="3"/>
  <c r="F302" i="3"/>
  <c r="F69" i="3"/>
  <c r="F327" i="3"/>
  <c r="F398" i="3"/>
  <c r="F137" i="3"/>
  <c r="F108" i="3"/>
  <c r="F481" i="3"/>
  <c r="F268" i="3"/>
  <c r="F144" i="3"/>
  <c r="F437" i="3"/>
  <c r="F289" i="3"/>
  <c r="F269" i="3"/>
  <c r="F410" i="3"/>
  <c r="F151" i="3"/>
  <c r="F118" i="3"/>
  <c r="F423" i="3"/>
  <c r="F116" i="3"/>
  <c r="F134" i="3"/>
  <c r="F132" i="3"/>
  <c r="F338" i="3"/>
  <c r="F126" i="3"/>
  <c r="F266" i="3"/>
  <c r="F138" i="3"/>
  <c r="F315" i="3"/>
  <c r="F148" i="3"/>
  <c r="F141" i="3"/>
  <c r="F474" i="3"/>
  <c r="F254" i="3"/>
  <c r="F167" i="3"/>
  <c r="F433" i="3"/>
  <c r="F399" i="3"/>
  <c r="F65" i="3"/>
  <c r="F106" i="3"/>
  <c r="F434" i="3"/>
  <c r="F400" i="3"/>
  <c r="F409" i="3"/>
  <c r="F158" i="3"/>
  <c r="F472" i="3"/>
  <c r="F109" i="3"/>
  <c r="F366" i="3"/>
  <c r="F257" i="3"/>
  <c r="F154" i="3"/>
  <c r="F155" i="3"/>
  <c r="F147" i="3"/>
  <c r="F130" i="3"/>
  <c r="F241" i="3"/>
  <c r="F237" i="3"/>
  <c r="F107" i="3"/>
  <c r="F378" i="3"/>
  <c r="F485" i="3"/>
  <c r="F242" i="3"/>
  <c r="F292" i="3"/>
  <c r="F246" i="3"/>
  <c r="F325" i="3"/>
  <c r="F280" i="3"/>
  <c r="F133" i="3"/>
  <c r="F414" i="3"/>
  <c r="F256" i="3"/>
  <c r="F105" i="3"/>
  <c r="F457" i="3"/>
  <c r="F293" i="3"/>
  <c r="F244" i="3"/>
  <c r="F411" i="3"/>
  <c r="F425" i="3"/>
  <c r="F104" i="3"/>
  <c r="F402" i="3"/>
  <c r="F160" i="3"/>
  <c r="F448" i="3"/>
  <c r="F435" i="3"/>
  <c r="F113" i="3"/>
  <c r="F150" i="3"/>
  <c r="F255" i="3"/>
  <c r="F129" i="3"/>
  <c r="F166" i="3"/>
  <c r="F462" i="3"/>
  <c r="F243" i="3"/>
  <c r="F350" i="3"/>
  <c r="F352" i="3"/>
  <c r="F123" i="3"/>
  <c r="F436" i="3"/>
  <c r="F339" i="3"/>
  <c r="F139" i="3"/>
  <c r="F459" i="3"/>
  <c r="F156" i="3"/>
  <c r="F169" i="3"/>
  <c r="F258" i="3"/>
  <c r="F290" i="3"/>
  <c r="F267" i="3"/>
  <c r="F484" i="3"/>
  <c r="F469" i="3"/>
  <c r="F326" i="3"/>
  <c r="F55" i="3"/>
  <c r="F56" i="3"/>
  <c r="F328" i="3"/>
  <c r="F471" i="3"/>
  <c r="F115" i="3"/>
  <c r="F486" i="3"/>
  <c r="F413" i="3"/>
  <c r="F131" i="3"/>
  <c r="F422" i="3"/>
  <c r="F306" i="3"/>
  <c r="F281" i="3"/>
  <c r="F253" i="3"/>
  <c r="F161" i="3"/>
  <c r="F388" i="3"/>
  <c r="F340" i="3"/>
  <c r="F124" i="3"/>
  <c r="F354" i="3"/>
  <c r="F146" i="3"/>
  <c r="F376" i="3"/>
  <c r="F145" i="3"/>
  <c r="F438" i="3"/>
  <c r="F375" i="3"/>
  <c r="F278" i="3"/>
  <c r="F387" i="3"/>
  <c r="F119" i="3"/>
  <c r="F313" i="3"/>
  <c r="F54" i="3"/>
  <c r="F120" i="3"/>
  <c r="F412" i="3"/>
  <c r="F163" i="3"/>
  <c r="F270" i="3"/>
  <c r="F277" i="3"/>
  <c r="F122" i="3"/>
  <c r="F142" i="3"/>
  <c r="F232" i="3"/>
  <c r="F390" i="3"/>
  <c r="F458" i="3"/>
  <c r="F447" i="3"/>
  <c r="F165" i="3"/>
  <c r="F279" i="3"/>
  <c r="F473" i="3"/>
  <c r="F111" i="3"/>
  <c r="F62" i="3"/>
  <c r="F125" i="3"/>
  <c r="F63" i="3"/>
  <c r="F103" i="3"/>
  <c r="F58" i="3"/>
  <c r="F389" i="3"/>
  <c r="F460" i="3"/>
  <c r="F110" i="3"/>
  <c r="F329" i="3"/>
  <c r="F291" i="3"/>
  <c r="F461" i="3"/>
  <c r="F303" i="3"/>
  <c r="F363" i="3"/>
  <c r="F294" i="3"/>
  <c r="F385" i="3"/>
  <c r="F353" i="3"/>
  <c r="F337" i="3"/>
  <c r="F162" i="3"/>
  <c r="F421" i="3"/>
  <c r="F157" i="3"/>
  <c r="F364" i="3"/>
  <c r="N542" i="3" l="1"/>
  <c r="O542" i="3" s="1"/>
  <c r="V542" i="3" s="1"/>
  <c r="N544" i="3"/>
  <c r="O544" i="3" s="1"/>
  <c r="V544" i="3" s="1"/>
  <c r="N543" i="3"/>
  <c r="O543" i="3" s="1"/>
  <c r="V543" i="3" s="1"/>
  <c r="I494" i="3"/>
  <c r="I511" i="3"/>
  <c r="I233" i="3"/>
  <c r="I235" i="3"/>
  <c r="N534" i="3"/>
  <c r="O534" i="3" s="1"/>
  <c r="V534" i="3" s="1"/>
  <c r="I512" i="3"/>
  <c r="I238" i="3"/>
  <c r="I497" i="3"/>
  <c r="N529" i="3"/>
  <c r="O529" i="3" s="1"/>
  <c r="V529" i="3" s="1"/>
  <c r="I547" i="3"/>
  <c r="N530" i="3"/>
  <c r="O530" i="3" s="1"/>
  <c r="V530" i="3" s="1"/>
  <c r="I493" i="3"/>
  <c r="I513" i="3"/>
  <c r="I236" i="3"/>
  <c r="I510" i="3"/>
  <c r="I495" i="3"/>
  <c r="I234" i="3"/>
  <c r="I498" i="3"/>
  <c r="I496" i="3"/>
  <c r="I509" i="3"/>
  <c r="G109" i="3"/>
  <c r="I109" i="3" s="1"/>
  <c r="G133" i="3"/>
  <c r="I133" i="3" s="1"/>
  <c r="G157" i="3"/>
  <c r="I157" i="3" s="1"/>
  <c r="G111" i="3"/>
  <c r="I111" i="3" s="1"/>
  <c r="G135" i="3"/>
  <c r="I135" i="3" s="1"/>
  <c r="G143" i="3"/>
  <c r="I143" i="3" s="1"/>
  <c r="G151" i="3"/>
  <c r="I151" i="3" s="1"/>
  <c r="G159" i="3"/>
  <c r="I159" i="3" s="1"/>
  <c r="G116" i="3"/>
  <c r="I116" i="3" s="1"/>
  <c r="G105" i="3"/>
  <c r="I105" i="3" s="1"/>
  <c r="G113" i="3"/>
  <c r="I113" i="3" s="1"/>
  <c r="G121" i="3"/>
  <c r="I121" i="3" s="1"/>
  <c r="G129" i="3"/>
  <c r="I129" i="3" s="1"/>
  <c r="G137" i="3"/>
  <c r="I137" i="3" s="1"/>
  <c r="G145" i="3"/>
  <c r="I145" i="3" s="1"/>
  <c r="G153" i="3"/>
  <c r="I153" i="3" s="1"/>
  <c r="G161" i="3"/>
  <c r="I161" i="3" s="1"/>
  <c r="G169" i="3"/>
  <c r="I169" i="3" s="1"/>
  <c r="G124" i="3"/>
  <c r="I124" i="3" s="1"/>
  <c r="G152" i="3"/>
  <c r="I152" i="3" s="1"/>
  <c r="G106" i="3"/>
  <c r="I106" i="3" s="1"/>
  <c r="G114" i="3"/>
  <c r="I114" i="3" s="1"/>
  <c r="G122" i="3"/>
  <c r="I122" i="3" s="1"/>
  <c r="G130" i="3"/>
  <c r="I130" i="3" s="1"/>
  <c r="G138" i="3"/>
  <c r="I138" i="3" s="1"/>
  <c r="G146" i="3"/>
  <c r="I146" i="3" s="1"/>
  <c r="G154" i="3"/>
  <c r="I154" i="3" s="1"/>
  <c r="G162" i="3"/>
  <c r="I162" i="3" s="1"/>
  <c r="G108" i="3"/>
  <c r="I108" i="3" s="1"/>
  <c r="G128" i="3"/>
  <c r="I128" i="3" s="1"/>
  <c r="G144" i="3"/>
  <c r="I144" i="3" s="1"/>
  <c r="G168" i="3"/>
  <c r="I168" i="3" s="1"/>
  <c r="G117" i="3"/>
  <c r="I117" i="3" s="1"/>
  <c r="G141" i="3"/>
  <c r="I141" i="3" s="1"/>
  <c r="G165" i="3"/>
  <c r="I165" i="3" s="1"/>
  <c r="G119" i="3"/>
  <c r="I119" i="3" s="1"/>
  <c r="G148" i="3"/>
  <c r="I148" i="3" s="1"/>
  <c r="G107" i="3"/>
  <c r="I107" i="3" s="1"/>
  <c r="G115" i="3"/>
  <c r="I115" i="3" s="1"/>
  <c r="G123" i="3"/>
  <c r="I123" i="3" s="1"/>
  <c r="G131" i="3"/>
  <c r="I131" i="3" s="1"/>
  <c r="G139" i="3"/>
  <c r="I139" i="3" s="1"/>
  <c r="G147" i="3"/>
  <c r="I147" i="3" s="1"/>
  <c r="G155" i="3"/>
  <c r="I155" i="3" s="1"/>
  <c r="G163" i="3"/>
  <c r="I163" i="3" s="1"/>
  <c r="G104" i="3"/>
  <c r="I104" i="3" s="1"/>
  <c r="G132" i="3"/>
  <c r="I132" i="3" s="1"/>
  <c r="G164" i="3"/>
  <c r="I164" i="3" s="1"/>
  <c r="G125" i="3"/>
  <c r="I125" i="3" s="1"/>
  <c r="G149" i="3"/>
  <c r="I149" i="3" s="1"/>
  <c r="G103" i="3"/>
  <c r="I103" i="3" s="1"/>
  <c r="G127" i="3"/>
  <c r="I127" i="3" s="1"/>
  <c r="G167" i="3"/>
  <c r="I167" i="3" s="1"/>
  <c r="G112" i="3"/>
  <c r="I112" i="3" s="1"/>
  <c r="G140" i="3"/>
  <c r="I140" i="3" s="1"/>
  <c r="G160" i="3"/>
  <c r="I160" i="3" s="1"/>
  <c r="G110" i="3"/>
  <c r="I110" i="3" s="1"/>
  <c r="G118" i="3"/>
  <c r="I118" i="3" s="1"/>
  <c r="G126" i="3"/>
  <c r="I126" i="3" s="1"/>
  <c r="G134" i="3"/>
  <c r="I134" i="3" s="1"/>
  <c r="G142" i="3"/>
  <c r="I142" i="3" s="1"/>
  <c r="G150" i="3"/>
  <c r="I150" i="3" s="1"/>
  <c r="G158" i="3"/>
  <c r="I158" i="3" s="1"/>
  <c r="G166" i="3"/>
  <c r="I166" i="3" s="1"/>
  <c r="G120" i="3"/>
  <c r="I120" i="3" s="1"/>
  <c r="G136" i="3"/>
  <c r="I136" i="3" s="1"/>
  <c r="G156" i="3"/>
  <c r="I156" i="3" s="1"/>
  <c r="M75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08" i="3"/>
  <c r="K116" i="3"/>
  <c r="K124" i="3"/>
  <c r="K132" i="3"/>
  <c r="K140" i="3"/>
  <c r="K148" i="3"/>
  <c r="K156" i="3"/>
  <c r="K164" i="3"/>
  <c r="K172" i="3"/>
  <c r="K104" i="3"/>
  <c r="K112" i="3"/>
  <c r="K120" i="3"/>
  <c r="K128" i="3"/>
  <c r="K136" i="3"/>
  <c r="K144" i="3"/>
  <c r="K152" i="3"/>
  <c r="K160" i="3"/>
  <c r="K168" i="3"/>
  <c r="K89" i="3"/>
  <c r="K93" i="3"/>
  <c r="K94" i="3"/>
  <c r="K92" i="3"/>
  <c r="K98" i="3"/>
  <c r="K97" i="3"/>
  <c r="K90" i="3"/>
  <c r="K95" i="3"/>
  <c r="K96" i="3"/>
  <c r="K91" i="3"/>
  <c r="K538" i="3"/>
  <c r="N538" i="3" s="1"/>
  <c r="O538" i="3" s="1"/>
  <c r="V538" i="3" s="1"/>
  <c r="K542" i="3"/>
  <c r="K546" i="3"/>
  <c r="N546" i="3" s="1"/>
  <c r="O546" i="3" s="1"/>
  <c r="V546" i="3" s="1"/>
  <c r="K537" i="3"/>
  <c r="N537" i="3" s="1"/>
  <c r="O537" i="3" s="1"/>
  <c r="V537" i="3" s="1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N535" i="3" s="1"/>
  <c r="O535" i="3" s="1"/>
  <c r="V535" i="3" s="1"/>
  <c r="K539" i="3"/>
  <c r="N539" i="3" s="1"/>
  <c r="O539" i="3" s="1"/>
  <c r="V539" i="3" s="1"/>
  <c r="K543" i="3"/>
  <c r="K547" i="3"/>
  <c r="K548" i="3"/>
  <c r="N548" i="3" s="1"/>
  <c r="O548" i="3" s="1"/>
  <c r="V548" i="3" s="1"/>
  <c r="K545" i="3"/>
  <c r="N545" i="3" s="1"/>
  <c r="O545" i="3" s="1"/>
  <c r="V545" i="3" s="1"/>
  <c r="K536" i="3"/>
  <c r="N536" i="3" s="1"/>
  <c r="O536" i="3" s="1"/>
  <c r="V536" i="3" s="1"/>
  <c r="K540" i="3"/>
  <c r="N540" i="3" s="1"/>
  <c r="O540" i="3" s="1"/>
  <c r="V540" i="3" s="1"/>
  <c r="K544" i="3"/>
  <c r="K541" i="3"/>
  <c r="N541" i="3" s="1"/>
  <c r="O541" i="3" s="1"/>
  <c r="V541" i="3" s="1"/>
  <c r="K477" i="3"/>
  <c r="K481" i="3"/>
  <c r="K485" i="3"/>
  <c r="K489" i="3"/>
  <c r="K443" i="3"/>
  <c r="K447" i="3"/>
  <c r="K451" i="3"/>
  <c r="K455" i="3"/>
  <c r="K459" i="3"/>
  <c r="K463" i="3"/>
  <c r="K467" i="3"/>
  <c r="K471" i="3"/>
  <c r="K414" i="3"/>
  <c r="K418" i="3"/>
  <c r="K422" i="3"/>
  <c r="K426" i="3"/>
  <c r="K430" i="3"/>
  <c r="K434" i="3"/>
  <c r="K438" i="3"/>
  <c r="K383" i="3"/>
  <c r="K387" i="3"/>
  <c r="K391" i="3"/>
  <c r="K395" i="3"/>
  <c r="K399" i="3"/>
  <c r="K403" i="3"/>
  <c r="K407" i="3"/>
  <c r="K411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08" i="3"/>
  <c r="K312" i="3"/>
  <c r="K474" i="3"/>
  <c r="K478" i="3"/>
  <c r="K482" i="3"/>
  <c r="K486" i="3"/>
  <c r="K490" i="3"/>
  <c r="K444" i="3"/>
  <c r="K448" i="3"/>
  <c r="K452" i="3"/>
  <c r="K456" i="3"/>
  <c r="K460" i="3"/>
  <c r="K464" i="3"/>
  <c r="K468" i="3"/>
  <c r="K472" i="3"/>
  <c r="K415" i="3"/>
  <c r="K419" i="3"/>
  <c r="K423" i="3"/>
  <c r="K427" i="3"/>
  <c r="K431" i="3"/>
  <c r="K435" i="3"/>
  <c r="K439" i="3"/>
  <c r="K384" i="3"/>
  <c r="K388" i="3"/>
  <c r="K392" i="3"/>
  <c r="K396" i="3"/>
  <c r="K400" i="3"/>
  <c r="K404" i="3"/>
  <c r="K408" i="3"/>
  <c r="K412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09" i="3"/>
  <c r="K313" i="3"/>
  <c r="K475" i="3"/>
  <c r="K479" i="3"/>
  <c r="K483" i="3"/>
  <c r="K487" i="3"/>
  <c r="K491" i="3"/>
  <c r="K445" i="3"/>
  <c r="K449" i="3"/>
  <c r="K453" i="3"/>
  <c r="K457" i="3"/>
  <c r="K461" i="3"/>
  <c r="K465" i="3"/>
  <c r="K469" i="3"/>
  <c r="K473" i="3"/>
  <c r="K416" i="3"/>
  <c r="K420" i="3"/>
  <c r="K424" i="3"/>
  <c r="K428" i="3"/>
  <c r="K432" i="3"/>
  <c r="K436" i="3"/>
  <c r="K440" i="3"/>
  <c r="K385" i="3"/>
  <c r="K389" i="3"/>
  <c r="K393" i="3"/>
  <c r="K397" i="3"/>
  <c r="K401" i="3"/>
  <c r="K405" i="3"/>
  <c r="K409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10" i="3"/>
  <c r="K314" i="3"/>
  <c r="K480" i="3"/>
  <c r="K488" i="3"/>
  <c r="K446" i="3"/>
  <c r="K454" i="3"/>
  <c r="K462" i="3"/>
  <c r="K470" i="3"/>
  <c r="K417" i="3"/>
  <c r="K425" i="3"/>
  <c r="K433" i="3"/>
  <c r="K441" i="3"/>
  <c r="K390" i="3"/>
  <c r="K398" i="3"/>
  <c r="K406" i="3"/>
  <c r="K330" i="3"/>
  <c r="K338" i="3"/>
  <c r="K346" i="3"/>
  <c r="K354" i="3"/>
  <c r="K362" i="3"/>
  <c r="K370" i="3"/>
  <c r="K378" i="3"/>
  <c r="K311" i="3"/>
  <c r="K315" i="3"/>
  <c r="K319" i="3"/>
  <c r="K323" i="3"/>
  <c r="K327" i="3"/>
  <c r="K316" i="3"/>
  <c r="K320" i="3"/>
  <c r="K324" i="3"/>
  <c r="K328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9" i="3"/>
  <c r="K260" i="3"/>
  <c r="K261" i="3"/>
  <c r="K262" i="3"/>
  <c r="K476" i="3"/>
  <c r="K484" i="3"/>
  <c r="K442" i="3"/>
  <c r="K450" i="3"/>
  <c r="K458" i="3"/>
  <c r="K466" i="3"/>
  <c r="K413" i="3"/>
  <c r="K421" i="3"/>
  <c r="K429" i="3"/>
  <c r="K437" i="3"/>
  <c r="K386" i="3"/>
  <c r="K394" i="3"/>
  <c r="K402" i="3"/>
  <c r="K410" i="3"/>
  <c r="K334" i="3"/>
  <c r="K342" i="3"/>
  <c r="K350" i="3"/>
  <c r="K358" i="3"/>
  <c r="K366" i="3"/>
  <c r="K374" i="3"/>
  <c r="K382" i="3"/>
  <c r="K317" i="3"/>
  <c r="K321" i="3"/>
  <c r="K325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318" i="3"/>
  <c r="K326" i="3"/>
  <c r="K241" i="3"/>
  <c r="K240" i="3"/>
  <c r="K322" i="3"/>
  <c r="K521" i="3"/>
  <c r="K516" i="3"/>
  <c r="K520" i="3"/>
  <c r="K518" i="3"/>
  <c r="K519" i="3"/>
  <c r="K517" i="3"/>
  <c r="K515" i="3"/>
  <c r="K514" i="3"/>
  <c r="V531" i="3"/>
  <c r="V532" i="3"/>
  <c r="V533" i="3"/>
  <c r="G389" i="3"/>
  <c r="G401" i="3"/>
  <c r="G245" i="3"/>
  <c r="G377" i="3"/>
  <c r="G449" i="3"/>
  <c r="G269" i="3"/>
  <c r="G257" i="3"/>
  <c r="G437" i="3"/>
  <c r="G473" i="3"/>
  <c r="G281" i="3"/>
  <c r="G329" i="3"/>
  <c r="I329" i="3" s="1"/>
  <c r="G293" i="3"/>
  <c r="G341" i="3"/>
  <c r="G317" i="3"/>
  <c r="G461" i="3"/>
  <c r="G305" i="3"/>
  <c r="G485" i="3"/>
  <c r="G425" i="3"/>
  <c r="G353" i="3"/>
  <c r="G365" i="3"/>
  <c r="I365" i="3" s="1"/>
  <c r="G413" i="3"/>
  <c r="G270" i="3"/>
  <c r="G342" i="3"/>
  <c r="G354" i="3"/>
  <c r="G366" i="3"/>
  <c r="G390" i="3"/>
  <c r="G306" i="3"/>
  <c r="G318" i="3"/>
  <c r="G486" i="3"/>
  <c r="G450" i="3"/>
  <c r="G438" i="3"/>
  <c r="G474" i="3"/>
  <c r="G426" i="3"/>
  <c r="G378" i="3"/>
  <c r="G330" i="3"/>
  <c r="G402" i="3"/>
  <c r="G414" i="3"/>
  <c r="G258" i="3"/>
  <c r="G246" i="3"/>
  <c r="G294" i="3"/>
  <c r="G462" i="3"/>
  <c r="G282" i="3"/>
  <c r="G237" i="3"/>
  <c r="I237" i="3" s="1"/>
  <c r="G231" i="3"/>
  <c r="I231" i="3" s="1"/>
  <c r="G232" i="3"/>
  <c r="I232" i="3" s="1"/>
  <c r="G409" i="3"/>
  <c r="G397" i="3"/>
  <c r="G385" i="3"/>
  <c r="G313" i="3"/>
  <c r="G277" i="3"/>
  <c r="G481" i="3"/>
  <c r="G265" i="3"/>
  <c r="G469" i="3"/>
  <c r="G301" i="3"/>
  <c r="G445" i="3"/>
  <c r="G253" i="3"/>
  <c r="G289" i="3"/>
  <c r="G325" i="3"/>
  <c r="G349" i="3"/>
  <c r="G361" i="3"/>
  <c r="G337" i="3"/>
  <c r="I337" i="3" s="1"/>
  <c r="G421" i="3"/>
  <c r="G433" i="3"/>
  <c r="G241" i="3"/>
  <c r="G373" i="3"/>
  <c r="I373" i="3" s="1"/>
  <c r="G457" i="3"/>
  <c r="G436" i="3"/>
  <c r="G460" i="3"/>
  <c r="G352" i="3"/>
  <c r="G316" i="3"/>
  <c r="G364" i="3"/>
  <c r="G400" i="3"/>
  <c r="G484" i="3"/>
  <c r="G292" i="3"/>
  <c r="G268" i="3"/>
  <c r="G244" i="3"/>
  <c r="G388" i="3"/>
  <c r="G412" i="3"/>
  <c r="G472" i="3"/>
  <c r="G280" i="3"/>
  <c r="G340" i="3"/>
  <c r="G424" i="3"/>
  <c r="G448" i="3"/>
  <c r="G328" i="3"/>
  <c r="G304" i="3"/>
  <c r="G376" i="3"/>
  <c r="G256" i="3"/>
  <c r="G434" i="3"/>
  <c r="G278" i="3"/>
  <c r="G254" i="3"/>
  <c r="G386" i="3"/>
  <c r="G374" i="3"/>
  <c r="G338" i="3"/>
  <c r="G350" i="3"/>
  <c r="G446" i="3"/>
  <c r="G314" i="3"/>
  <c r="G470" i="3"/>
  <c r="G422" i="3"/>
  <c r="G266" i="3"/>
  <c r="G302" i="3"/>
  <c r="G398" i="3"/>
  <c r="G326" i="3"/>
  <c r="G362" i="3"/>
  <c r="G290" i="3"/>
  <c r="G458" i="3"/>
  <c r="G410" i="3"/>
  <c r="G242" i="3"/>
  <c r="G482" i="3"/>
  <c r="G483" i="3"/>
  <c r="G255" i="3"/>
  <c r="G411" i="3"/>
  <c r="G363" i="3"/>
  <c r="G399" i="3"/>
  <c r="G459" i="3"/>
  <c r="G327" i="3"/>
  <c r="G447" i="3"/>
  <c r="G339" i="3"/>
  <c r="G267" i="3"/>
  <c r="G291" i="3"/>
  <c r="G471" i="3"/>
  <c r="G423" i="3"/>
  <c r="G279" i="3"/>
  <c r="G303" i="3"/>
  <c r="G315" i="3"/>
  <c r="G375" i="3"/>
  <c r="I375" i="3" s="1"/>
  <c r="G435" i="3"/>
  <c r="G351" i="3"/>
  <c r="G387" i="3"/>
  <c r="G243" i="3"/>
  <c r="G63" i="3"/>
  <c r="I63" i="3" s="1"/>
  <c r="G59" i="3"/>
  <c r="I59" i="3" s="1"/>
  <c r="G66" i="3"/>
  <c r="I66" i="3" s="1"/>
  <c r="G71" i="3"/>
  <c r="I71" i="3" s="1"/>
  <c r="G64" i="3"/>
  <c r="I64" i="3" s="1"/>
  <c r="G65" i="3"/>
  <c r="I65" i="3" s="1"/>
  <c r="G57" i="3"/>
  <c r="I57" i="3" s="1"/>
  <c r="G68" i="3"/>
  <c r="I68" i="3" s="1"/>
  <c r="G55" i="3"/>
  <c r="I55" i="3" s="1"/>
  <c r="G67" i="3"/>
  <c r="I67" i="3" s="1"/>
  <c r="G61" i="3"/>
  <c r="I61" i="3" s="1"/>
  <c r="G60" i="3"/>
  <c r="I60" i="3" s="1"/>
  <c r="G56" i="3"/>
  <c r="I56" i="3" s="1"/>
  <c r="G62" i="3"/>
  <c r="I62" i="3" s="1"/>
  <c r="G54" i="3"/>
  <c r="I54" i="3" s="1"/>
  <c r="G70" i="3"/>
  <c r="I70" i="3" s="1"/>
  <c r="G69" i="3"/>
  <c r="I69" i="3" s="1"/>
  <c r="G72" i="3"/>
  <c r="I72" i="3" s="1"/>
  <c r="G58" i="3"/>
  <c r="I58" i="3" s="1"/>
  <c r="I348" i="3"/>
  <c r="I408" i="3"/>
  <c r="I480" i="3"/>
  <c r="I396" i="3"/>
  <c r="I456" i="3"/>
  <c r="I300" i="3"/>
  <c r="I360" i="3"/>
  <c r="I240" i="3"/>
  <c r="I252" i="3"/>
  <c r="I384" i="3"/>
  <c r="I444" i="3"/>
  <c r="I312" i="3"/>
  <c r="I420" i="3"/>
  <c r="I264" i="3"/>
  <c r="I372" i="3"/>
  <c r="I324" i="3"/>
  <c r="I468" i="3"/>
  <c r="I288" i="3"/>
  <c r="I276" i="3"/>
  <c r="I336" i="3"/>
  <c r="I432" i="3"/>
  <c r="F101" i="3"/>
  <c r="F78" i="3"/>
  <c r="F41" i="3"/>
  <c r="N547" i="3" l="1"/>
  <c r="O547" i="3" s="1"/>
  <c r="V547" i="3" s="1"/>
  <c r="N167" i="3"/>
  <c r="O167" i="3" s="1"/>
  <c r="N137" i="3"/>
  <c r="O137" i="3" s="1"/>
  <c r="N140" i="3"/>
  <c r="O140" i="3" s="1"/>
  <c r="N134" i="3"/>
  <c r="O134" i="3" s="1"/>
  <c r="I339" i="3"/>
  <c r="I483" i="3"/>
  <c r="I398" i="3"/>
  <c r="I470" i="3"/>
  <c r="I278" i="3"/>
  <c r="I304" i="3"/>
  <c r="I388" i="3"/>
  <c r="I484" i="3"/>
  <c r="I352" i="3"/>
  <c r="I469" i="3"/>
  <c r="I414" i="3"/>
  <c r="I426" i="3"/>
  <c r="I366" i="3"/>
  <c r="I413" i="3"/>
  <c r="I485" i="3"/>
  <c r="I341" i="3"/>
  <c r="I473" i="3"/>
  <c r="I449" i="3"/>
  <c r="I387" i="3"/>
  <c r="I315" i="3"/>
  <c r="I471" i="3"/>
  <c r="I363" i="3"/>
  <c r="I482" i="3"/>
  <c r="I290" i="3"/>
  <c r="I314" i="3"/>
  <c r="I374" i="3"/>
  <c r="I434" i="3"/>
  <c r="I328" i="3"/>
  <c r="I280" i="3"/>
  <c r="I244" i="3"/>
  <c r="I400" i="3"/>
  <c r="I460" i="3"/>
  <c r="I241" i="3"/>
  <c r="I361" i="3"/>
  <c r="I265" i="3"/>
  <c r="I385" i="3"/>
  <c r="I294" i="3"/>
  <c r="I402" i="3"/>
  <c r="I474" i="3"/>
  <c r="I318" i="3"/>
  <c r="I354" i="3"/>
  <c r="I305" i="3"/>
  <c r="I293" i="3"/>
  <c r="I437" i="3"/>
  <c r="I377" i="3"/>
  <c r="I351" i="3"/>
  <c r="I303" i="3"/>
  <c r="I291" i="3"/>
  <c r="I327" i="3"/>
  <c r="I411" i="3"/>
  <c r="I242" i="3"/>
  <c r="I362" i="3"/>
  <c r="I266" i="3"/>
  <c r="I446" i="3"/>
  <c r="I386" i="3"/>
  <c r="I256" i="3"/>
  <c r="I448" i="3"/>
  <c r="I472" i="3"/>
  <c r="I268" i="3"/>
  <c r="I364" i="3"/>
  <c r="I436" i="3"/>
  <c r="I433" i="3"/>
  <c r="I349" i="3"/>
  <c r="I445" i="3"/>
  <c r="I481" i="3"/>
  <c r="I397" i="3"/>
  <c r="I246" i="3"/>
  <c r="I330" i="3"/>
  <c r="I438" i="3"/>
  <c r="I306" i="3"/>
  <c r="I342" i="3"/>
  <c r="I353" i="3"/>
  <c r="I461" i="3"/>
  <c r="I257" i="3"/>
  <c r="I245" i="3"/>
  <c r="I243" i="3"/>
  <c r="I423" i="3"/>
  <c r="I399" i="3"/>
  <c r="I458" i="3"/>
  <c r="I338" i="3"/>
  <c r="I340" i="3"/>
  <c r="I289" i="3"/>
  <c r="I313" i="3"/>
  <c r="I462" i="3"/>
  <c r="I486" i="3"/>
  <c r="I389" i="3"/>
  <c r="I447" i="3"/>
  <c r="I302" i="3"/>
  <c r="I253" i="3"/>
  <c r="I435" i="3"/>
  <c r="I279" i="3"/>
  <c r="I267" i="3"/>
  <c r="I459" i="3"/>
  <c r="I255" i="3"/>
  <c r="I410" i="3"/>
  <c r="I326" i="3"/>
  <c r="I422" i="3"/>
  <c r="I350" i="3"/>
  <c r="I254" i="3"/>
  <c r="I376" i="3"/>
  <c r="I424" i="3"/>
  <c r="I412" i="3"/>
  <c r="I292" i="3"/>
  <c r="I316" i="3"/>
  <c r="I457" i="3"/>
  <c r="I421" i="3"/>
  <c r="I325" i="3"/>
  <c r="I301" i="3"/>
  <c r="I277" i="3"/>
  <c r="I409" i="3"/>
  <c r="I282" i="3"/>
  <c r="I258" i="3"/>
  <c r="I378" i="3"/>
  <c r="I450" i="3"/>
  <c r="I390" i="3"/>
  <c r="I270" i="3"/>
  <c r="I425" i="3"/>
  <c r="I317" i="3"/>
  <c r="I281" i="3"/>
  <c r="I269" i="3"/>
  <c r="I401" i="3"/>
  <c r="F86" i="3"/>
  <c r="F225" i="3"/>
  <c r="F29" i="3"/>
  <c r="F53" i="3"/>
  <c r="F209" i="3"/>
  <c r="F176" i="3"/>
  <c r="F189" i="3"/>
  <c r="F207" i="3"/>
  <c r="F214" i="3"/>
  <c r="F28" i="3"/>
  <c r="F219" i="3"/>
  <c r="F39" i="3"/>
  <c r="F191" i="3"/>
  <c r="F217" i="3"/>
  <c r="F21" i="3"/>
  <c r="F184" i="3"/>
  <c r="F51" i="3"/>
  <c r="F202" i="3"/>
  <c r="F211" i="3"/>
  <c r="F224" i="3"/>
  <c r="F84" i="3"/>
  <c r="F27" i="3"/>
  <c r="F40" i="3"/>
  <c r="F45" i="3"/>
  <c r="F37" i="3"/>
  <c r="F20" i="3"/>
  <c r="F194" i="3"/>
  <c r="F81" i="3"/>
  <c r="F25" i="3"/>
  <c r="F44" i="3"/>
  <c r="F175" i="3"/>
  <c r="F19" i="3"/>
  <c r="F227" i="3"/>
  <c r="F222" i="3"/>
  <c r="F22" i="3"/>
  <c r="F87" i="3"/>
  <c r="F85" i="3"/>
  <c r="F36" i="3"/>
  <c r="F198" i="3"/>
  <c r="F218" i="3"/>
  <c r="F183" i="3"/>
  <c r="F216" i="3"/>
  <c r="F43" i="3"/>
  <c r="F210" i="3"/>
  <c r="F188" i="3"/>
  <c r="F180" i="3"/>
  <c r="F179" i="3"/>
  <c r="F186" i="3"/>
  <c r="F181" i="3"/>
  <c r="F74" i="3"/>
  <c r="F26" i="3"/>
  <c r="F206" i="3"/>
  <c r="F46" i="3"/>
  <c r="F199" i="3"/>
  <c r="F190" i="3"/>
  <c r="F83" i="3"/>
  <c r="F174" i="3"/>
  <c r="F177" i="3"/>
  <c r="F80" i="3"/>
  <c r="F223" i="3"/>
  <c r="F42" i="3"/>
  <c r="F201" i="3"/>
  <c r="F30" i="3"/>
  <c r="F182" i="3"/>
  <c r="F192" i="3"/>
  <c r="F213" i="3"/>
  <c r="F31" i="3"/>
  <c r="F204" i="3"/>
  <c r="F205" i="3"/>
  <c r="F228" i="3"/>
  <c r="F75" i="3"/>
  <c r="F79" i="3"/>
  <c r="F226" i="3"/>
  <c r="F88" i="3"/>
  <c r="F196" i="3"/>
  <c r="F23" i="3"/>
  <c r="F215" i="3"/>
  <c r="F47" i="3"/>
  <c r="F212" i="3"/>
  <c r="F50" i="3"/>
  <c r="F193" i="3"/>
  <c r="F77" i="3"/>
  <c r="F195" i="3"/>
  <c r="F208" i="3"/>
  <c r="F102" i="3"/>
  <c r="F178" i="3"/>
  <c r="F200" i="3"/>
  <c r="F185" i="3"/>
  <c r="F197" i="3"/>
  <c r="F220" i="3"/>
  <c r="F76" i="3"/>
  <c r="F34" i="3"/>
  <c r="F49" i="3"/>
  <c r="F32" i="3"/>
  <c r="F48" i="3"/>
  <c r="F221" i="3"/>
  <c r="F24" i="3"/>
  <c r="F38" i="3"/>
  <c r="F33" i="3"/>
  <c r="F82" i="3"/>
  <c r="F52" i="3"/>
  <c r="F35" i="3"/>
  <c r="F203" i="3"/>
  <c r="K28" i="3" l="1"/>
  <c r="K235" i="3"/>
  <c r="K231" i="3"/>
  <c r="K232" i="3"/>
  <c r="K236" i="3"/>
  <c r="K233" i="3"/>
  <c r="K237" i="3"/>
  <c r="K234" i="3"/>
  <c r="K238" i="3"/>
  <c r="K44" i="3"/>
  <c r="K58" i="3"/>
  <c r="N58" i="3" s="1"/>
  <c r="O58" i="3" s="1"/>
  <c r="V58" i="3" s="1"/>
  <c r="K59" i="3"/>
  <c r="N59" i="3" s="1"/>
  <c r="O59" i="3" s="1"/>
  <c r="V59" i="3" s="1"/>
  <c r="K69" i="3"/>
  <c r="K66" i="3"/>
  <c r="K60" i="3"/>
  <c r="N60" i="3" s="1"/>
  <c r="O60" i="3" s="1"/>
  <c r="V60" i="3" s="1"/>
  <c r="K61" i="3"/>
  <c r="N61" i="3" s="1"/>
  <c r="O61" i="3" s="1"/>
  <c r="V61" i="3" s="1"/>
  <c r="K70" i="3"/>
  <c r="K71" i="3"/>
  <c r="K55" i="3"/>
  <c r="N55" i="3" s="1"/>
  <c r="O55" i="3" s="1"/>
  <c r="V55" i="3" s="1"/>
  <c r="K57" i="3"/>
  <c r="N57" i="3" s="1"/>
  <c r="O57" i="3" s="1"/>
  <c r="V57" i="3" s="1"/>
  <c r="K68" i="3"/>
  <c r="K62" i="3"/>
  <c r="K63" i="3"/>
  <c r="K64" i="3"/>
  <c r="K65" i="3"/>
  <c r="K72" i="3"/>
  <c r="K54" i="3"/>
  <c r="N54" i="3" s="1"/>
  <c r="O54" i="3" s="1"/>
  <c r="V54" i="3" s="1"/>
  <c r="K56" i="3"/>
  <c r="N56" i="3" s="1"/>
  <c r="O56" i="3" s="1"/>
  <c r="V56" i="3" s="1"/>
  <c r="K67" i="3"/>
  <c r="K50" i="3"/>
  <c r="U61" i="3"/>
  <c r="W61" i="3"/>
  <c r="H52" i="2"/>
  <c r="I52" i="2" s="1"/>
  <c r="K513" i="3"/>
  <c r="K49" i="3"/>
  <c r="K40" i="3"/>
  <c r="K46" i="3"/>
  <c r="K41" i="3"/>
  <c r="K51" i="3"/>
  <c r="K45" i="3"/>
  <c r="K20" i="3"/>
  <c r="K19" i="3"/>
  <c r="K24" i="3"/>
  <c r="K36" i="3"/>
  <c r="K32" i="3"/>
  <c r="K512" i="3"/>
  <c r="K511" i="3"/>
  <c r="K53" i="3"/>
  <c r="K47" i="3"/>
  <c r="K42" i="3"/>
  <c r="K227" i="3"/>
  <c r="K102" i="3"/>
  <c r="K77" i="3"/>
  <c r="K81" i="3"/>
  <c r="K85" i="3"/>
  <c r="K74" i="3"/>
  <c r="K228" i="3"/>
  <c r="K78" i="3"/>
  <c r="K82" i="3"/>
  <c r="K86" i="3"/>
  <c r="K225" i="3"/>
  <c r="K224" i="3"/>
  <c r="K76" i="3"/>
  <c r="K84" i="3"/>
  <c r="K79" i="3"/>
  <c r="K87" i="3"/>
  <c r="K226" i="3"/>
  <c r="K101" i="3"/>
  <c r="K80" i="3"/>
  <c r="K88" i="3"/>
  <c r="K75" i="3"/>
  <c r="K83" i="3"/>
  <c r="K39" i="3"/>
  <c r="K35" i="3"/>
  <c r="K31" i="3"/>
  <c r="K27" i="3"/>
  <c r="K23" i="3"/>
  <c r="K176" i="3"/>
  <c r="K180" i="3"/>
  <c r="K184" i="3"/>
  <c r="K189" i="3"/>
  <c r="K193" i="3"/>
  <c r="K197" i="3"/>
  <c r="K201" i="3"/>
  <c r="K205" i="3"/>
  <c r="K209" i="3"/>
  <c r="K213" i="3"/>
  <c r="K217" i="3"/>
  <c r="K221" i="3"/>
  <c r="K181" i="3"/>
  <c r="K185" i="3"/>
  <c r="K190" i="3"/>
  <c r="K194" i="3"/>
  <c r="K198" i="3"/>
  <c r="K202" i="3"/>
  <c r="K206" i="3"/>
  <c r="K210" i="3"/>
  <c r="K214" i="3"/>
  <c r="K218" i="3"/>
  <c r="K222" i="3"/>
  <c r="K178" i="3"/>
  <c r="K182" i="3"/>
  <c r="K186" i="3"/>
  <c r="K191" i="3"/>
  <c r="K195" i="3"/>
  <c r="K199" i="3"/>
  <c r="K203" i="3"/>
  <c r="K207" i="3"/>
  <c r="K211" i="3"/>
  <c r="K215" i="3"/>
  <c r="K219" i="3"/>
  <c r="K223" i="3"/>
  <c r="K177" i="3"/>
  <c r="K179" i="3"/>
  <c r="K196" i="3"/>
  <c r="K212" i="3"/>
  <c r="K183" i="3"/>
  <c r="K200" i="3"/>
  <c r="K216" i="3"/>
  <c r="K188" i="3"/>
  <c r="K204" i="3"/>
  <c r="K220" i="3"/>
  <c r="K175" i="3"/>
  <c r="K192" i="3"/>
  <c r="K208" i="3"/>
  <c r="K174" i="3"/>
  <c r="K38" i="3"/>
  <c r="K34" i="3"/>
  <c r="K30" i="3"/>
  <c r="K26" i="3"/>
  <c r="K22" i="3"/>
  <c r="K494" i="3"/>
  <c r="K498" i="3"/>
  <c r="K502" i="3"/>
  <c r="K506" i="3"/>
  <c r="K497" i="3"/>
  <c r="K501" i="3"/>
  <c r="K505" i="3"/>
  <c r="K495" i="3"/>
  <c r="K499" i="3"/>
  <c r="K503" i="3"/>
  <c r="K507" i="3"/>
  <c r="K496" i="3"/>
  <c r="K500" i="3"/>
  <c r="K504" i="3"/>
  <c r="K508" i="3"/>
  <c r="K510" i="3"/>
  <c r="K509" i="3"/>
  <c r="K493" i="3"/>
  <c r="K37" i="3"/>
  <c r="K33" i="3"/>
  <c r="K29" i="3"/>
  <c r="K25" i="3"/>
  <c r="K21" i="3"/>
  <c r="K52" i="3"/>
  <c r="K48" i="3"/>
  <c r="G23" i="3"/>
  <c r="I23" i="3" s="1"/>
  <c r="G34" i="3"/>
  <c r="I34" i="3" s="1"/>
  <c r="G43" i="3"/>
  <c r="I43" i="3" s="1"/>
  <c r="G21" i="3"/>
  <c r="I21" i="3" s="1"/>
  <c r="G48" i="3"/>
  <c r="I48" i="3" s="1"/>
  <c r="G31" i="3"/>
  <c r="I31" i="3" s="1"/>
  <c r="G51" i="3"/>
  <c r="I51" i="3" s="1"/>
  <c r="G41" i="3"/>
  <c r="I41" i="3" s="1"/>
  <c r="G49" i="3"/>
  <c r="I49" i="3" s="1"/>
  <c r="G44" i="3"/>
  <c r="I44" i="3" s="1"/>
  <c r="G42" i="3"/>
  <c r="I42" i="3" s="1"/>
  <c r="G50" i="3"/>
  <c r="I50" i="3" s="1"/>
  <c r="G39" i="3"/>
  <c r="I39" i="3" s="1"/>
  <c r="G22" i="3"/>
  <c r="I22" i="3" s="1"/>
  <c r="G30" i="3"/>
  <c r="I30" i="3" s="1"/>
  <c r="G36" i="3"/>
  <c r="I36" i="3" s="1"/>
  <c r="G52" i="3"/>
  <c r="I52" i="3" s="1"/>
  <c r="G27" i="3"/>
  <c r="I27" i="3" s="1"/>
  <c r="G35" i="3"/>
  <c r="I35" i="3" s="1"/>
  <c r="G28" i="3"/>
  <c r="I28" i="3" s="1"/>
  <c r="G45" i="3"/>
  <c r="I45" i="3" s="1"/>
  <c r="G53" i="3"/>
  <c r="I53" i="3" s="1"/>
  <c r="G33" i="3"/>
  <c r="I33" i="3" s="1"/>
  <c r="G46" i="3"/>
  <c r="I46" i="3" s="1"/>
  <c r="G37" i="3"/>
  <c r="I37" i="3" s="1"/>
  <c r="G26" i="3"/>
  <c r="I26" i="3" s="1"/>
  <c r="G47" i="3"/>
  <c r="I47" i="3" s="1"/>
  <c r="G40" i="3"/>
  <c r="I40" i="3" s="1"/>
  <c r="G177" i="3"/>
  <c r="I177" i="3" s="1"/>
  <c r="G218" i="3"/>
  <c r="G78" i="3"/>
  <c r="I78" i="3" s="1"/>
  <c r="G86" i="3"/>
  <c r="I86" i="3" s="1"/>
  <c r="G179" i="3"/>
  <c r="I179" i="3" s="1"/>
  <c r="G188" i="3"/>
  <c r="I188" i="3" s="1"/>
  <c r="G196" i="3"/>
  <c r="I196" i="3" s="1"/>
  <c r="G204" i="3"/>
  <c r="G212" i="3"/>
  <c r="G220" i="3"/>
  <c r="G228" i="3"/>
  <c r="G81" i="3"/>
  <c r="G190" i="3"/>
  <c r="I190" i="3" s="1"/>
  <c r="G206" i="3"/>
  <c r="G178" i="3"/>
  <c r="I178" i="3" s="1"/>
  <c r="G186" i="3"/>
  <c r="I186" i="3" s="1"/>
  <c r="G195" i="3"/>
  <c r="I195" i="3" s="1"/>
  <c r="G203" i="3"/>
  <c r="G211" i="3"/>
  <c r="G219" i="3"/>
  <c r="G227" i="3"/>
  <c r="G75" i="3"/>
  <c r="G83" i="3"/>
  <c r="G88" i="3"/>
  <c r="G184" i="3"/>
  <c r="G201" i="3"/>
  <c r="I201" i="3" s="1"/>
  <c r="G217" i="3"/>
  <c r="G77" i="3"/>
  <c r="I77" i="3" s="1"/>
  <c r="G210" i="3"/>
  <c r="G74" i="3"/>
  <c r="I74" i="3" s="1"/>
  <c r="G82" i="3"/>
  <c r="G102" i="3"/>
  <c r="G175" i="3"/>
  <c r="G183" i="3"/>
  <c r="G192" i="3"/>
  <c r="I192" i="3" s="1"/>
  <c r="G200" i="3"/>
  <c r="I200" i="3" s="1"/>
  <c r="G208" i="3"/>
  <c r="G216" i="3"/>
  <c r="G224" i="3"/>
  <c r="G32" i="3"/>
  <c r="I32" i="3" s="1"/>
  <c r="G80" i="3"/>
  <c r="G176" i="3"/>
  <c r="G193" i="3"/>
  <c r="I193" i="3" s="1"/>
  <c r="G209" i="3"/>
  <c r="G225" i="3"/>
  <c r="G101" i="3"/>
  <c r="G181" i="3"/>
  <c r="G194" i="3"/>
  <c r="I194" i="3" s="1"/>
  <c r="G222" i="3"/>
  <c r="G198" i="3"/>
  <c r="I198" i="3" s="1"/>
  <c r="G174" i="3"/>
  <c r="I174" i="3" s="1"/>
  <c r="G182" i="3"/>
  <c r="G191" i="3"/>
  <c r="I191" i="3" s="1"/>
  <c r="G199" i="3"/>
  <c r="G207" i="3"/>
  <c r="G215" i="3"/>
  <c r="G223" i="3"/>
  <c r="G24" i="3"/>
  <c r="I24" i="3" s="1"/>
  <c r="G79" i="3"/>
  <c r="G87" i="3"/>
  <c r="G76" i="3"/>
  <c r="I76" i="3" s="1"/>
  <c r="G84" i="3"/>
  <c r="G180" i="3"/>
  <c r="G189" i="3"/>
  <c r="I189" i="3" s="1"/>
  <c r="G197" i="3"/>
  <c r="I197" i="3" s="1"/>
  <c r="G205" i="3"/>
  <c r="G213" i="3"/>
  <c r="G221" i="3"/>
  <c r="G20" i="3"/>
  <c r="I20" i="3" s="1"/>
  <c r="G85" i="3"/>
  <c r="G185" i="3"/>
  <c r="G202" i="3"/>
  <c r="G214" i="3"/>
  <c r="G226" i="3"/>
  <c r="G29" i="3"/>
  <c r="I29" i="3" s="1"/>
  <c r="G38" i="3"/>
  <c r="I38" i="3" s="1"/>
  <c r="G25" i="3"/>
  <c r="I25" i="3" s="1"/>
  <c r="G19" i="3"/>
  <c r="I19" i="3" s="1"/>
  <c r="H24" i="2"/>
  <c r="I24" i="2" s="1"/>
  <c r="F508" i="3"/>
  <c r="F502" i="3"/>
  <c r="F504" i="3"/>
  <c r="F499" i="3"/>
  <c r="F506" i="3"/>
  <c r="F507" i="3"/>
  <c r="F500" i="3"/>
  <c r="F505" i="3"/>
  <c r="F501" i="3"/>
  <c r="F503" i="3"/>
  <c r="U62" i="3" l="1"/>
  <c r="W62" i="3"/>
  <c r="N62" i="3"/>
  <c r="O62" i="3" s="1"/>
  <c r="V62" i="3" s="1"/>
  <c r="H53" i="2"/>
  <c r="I53" i="2" s="1"/>
  <c r="O11" i="2"/>
  <c r="U11" i="2" s="1"/>
  <c r="V11" i="2" s="1"/>
  <c r="G505" i="3"/>
  <c r="G508" i="3"/>
  <c r="G501" i="3"/>
  <c r="G504" i="3"/>
  <c r="G506" i="3"/>
  <c r="G507" i="3"/>
  <c r="G502" i="3"/>
  <c r="G499" i="3"/>
  <c r="G500" i="3"/>
  <c r="G503" i="3"/>
  <c r="I209" i="3"/>
  <c r="I183" i="3"/>
  <c r="I88" i="3"/>
  <c r="I227" i="3"/>
  <c r="I220" i="3"/>
  <c r="I213" i="3"/>
  <c r="I199" i="3"/>
  <c r="I208" i="3"/>
  <c r="I217" i="3"/>
  <c r="I219" i="3"/>
  <c r="I206" i="3"/>
  <c r="I212" i="3"/>
  <c r="I185" i="3"/>
  <c r="I85" i="3"/>
  <c r="I205" i="3"/>
  <c r="I223" i="3"/>
  <c r="I101" i="3"/>
  <c r="I176" i="3"/>
  <c r="I102" i="3"/>
  <c r="I83" i="3"/>
  <c r="I211" i="3"/>
  <c r="I204" i="3"/>
  <c r="I214" i="3"/>
  <c r="I221" i="3"/>
  <c r="I79" i="3"/>
  <c r="I207" i="3"/>
  <c r="I216" i="3"/>
  <c r="I202" i="3"/>
  <c r="I180" i="3"/>
  <c r="I222" i="3"/>
  <c r="I175" i="3"/>
  <c r="I210" i="3"/>
  <c r="I218" i="3"/>
  <c r="I226" i="3"/>
  <c r="I84" i="3"/>
  <c r="I87" i="3"/>
  <c r="I215" i="3"/>
  <c r="I182" i="3"/>
  <c r="I181" i="3"/>
  <c r="I225" i="3"/>
  <c r="I80" i="3"/>
  <c r="I224" i="3"/>
  <c r="I82" i="3"/>
  <c r="I184" i="3"/>
  <c r="I75" i="3"/>
  <c r="I203" i="3"/>
  <c r="I81" i="3"/>
  <c r="I228" i="3"/>
  <c r="BU21" i="2" l="1"/>
  <c r="BU20" i="2"/>
  <c r="BU19" i="2"/>
  <c r="U63" i="3"/>
  <c r="W63" i="3"/>
  <c r="N63" i="3"/>
  <c r="O63" i="3" s="1"/>
  <c r="V63" i="3" s="1"/>
  <c r="H54" i="2"/>
  <c r="I54" i="2" s="1"/>
  <c r="BU22" i="2"/>
  <c r="BU26" i="2"/>
  <c r="BU23" i="2"/>
  <c r="BU27" i="2"/>
  <c r="BU24" i="2"/>
  <c r="BU25" i="2"/>
  <c r="U39" i="3"/>
  <c r="W39" i="3"/>
  <c r="N39" i="3"/>
  <c r="O39" i="3" s="1"/>
  <c r="V39" i="3" s="1"/>
  <c r="AN46" i="2"/>
  <c r="AT46" i="2" s="1"/>
  <c r="AU46" i="2" s="1"/>
  <c r="N142" i="3" s="1"/>
  <c r="O142" i="3" s="1"/>
  <c r="I499" i="3"/>
  <c r="I504" i="3"/>
  <c r="I502" i="3"/>
  <c r="I501" i="3"/>
  <c r="I503" i="3"/>
  <c r="I507" i="3"/>
  <c r="I508" i="3"/>
  <c r="N508" i="3" s="1"/>
  <c r="O508" i="3" s="1"/>
  <c r="I500" i="3"/>
  <c r="I506" i="3"/>
  <c r="I505" i="3"/>
  <c r="H23" i="2"/>
  <c r="I23" i="2" s="1"/>
  <c r="W38" i="3" s="1"/>
  <c r="H22" i="2"/>
  <c r="I22" i="2" s="1"/>
  <c r="W37" i="3" s="1"/>
  <c r="H21" i="2"/>
  <c r="I21" i="2" s="1"/>
  <c r="W36" i="3" s="1"/>
  <c r="H20" i="2"/>
  <c r="I20" i="2" s="1"/>
  <c r="H19" i="2"/>
  <c r="I19" i="2" s="1"/>
  <c r="W34" i="3" s="1"/>
  <c r="U64" i="3" l="1"/>
  <c r="W64" i="3"/>
  <c r="N64" i="3"/>
  <c r="O64" i="3" s="1"/>
  <c r="V64" i="3" s="1"/>
  <c r="H55" i="2"/>
  <c r="I55" i="2" s="1"/>
  <c r="U81" i="3"/>
  <c r="W81" i="3"/>
  <c r="U38" i="3"/>
  <c r="N38" i="3"/>
  <c r="O38" i="3" s="1"/>
  <c r="V38" i="3" s="1"/>
  <c r="U34" i="3"/>
  <c r="N34" i="3"/>
  <c r="O34" i="3" s="1"/>
  <c r="V34" i="3" s="1"/>
  <c r="U37" i="3"/>
  <c r="N37" i="3"/>
  <c r="O37" i="3" s="1"/>
  <c r="V37" i="3" s="1"/>
  <c r="AN58" i="2"/>
  <c r="AT58" i="2" s="1"/>
  <c r="AU58" i="2" s="1"/>
  <c r="N154" i="3" s="1"/>
  <c r="O154" i="3" s="1"/>
  <c r="W35" i="3"/>
  <c r="N81" i="3"/>
  <c r="O81" i="3" s="1"/>
  <c r="V81" i="3" s="1"/>
  <c r="U36" i="3"/>
  <c r="N36" i="3"/>
  <c r="O36" i="3" s="1"/>
  <c r="V36" i="3" s="1"/>
  <c r="AN53" i="2"/>
  <c r="AT53" i="2" s="1"/>
  <c r="AU53" i="2" s="1"/>
  <c r="N149" i="3" s="1"/>
  <c r="O149" i="3" s="1"/>
  <c r="N41" i="2"/>
  <c r="O41" i="2" s="1"/>
  <c r="O39" i="2" s="1"/>
  <c r="H4" i="2"/>
  <c r="H5" i="2"/>
  <c r="I5" i="2" s="1"/>
  <c r="H6" i="2"/>
  <c r="I6" i="2" s="1"/>
  <c r="H7" i="2"/>
  <c r="H8" i="2"/>
  <c r="I8" i="2" s="1"/>
  <c r="H9" i="2"/>
  <c r="I9" i="2" s="1"/>
  <c r="H10" i="2"/>
  <c r="I10" i="2" s="1"/>
  <c r="W25" i="3" s="1"/>
  <c r="H11" i="2"/>
  <c r="I11" i="2" s="1"/>
  <c r="H12" i="2"/>
  <c r="I12" i="2" s="1"/>
  <c r="H13" i="2"/>
  <c r="I13" i="2" s="1"/>
  <c r="W28" i="3" s="1"/>
  <c r="H14" i="2"/>
  <c r="I14" i="2" s="1"/>
  <c r="W29" i="3" s="1"/>
  <c r="H15" i="2"/>
  <c r="H16" i="2"/>
  <c r="I16" i="2" s="1"/>
  <c r="O8" i="2" s="1"/>
  <c r="H17" i="2"/>
  <c r="I17" i="2" s="1"/>
  <c r="H18" i="2"/>
  <c r="I18" i="2" s="1"/>
  <c r="W33" i="3" s="1"/>
  <c r="I4" i="2"/>
  <c r="I15" i="2"/>
  <c r="W30" i="3" s="1"/>
  <c r="C30" i="2"/>
  <c r="H30" i="2" s="1"/>
  <c r="C40" i="2"/>
  <c r="H40" i="2" s="1"/>
  <c r="I40" i="2" s="1"/>
  <c r="C41" i="2"/>
  <c r="H41" i="2" s="1"/>
  <c r="I41" i="2" s="1"/>
  <c r="W51" i="3" s="1"/>
  <c r="C42" i="2"/>
  <c r="H42" i="2" s="1"/>
  <c r="I42" i="2" s="1"/>
  <c r="W52" i="3" s="1"/>
  <c r="W53" i="3"/>
  <c r="B31" i="2"/>
  <c r="I7" i="2"/>
  <c r="W22" i="3" s="1"/>
  <c r="Z4" i="2" l="1"/>
  <c r="AF4" i="2" s="1"/>
  <c r="AG4" i="2" s="1"/>
  <c r="Z5" i="2" s="1"/>
  <c r="AF5" i="2" s="1"/>
  <c r="AG5" i="2" s="1"/>
  <c r="W20" i="3"/>
  <c r="BB29" i="2"/>
  <c r="BH29" i="2" s="1"/>
  <c r="BI29" i="2" s="1"/>
  <c r="W65" i="3"/>
  <c r="U65" i="3"/>
  <c r="N65" i="3"/>
  <c r="O65" i="3" s="1"/>
  <c r="V65" i="3" s="1"/>
  <c r="B32" i="2"/>
  <c r="B33" i="2" s="1"/>
  <c r="B34" i="2" s="1"/>
  <c r="B35" i="2" s="1"/>
  <c r="B36" i="2" s="1"/>
  <c r="B37" i="2" s="1"/>
  <c r="B38" i="2" s="1"/>
  <c r="B39" i="2" s="1"/>
  <c r="C39" i="2" s="1"/>
  <c r="H56" i="2"/>
  <c r="I56" i="2" s="1"/>
  <c r="W27" i="3"/>
  <c r="O5" i="2"/>
  <c r="U5" i="2" s="1"/>
  <c r="V5" i="2" s="1"/>
  <c r="W75" i="3" s="1"/>
  <c r="W26" i="3"/>
  <c r="U22" i="3"/>
  <c r="N22" i="3"/>
  <c r="O22" i="3" s="1"/>
  <c r="V22" i="3" s="1"/>
  <c r="U20" i="3"/>
  <c r="BB8" i="2"/>
  <c r="BH8" i="2" s="1"/>
  <c r="BI8" i="2" s="1"/>
  <c r="W50" i="3"/>
  <c r="U29" i="3"/>
  <c r="N29" i="3"/>
  <c r="O29" i="3" s="1"/>
  <c r="V29" i="3" s="1"/>
  <c r="O18" i="2"/>
  <c r="U18" i="2" s="1"/>
  <c r="V18" i="2" s="1"/>
  <c r="W88" i="3" s="1"/>
  <c r="W21" i="3"/>
  <c r="U53" i="3"/>
  <c r="N53" i="3"/>
  <c r="O53" i="3" s="1"/>
  <c r="V53" i="3" s="1"/>
  <c r="O17" i="2"/>
  <c r="U17" i="2" s="1"/>
  <c r="V17" i="2" s="1"/>
  <c r="W24" i="3"/>
  <c r="O14" i="2"/>
  <c r="U14" i="2" s="1"/>
  <c r="V14" i="2" s="1"/>
  <c r="W84" i="3" s="1"/>
  <c r="W32" i="3"/>
  <c r="U28" i="3"/>
  <c r="N28" i="3"/>
  <c r="O28" i="3" s="1"/>
  <c r="V28" i="3" s="1"/>
  <c r="U30" i="3"/>
  <c r="N30" i="3"/>
  <c r="O30" i="3" s="1"/>
  <c r="V30" i="3" s="1"/>
  <c r="B19" i="3"/>
  <c r="U52" i="3"/>
  <c r="N52" i="3"/>
  <c r="O52" i="3" s="1"/>
  <c r="V52" i="3" s="1"/>
  <c r="U8" i="2"/>
  <c r="V8" i="2" s="1"/>
  <c r="AN75" i="2" s="1"/>
  <c r="AT75" i="2" s="1"/>
  <c r="AU75" i="2" s="1"/>
  <c r="W31" i="3"/>
  <c r="O16" i="2"/>
  <c r="U16" i="2" s="1"/>
  <c r="V16" i="2" s="1"/>
  <c r="AN76" i="2" s="1"/>
  <c r="AT76" i="2" s="1"/>
  <c r="AU76" i="2" s="1"/>
  <c r="W23" i="3"/>
  <c r="U51" i="3"/>
  <c r="N51" i="3"/>
  <c r="O51" i="3" s="1"/>
  <c r="V51" i="3" s="1"/>
  <c r="U35" i="3"/>
  <c r="N35" i="3"/>
  <c r="O35" i="3" s="1"/>
  <c r="V35" i="3" s="1"/>
  <c r="U33" i="3"/>
  <c r="N33" i="3"/>
  <c r="O33" i="3" s="1"/>
  <c r="V33" i="3" s="1"/>
  <c r="U25" i="3"/>
  <c r="N25" i="3"/>
  <c r="O25" i="3" s="1"/>
  <c r="V25" i="3" s="1"/>
  <c r="O10" i="2"/>
  <c r="U10" i="2" s="1"/>
  <c r="V10" i="2" s="1"/>
  <c r="W80" i="3" s="1"/>
  <c r="AN11" i="2"/>
  <c r="AT11" i="2" s="1"/>
  <c r="AU11" i="2" s="1"/>
  <c r="O13" i="2"/>
  <c r="U13" i="2" s="1"/>
  <c r="V13" i="2" s="1"/>
  <c r="AN129" i="2"/>
  <c r="AT129" i="2" s="1"/>
  <c r="AU129" i="2" s="1"/>
  <c r="W223" i="3" s="1"/>
  <c r="AN128" i="2"/>
  <c r="AT128" i="2" s="1"/>
  <c r="AU128" i="2" s="1"/>
  <c r="W222" i="3" s="1"/>
  <c r="AN106" i="2"/>
  <c r="AT106" i="2" s="1"/>
  <c r="AU106" i="2" s="1"/>
  <c r="W200" i="3" s="1"/>
  <c r="AN94" i="2"/>
  <c r="AT94" i="2" s="1"/>
  <c r="AU94" i="2" s="1"/>
  <c r="B188" i="3" s="1"/>
  <c r="W188" i="3" s="1"/>
  <c r="AN72" i="2"/>
  <c r="AT72" i="2" s="1"/>
  <c r="AU72" i="2" s="1"/>
  <c r="N168" i="3" s="1"/>
  <c r="O168" i="3" s="1"/>
  <c r="AN105" i="2"/>
  <c r="AT105" i="2" s="1"/>
  <c r="AU105" i="2" s="1"/>
  <c r="W199" i="3" s="1"/>
  <c r="AN66" i="2"/>
  <c r="AT66" i="2" s="1"/>
  <c r="AU66" i="2" s="1"/>
  <c r="N162" i="3" s="1"/>
  <c r="O162" i="3" s="1"/>
  <c r="AN96" i="2"/>
  <c r="AT96" i="2" s="1"/>
  <c r="AU96" i="2" s="1"/>
  <c r="AN99" i="2"/>
  <c r="AT99" i="2" s="1"/>
  <c r="AU99" i="2" s="1"/>
  <c r="W193" i="3" s="1"/>
  <c r="AN35" i="2"/>
  <c r="AT35" i="2" s="1"/>
  <c r="AU35" i="2" s="1"/>
  <c r="N131" i="3" s="1"/>
  <c r="O131" i="3" s="1"/>
  <c r="AN5" i="2"/>
  <c r="AT5" i="2" s="1"/>
  <c r="AU5" i="2" s="1"/>
  <c r="B101" i="3" s="1"/>
  <c r="W101" i="3" s="1"/>
  <c r="AN8" i="2"/>
  <c r="AT8" i="2" s="1"/>
  <c r="AU8" i="2" s="1"/>
  <c r="AN134" i="2"/>
  <c r="AT134" i="2" s="1"/>
  <c r="AU134" i="2" s="1"/>
  <c r="W228" i="3" s="1"/>
  <c r="AN63" i="2"/>
  <c r="AT63" i="2" s="1"/>
  <c r="AU63" i="2" s="1"/>
  <c r="N159" i="3" s="1"/>
  <c r="O159" i="3" s="1"/>
  <c r="O12" i="2"/>
  <c r="U12" i="2" s="1"/>
  <c r="V12" i="2" s="1"/>
  <c r="AN81" i="2"/>
  <c r="AT81" i="2" s="1"/>
  <c r="AU81" i="2" s="1"/>
  <c r="B175" i="3" s="1"/>
  <c r="W175" i="3" s="1"/>
  <c r="AN116" i="2"/>
  <c r="AT116" i="2" s="1"/>
  <c r="AU116" i="2" s="1"/>
  <c r="W210" i="3" s="1"/>
  <c r="AN83" i="2"/>
  <c r="AT83" i="2" s="1"/>
  <c r="AU83" i="2" s="1"/>
  <c r="B177" i="3" s="1"/>
  <c r="W177" i="3" s="1"/>
  <c r="AN56" i="2"/>
  <c r="AT56" i="2" s="1"/>
  <c r="AU56" i="2" s="1"/>
  <c r="N152" i="3" s="1"/>
  <c r="O152" i="3" s="1"/>
  <c r="AN31" i="2"/>
  <c r="AT31" i="2" s="1"/>
  <c r="AU31" i="2" s="1"/>
  <c r="N127" i="3" s="1"/>
  <c r="O127" i="3" s="1"/>
  <c r="AN22" i="2"/>
  <c r="AT22" i="2" s="1"/>
  <c r="AU22" i="2" s="1"/>
  <c r="AN130" i="2"/>
  <c r="AT130" i="2" s="1"/>
  <c r="AU130" i="2" s="1"/>
  <c r="W224" i="3" s="1"/>
  <c r="O9" i="2"/>
  <c r="U9" i="2" s="1"/>
  <c r="V9" i="2" s="1"/>
  <c r="AN12" i="2"/>
  <c r="AT12" i="2" s="1"/>
  <c r="AU12" i="2" s="1"/>
  <c r="I30" i="2"/>
  <c r="O7" i="2"/>
  <c r="U7" i="2" s="1"/>
  <c r="V7" i="2" s="1"/>
  <c r="C35" i="2"/>
  <c r="H35" i="2" s="1"/>
  <c r="I35" i="2" s="1"/>
  <c r="W45" i="3" s="1"/>
  <c r="C31" i="2"/>
  <c r="H31" i="2" s="1"/>
  <c r="I31" i="2" s="1"/>
  <c r="C37" i="2"/>
  <c r="H37" i="2" s="1"/>
  <c r="I37" i="2" s="1"/>
  <c r="W47" i="3" s="1"/>
  <c r="H39" i="2"/>
  <c r="I39" i="2" s="1"/>
  <c r="W49" i="3" s="1"/>
  <c r="O4" i="2"/>
  <c r="F27" i="1"/>
  <c r="N20" i="3" l="1"/>
  <c r="O20" i="3" s="1"/>
  <c r="V20" i="3" s="1"/>
  <c r="AN52" i="2"/>
  <c r="AT52" i="2" s="1"/>
  <c r="AU52" i="2" s="1"/>
  <c r="N148" i="3" s="1"/>
  <c r="O148" i="3" s="1"/>
  <c r="AN67" i="2"/>
  <c r="AT67" i="2" s="1"/>
  <c r="AU67" i="2" s="1"/>
  <c r="N163" i="3" s="1"/>
  <c r="O163" i="3" s="1"/>
  <c r="U172" i="3"/>
  <c r="W172" i="3"/>
  <c r="N172" i="3"/>
  <c r="O172" i="3" s="1"/>
  <c r="V172" i="3" s="1"/>
  <c r="O25" i="2"/>
  <c r="U25" i="2" s="1"/>
  <c r="V25" i="2" s="1"/>
  <c r="N118" i="3"/>
  <c r="O118" i="3" s="1"/>
  <c r="V118" i="3" s="1"/>
  <c r="N107" i="3"/>
  <c r="O107" i="3" s="1"/>
  <c r="V107" i="3" s="1"/>
  <c r="N497" i="3"/>
  <c r="O497" i="3" s="1"/>
  <c r="V497" i="3" s="1"/>
  <c r="AN141" i="2"/>
  <c r="AT141" i="2" s="1"/>
  <c r="AU141" i="2" s="1"/>
  <c r="W236" i="3" s="1"/>
  <c r="AN138" i="2"/>
  <c r="AT138" i="2" s="1"/>
  <c r="AU138" i="2" s="1"/>
  <c r="W233" i="3" s="1"/>
  <c r="AN136" i="2"/>
  <c r="AN137" i="2"/>
  <c r="N108" i="3"/>
  <c r="O108" i="3" s="1"/>
  <c r="V108" i="3" s="1"/>
  <c r="N104" i="3"/>
  <c r="O104" i="3" s="1"/>
  <c r="V104" i="3" s="1"/>
  <c r="U171" i="3"/>
  <c r="W171" i="3"/>
  <c r="N171" i="3"/>
  <c r="O171" i="3" s="1"/>
  <c r="V171" i="3" s="1"/>
  <c r="W190" i="3"/>
  <c r="W19" i="3"/>
  <c r="N19" i="3"/>
  <c r="O19" i="3" s="1"/>
  <c r="V19" i="3" s="1"/>
  <c r="C34" i="2"/>
  <c r="H34" i="2" s="1"/>
  <c r="I34" i="2" s="1"/>
  <c r="W44" i="3" s="1"/>
  <c r="C32" i="2"/>
  <c r="H32" i="2" s="1"/>
  <c r="I32" i="2" s="1"/>
  <c r="BB34" i="2" s="1"/>
  <c r="BH34" i="2" s="1"/>
  <c r="BI34" i="2" s="1"/>
  <c r="N523" i="3" s="1"/>
  <c r="O523" i="3" s="1"/>
  <c r="BW20" i="2"/>
  <c r="BW21" i="2"/>
  <c r="BW19" i="2"/>
  <c r="BU46" i="2"/>
  <c r="BU50" i="2"/>
  <c r="BU44" i="2"/>
  <c r="BU45" i="2"/>
  <c r="BU47" i="2"/>
  <c r="BU51" i="2"/>
  <c r="BU49" i="2"/>
  <c r="BU48" i="2"/>
  <c r="BU52" i="2"/>
  <c r="C38" i="2"/>
  <c r="H38" i="2" s="1"/>
  <c r="I38" i="2" s="1"/>
  <c r="W48" i="3" s="1"/>
  <c r="C36" i="2"/>
  <c r="H36" i="2" s="1"/>
  <c r="I36" i="2" s="1"/>
  <c r="W46" i="3" s="1"/>
  <c r="W87" i="3"/>
  <c r="BW46" i="2"/>
  <c r="BW50" i="2"/>
  <c r="BW49" i="2"/>
  <c r="BW47" i="2"/>
  <c r="BW51" i="2"/>
  <c r="BW52" i="2"/>
  <c r="BW44" i="2"/>
  <c r="BW48" i="2"/>
  <c r="BW45" i="2"/>
  <c r="C33" i="2"/>
  <c r="H33" i="2" s="1"/>
  <c r="I33" i="2" s="1"/>
  <c r="BS21" i="2"/>
  <c r="BS19" i="2"/>
  <c r="BS20" i="2"/>
  <c r="W41" i="3"/>
  <c r="AN140" i="2"/>
  <c r="AT140" i="2" s="1"/>
  <c r="AU140" i="2" s="1"/>
  <c r="W235" i="3" s="1"/>
  <c r="AN139" i="2"/>
  <c r="U66" i="3"/>
  <c r="W66" i="3"/>
  <c r="N66" i="3"/>
  <c r="O66" i="3" s="1"/>
  <c r="V66" i="3" s="1"/>
  <c r="AN100" i="2"/>
  <c r="AT100" i="2" s="1"/>
  <c r="AU100" i="2" s="1"/>
  <c r="W194" i="3" s="1"/>
  <c r="AN142" i="2"/>
  <c r="AT142" i="2" s="1"/>
  <c r="AU142" i="2" s="1"/>
  <c r="W237" i="3" s="1"/>
  <c r="M6" i="7" s="1"/>
  <c r="N6" i="7" s="1"/>
  <c r="AT137" i="2"/>
  <c r="AU137" i="2" s="1"/>
  <c r="W232" i="3" s="1"/>
  <c r="AT136" i="2"/>
  <c r="AU136" i="2" s="1"/>
  <c r="B231" i="3" s="1"/>
  <c r="W231" i="3" s="1"/>
  <c r="M5" i="7" s="1"/>
  <c r="N5" i="7" s="1"/>
  <c r="AN33" i="2"/>
  <c r="AT33" i="2" s="1"/>
  <c r="AU33" i="2" s="1"/>
  <c r="N129" i="3" s="1"/>
  <c r="O129" i="3" s="1"/>
  <c r="N27" i="3"/>
  <c r="O27" i="3" s="1"/>
  <c r="V27" i="3" s="1"/>
  <c r="H57" i="2"/>
  <c r="I57" i="2" s="1"/>
  <c r="BS25" i="2"/>
  <c r="BS22" i="2"/>
  <c r="BS26" i="2"/>
  <c r="BS23" i="2"/>
  <c r="BS27" i="2"/>
  <c r="BS24" i="2"/>
  <c r="BH4" i="2"/>
  <c r="BI4" i="2" s="1"/>
  <c r="B493" i="3" s="1"/>
  <c r="W493" i="3" s="1"/>
  <c r="U27" i="3"/>
  <c r="AN19" i="2"/>
  <c r="AT19" i="2" s="1"/>
  <c r="AU19" i="2" s="1"/>
  <c r="BW23" i="2"/>
  <c r="BW27" i="2"/>
  <c r="BW24" i="2"/>
  <c r="BW25" i="2"/>
  <c r="BW22" i="2"/>
  <c r="BW26" i="2"/>
  <c r="W86" i="3"/>
  <c r="BB13" i="2"/>
  <c r="BH13" i="2" s="1"/>
  <c r="BI13" i="2" s="1"/>
  <c r="W79" i="3"/>
  <c r="U188" i="3"/>
  <c r="N188" i="3"/>
  <c r="O188" i="3" s="1"/>
  <c r="V188" i="3" s="1"/>
  <c r="U23" i="3"/>
  <c r="N23" i="3"/>
  <c r="O23" i="3" s="1"/>
  <c r="V23" i="3" s="1"/>
  <c r="U26" i="3"/>
  <c r="N26" i="3"/>
  <c r="O26" i="3" s="1"/>
  <c r="V26" i="3" s="1"/>
  <c r="U47" i="3"/>
  <c r="N47" i="3"/>
  <c r="O47" i="3" s="1"/>
  <c r="V47" i="3" s="1"/>
  <c r="U45" i="3"/>
  <c r="N45" i="3"/>
  <c r="O45" i="3" s="1"/>
  <c r="V45" i="3" s="1"/>
  <c r="U210" i="3"/>
  <c r="N210" i="3"/>
  <c r="O210" i="3" s="1"/>
  <c r="V210" i="3" s="1"/>
  <c r="U228" i="3"/>
  <c r="N228" i="3"/>
  <c r="O228" i="3" s="1"/>
  <c r="V228" i="3" s="1"/>
  <c r="U200" i="3"/>
  <c r="N200" i="3"/>
  <c r="O200" i="3" s="1"/>
  <c r="V200" i="3" s="1"/>
  <c r="U32" i="3"/>
  <c r="N32" i="3"/>
  <c r="O32" i="3" s="1"/>
  <c r="V32" i="3" s="1"/>
  <c r="AN101" i="2"/>
  <c r="AT101" i="2" s="1"/>
  <c r="AU101" i="2" s="1"/>
  <c r="W195" i="3" s="1"/>
  <c r="BB18" i="2"/>
  <c r="BH18" i="2" s="1"/>
  <c r="BI18" i="2" s="1"/>
  <c r="BB7" i="2"/>
  <c r="BH7" i="2" s="1"/>
  <c r="BI7" i="2" s="1"/>
  <c r="BB5" i="2"/>
  <c r="BH5" i="2" s="1"/>
  <c r="BI5" i="2" s="1"/>
  <c r="BB14" i="2"/>
  <c r="BH14" i="2" s="1"/>
  <c r="BI14" i="2" s="1"/>
  <c r="O15" i="2"/>
  <c r="U15" i="2" s="1"/>
  <c r="V15" i="2" s="1"/>
  <c r="W77" i="3"/>
  <c r="U175" i="3"/>
  <c r="N175" i="3"/>
  <c r="O175" i="3" s="1"/>
  <c r="V175" i="3" s="1"/>
  <c r="U193" i="3"/>
  <c r="N193" i="3"/>
  <c r="O193" i="3" s="1"/>
  <c r="V193" i="3" s="1"/>
  <c r="U199" i="3"/>
  <c r="N199" i="3"/>
  <c r="O199" i="3" s="1"/>
  <c r="V199" i="3" s="1"/>
  <c r="U222" i="3"/>
  <c r="N222" i="3"/>
  <c r="O222" i="3" s="1"/>
  <c r="V222" i="3" s="1"/>
  <c r="AN9" i="2"/>
  <c r="AT9" i="2" s="1"/>
  <c r="AU9" i="2" s="1"/>
  <c r="U21" i="3"/>
  <c r="N21" i="3"/>
  <c r="O21" i="3" s="1"/>
  <c r="V21" i="3" s="1"/>
  <c r="U50" i="3"/>
  <c r="N50" i="3"/>
  <c r="O50" i="3" s="1"/>
  <c r="V50" i="3" s="1"/>
  <c r="U75" i="3"/>
  <c r="N75" i="3"/>
  <c r="O75" i="3" s="1"/>
  <c r="V75" i="3" s="1"/>
  <c r="U177" i="3"/>
  <c r="N177" i="3"/>
  <c r="O177" i="3" s="1"/>
  <c r="V177" i="3" s="1"/>
  <c r="U48" i="3"/>
  <c r="O6" i="2"/>
  <c r="U6" i="2" s="1"/>
  <c r="V6" i="2" s="1"/>
  <c r="O26" i="2" s="1"/>
  <c r="B40" i="3"/>
  <c r="W40" i="3" s="1"/>
  <c r="U224" i="3"/>
  <c r="N224" i="3"/>
  <c r="O224" i="3" s="1"/>
  <c r="V224" i="3" s="1"/>
  <c r="AN20" i="2"/>
  <c r="AT20" i="2" s="1"/>
  <c r="AU20" i="2" s="1"/>
  <c r="W82" i="3"/>
  <c r="U101" i="3"/>
  <c r="N101" i="3"/>
  <c r="O101" i="3" s="1"/>
  <c r="V101" i="3" s="1"/>
  <c r="U223" i="3"/>
  <c r="N223" i="3"/>
  <c r="O223" i="3" s="1"/>
  <c r="V223" i="3" s="1"/>
  <c r="U80" i="3"/>
  <c r="N80" i="3"/>
  <c r="O80" i="3" s="1"/>
  <c r="V80" i="3" s="1"/>
  <c r="U31" i="3"/>
  <c r="N31" i="3"/>
  <c r="O31" i="3" s="1"/>
  <c r="V31" i="3" s="1"/>
  <c r="U19" i="3"/>
  <c r="U24" i="3"/>
  <c r="N24" i="3"/>
  <c r="O24" i="3" s="1"/>
  <c r="V24" i="3" s="1"/>
  <c r="U88" i="3"/>
  <c r="N88" i="3"/>
  <c r="O88" i="3" s="1"/>
  <c r="V88" i="3" s="1"/>
  <c r="U497" i="3"/>
  <c r="AN28" i="2"/>
  <c r="AT28" i="2" s="1"/>
  <c r="AU28" i="2" s="1"/>
  <c r="N124" i="3" s="1"/>
  <c r="O124" i="3" s="1"/>
  <c r="W83" i="3"/>
  <c r="H6" i="7" s="1"/>
  <c r="I6" i="7" s="1"/>
  <c r="U49" i="3"/>
  <c r="N49" i="3"/>
  <c r="O49" i="3" s="1"/>
  <c r="V49" i="3" s="1"/>
  <c r="U84" i="3"/>
  <c r="N84" i="3"/>
  <c r="O84" i="3" s="1"/>
  <c r="V84" i="3" s="1"/>
  <c r="AN48" i="2"/>
  <c r="AT48" i="2" s="1"/>
  <c r="AU48" i="2" s="1"/>
  <c r="N144" i="3" s="1"/>
  <c r="O144" i="3" s="1"/>
  <c r="BB12" i="2"/>
  <c r="BH12" i="2" s="1"/>
  <c r="BI12" i="2" s="1"/>
  <c r="N501" i="3" s="1"/>
  <c r="O501" i="3" s="1"/>
  <c r="W78" i="3"/>
  <c r="AN62" i="2"/>
  <c r="AT62" i="2" s="1"/>
  <c r="AU62" i="2" s="1"/>
  <c r="N158" i="3" s="1"/>
  <c r="O158" i="3" s="1"/>
  <c r="AN104" i="2"/>
  <c r="AT104" i="2" s="1"/>
  <c r="AU104" i="2" s="1"/>
  <c r="W198" i="3" s="1"/>
  <c r="AN68" i="2"/>
  <c r="AT68" i="2" s="1"/>
  <c r="AU68" i="2" s="1"/>
  <c r="N164" i="3" s="1"/>
  <c r="O164" i="3" s="1"/>
  <c r="AN45" i="2"/>
  <c r="AN49" i="2"/>
  <c r="AT49" i="2" s="1"/>
  <c r="AU49" i="2" s="1"/>
  <c r="N145" i="3" s="1"/>
  <c r="O145" i="3" s="1"/>
  <c r="AN57" i="2"/>
  <c r="AT57" i="2" s="1"/>
  <c r="AU57" i="2" s="1"/>
  <c r="N153" i="3" s="1"/>
  <c r="O153" i="3" s="1"/>
  <c r="AN107" i="2"/>
  <c r="AT107" i="2" s="1"/>
  <c r="AU107" i="2" s="1"/>
  <c r="W201" i="3" s="1"/>
  <c r="AN51" i="2"/>
  <c r="AT51" i="2" s="1"/>
  <c r="AU51" i="2" s="1"/>
  <c r="N147" i="3" s="1"/>
  <c r="O147" i="3" s="1"/>
  <c r="AN133" i="2"/>
  <c r="AT133" i="2" s="1"/>
  <c r="AU133" i="2" s="1"/>
  <c r="W227" i="3" s="1"/>
  <c r="AN132" i="2"/>
  <c r="AT132" i="2" s="1"/>
  <c r="AU132" i="2" s="1"/>
  <c r="W226" i="3" s="1"/>
  <c r="H7" i="7" s="1"/>
  <c r="I7" i="7" s="1"/>
  <c r="AN85" i="2"/>
  <c r="AT85" i="2" s="1"/>
  <c r="AU85" i="2" s="1"/>
  <c r="B179" i="3" s="1"/>
  <c r="W179" i="3" s="1"/>
  <c r="AN59" i="2"/>
  <c r="AT59" i="2" s="1"/>
  <c r="AU59" i="2" s="1"/>
  <c r="N155" i="3" s="1"/>
  <c r="O155" i="3" s="1"/>
  <c r="AN54" i="2"/>
  <c r="AT54" i="2" s="1"/>
  <c r="AU54" i="2" s="1"/>
  <c r="N150" i="3" s="1"/>
  <c r="O150" i="3" s="1"/>
  <c r="AN50" i="2"/>
  <c r="AT50" i="2" s="1"/>
  <c r="AU50" i="2" s="1"/>
  <c r="N146" i="3" s="1"/>
  <c r="O146" i="3" s="1"/>
  <c r="AN97" i="2"/>
  <c r="AT97" i="2" s="1"/>
  <c r="AU97" i="2" s="1"/>
  <c r="W191" i="3" s="1"/>
  <c r="C9" i="7" s="1"/>
  <c r="D9" i="7" s="1"/>
  <c r="AN84" i="2"/>
  <c r="AT84" i="2" s="1"/>
  <c r="AU84" i="2" s="1"/>
  <c r="B178" i="3" s="1"/>
  <c r="W178" i="3" s="1"/>
  <c r="AN70" i="2"/>
  <c r="AT70" i="2" s="1"/>
  <c r="AU70" i="2" s="1"/>
  <c r="N166" i="3" s="1"/>
  <c r="O166" i="3" s="1"/>
  <c r="AN74" i="2"/>
  <c r="AT74" i="2" s="1"/>
  <c r="AU74" i="2" s="1"/>
  <c r="AN65" i="2"/>
  <c r="AT65" i="2" s="1"/>
  <c r="AU65" i="2" s="1"/>
  <c r="N161" i="3" s="1"/>
  <c r="O161" i="3" s="1"/>
  <c r="V161" i="3" s="1"/>
  <c r="AN61" i="2"/>
  <c r="AT61" i="2" s="1"/>
  <c r="AU61" i="2" s="1"/>
  <c r="N157" i="3" s="1"/>
  <c r="O157" i="3" s="1"/>
  <c r="AN73" i="2"/>
  <c r="AT73" i="2" s="1"/>
  <c r="AU73" i="2" s="1"/>
  <c r="N169" i="3" s="1"/>
  <c r="O169" i="3" s="1"/>
  <c r="AN64" i="2"/>
  <c r="AT64" i="2" s="1"/>
  <c r="AU64" i="2" s="1"/>
  <c r="N160" i="3" s="1"/>
  <c r="O160" i="3" s="1"/>
  <c r="AN98" i="2"/>
  <c r="AT98" i="2" s="1"/>
  <c r="AU98" i="2" s="1"/>
  <c r="W192" i="3" s="1"/>
  <c r="C6" i="7" s="1"/>
  <c r="D6" i="7" s="1"/>
  <c r="AN69" i="2"/>
  <c r="AT69" i="2" s="1"/>
  <c r="AU69" i="2" s="1"/>
  <c r="N165" i="3" s="1"/>
  <c r="O165" i="3" s="1"/>
  <c r="AN40" i="2"/>
  <c r="AT40" i="2" s="1"/>
  <c r="AU40" i="2" s="1"/>
  <c r="AN80" i="2"/>
  <c r="AT80" i="2" s="1"/>
  <c r="AU80" i="2" s="1"/>
  <c r="AN47" i="2"/>
  <c r="AT47" i="2" s="1"/>
  <c r="AU47" i="2" s="1"/>
  <c r="N143" i="3" s="1"/>
  <c r="O143" i="3" s="1"/>
  <c r="AN60" i="2"/>
  <c r="AT60" i="2" s="1"/>
  <c r="AU60" i="2" s="1"/>
  <c r="N156" i="3" s="1"/>
  <c r="O156" i="3" s="1"/>
  <c r="AN37" i="2"/>
  <c r="AT37" i="2" s="1"/>
  <c r="AU37" i="2" s="1"/>
  <c r="N133" i="3" s="1"/>
  <c r="O133" i="3" s="1"/>
  <c r="AN29" i="2"/>
  <c r="AT29" i="2" s="1"/>
  <c r="AU29" i="2" s="1"/>
  <c r="N125" i="3" s="1"/>
  <c r="O125" i="3" s="1"/>
  <c r="AN39" i="2"/>
  <c r="AT39" i="2" s="1"/>
  <c r="AU39" i="2" s="1"/>
  <c r="N135" i="3" s="1"/>
  <c r="O135" i="3" s="1"/>
  <c r="AN34" i="2"/>
  <c r="AT34" i="2" s="1"/>
  <c r="AU34" i="2" s="1"/>
  <c r="N130" i="3" s="1"/>
  <c r="O130" i="3" s="1"/>
  <c r="AN36" i="2"/>
  <c r="AT36" i="2" s="1"/>
  <c r="AU36" i="2" s="1"/>
  <c r="N132" i="3" s="1"/>
  <c r="O132" i="3" s="1"/>
  <c r="AN30" i="2"/>
  <c r="AT30" i="2" s="1"/>
  <c r="AU30" i="2" s="1"/>
  <c r="N126" i="3" s="1"/>
  <c r="O126" i="3" s="1"/>
  <c r="AN23" i="2"/>
  <c r="AT23" i="2" s="1"/>
  <c r="AU23" i="2" s="1"/>
  <c r="AN15" i="2"/>
  <c r="AT15" i="2" s="1"/>
  <c r="AU15" i="2" s="1"/>
  <c r="AN6" i="2"/>
  <c r="AT6" i="2" s="1"/>
  <c r="AU6" i="2" s="1"/>
  <c r="AN16" i="2"/>
  <c r="AT16" i="2" s="1"/>
  <c r="AU16" i="2" s="1"/>
  <c r="AN18" i="2"/>
  <c r="AT18" i="2" s="1"/>
  <c r="AU18" i="2" s="1"/>
  <c r="AN14" i="2"/>
  <c r="AT14" i="2" s="1"/>
  <c r="AU14" i="2" s="1"/>
  <c r="AN10" i="2"/>
  <c r="AT10" i="2" s="1"/>
  <c r="AU10" i="2" s="1"/>
  <c r="AN24" i="2"/>
  <c r="AT24" i="2" s="1"/>
  <c r="AU24" i="2" s="1"/>
  <c r="N120" i="3" s="1"/>
  <c r="O120" i="3" s="1"/>
  <c r="AN21" i="2"/>
  <c r="AT21" i="2" s="1"/>
  <c r="AU21" i="2" s="1"/>
  <c r="AN17" i="2"/>
  <c r="AT17" i="2" s="1"/>
  <c r="AU17" i="2" s="1"/>
  <c r="AN13" i="2"/>
  <c r="AT13" i="2" s="1"/>
  <c r="AU13" i="2" s="1"/>
  <c r="AN7" i="2"/>
  <c r="AT7" i="2" s="1"/>
  <c r="AU7" i="2" s="1"/>
  <c r="U4" i="2"/>
  <c r="V4" i="2" s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7" i="1"/>
  <c r="G41" i="1"/>
  <c r="G16" i="1"/>
  <c r="F17" i="1"/>
  <c r="F18" i="1"/>
  <c r="F19" i="1"/>
  <c r="F20" i="1"/>
  <c r="F21" i="1"/>
  <c r="G21" i="1" s="1"/>
  <c r="F22" i="1"/>
  <c r="F23" i="1"/>
  <c r="F24" i="1"/>
  <c r="F25" i="1"/>
  <c r="F26" i="1"/>
  <c r="F28" i="1"/>
  <c r="G28" i="1" s="1"/>
  <c r="F29" i="1"/>
  <c r="F30" i="1"/>
  <c r="F31" i="1"/>
  <c r="F32" i="1"/>
  <c r="F33" i="1"/>
  <c r="G33" i="1" s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B34" i="1"/>
  <c r="B35" i="1"/>
  <c r="B36" i="1"/>
  <c r="B37" i="1"/>
  <c r="B38" i="1"/>
  <c r="B39" i="1"/>
  <c r="B40" i="1"/>
  <c r="B41" i="1"/>
  <c r="B33" i="1"/>
  <c r="B25" i="1"/>
  <c r="B26" i="1"/>
  <c r="B27" i="1"/>
  <c r="B28" i="1"/>
  <c r="B29" i="1"/>
  <c r="B30" i="1"/>
  <c r="B31" i="1"/>
  <c r="B32" i="1"/>
  <c r="B24" i="1"/>
  <c r="B17" i="1"/>
  <c r="B18" i="1"/>
  <c r="B19" i="1"/>
  <c r="B20" i="1"/>
  <c r="B21" i="1"/>
  <c r="B22" i="1"/>
  <c r="B23" i="1"/>
  <c r="B16" i="1"/>
  <c r="A41" i="1"/>
  <c r="A34" i="1"/>
  <c r="A35" i="1"/>
  <c r="A36" i="1"/>
  <c r="A37" i="1"/>
  <c r="A38" i="1"/>
  <c r="A39" i="1"/>
  <c r="A40" i="1"/>
  <c r="A33" i="1"/>
  <c r="A32" i="1"/>
  <c r="A25" i="1"/>
  <c r="A26" i="1"/>
  <c r="A27" i="1"/>
  <c r="A28" i="1"/>
  <c r="A29" i="1"/>
  <c r="A30" i="1"/>
  <c r="A31" i="1"/>
  <c r="A24" i="1"/>
  <c r="A23" i="1"/>
  <c r="A17" i="1"/>
  <c r="A18" i="1"/>
  <c r="A19" i="1"/>
  <c r="A20" i="1"/>
  <c r="A21" i="1"/>
  <c r="A22" i="1"/>
  <c r="A16" i="1"/>
  <c r="F16" i="1"/>
  <c r="S3" i="1"/>
  <c r="S4" i="1"/>
  <c r="S5" i="1"/>
  <c r="S6" i="1"/>
  <c r="S7" i="1"/>
  <c r="S8" i="1"/>
  <c r="S9" i="1"/>
  <c r="S10" i="1"/>
  <c r="S2" i="1"/>
  <c r="Q10" i="1"/>
  <c r="Q9" i="1"/>
  <c r="Q8" i="1"/>
  <c r="Q7" i="1"/>
  <c r="Q6" i="1"/>
  <c r="Q5" i="1"/>
  <c r="Q4" i="1"/>
  <c r="Q3" i="1"/>
  <c r="Q2" i="1"/>
  <c r="K8" i="1"/>
  <c r="I10" i="1"/>
  <c r="K10" i="1" s="1"/>
  <c r="I9" i="1"/>
  <c r="K9" i="1" s="1"/>
  <c r="I8" i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  <c r="N236" i="3" l="1"/>
  <c r="O236" i="3" s="1"/>
  <c r="V236" i="3" s="1"/>
  <c r="U118" i="3"/>
  <c r="BB20" i="2"/>
  <c r="BH20" i="2" s="1"/>
  <c r="BI20" i="2" s="1"/>
  <c r="N509" i="3" s="1"/>
  <c r="O509" i="3" s="1"/>
  <c r="V509" i="3" s="1"/>
  <c r="W107" i="3"/>
  <c r="O20" i="2"/>
  <c r="U20" i="2" s="1"/>
  <c r="V20" i="2" s="1"/>
  <c r="Z6" i="2"/>
  <c r="AF6" i="2" s="1"/>
  <c r="AG6" i="2" s="1"/>
  <c r="W42" i="3"/>
  <c r="U107" i="3"/>
  <c r="U104" i="3"/>
  <c r="N87" i="3"/>
  <c r="O87" i="3" s="1"/>
  <c r="V87" i="3" s="1"/>
  <c r="U236" i="3"/>
  <c r="N114" i="3"/>
  <c r="O114" i="3" s="1"/>
  <c r="V114" i="3" s="1"/>
  <c r="N119" i="3"/>
  <c r="O119" i="3" s="1"/>
  <c r="BB24" i="2"/>
  <c r="BH24" i="2" s="1"/>
  <c r="BI24" i="2" s="1"/>
  <c r="N513" i="3" s="1"/>
  <c r="O513" i="3" s="1"/>
  <c r="N112" i="3"/>
  <c r="O112" i="3" s="1"/>
  <c r="V112" i="3" s="1"/>
  <c r="W169" i="3"/>
  <c r="U108" i="3"/>
  <c r="BR11" i="2"/>
  <c r="BX11" i="2" s="1"/>
  <c r="BY11" i="2" s="1"/>
  <c r="BZ11" i="2" s="1"/>
  <c r="BB30" i="2"/>
  <c r="BH30" i="2" s="1"/>
  <c r="BI30" i="2" s="1"/>
  <c r="BB26" i="2"/>
  <c r="BH26" i="2" s="1"/>
  <c r="BI26" i="2" s="1"/>
  <c r="BB27" i="2"/>
  <c r="BH27" i="2" s="1"/>
  <c r="BI27" i="2" s="1"/>
  <c r="BB28" i="2"/>
  <c r="BH28" i="2" s="1"/>
  <c r="BI28" i="2" s="1"/>
  <c r="BB31" i="2"/>
  <c r="BH31" i="2" s="1"/>
  <c r="BI31" i="2" s="1"/>
  <c r="BB25" i="2"/>
  <c r="BH25" i="2" s="1"/>
  <c r="BI25" i="2" s="1"/>
  <c r="BB23" i="2"/>
  <c r="BH23" i="2" s="1"/>
  <c r="BI23" i="2" s="1"/>
  <c r="N512" i="3" s="1"/>
  <c r="O512" i="3" s="1"/>
  <c r="N105" i="3"/>
  <c r="O105" i="3" s="1"/>
  <c r="V105" i="3" s="1"/>
  <c r="BB38" i="2"/>
  <c r="BH38" i="2" s="1"/>
  <c r="BI38" i="2" s="1"/>
  <c r="BB39" i="2"/>
  <c r="BH39" i="2" s="1"/>
  <c r="BI39" i="2" s="1"/>
  <c r="N507" i="3"/>
  <c r="O507" i="3" s="1"/>
  <c r="BR12" i="2"/>
  <c r="BX12" i="2" s="1"/>
  <c r="BY12" i="2" s="1"/>
  <c r="BZ12" i="2" s="1"/>
  <c r="BB33" i="2"/>
  <c r="BH33" i="2" s="1"/>
  <c r="BI33" i="2" s="1"/>
  <c r="BB36" i="2"/>
  <c r="BH36" i="2" s="1"/>
  <c r="BI36" i="2" s="1"/>
  <c r="W161" i="3"/>
  <c r="W108" i="3"/>
  <c r="O22" i="2"/>
  <c r="U22" i="2" s="1"/>
  <c r="V22" i="2" s="1"/>
  <c r="O21" i="2"/>
  <c r="U21" i="2" s="1"/>
  <c r="V21" i="2" s="1"/>
  <c r="W90" i="3"/>
  <c r="U90" i="3"/>
  <c r="N90" i="3"/>
  <c r="O90" i="3" s="1"/>
  <c r="V90" i="3" s="1"/>
  <c r="N103" i="3"/>
  <c r="O103" i="3" s="1"/>
  <c r="V103" i="3" s="1"/>
  <c r="N109" i="3"/>
  <c r="O109" i="3" s="1"/>
  <c r="V109" i="3" s="1"/>
  <c r="N106" i="3"/>
  <c r="O106" i="3" s="1"/>
  <c r="V106" i="3" s="1"/>
  <c r="W102" i="3"/>
  <c r="H8" i="7" s="1"/>
  <c r="I8" i="7" s="1"/>
  <c r="N136" i="3"/>
  <c r="O136" i="3" s="1"/>
  <c r="V136" i="3" s="1"/>
  <c r="W136" i="3"/>
  <c r="U136" i="3"/>
  <c r="N503" i="3"/>
  <c r="O503" i="3" s="1"/>
  <c r="V503" i="3" s="1"/>
  <c r="BB32" i="2"/>
  <c r="BH32" i="2" s="1"/>
  <c r="BI32" i="2" s="1"/>
  <c r="N521" i="3" s="1"/>
  <c r="O521" i="3" s="1"/>
  <c r="V521" i="3" s="1"/>
  <c r="BB37" i="2"/>
  <c r="BH37" i="2" s="1"/>
  <c r="BI37" i="2" s="1"/>
  <c r="W497" i="3"/>
  <c r="W118" i="3"/>
  <c r="O23" i="2"/>
  <c r="U23" i="2" s="1"/>
  <c r="V23" i="2" s="1"/>
  <c r="O28" i="2"/>
  <c r="U28" i="2" s="1"/>
  <c r="V28" i="2" s="1"/>
  <c r="N117" i="3"/>
  <c r="O117" i="3" s="1"/>
  <c r="V117" i="3" s="1"/>
  <c r="N496" i="3"/>
  <c r="O496" i="3" s="1"/>
  <c r="V496" i="3" s="1"/>
  <c r="N115" i="3"/>
  <c r="O115" i="3" s="1"/>
  <c r="V115" i="3" s="1"/>
  <c r="W95" i="3"/>
  <c r="U95" i="3"/>
  <c r="N95" i="3"/>
  <c r="O95" i="3" s="1"/>
  <c r="V95" i="3" s="1"/>
  <c r="N113" i="3"/>
  <c r="O113" i="3" s="1"/>
  <c r="V113" i="3" s="1"/>
  <c r="N110" i="3"/>
  <c r="O110" i="3" s="1"/>
  <c r="V110" i="3" s="1"/>
  <c r="N111" i="3"/>
  <c r="O111" i="3" s="1"/>
  <c r="V111" i="3" s="1"/>
  <c r="U190" i="3"/>
  <c r="N116" i="3"/>
  <c r="O116" i="3" s="1"/>
  <c r="A2" i="5"/>
  <c r="BB16" i="2"/>
  <c r="BH16" i="2" s="1"/>
  <c r="BI16" i="2" s="1"/>
  <c r="N494" i="3"/>
  <c r="O494" i="3" s="1"/>
  <c r="V494" i="3" s="1"/>
  <c r="N502" i="3"/>
  <c r="O502" i="3" s="1"/>
  <c r="V502" i="3" s="1"/>
  <c r="W104" i="3"/>
  <c r="W518" i="3"/>
  <c r="U518" i="3"/>
  <c r="N518" i="3"/>
  <c r="O518" i="3" s="1"/>
  <c r="V518" i="3" s="1"/>
  <c r="O27" i="2"/>
  <c r="U27" i="2" s="1"/>
  <c r="V27" i="2" s="1"/>
  <c r="U19" i="2"/>
  <c r="V19" i="2" s="1"/>
  <c r="O24" i="2"/>
  <c r="U24" i="2" s="1"/>
  <c r="V24" i="2" s="1"/>
  <c r="U44" i="3"/>
  <c r="W132" i="3"/>
  <c r="U135" i="3"/>
  <c r="W157" i="3"/>
  <c r="V160" i="3"/>
  <c r="W129" i="3"/>
  <c r="W155" i="3"/>
  <c r="W164" i="3"/>
  <c r="W156" i="3"/>
  <c r="W159" i="3"/>
  <c r="W154" i="3"/>
  <c r="W146" i="3"/>
  <c r="W149" i="3"/>
  <c r="U161" i="3"/>
  <c r="W135" i="3"/>
  <c r="W144" i="3"/>
  <c r="W134" i="3"/>
  <c r="W142" i="3"/>
  <c r="U145" i="3"/>
  <c r="W160" i="3"/>
  <c r="W163" i="3"/>
  <c r="W133" i="3"/>
  <c r="U133" i="3"/>
  <c r="V133" i="3"/>
  <c r="W131" i="3"/>
  <c r="W165" i="3"/>
  <c r="W168" i="3"/>
  <c r="W145" i="3"/>
  <c r="W152" i="3"/>
  <c r="N46" i="3"/>
  <c r="O46" i="3" s="1"/>
  <c r="V46" i="3" s="1"/>
  <c r="U46" i="3"/>
  <c r="N190" i="3"/>
  <c r="O190" i="3" s="1"/>
  <c r="V190" i="3" s="1"/>
  <c r="N48" i="3"/>
  <c r="O48" i="3" s="1"/>
  <c r="V48" i="3" s="1"/>
  <c r="W501" i="3"/>
  <c r="N44" i="3"/>
  <c r="O44" i="3" s="1"/>
  <c r="V44" i="3" s="1"/>
  <c r="V162" i="3"/>
  <c r="U87" i="3"/>
  <c r="U521" i="3"/>
  <c r="U523" i="3"/>
  <c r="W523" i="3"/>
  <c r="V523" i="3"/>
  <c r="N194" i="3"/>
  <c r="O194" i="3" s="1"/>
  <c r="V194" i="3" s="1"/>
  <c r="U194" i="3"/>
  <c r="BB22" i="2"/>
  <c r="BH22" i="2" s="1"/>
  <c r="BI22" i="2" s="1"/>
  <c r="N511" i="3" s="1"/>
  <c r="O511" i="3" s="1"/>
  <c r="V511" i="3" s="1"/>
  <c r="BR19" i="2"/>
  <c r="BY19" i="2" s="1"/>
  <c r="BR20" i="2"/>
  <c r="BY20" i="2" s="1"/>
  <c r="CE20" i="2" s="1"/>
  <c r="CF20" i="2" s="1"/>
  <c r="BR21" i="2"/>
  <c r="BY21" i="2" s="1"/>
  <c r="CE21" i="2" s="1"/>
  <c r="CF21" i="2" s="1"/>
  <c r="BB6" i="2"/>
  <c r="BH6" i="2" s="1"/>
  <c r="BI6" i="2" s="1"/>
  <c r="BS47" i="2"/>
  <c r="BS51" i="2"/>
  <c r="BS48" i="2"/>
  <c r="BS52" i="2"/>
  <c r="BS46" i="2"/>
  <c r="BS45" i="2"/>
  <c r="BS49" i="2"/>
  <c r="BS44" i="2"/>
  <c r="BS50" i="2"/>
  <c r="N41" i="3"/>
  <c r="O41" i="3" s="1"/>
  <c r="V41" i="3" s="1"/>
  <c r="U41" i="3"/>
  <c r="U233" i="3"/>
  <c r="N233" i="3"/>
  <c r="O233" i="3" s="1"/>
  <c r="V233" i="3" s="1"/>
  <c r="U67" i="3"/>
  <c r="W67" i="3"/>
  <c r="N67" i="3"/>
  <c r="O67" i="3" s="1"/>
  <c r="V67" i="3" s="1"/>
  <c r="U231" i="3"/>
  <c r="N231" i="3"/>
  <c r="O231" i="3" s="1"/>
  <c r="V231" i="3" s="1"/>
  <c r="AN143" i="2"/>
  <c r="AT143" i="2" s="1"/>
  <c r="AU143" i="2" s="1"/>
  <c r="W238" i="3" s="1"/>
  <c r="M7" i="7" s="1"/>
  <c r="N7" i="7" s="1"/>
  <c r="N9" i="7" s="1"/>
  <c r="AT139" i="2"/>
  <c r="AU139" i="2" s="1"/>
  <c r="W234" i="3" s="1"/>
  <c r="B174" i="3"/>
  <c r="W174" i="3" s="1"/>
  <c r="BR25" i="2"/>
  <c r="BY25" i="2" s="1"/>
  <c r="CE25" i="2" s="1"/>
  <c r="CF25" i="2" s="1"/>
  <c r="BR23" i="2"/>
  <c r="BY23" i="2" s="1"/>
  <c r="CE23" i="2" s="1"/>
  <c r="CF23" i="2" s="1"/>
  <c r="BR27" i="2"/>
  <c r="BY27" i="2" s="1"/>
  <c r="CE27" i="2" s="1"/>
  <c r="CF27" i="2" s="1"/>
  <c r="BR24" i="2"/>
  <c r="BR22" i="2"/>
  <c r="BR26" i="2"/>
  <c r="BY26" i="2" s="1"/>
  <c r="CE26" i="2" s="1"/>
  <c r="CF26" i="2" s="1"/>
  <c r="U232" i="3"/>
  <c r="N232" i="3"/>
  <c r="O232" i="3" s="1"/>
  <c r="V232" i="3" s="1"/>
  <c r="U237" i="3"/>
  <c r="N237" i="3"/>
  <c r="O237" i="3" s="1"/>
  <c r="V237" i="3" s="1"/>
  <c r="U235" i="3"/>
  <c r="N235" i="3"/>
  <c r="O235" i="3" s="1"/>
  <c r="V235" i="3" s="1"/>
  <c r="H58" i="2"/>
  <c r="I58" i="2" s="1"/>
  <c r="U493" i="3"/>
  <c r="U115" i="3"/>
  <c r="N493" i="3"/>
  <c r="O493" i="3" s="1"/>
  <c r="V493" i="3" s="1"/>
  <c r="AT45" i="2"/>
  <c r="AU45" i="2" s="1"/>
  <c r="N141" i="3" s="1"/>
  <c r="O141" i="3" s="1"/>
  <c r="CE19" i="2"/>
  <c r="CF19" i="2" s="1"/>
  <c r="BY22" i="2"/>
  <c r="CE22" i="2" s="1"/>
  <c r="CF22" i="2" s="1"/>
  <c r="BY24" i="2"/>
  <c r="CE24" i="2" s="1"/>
  <c r="CF24" i="2" s="1"/>
  <c r="U110" i="3"/>
  <c r="U129" i="3"/>
  <c r="V129" i="3"/>
  <c r="U164" i="3"/>
  <c r="V164" i="3"/>
  <c r="U178" i="3"/>
  <c r="N178" i="3"/>
  <c r="O178" i="3" s="1"/>
  <c r="V178" i="3" s="1"/>
  <c r="U154" i="3"/>
  <c r="V154" i="3"/>
  <c r="U117" i="3"/>
  <c r="U114" i="3"/>
  <c r="W119" i="3"/>
  <c r="BB21" i="2"/>
  <c r="BH21" i="2" s="1"/>
  <c r="BI21" i="2" s="1"/>
  <c r="BB9" i="2"/>
  <c r="BH9" i="2" s="1"/>
  <c r="BI9" i="2" s="1"/>
  <c r="U134" i="3"/>
  <c r="V134" i="3"/>
  <c r="U142" i="3"/>
  <c r="V142" i="3"/>
  <c r="U192" i="3"/>
  <c r="N192" i="3"/>
  <c r="O192" i="3" s="1"/>
  <c r="V192" i="3" s="1"/>
  <c r="U160" i="3"/>
  <c r="U191" i="3"/>
  <c r="X191" i="3" s="1"/>
  <c r="Y188" i="3" s="1"/>
  <c r="N191" i="3"/>
  <c r="O191" i="3" s="1"/>
  <c r="V191" i="3" s="1"/>
  <c r="U179" i="3"/>
  <c r="N179" i="3"/>
  <c r="O179" i="3" s="1"/>
  <c r="V179" i="3" s="1"/>
  <c r="U201" i="3"/>
  <c r="N201" i="3"/>
  <c r="O201" i="3" s="1"/>
  <c r="V201" i="3" s="1"/>
  <c r="U163" i="3"/>
  <c r="V163" i="3"/>
  <c r="U82" i="3"/>
  <c r="N82" i="3"/>
  <c r="O82" i="3" s="1"/>
  <c r="V82" i="3" s="1"/>
  <c r="U509" i="3"/>
  <c r="U79" i="3"/>
  <c r="N79" i="3"/>
  <c r="O79" i="3" s="1"/>
  <c r="V79" i="3" s="1"/>
  <c r="U113" i="3"/>
  <c r="U156" i="3"/>
  <c r="V156" i="3"/>
  <c r="W120" i="3"/>
  <c r="BB10" i="2"/>
  <c r="BH10" i="2" s="1"/>
  <c r="BI10" i="2" s="1"/>
  <c r="U112" i="3"/>
  <c r="U174" i="3"/>
  <c r="U169" i="3"/>
  <c r="V169" i="3"/>
  <c r="V145" i="3"/>
  <c r="U226" i="3"/>
  <c r="N226" i="3"/>
  <c r="O226" i="3" s="1"/>
  <c r="V226" i="3" s="1"/>
  <c r="U152" i="3"/>
  <c r="V152" i="3"/>
  <c r="U198" i="3"/>
  <c r="N198" i="3"/>
  <c r="O198" i="3" s="1"/>
  <c r="V198" i="3" s="1"/>
  <c r="W116" i="3"/>
  <c r="U195" i="3"/>
  <c r="N195" i="3"/>
  <c r="O195" i="3" s="1"/>
  <c r="V195" i="3" s="1"/>
  <c r="U42" i="3"/>
  <c r="N42" i="3"/>
  <c r="O42" i="3" s="1"/>
  <c r="V42" i="3" s="1"/>
  <c r="U502" i="3"/>
  <c r="U109" i="3"/>
  <c r="U106" i="3"/>
  <c r="N102" i="3"/>
  <c r="O102" i="3" s="1"/>
  <c r="V102" i="3" s="1"/>
  <c r="U131" i="3"/>
  <c r="V131" i="3"/>
  <c r="U132" i="3"/>
  <c r="V132" i="3"/>
  <c r="V135" i="3"/>
  <c r="U168" i="3"/>
  <c r="U165" i="3"/>
  <c r="V165" i="3"/>
  <c r="U149" i="3"/>
  <c r="U227" i="3"/>
  <c r="N227" i="3"/>
  <c r="O227" i="3" s="1"/>
  <c r="V227" i="3" s="1"/>
  <c r="U144" i="3"/>
  <c r="V144" i="3"/>
  <c r="U157" i="3"/>
  <c r="V157" i="3"/>
  <c r="U83" i="3"/>
  <c r="N83" i="3"/>
  <c r="O83" i="3" s="1"/>
  <c r="V83" i="3" s="1"/>
  <c r="U40" i="3"/>
  <c r="N40" i="3"/>
  <c r="O40" i="3" s="1"/>
  <c r="V40" i="3" s="1"/>
  <c r="U105" i="3"/>
  <c r="U494" i="3"/>
  <c r="BB15" i="2"/>
  <c r="BH15" i="2" s="1"/>
  <c r="BI15" i="2" s="1"/>
  <c r="AN55" i="2"/>
  <c r="AT55" i="2" s="1"/>
  <c r="AU55" i="2" s="1"/>
  <c r="B74" i="3"/>
  <c r="W74" i="3" s="1"/>
  <c r="U155" i="3"/>
  <c r="V155" i="3"/>
  <c r="U146" i="3"/>
  <c r="V146" i="3"/>
  <c r="BB17" i="2"/>
  <c r="BH17" i="2" s="1"/>
  <c r="BI17" i="2" s="1"/>
  <c r="W76" i="3"/>
  <c r="U77" i="3"/>
  <c r="N77" i="3"/>
  <c r="O77" i="3" s="1"/>
  <c r="V77" i="3" s="1"/>
  <c r="U86" i="3"/>
  <c r="N86" i="3"/>
  <c r="O86" i="3" s="1"/>
  <c r="V86" i="3" s="1"/>
  <c r="U78" i="3"/>
  <c r="N78" i="3"/>
  <c r="O78" i="3" s="1"/>
  <c r="V78" i="3" s="1"/>
  <c r="BB11" i="2"/>
  <c r="BH11" i="2" s="1"/>
  <c r="BI11" i="2" s="1"/>
  <c r="N500" i="3" s="1"/>
  <c r="O500" i="3" s="1"/>
  <c r="AN25" i="2"/>
  <c r="AT25" i="2" s="1"/>
  <c r="AU25" i="2" s="1"/>
  <c r="N121" i="3" s="1"/>
  <c r="O121" i="3" s="1"/>
  <c r="W85" i="3"/>
  <c r="AN125" i="2"/>
  <c r="AT125" i="2" s="1"/>
  <c r="AU125" i="2" s="1"/>
  <c r="W219" i="3" s="1"/>
  <c r="AN124" i="2"/>
  <c r="AT124" i="2" s="1"/>
  <c r="AU124" i="2" s="1"/>
  <c r="W218" i="3" s="1"/>
  <c r="AN123" i="2"/>
  <c r="AT123" i="2" s="1"/>
  <c r="AU123" i="2" s="1"/>
  <c r="W217" i="3" s="1"/>
  <c r="AN118" i="2"/>
  <c r="AT118" i="2" s="1"/>
  <c r="AU118" i="2" s="1"/>
  <c r="AN89" i="2"/>
  <c r="AT89" i="2" s="1"/>
  <c r="AU89" i="2" s="1"/>
  <c r="B183" i="3" s="1"/>
  <c r="W183" i="3" s="1"/>
  <c r="AN121" i="2"/>
  <c r="AT121" i="2" s="1"/>
  <c r="AU121" i="2" s="1"/>
  <c r="AN117" i="2"/>
  <c r="AT117" i="2" s="1"/>
  <c r="AU117" i="2" s="1"/>
  <c r="AN113" i="2"/>
  <c r="AT113" i="2" s="1"/>
  <c r="AU113" i="2" s="1"/>
  <c r="W207" i="3" s="1"/>
  <c r="AN92" i="2"/>
  <c r="AT92" i="2" s="1"/>
  <c r="AU92" i="2" s="1"/>
  <c r="B186" i="3" s="1"/>
  <c r="W186" i="3" s="1"/>
  <c r="AN88" i="2"/>
  <c r="AT88" i="2" s="1"/>
  <c r="AU88" i="2" s="1"/>
  <c r="B182" i="3" s="1"/>
  <c r="W182" i="3" s="1"/>
  <c r="AN120" i="2"/>
  <c r="AT120" i="2" s="1"/>
  <c r="AU120" i="2" s="1"/>
  <c r="W214" i="3" s="1"/>
  <c r="AN91" i="2"/>
  <c r="AT91" i="2" s="1"/>
  <c r="AU91" i="2" s="1"/>
  <c r="B185" i="3" s="1"/>
  <c r="W185" i="3" s="1"/>
  <c r="AN87" i="2"/>
  <c r="AT87" i="2" s="1"/>
  <c r="AU87" i="2" s="1"/>
  <c r="B181" i="3" s="1"/>
  <c r="W181" i="3" s="1"/>
  <c r="AN119" i="2"/>
  <c r="AT119" i="2" s="1"/>
  <c r="AU119" i="2" s="1"/>
  <c r="W213" i="3" s="1"/>
  <c r="AN115" i="2"/>
  <c r="AT115" i="2" s="1"/>
  <c r="AU115" i="2" s="1"/>
  <c r="W209" i="3" s="1"/>
  <c r="AN95" i="2"/>
  <c r="AT95" i="2" s="1"/>
  <c r="AU95" i="2" s="1"/>
  <c r="W189" i="3" s="1"/>
  <c r="AN90" i="2"/>
  <c r="AT90" i="2" s="1"/>
  <c r="AU90" i="2" s="1"/>
  <c r="B184" i="3" s="1"/>
  <c r="W184" i="3" s="1"/>
  <c r="AN86" i="2"/>
  <c r="AT86" i="2" s="1"/>
  <c r="AU86" i="2" s="1"/>
  <c r="AN131" i="2"/>
  <c r="AT131" i="2" s="1"/>
  <c r="AU131" i="2" s="1"/>
  <c r="W225" i="3" s="1"/>
  <c r="AN114" i="2"/>
  <c r="AT114" i="2" s="1"/>
  <c r="AU114" i="2" s="1"/>
  <c r="W208" i="3" s="1"/>
  <c r="AN112" i="2"/>
  <c r="AT112" i="2" s="1"/>
  <c r="AU112" i="2" s="1"/>
  <c r="W206" i="3" s="1"/>
  <c r="AN127" i="2"/>
  <c r="AT127" i="2" s="1"/>
  <c r="AU127" i="2" s="1"/>
  <c r="W221" i="3" s="1"/>
  <c r="AN110" i="2"/>
  <c r="AT110" i="2" s="1"/>
  <c r="AU110" i="2" s="1"/>
  <c r="W204" i="3" s="1"/>
  <c r="AN108" i="2"/>
  <c r="AT108" i="2" s="1"/>
  <c r="AU108" i="2" s="1"/>
  <c r="W202" i="3" s="1"/>
  <c r="AN111" i="2"/>
  <c r="AT111" i="2" s="1"/>
  <c r="AU111" i="2" s="1"/>
  <c r="W205" i="3" s="1"/>
  <c r="AN82" i="2"/>
  <c r="AT82" i="2" s="1"/>
  <c r="AU82" i="2" s="1"/>
  <c r="B176" i="3" s="1"/>
  <c r="W176" i="3" s="1"/>
  <c r="AN126" i="2"/>
  <c r="AT126" i="2" s="1"/>
  <c r="AU126" i="2" s="1"/>
  <c r="W220" i="3" s="1"/>
  <c r="C7" i="7" s="1"/>
  <c r="D7" i="7" s="1"/>
  <c r="AN103" i="2"/>
  <c r="AT103" i="2" s="1"/>
  <c r="AU103" i="2" s="1"/>
  <c r="W197" i="3" s="1"/>
  <c r="AN122" i="2"/>
  <c r="AT122" i="2" s="1"/>
  <c r="AU122" i="2" s="1"/>
  <c r="W216" i="3" s="1"/>
  <c r="AN102" i="2"/>
  <c r="AT102" i="2" s="1"/>
  <c r="AU102" i="2" s="1"/>
  <c r="W196" i="3" s="1"/>
  <c r="AN109" i="2"/>
  <c r="AT109" i="2" s="1"/>
  <c r="AU109" i="2" s="1"/>
  <c r="W203" i="3" s="1"/>
  <c r="AN43" i="2"/>
  <c r="AT43" i="2" s="1"/>
  <c r="AU43" i="2" s="1"/>
  <c r="AN42" i="2"/>
  <c r="AT42" i="2" s="1"/>
  <c r="AU42" i="2" s="1"/>
  <c r="N138" i="3" s="1"/>
  <c r="O138" i="3" s="1"/>
  <c r="AN32" i="2"/>
  <c r="AT32" i="2" s="1"/>
  <c r="AU32" i="2" s="1"/>
  <c r="N128" i="3" s="1"/>
  <c r="O128" i="3" s="1"/>
  <c r="V128" i="3" s="1"/>
  <c r="AN27" i="2"/>
  <c r="AT27" i="2" s="1"/>
  <c r="AU27" i="2" s="1"/>
  <c r="N123" i="3" s="1"/>
  <c r="O123" i="3" s="1"/>
  <c r="V123" i="3" s="1"/>
  <c r="AN26" i="2"/>
  <c r="AT26" i="2" s="1"/>
  <c r="AU26" i="2" s="1"/>
  <c r="N122" i="3" s="1"/>
  <c r="O122" i="3" s="1"/>
  <c r="W509" i="3" l="1"/>
  <c r="U102" i="3"/>
  <c r="U111" i="3"/>
  <c r="U503" i="3"/>
  <c r="U103" i="3"/>
  <c r="W115" i="3"/>
  <c r="W521" i="3"/>
  <c r="W110" i="3"/>
  <c r="W494" i="3"/>
  <c r="W117" i="3"/>
  <c r="W503" i="3"/>
  <c r="W109" i="3"/>
  <c r="W211" i="3"/>
  <c r="W97" i="3"/>
  <c r="N97" i="3"/>
  <c r="O97" i="3" s="1"/>
  <c r="V97" i="3" s="1"/>
  <c r="U97" i="3"/>
  <c r="U98" i="3"/>
  <c r="W98" i="3"/>
  <c r="N98" i="3"/>
  <c r="O98" i="3" s="1"/>
  <c r="V98" i="3" s="1"/>
  <c r="U527" i="3"/>
  <c r="W527" i="3"/>
  <c r="N527" i="3"/>
  <c r="O527" i="3" s="1"/>
  <c r="V527" i="3" s="1"/>
  <c r="U516" i="3"/>
  <c r="U170" i="3"/>
  <c r="W170" i="3"/>
  <c r="N170" i="3"/>
  <c r="O170" i="3" s="1"/>
  <c r="V170" i="3" s="1"/>
  <c r="U123" i="3"/>
  <c r="U511" i="3"/>
  <c r="U128" i="3"/>
  <c r="W496" i="3"/>
  <c r="W93" i="3"/>
  <c r="U93" i="3"/>
  <c r="N93" i="3"/>
  <c r="O93" i="3" s="1"/>
  <c r="V93" i="3" s="1"/>
  <c r="U520" i="3"/>
  <c r="N520" i="3"/>
  <c r="O520" i="3" s="1"/>
  <c r="V520" i="3" s="1"/>
  <c r="W520" i="3"/>
  <c r="U519" i="3"/>
  <c r="W519" i="3"/>
  <c r="N519" i="3"/>
  <c r="O519" i="3" s="1"/>
  <c r="V519" i="3" s="1"/>
  <c r="N499" i="3"/>
  <c r="O499" i="3" s="1"/>
  <c r="V499" i="3" s="1"/>
  <c r="W505" i="3"/>
  <c r="U505" i="3"/>
  <c r="N505" i="3"/>
  <c r="O505" i="3" s="1"/>
  <c r="V505" i="3" s="1"/>
  <c r="W511" i="3"/>
  <c r="U94" i="3"/>
  <c r="W94" i="3"/>
  <c r="N94" i="3"/>
  <c r="O94" i="3" s="1"/>
  <c r="V94" i="3" s="1"/>
  <c r="W502" i="3"/>
  <c r="N165" i="5"/>
  <c r="B403" i="3" s="1"/>
  <c r="N72" i="5"/>
  <c r="B310" i="3" s="1"/>
  <c r="N56" i="5"/>
  <c r="B294" i="3" s="1"/>
  <c r="N40" i="5"/>
  <c r="B278" i="3" s="1"/>
  <c r="N24" i="5"/>
  <c r="B262" i="3" s="1"/>
  <c r="N112" i="5"/>
  <c r="B350" i="3" s="1"/>
  <c r="N128" i="5"/>
  <c r="B366" i="3" s="1"/>
  <c r="N183" i="5"/>
  <c r="B421" i="3" s="1"/>
  <c r="N199" i="5"/>
  <c r="B437" i="3" s="1"/>
  <c r="N215" i="5"/>
  <c r="B453" i="3" s="1"/>
  <c r="N243" i="5"/>
  <c r="B481" i="3" s="1"/>
  <c r="N142" i="5"/>
  <c r="B380" i="3" s="1"/>
  <c r="N119" i="5"/>
  <c r="B357" i="3" s="1"/>
  <c r="N135" i="5"/>
  <c r="B373" i="3" s="1"/>
  <c r="N226" i="5"/>
  <c r="B464" i="3" s="1"/>
  <c r="N236" i="5"/>
  <c r="B474" i="3" s="1"/>
  <c r="N147" i="5"/>
  <c r="B385" i="3" s="1"/>
  <c r="N11" i="5"/>
  <c r="B249" i="3" s="1"/>
  <c r="N152" i="5"/>
  <c r="B390" i="3" s="1"/>
  <c r="N229" i="5"/>
  <c r="B467" i="3" s="1"/>
  <c r="N149" i="5"/>
  <c r="B387" i="3" s="1"/>
  <c r="N184" i="5"/>
  <c r="B422" i="3" s="1"/>
  <c r="N240" i="5"/>
  <c r="B478" i="3" s="1"/>
  <c r="N30" i="5"/>
  <c r="B268" i="3" s="1"/>
  <c r="N14" i="5"/>
  <c r="N117" i="5"/>
  <c r="B355" i="3" s="1"/>
  <c r="N133" i="5"/>
  <c r="B371" i="3" s="1"/>
  <c r="N154" i="5"/>
  <c r="B392" i="3" s="1"/>
  <c r="N167" i="5"/>
  <c r="B405" i="3" s="1"/>
  <c r="N185" i="5"/>
  <c r="B423" i="3" s="1"/>
  <c r="N201" i="5"/>
  <c r="B439" i="3" s="1"/>
  <c r="N217" i="5"/>
  <c r="B455" i="3" s="1"/>
  <c r="N241" i="5"/>
  <c r="B479" i="3" s="1"/>
  <c r="N153" i="5"/>
  <c r="B391" i="3" s="1"/>
  <c r="N180" i="5"/>
  <c r="B418" i="3" s="1"/>
  <c r="N208" i="5"/>
  <c r="B446" i="3" s="1"/>
  <c r="N234" i="5"/>
  <c r="B472" i="3" s="1"/>
  <c r="N37" i="5"/>
  <c r="B275" i="3" s="1"/>
  <c r="N21" i="5"/>
  <c r="B259" i="3" s="1"/>
  <c r="N5" i="5"/>
  <c r="B243" i="3" s="1"/>
  <c r="N122" i="5"/>
  <c r="N137" i="5"/>
  <c r="B375" i="3" s="1"/>
  <c r="N158" i="5"/>
  <c r="N182" i="5"/>
  <c r="N198" i="5"/>
  <c r="B436" i="3" s="1"/>
  <c r="N214" i="5"/>
  <c r="B452" i="3" s="1"/>
  <c r="N228" i="5"/>
  <c r="B466" i="3" s="1"/>
  <c r="N245" i="5"/>
  <c r="B483" i="3" s="1"/>
  <c r="N27" i="5"/>
  <c r="B265" i="3" s="1"/>
  <c r="N98" i="5"/>
  <c r="N63" i="5"/>
  <c r="B301" i="3" s="1"/>
  <c r="N47" i="5"/>
  <c r="B285" i="3" s="1"/>
  <c r="N80" i="5"/>
  <c r="B318" i="3" s="1"/>
  <c r="N99" i="5"/>
  <c r="B337" i="3" s="1"/>
  <c r="N31" i="5"/>
  <c r="B269" i="3" s="1"/>
  <c r="N62" i="5"/>
  <c r="N46" i="5"/>
  <c r="B284" i="3" s="1"/>
  <c r="N81" i="5"/>
  <c r="B319" i="3" s="1"/>
  <c r="N96" i="5"/>
  <c r="B334" i="3" s="1"/>
  <c r="N70" i="5"/>
  <c r="B308" i="3" s="1"/>
  <c r="N49" i="5"/>
  <c r="B287" i="3" s="1"/>
  <c r="N82" i="5"/>
  <c r="B320" i="3" s="1"/>
  <c r="N97" i="5"/>
  <c r="B335" i="3" s="1"/>
  <c r="N88" i="5"/>
  <c r="B326" i="3" s="1"/>
  <c r="N69" i="5"/>
  <c r="B307" i="3" s="1"/>
  <c r="N89" i="5"/>
  <c r="B327" i="3" s="1"/>
  <c r="N60" i="5"/>
  <c r="B298" i="3" s="1"/>
  <c r="N179" i="5"/>
  <c r="B417" i="3" s="1"/>
  <c r="N124" i="5"/>
  <c r="B362" i="3" s="1"/>
  <c r="N211" i="5"/>
  <c r="B449" i="3" s="1"/>
  <c r="N115" i="5"/>
  <c r="B353" i="3" s="1"/>
  <c r="N169" i="5"/>
  <c r="B407" i="3" s="1"/>
  <c r="N148" i="5"/>
  <c r="B386" i="3" s="1"/>
  <c r="N177" i="5"/>
  <c r="B415" i="3" s="1"/>
  <c r="N18" i="5"/>
  <c r="B256" i="3" s="1"/>
  <c r="N150" i="5"/>
  <c r="B388" i="3" s="1"/>
  <c r="N197" i="5"/>
  <c r="B435" i="3" s="1"/>
  <c r="N146" i="5"/>
  <c r="N230" i="5"/>
  <c r="N9" i="5"/>
  <c r="B247" i="3" s="1"/>
  <c r="N134" i="5"/>
  <c r="N194" i="5"/>
  <c r="N242" i="5"/>
  <c r="N67" i="5"/>
  <c r="B305" i="3" s="1"/>
  <c r="N95" i="5"/>
  <c r="B333" i="3" s="1"/>
  <c r="N77" i="5"/>
  <c r="B315" i="3" s="1"/>
  <c r="N65" i="5"/>
  <c r="B303" i="3" s="1"/>
  <c r="N109" i="5"/>
  <c r="B347" i="3" s="1"/>
  <c r="N68" i="5"/>
  <c r="B306" i="3" s="1"/>
  <c r="N52" i="5"/>
  <c r="B290" i="3" s="1"/>
  <c r="N36" i="5"/>
  <c r="B274" i="3" s="1"/>
  <c r="N20" i="5"/>
  <c r="B258" i="3" s="1"/>
  <c r="N12" i="5"/>
  <c r="B250" i="3" s="1"/>
  <c r="N116" i="5"/>
  <c r="B354" i="3" s="1"/>
  <c r="N132" i="5"/>
  <c r="B370" i="3" s="1"/>
  <c r="N187" i="5"/>
  <c r="B425" i="3" s="1"/>
  <c r="N203" i="5"/>
  <c r="B441" i="3" s="1"/>
  <c r="N219" i="5"/>
  <c r="B457" i="3" s="1"/>
  <c r="N251" i="5"/>
  <c r="B489" i="3" s="1"/>
  <c r="N83" i="5"/>
  <c r="B321" i="3" s="1"/>
  <c r="N123" i="5"/>
  <c r="B361" i="3" s="1"/>
  <c r="N139" i="5"/>
  <c r="B377" i="3" s="1"/>
  <c r="N246" i="5"/>
  <c r="B484" i="3" s="1"/>
  <c r="N75" i="5"/>
  <c r="B313" i="3" s="1"/>
  <c r="N23" i="5"/>
  <c r="B261" i="3" s="1"/>
  <c r="N7" i="5"/>
  <c r="B245" i="3" s="1"/>
  <c r="N155" i="5"/>
  <c r="B393" i="3" s="1"/>
  <c r="N233" i="5"/>
  <c r="B471" i="3" s="1"/>
  <c r="N156" i="5"/>
  <c r="B394" i="3" s="1"/>
  <c r="N196" i="5"/>
  <c r="B434" i="3" s="1"/>
  <c r="N2" i="5"/>
  <c r="N26" i="5"/>
  <c r="N10" i="5"/>
  <c r="B248" i="3" s="1"/>
  <c r="N121" i="5"/>
  <c r="B359" i="3" s="1"/>
  <c r="N136" i="5"/>
  <c r="B374" i="3" s="1"/>
  <c r="N157" i="5"/>
  <c r="B395" i="3" s="1"/>
  <c r="N174" i="5"/>
  <c r="B412" i="3" s="1"/>
  <c r="N189" i="5"/>
  <c r="B427" i="3" s="1"/>
  <c r="N205" i="5"/>
  <c r="B443" i="3" s="1"/>
  <c r="N220" i="5"/>
  <c r="B458" i="3" s="1"/>
  <c r="N244" i="5"/>
  <c r="B482" i="3" s="1"/>
  <c r="N160" i="5"/>
  <c r="B398" i="3" s="1"/>
  <c r="N188" i="5"/>
  <c r="B426" i="3" s="1"/>
  <c r="N216" i="5"/>
  <c r="B454" i="3" s="1"/>
  <c r="N247" i="5"/>
  <c r="B485" i="3" s="1"/>
  <c r="N33" i="5"/>
  <c r="B271" i="3" s="1"/>
  <c r="N17" i="5"/>
  <c r="B255" i="3" s="1"/>
  <c r="N110" i="5"/>
  <c r="N126" i="5"/>
  <c r="B364" i="3" s="1"/>
  <c r="N141" i="5"/>
  <c r="B379" i="3" s="1"/>
  <c r="N162" i="5"/>
  <c r="B400" i="3" s="1"/>
  <c r="N186" i="5"/>
  <c r="B424" i="3" s="1"/>
  <c r="N202" i="5"/>
  <c r="B440" i="3" s="1"/>
  <c r="N218" i="5"/>
  <c r="N232" i="5"/>
  <c r="B470" i="3" s="1"/>
  <c r="N249" i="5"/>
  <c r="B487" i="3" s="1"/>
  <c r="N79" i="5"/>
  <c r="B317" i="3" s="1"/>
  <c r="N106" i="5"/>
  <c r="B344" i="3" s="1"/>
  <c r="N59" i="5"/>
  <c r="B297" i="3" s="1"/>
  <c r="N43" i="5"/>
  <c r="B281" i="3" s="1"/>
  <c r="N87" i="5"/>
  <c r="B325" i="3" s="1"/>
  <c r="N103" i="5"/>
  <c r="B341" i="3" s="1"/>
  <c r="N90" i="5"/>
  <c r="B328" i="3" s="1"/>
  <c r="N58" i="5"/>
  <c r="B296" i="3" s="1"/>
  <c r="N42" i="5"/>
  <c r="B280" i="3" s="1"/>
  <c r="N84" i="5"/>
  <c r="B322" i="3" s="1"/>
  <c r="N100" i="5"/>
  <c r="B338" i="3" s="1"/>
  <c r="N73" i="5"/>
  <c r="B311" i="3" s="1"/>
  <c r="N45" i="5"/>
  <c r="B283" i="3" s="1"/>
  <c r="N85" i="5"/>
  <c r="B323" i="3" s="1"/>
  <c r="N101" i="5"/>
  <c r="B339" i="3" s="1"/>
  <c r="N28" i="5"/>
  <c r="B266" i="3" s="1"/>
  <c r="N176" i="5"/>
  <c r="B414" i="3" s="1"/>
  <c r="N239" i="5"/>
  <c r="B477" i="3" s="1"/>
  <c r="N131" i="5"/>
  <c r="B369" i="3" s="1"/>
  <c r="N171" i="5"/>
  <c r="B409" i="3" s="1"/>
  <c r="N163" i="5"/>
  <c r="B401" i="3" s="1"/>
  <c r="N212" i="5"/>
  <c r="B450" i="3" s="1"/>
  <c r="N113" i="5"/>
  <c r="B351" i="3" s="1"/>
  <c r="N164" i="5"/>
  <c r="B402" i="3" s="1"/>
  <c r="N213" i="5"/>
  <c r="B451" i="3" s="1"/>
  <c r="N173" i="5"/>
  <c r="B411" i="3" s="1"/>
  <c r="N57" i="5"/>
  <c r="B295" i="3" s="1"/>
  <c r="N118" i="5"/>
  <c r="B356" i="3" s="1"/>
  <c r="N175" i="5"/>
  <c r="B413" i="3" s="1"/>
  <c r="N225" i="5"/>
  <c r="B463" i="3" s="1"/>
  <c r="N94" i="5"/>
  <c r="B332" i="3" s="1"/>
  <c r="N76" i="5"/>
  <c r="B314" i="3" s="1"/>
  <c r="N66" i="5"/>
  <c r="B304" i="3" s="1"/>
  <c r="N92" i="5"/>
  <c r="B330" i="3" s="1"/>
  <c r="N78" i="5"/>
  <c r="B316" i="3" s="1"/>
  <c r="N64" i="5"/>
  <c r="B302" i="3" s="1"/>
  <c r="N48" i="5"/>
  <c r="B286" i="3" s="1"/>
  <c r="N32" i="5"/>
  <c r="B270" i="3" s="1"/>
  <c r="N16" i="5"/>
  <c r="B254" i="3" s="1"/>
  <c r="N8" i="5"/>
  <c r="B246" i="3" s="1"/>
  <c r="N120" i="5"/>
  <c r="B358" i="3" s="1"/>
  <c r="N172" i="5"/>
  <c r="B410" i="3" s="1"/>
  <c r="N191" i="5"/>
  <c r="B429" i="3" s="1"/>
  <c r="N207" i="5"/>
  <c r="B445" i="3" s="1"/>
  <c r="N227" i="5"/>
  <c r="B465" i="3" s="1"/>
  <c r="N145" i="5"/>
  <c r="B383" i="3" s="1"/>
  <c r="N111" i="5"/>
  <c r="B349" i="3" s="1"/>
  <c r="N127" i="5"/>
  <c r="B365" i="3" s="1"/>
  <c r="N143" i="5"/>
  <c r="B381" i="3" s="1"/>
  <c r="N250" i="5"/>
  <c r="B488" i="3" s="1"/>
  <c r="N235" i="5"/>
  <c r="B473" i="3" s="1"/>
  <c r="N19" i="5"/>
  <c r="B257" i="3" s="1"/>
  <c r="N3" i="5"/>
  <c r="B241" i="3" s="1"/>
  <c r="N159" i="5"/>
  <c r="B397" i="3" s="1"/>
  <c r="N237" i="5"/>
  <c r="B475" i="3" s="1"/>
  <c r="N170" i="5"/>
  <c r="N204" i="5"/>
  <c r="B442" i="3" s="1"/>
  <c r="N38" i="5"/>
  <c r="N22" i="5"/>
  <c r="B260" i="3" s="1"/>
  <c r="N6" i="5"/>
  <c r="B244" i="3" s="1"/>
  <c r="N125" i="5"/>
  <c r="B363" i="3" s="1"/>
  <c r="N140" i="5"/>
  <c r="B378" i="3" s="1"/>
  <c r="N161" i="5"/>
  <c r="B399" i="3" s="1"/>
  <c r="N178" i="5"/>
  <c r="B416" i="3" s="1"/>
  <c r="N193" i="5"/>
  <c r="B431" i="3" s="1"/>
  <c r="N209" i="5"/>
  <c r="B447" i="3" s="1"/>
  <c r="N224" i="5"/>
  <c r="B462" i="3" s="1"/>
  <c r="N248" i="5"/>
  <c r="B486" i="3" s="1"/>
  <c r="N166" i="5"/>
  <c r="B404" i="3" s="1"/>
  <c r="N192" i="5"/>
  <c r="B430" i="3" s="1"/>
  <c r="N223" i="5"/>
  <c r="B461" i="3" s="1"/>
  <c r="N61" i="5"/>
  <c r="B299" i="3" s="1"/>
  <c r="N29" i="5"/>
  <c r="B267" i="3" s="1"/>
  <c r="N13" i="5"/>
  <c r="B251" i="3" s="1"/>
  <c r="N114" i="5"/>
  <c r="B352" i="3" s="1"/>
  <c r="N130" i="5"/>
  <c r="B368" i="3" s="1"/>
  <c r="N144" i="5"/>
  <c r="B382" i="3" s="1"/>
  <c r="N168" i="5"/>
  <c r="B406" i="3" s="1"/>
  <c r="N190" i="5"/>
  <c r="B428" i="3" s="1"/>
  <c r="N206" i="5"/>
  <c r="N221" i="5"/>
  <c r="B459" i="3" s="1"/>
  <c r="N238" i="5"/>
  <c r="B476" i="3" s="1"/>
  <c r="N252" i="5"/>
  <c r="B490" i="3" s="1"/>
  <c r="N86" i="5"/>
  <c r="N71" i="5"/>
  <c r="B309" i="3" s="1"/>
  <c r="N55" i="5"/>
  <c r="B293" i="3" s="1"/>
  <c r="N39" i="5"/>
  <c r="B277" i="3" s="1"/>
  <c r="N91" i="5"/>
  <c r="B329" i="3" s="1"/>
  <c r="N107" i="5"/>
  <c r="B345" i="3" s="1"/>
  <c r="N102" i="5"/>
  <c r="B340" i="3" s="1"/>
  <c r="N54" i="5"/>
  <c r="B292" i="3" s="1"/>
  <c r="N74" i="5"/>
  <c r="N104" i="5"/>
  <c r="B342" i="3" s="1"/>
  <c r="N41" i="5"/>
  <c r="B279" i="3" s="1"/>
  <c r="N105" i="5"/>
  <c r="B343" i="3" s="1"/>
  <c r="N44" i="5"/>
  <c r="B282" i="3" s="1"/>
  <c r="N4" i="5"/>
  <c r="B242" i="3" s="1"/>
  <c r="N195" i="5"/>
  <c r="B433" i="3" s="1"/>
  <c r="N138" i="5"/>
  <c r="B376" i="3" s="1"/>
  <c r="N222" i="5"/>
  <c r="B460" i="3" s="1"/>
  <c r="N15" i="5"/>
  <c r="B253" i="3" s="1"/>
  <c r="N253" i="5"/>
  <c r="B491" i="3" s="1"/>
  <c r="N34" i="5"/>
  <c r="B272" i="3" s="1"/>
  <c r="N129" i="5"/>
  <c r="B367" i="3" s="1"/>
  <c r="N181" i="5"/>
  <c r="B419" i="3" s="1"/>
  <c r="N231" i="5"/>
  <c r="B469" i="3" s="1"/>
  <c r="N200" i="5"/>
  <c r="B438" i="3" s="1"/>
  <c r="N25" i="5"/>
  <c r="B263" i="3" s="1"/>
  <c r="N151" i="5"/>
  <c r="B389" i="3" s="1"/>
  <c r="N210" i="5"/>
  <c r="B448" i="3" s="1"/>
  <c r="N35" i="5"/>
  <c r="B273" i="3" s="1"/>
  <c r="N51" i="5"/>
  <c r="B289" i="3" s="1"/>
  <c r="N53" i="5"/>
  <c r="B291" i="3" s="1"/>
  <c r="N50" i="5"/>
  <c r="N108" i="5"/>
  <c r="B346" i="3" s="1"/>
  <c r="N93" i="5"/>
  <c r="B331" i="3" s="1"/>
  <c r="W111" i="3"/>
  <c r="W113" i="3"/>
  <c r="W106" i="3"/>
  <c r="W103" i="3"/>
  <c r="W91" i="3"/>
  <c r="U91" i="3"/>
  <c r="N91" i="3"/>
  <c r="O91" i="3" s="1"/>
  <c r="V91" i="3" s="1"/>
  <c r="U525" i="3"/>
  <c r="W525" i="3"/>
  <c r="N525" i="3"/>
  <c r="O525" i="3" s="1"/>
  <c r="V525" i="3" s="1"/>
  <c r="W105" i="3"/>
  <c r="W517" i="3"/>
  <c r="U517" i="3"/>
  <c r="N517" i="3"/>
  <c r="O517" i="3" s="1"/>
  <c r="V517" i="3" s="1"/>
  <c r="N504" i="3"/>
  <c r="O504" i="3" s="1"/>
  <c r="V504" i="3" s="1"/>
  <c r="W510" i="3"/>
  <c r="U510" i="3"/>
  <c r="N510" i="3"/>
  <c r="O510" i="3" s="1"/>
  <c r="V510" i="3" s="1"/>
  <c r="W495" i="3"/>
  <c r="W123" i="3"/>
  <c r="W526" i="3"/>
  <c r="U526" i="3"/>
  <c r="N526" i="3"/>
  <c r="O526" i="3" s="1"/>
  <c r="V526" i="3" s="1"/>
  <c r="W515" i="3"/>
  <c r="U515" i="3"/>
  <c r="N515" i="3"/>
  <c r="O515" i="3" s="1"/>
  <c r="V515" i="3" s="1"/>
  <c r="N139" i="3"/>
  <c r="O139" i="3" s="1"/>
  <c r="V139" i="3" s="1"/>
  <c r="U139" i="3"/>
  <c r="W139" i="3"/>
  <c r="U496" i="3"/>
  <c r="W506" i="3"/>
  <c r="U506" i="3"/>
  <c r="N506" i="3"/>
  <c r="O506" i="3" s="1"/>
  <c r="V506" i="3" s="1"/>
  <c r="N151" i="3"/>
  <c r="O151" i="3" s="1"/>
  <c r="V151" i="3" s="1"/>
  <c r="W151" i="3"/>
  <c r="H5" i="7" s="1"/>
  <c r="I5" i="7" s="1"/>
  <c r="I10" i="7" s="1"/>
  <c r="U151" i="3"/>
  <c r="N498" i="3"/>
  <c r="O498" i="3" s="1"/>
  <c r="V498" i="3" s="1"/>
  <c r="W128" i="3"/>
  <c r="U26" i="2"/>
  <c r="V26" i="2" s="1"/>
  <c r="W92" i="3"/>
  <c r="U92" i="3"/>
  <c r="N92" i="3"/>
  <c r="O92" i="3" s="1"/>
  <c r="V92" i="3" s="1"/>
  <c r="U522" i="3"/>
  <c r="W522" i="3"/>
  <c r="N522" i="3"/>
  <c r="O522" i="3" s="1"/>
  <c r="V522" i="3" s="1"/>
  <c r="U528" i="3"/>
  <c r="W528" i="3"/>
  <c r="N528" i="3"/>
  <c r="O528" i="3" s="1"/>
  <c r="V528" i="3" s="1"/>
  <c r="W516" i="3"/>
  <c r="N516" i="3"/>
  <c r="O516" i="3" s="1"/>
  <c r="V516" i="3" s="1"/>
  <c r="W112" i="3"/>
  <c r="W114" i="3"/>
  <c r="W137" i="3"/>
  <c r="W140" i="3"/>
  <c r="V159" i="3"/>
  <c r="W143" i="3"/>
  <c r="W121" i="3"/>
  <c r="W138" i="3"/>
  <c r="U159" i="3"/>
  <c r="W162" i="3"/>
  <c r="U162" i="3"/>
  <c r="W126" i="3"/>
  <c r="U126" i="3"/>
  <c r="V126" i="3"/>
  <c r="W167" i="3"/>
  <c r="U167" i="3"/>
  <c r="V167" i="3"/>
  <c r="W127" i="3"/>
  <c r="W122" i="3"/>
  <c r="W150" i="3"/>
  <c r="V149" i="3"/>
  <c r="V168" i="3"/>
  <c r="N174" i="3"/>
  <c r="O174" i="3" s="1"/>
  <c r="V174" i="3" s="1"/>
  <c r="V148" i="3"/>
  <c r="U148" i="3"/>
  <c r="W148" i="3"/>
  <c r="V158" i="3"/>
  <c r="U158" i="3"/>
  <c r="W158" i="3"/>
  <c r="W166" i="3"/>
  <c r="U166" i="3"/>
  <c r="V166" i="3"/>
  <c r="U147" i="3"/>
  <c r="W147" i="3"/>
  <c r="C8" i="7" s="1"/>
  <c r="D8" i="7" s="1"/>
  <c r="V147" i="3"/>
  <c r="V501" i="3"/>
  <c r="U501" i="3"/>
  <c r="W212" i="3"/>
  <c r="BB35" i="2"/>
  <c r="BH35" i="2" s="1"/>
  <c r="BI35" i="2" s="1"/>
  <c r="N524" i="3" s="1"/>
  <c r="O524" i="3" s="1"/>
  <c r="W215" i="3"/>
  <c r="W500" i="3"/>
  <c r="B180" i="3"/>
  <c r="W180" i="3" s="1"/>
  <c r="C5" i="7" s="1"/>
  <c r="D5" i="7" s="1"/>
  <c r="U513" i="3"/>
  <c r="W513" i="3"/>
  <c r="V513" i="3"/>
  <c r="W43" i="3"/>
  <c r="U43" i="3"/>
  <c r="N43" i="3"/>
  <c r="O43" i="3" s="1"/>
  <c r="V43" i="3" s="1"/>
  <c r="CG24" i="2"/>
  <c r="BR35" i="2" s="1"/>
  <c r="U68" i="3"/>
  <c r="W68" i="3"/>
  <c r="N68" i="3"/>
  <c r="O68" i="3" s="1"/>
  <c r="V68" i="3" s="1"/>
  <c r="CG23" i="2"/>
  <c r="BR34" i="2" s="1"/>
  <c r="CG22" i="2"/>
  <c r="BR33" i="2" s="1"/>
  <c r="CG26" i="2"/>
  <c r="BR37" i="2" s="1"/>
  <c r="U234" i="3"/>
  <c r="N234" i="3"/>
  <c r="O234" i="3" s="1"/>
  <c r="V234" i="3" s="1"/>
  <c r="CG27" i="2"/>
  <c r="BR38" i="2" s="1"/>
  <c r="CG20" i="2"/>
  <c r="BR31" i="2" s="1"/>
  <c r="U238" i="3"/>
  <c r="N238" i="3"/>
  <c r="O238" i="3" s="1"/>
  <c r="V238" i="3" s="1"/>
  <c r="CG21" i="2"/>
  <c r="BR32" i="2" s="1"/>
  <c r="CG19" i="2"/>
  <c r="BR30" i="2" s="1"/>
  <c r="CG25" i="2"/>
  <c r="BR36" i="2" s="1"/>
  <c r="H59" i="2"/>
  <c r="I59" i="2" s="1"/>
  <c r="W512" i="3"/>
  <c r="U512" i="3"/>
  <c r="V512" i="3"/>
  <c r="U140" i="3"/>
  <c r="U119" i="3"/>
  <c r="V119" i="3"/>
  <c r="W507" i="3"/>
  <c r="C10" i="7" s="1"/>
  <c r="D10" i="7" s="1"/>
  <c r="U76" i="3"/>
  <c r="N76" i="3"/>
  <c r="O76" i="3" s="1"/>
  <c r="V76" i="3" s="1"/>
  <c r="U74" i="3"/>
  <c r="N74" i="3"/>
  <c r="O74" i="3" s="1"/>
  <c r="V74" i="3" s="1"/>
  <c r="U116" i="3"/>
  <c r="V116" i="3"/>
  <c r="W508" i="3"/>
  <c r="U499" i="3"/>
  <c r="U120" i="3"/>
  <c r="V120" i="3"/>
  <c r="U150" i="3"/>
  <c r="V150" i="3"/>
  <c r="U196" i="3"/>
  <c r="N196" i="3"/>
  <c r="O196" i="3" s="1"/>
  <c r="V196" i="3" s="1"/>
  <c r="U137" i="3"/>
  <c r="V137" i="3"/>
  <c r="U216" i="3"/>
  <c r="N216" i="3"/>
  <c r="O216" i="3" s="1"/>
  <c r="V216" i="3" s="1"/>
  <c r="U205" i="3"/>
  <c r="N205" i="3"/>
  <c r="O205" i="3" s="1"/>
  <c r="V205" i="3" s="1"/>
  <c r="U206" i="3"/>
  <c r="N206" i="3"/>
  <c r="O206" i="3" s="1"/>
  <c r="V206" i="3" s="1"/>
  <c r="U184" i="3"/>
  <c r="N184" i="3"/>
  <c r="O184" i="3" s="1"/>
  <c r="V184" i="3" s="1"/>
  <c r="U181" i="3"/>
  <c r="N181" i="3"/>
  <c r="O181" i="3" s="1"/>
  <c r="V181" i="3" s="1"/>
  <c r="U186" i="3"/>
  <c r="N186" i="3"/>
  <c r="O186" i="3" s="1"/>
  <c r="V186" i="3" s="1"/>
  <c r="U183" i="3"/>
  <c r="N183" i="3"/>
  <c r="O183" i="3" s="1"/>
  <c r="V183" i="3" s="1"/>
  <c r="U219" i="3"/>
  <c r="N219" i="3"/>
  <c r="O219" i="3" s="1"/>
  <c r="V219" i="3" s="1"/>
  <c r="U127" i="3"/>
  <c r="V127" i="3"/>
  <c r="U197" i="3"/>
  <c r="N197" i="3"/>
  <c r="O197" i="3" s="1"/>
  <c r="V197" i="3" s="1"/>
  <c r="U176" i="3"/>
  <c r="N176" i="3"/>
  <c r="O176" i="3" s="1"/>
  <c r="V176" i="3" s="1"/>
  <c r="U221" i="3"/>
  <c r="N221" i="3"/>
  <c r="O221" i="3" s="1"/>
  <c r="V221" i="3" s="1"/>
  <c r="U213" i="3"/>
  <c r="N213" i="3"/>
  <c r="O213" i="3" s="1"/>
  <c r="V213" i="3" s="1"/>
  <c r="U182" i="3"/>
  <c r="N182" i="3"/>
  <c r="O182" i="3" s="1"/>
  <c r="V182" i="3" s="1"/>
  <c r="U218" i="3"/>
  <c r="N218" i="3"/>
  <c r="O218" i="3" s="1"/>
  <c r="V218" i="3" s="1"/>
  <c r="U121" i="3"/>
  <c r="V121" i="3"/>
  <c r="U138" i="3"/>
  <c r="V138" i="3"/>
  <c r="U202" i="3"/>
  <c r="N202" i="3"/>
  <c r="O202" i="3" s="1"/>
  <c r="V202" i="3" s="1"/>
  <c r="U208" i="3"/>
  <c r="N208" i="3"/>
  <c r="O208" i="3" s="1"/>
  <c r="V208" i="3" s="1"/>
  <c r="U189" i="3"/>
  <c r="N189" i="3"/>
  <c r="O189" i="3" s="1"/>
  <c r="V189" i="3" s="1"/>
  <c r="U185" i="3"/>
  <c r="N185" i="3"/>
  <c r="O185" i="3" s="1"/>
  <c r="V185" i="3" s="1"/>
  <c r="U207" i="3"/>
  <c r="N207" i="3"/>
  <c r="O207" i="3" s="1"/>
  <c r="V207" i="3" s="1"/>
  <c r="U85" i="3"/>
  <c r="N85" i="3"/>
  <c r="O85" i="3" s="1"/>
  <c r="V85" i="3" s="1"/>
  <c r="U122" i="3"/>
  <c r="V122" i="3"/>
  <c r="U203" i="3"/>
  <c r="N203" i="3"/>
  <c r="O203" i="3" s="1"/>
  <c r="V203" i="3" s="1"/>
  <c r="U220" i="3"/>
  <c r="N220" i="3"/>
  <c r="O220" i="3" s="1"/>
  <c r="V220" i="3" s="1"/>
  <c r="U204" i="3"/>
  <c r="N204" i="3"/>
  <c r="O204" i="3" s="1"/>
  <c r="V204" i="3" s="1"/>
  <c r="U225" i="3"/>
  <c r="N225" i="3"/>
  <c r="O225" i="3" s="1"/>
  <c r="V225" i="3" s="1"/>
  <c r="U209" i="3"/>
  <c r="N209" i="3"/>
  <c r="O209" i="3" s="1"/>
  <c r="V209" i="3" s="1"/>
  <c r="U214" i="3"/>
  <c r="N214" i="3"/>
  <c r="O214" i="3" s="1"/>
  <c r="V214" i="3" s="1"/>
  <c r="U217" i="3"/>
  <c r="N217" i="3"/>
  <c r="O217" i="3" s="1"/>
  <c r="V217" i="3" s="1"/>
  <c r="D12" i="7" l="1"/>
  <c r="U504" i="3"/>
  <c r="N211" i="3"/>
  <c r="O211" i="3" s="1"/>
  <c r="V211" i="3" s="1"/>
  <c r="U211" i="3"/>
  <c r="U215" i="3"/>
  <c r="U498" i="3"/>
  <c r="U419" i="3"/>
  <c r="W419" i="3"/>
  <c r="N419" i="3"/>
  <c r="O419" i="3" s="1"/>
  <c r="V419" i="3" s="1"/>
  <c r="U342" i="3"/>
  <c r="W342" i="3"/>
  <c r="N342" i="3"/>
  <c r="O342" i="3" s="1"/>
  <c r="V342" i="3" s="1"/>
  <c r="U309" i="3"/>
  <c r="W309" i="3"/>
  <c r="N309" i="3"/>
  <c r="O309" i="3" s="1"/>
  <c r="V309" i="3" s="1"/>
  <c r="W267" i="3"/>
  <c r="U267" i="3"/>
  <c r="N267" i="3"/>
  <c r="O267" i="3" s="1"/>
  <c r="V267" i="3" s="1"/>
  <c r="W363" i="3"/>
  <c r="U363" i="3"/>
  <c r="N363" i="3"/>
  <c r="O363" i="3" s="1"/>
  <c r="V363" i="3" s="1"/>
  <c r="U241" i="3"/>
  <c r="W241" i="3"/>
  <c r="N241" i="3"/>
  <c r="O241" i="3" s="1"/>
  <c r="V241" i="3" s="1"/>
  <c r="W358" i="3"/>
  <c r="U358" i="3"/>
  <c r="N358" i="3"/>
  <c r="O358" i="3" s="1"/>
  <c r="V358" i="3" s="1"/>
  <c r="U413" i="3"/>
  <c r="W413" i="3"/>
  <c r="N413" i="3"/>
  <c r="O413" i="3" s="1"/>
  <c r="V413" i="3" s="1"/>
  <c r="W414" i="3"/>
  <c r="U414" i="3"/>
  <c r="N414" i="3"/>
  <c r="O414" i="3" s="1"/>
  <c r="V414" i="3" s="1"/>
  <c r="U325" i="3"/>
  <c r="W325" i="3"/>
  <c r="N325" i="3"/>
  <c r="O325" i="3" s="1"/>
  <c r="V325" i="3" s="1"/>
  <c r="W364" i="3"/>
  <c r="U364" i="3"/>
  <c r="N364" i="3"/>
  <c r="O364" i="3" s="1"/>
  <c r="V364" i="3" s="1"/>
  <c r="U412" i="3"/>
  <c r="W412" i="3"/>
  <c r="N412" i="3"/>
  <c r="O412" i="3" s="1"/>
  <c r="V412" i="3" s="1"/>
  <c r="U261" i="3"/>
  <c r="W261" i="3"/>
  <c r="N261" i="3"/>
  <c r="O261" i="3" s="1"/>
  <c r="V261" i="3" s="1"/>
  <c r="U306" i="3"/>
  <c r="W306" i="3"/>
  <c r="N306" i="3"/>
  <c r="O306" i="3" s="1"/>
  <c r="V306" i="3" s="1"/>
  <c r="P134" i="5"/>
  <c r="B372" i="3"/>
  <c r="U362" i="3"/>
  <c r="W362" i="3"/>
  <c r="N362" i="3"/>
  <c r="O362" i="3" s="1"/>
  <c r="V362" i="3" s="1"/>
  <c r="W284" i="3"/>
  <c r="U284" i="3"/>
  <c r="N284" i="3"/>
  <c r="O284" i="3" s="1"/>
  <c r="V284" i="3" s="1"/>
  <c r="W265" i="3"/>
  <c r="U265" i="3"/>
  <c r="N265" i="3"/>
  <c r="O265" i="3" s="1"/>
  <c r="V265" i="3" s="1"/>
  <c r="B360" i="3"/>
  <c r="P122" i="5"/>
  <c r="W405" i="3"/>
  <c r="U405" i="3"/>
  <c r="N405" i="3"/>
  <c r="O405" i="3" s="1"/>
  <c r="V405" i="3" s="1"/>
  <c r="P14" i="5"/>
  <c r="B252" i="3"/>
  <c r="W357" i="3"/>
  <c r="U357" i="3"/>
  <c r="N357" i="3"/>
  <c r="O357" i="3" s="1"/>
  <c r="V357" i="3" s="1"/>
  <c r="W437" i="3"/>
  <c r="U437" i="3"/>
  <c r="N437" i="3"/>
  <c r="O437" i="3" s="1"/>
  <c r="V437" i="3" s="1"/>
  <c r="U262" i="3"/>
  <c r="W262" i="3"/>
  <c r="N262" i="3"/>
  <c r="O262" i="3" s="1"/>
  <c r="V262" i="3" s="1"/>
  <c r="U403" i="3"/>
  <c r="W403" i="3"/>
  <c r="N403" i="3"/>
  <c r="O403" i="3" s="1"/>
  <c r="V403" i="3" s="1"/>
  <c r="W331" i="3"/>
  <c r="U331" i="3"/>
  <c r="N331" i="3"/>
  <c r="O331" i="3" s="1"/>
  <c r="V331" i="3" s="1"/>
  <c r="U289" i="3"/>
  <c r="W289" i="3"/>
  <c r="N289" i="3"/>
  <c r="O289" i="3" s="1"/>
  <c r="V289" i="3" s="1"/>
  <c r="U263" i="3"/>
  <c r="W263" i="3"/>
  <c r="N263" i="3"/>
  <c r="O263" i="3" s="1"/>
  <c r="V263" i="3" s="1"/>
  <c r="U367" i="3"/>
  <c r="W367" i="3"/>
  <c r="N367" i="3"/>
  <c r="O367" i="3" s="1"/>
  <c r="V367" i="3" s="1"/>
  <c r="U460" i="3"/>
  <c r="W460" i="3"/>
  <c r="N460" i="3"/>
  <c r="O460" i="3" s="1"/>
  <c r="V460" i="3" s="1"/>
  <c r="U282" i="3"/>
  <c r="W282" i="3"/>
  <c r="N282" i="3"/>
  <c r="O282" i="3" s="1"/>
  <c r="V282" i="3" s="1"/>
  <c r="P74" i="5"/>
  <c r="B312" i="3"/>
  <c r="U329" i="3"/>
  <c r="W329" i="3"/>
  <c r="N329" i="3"/>
  <c r="O329" i="3" s="1"/>
  <c r="V329" i="3" s="1"/>
  <c r="P86" i="5"/>
  <c r="B324" i="3"/>
  <c r="P206" i="5"/>
  <c r="B444" i="3"/>
  <c r="U368" i="3"/>
  <c r="W368" i="3"/>
  <c r="N368" i="3"/>
  <c r="O368" i="3" s="1"/>
  <c r="V368" i="3" s="1"/>
  <c r="W299" i="3"/>
  <c r="U299" i="3"/>
  <c r="N299" i="3"/>
  <c r="O299" i="3" s="1"/>
  <c r="V299" i="3" s="1"/>
  <c r="U486" i="3"/>
  <c r="W486" i="3"/>
  <c r="N486" i="3"/>
  <c r="O486" i="3" s="1"/>
  <c r="V486" i="3" s="1"/>
  <c r="W416" i="3"/>
  <c r="U416" i="3"/>
  <c r="N416" i="3"/>
  <c r="O416" i="3" s="1"/>
  <c r="V416" i="3" s="1"/>
  <c r="W244" i="3"/>
  <c r="U244" i="3"/>
  <c r="N244" i="3"/>
  <c r="O244" i="3" s="1"/>
  <c r="V244" i="3" s="1"/>
  <c r="P170" i="5"/>
  <c r="B408" i="3"/>
  <c r="U257" i="3"/>
  <c r="W257" i="3"/>
  <c r="N257" i="3"/>
  <c r="O257" i="3" s="1"/>
  <c r="V257" i="3" s="1"/>
  <c r="W365" i="3"/>
  <c r="U365" i="3"/>
  <c r="N365" i="3"/>
  <c r="O365" i="3" s="1"/>
  <c r="V365" i="3" s="1"/>
  <c r="U445" i="3"/>
  <c r="W445" i="3"/>
  <c r="N445" i="3"/>
  <c r="O445" i="3" s="1"/>
  <c r="V445" i="3" s="1"/>
  <c r="W246" i="3"/>
  <c r="U246" i="3"/>
  <c r="N246" i="3"/>
  <c r="O246" i="3" s="1"/>
  <c r="V246" i="3" s="1"/>
  <c r="W302" i="3"/>
  <c r="U302" i="3"/>
  <c r="N302" i="3"/>
  <c r="O302" i="3" s="1"/>
  <c r="V302" i="3" s="1"/>
  <c r="U314" i="3"/>
  <c r="W314" i="3"/>
  <c r="N314" i="3"/>
  <c r="O314" i="3" s="1"/>
  <c r="V314" i="3" s="1"/>
  <c r="W356" i="3"/>
  <c r="U356" i="3"/>
  <c r="N356" i="3"/>
  <c r="O356" i="3" s="1"/>
  <c r="V356" i="3" s="1"/>
  <c r="W402" i="3"/>
  <c r="U402" i="3"/>
  <c r="N402" i="3"/>
  <c r="O402" i="3" s="1"/>
  <c r="V402" i="3" s="1"/>
  <c r="W409" i="3"/>
  <c r="U409" i="3"/>
  <c r="N409" i="3"/>
  <c r="O409" i="3" s="1"/>
  <c r="V409" i="3" s="1"/>
  <c r="U266" i="3"/>
  <c r="W266" i="3"/>
  <c r="N266" i="3"/>
  <c r="O266" i="3" s="1"/>
  <c r="V266" i="3" s="1"/>
  <c r="W311" i="3"/>
  <c r="U311" i="3"/>
  <c r="N311" i="3"/>
  <c r="O311" i="3" s="1"/>
  <c r="V311" i="3" s="1"/>
  <c r="U296" i="3"/>
  <c r="W296" i="3"/>
  <c r="N296" i="3"/>
  <c r="O296" i="3" s="1"/>
  <c r="V296" i="3" s="1"/>
  <c r="U281" i="3"/>
  <c r="W281" i="3"/>
  <c r="N281" i="3"/>
  <c r="O281" i="3" s="1"/>
  <c r="V281" i="3" s="1"/>
  <c r="W487" i="3"/>
  <c r="U487" i="3"/>
  <c r="N487" i="3"/>
  <c r="O487" i="3" s="1"/>
  <c r="V487" i="3" s="1"/>
  <c r="W424" i="3"/>
  <c r="U424" i="3"/>
  <c r="N424" i="3"/>
  <c r="O424" i="3" s="1"/>
  <c r="V424" i="3" s="1"/>
  <c r="P110" i="5"/>
  <c r="B348" i="3"/>
  <c r="U454" i="3"/>
  <c r="W454" i="3"/>
  <c r="N454" i="3"/>
  <c r="O454" i="3" s="1"/>
  <c r="V454" i="3" s="1"/>
  <c r="W458" i="3"/>
  <c r="U458" i="3"/>
  <c r="N458" i="3"/>
  <c r="O458" i="3" s="1"/>
  <c r="V458" i="3" s="1"/>
  <c r="W395" i="3"/>
  <c r="U395" i="3"/>
  <c r="N395" i="3"/>
  <c r="O395" i="3" s="1"/>
  <c r="V395" i="3" s="1"/>
  <c r="B264" i="3"/>
  <c r="P26" i="5"/>
  <c r="U471" i="3"/>
  <c r="W471" i="3"/>
  <c r="N471" i="3"/>
  <c r="O471" i="3" s="1"/>
  <c r="V471" i="3" s="1"/>
  <c r="W313" i="3"/>
  <c r="U313" i="3"/>
  <c r="N313" i="3"/>
  <c r="O313" i="3" s="1"/>
  <c r="V313" i="3" s="1"/>
  <c r="W321" i="3"/>
  <c r="U321" i="3"/>
  <c r="N321" i="3"/>
  <c r="O321" i="3" s="1"/>
  <c r="V321" i="3" s="1"/>
  <c r="U425" i="3"/>
  <c r="W425" i="3"/>
  <c r="N425" i="3"/>
  <c r="O425" i="3" s="1"/>
  <c r="V425" i="3" s="1"/>
  <c r="U258" i="3"/>
  <c r="W258" i="3"/>
  <c r="N258" i="3"/>
  <c r="O258" i="3" s="1"/>
  <c r="V258" i="3" s="1"/>
  <c r="U347" i="3"/>
  <c r="W347" i="3"/>
  <c r="N347" i="3"/>
  <c r="O347" i="3" s="1"/>
  <c r="V347" i="3" s="1"/>
  <c r="U305" i="3"/>
  <c r="W305" i="3"/>
  <c r="N305" i="3"/>
  <c r="O305" i="3" s="1"/>
  <c r="V305" i="3" s="1"/>
  <c r="U247" i="3"/>
  <c r="W247" i="3"/>
  <c r="N247" i="3"/>
  <c r="O247" i="3" s="1"/>
  <c r="V247" i="3" s="1"/>
  <c r="U388" i="3"/>
  <c r="W388" i="3"/>
  <c r="N388" i="3"/>
  <c r="O388" i="3" s="1"/>
  <c r="V388" i="3" s="1"/>
  <c r="W407" i="3"/>
  <c r="U407" i="3"/>
  <c r="N407" i="3"/>
  <c r="O407" i="3" s="1"/>
  <c r="V407" i="3" s="1"/>
  <c r="U417" i="3"/>
  <c r="W417" i="3"/>
  <c r="N417" i="3"/>
  <c r="O417" i="3" s="1"/>
  <c r="V417" i="3" s="1"/>
  <c r="U326" i="3"/>
  <c r="W326" i="3"/>
  <c r="N326" i="3"/>
  <c r="O326" i="3" s="1"/>
  <c r="V326" i="3" s="1"/>
  <c r="U308" i="3"/>
  <c r="W308" i="3"/>
  <c r="N308" i="3"/>
  <c r="O308" i="3" s="1"/>
  <c r="V308" i="3" s="1"/>
  <c r="P62" i="5"/>
  <c r="B300" i="3"/>
  <c r="W285" i="3"/>
  <c r="U285" i="3"/>
  <c r="N285" i="3"/>
  <c r="O285" i="3" s="1"/>
  <c r="V285" i="3" s="1"/>
  <c r="U483" i="3"/>
  <c r="W483" i="3"/>
  <c r="N483" i="3"/>
  <c r="O483" i="3" s="1"/>
  <c r="V483" i="3" s="1"/>
  <c r="P182" i="5"/>
  <c r="B420" i="3"/>
  <c r="W243" i="3"/>
  <c r="U243" i="3"/>
  <c r="N243" i="3"/>
  <c r="O243" i="3" s="1"/>
  <c r="V243" i="3" s="1"/>
  <c r="U446" i="3"/>
  <c r="W446" i="3"/>
  <c r="N446" i="3"/>
  <c r="O446" i="3" s="1"/>
  <c r="V446" i="3" s="1"/>
  <c r="U455" i="3"/>
  <c r="W455" i="3"/>
  <c r="N455" i="3"/>
  <c r="O455" i="3" s="1"/>
  <c r="V455" i="3" s="1"/>
  <c r="W392" i="3"/>
  <c r="U392" i="3"/>
  <c r="N392" i="3"/>
  <c r="O392" i="3" s="1"/>
  <c r="V392" i="3" s="1"/>
  <c r="U268" i="3"/>
  <c r="W268" i="3"/>
  <c r="N268" i="3"/>
  <c r="O268" i="3" s="1"/>
  <c r="V268" i="3" s="1"/>
  <c r="U467" i="3"/>
  <c r="W467" i="3"/>
  <c r="N467" i="3"/>
  <c r="O467" i="3" s="1"/>
  <c r="V467" i="3" s="1"/>
  <c r="U474" i="3"/>
  <c r="W474" i="3"/>
  <c r="N474" i="3"/>
  <c r="O474" i="3" s="1"/>
  <c r="V474" i="3" s="1"/>
  <c r="W380" i="3"/>
  <c r="U380" i="3"/>
  <c r="N380" i="3"/>
  <c r="O380" i="3" s="1"/>
  <c r="V380" i="3" s="1"/>
  <c r="U421" i="3"/>
  <c r="W421" i="3"/>
  <c r="N421" i="3"/>
  <c r="O421" i="3" s="1"/>
  <c r="V421" i="3" s="1"/>
  <c r="W278" i="3"/>
  <c r="U278" i="3"/>
  <c r="N278" i="3"/>
  <c r="O278" i="3" s="1"/>
  <c r="V278" i="3" s="1"/>
  <c r="U389" i="3"/>
  <c r="W389" i="3"/>
  <c r="N389" i="3"/>
  <c r="O389" i="3" s="1"/>
  <c r="V389" i="3" s="1"/>
  <c r="W253" i="3"/>
  <c r="U253" i="3"/>
  <c r="N253" i="3"/>
  <c r="O253" i="3" s="1"/>
  <c r="V253" i="3" s="1"/>
  <c r="U345" i="3"/>
  <c r="W345" i="3"/>
  <c r="N345" i="3"/>
  <c r="O345" i="3" s="1"/>
  <c r="V345" i="3" s="1"/>
  <c r="W382" i="3"/>
  <c r="U382" i="3"/>
  <c r="N382" i="3"/>
  <c r="O382" i="3" s="1"/>
  <c r="V382" i="3" s="1"/>
  <c r="W431" i="3"/>
  <c r="U431" i="3"/>
  <c r="N431" i="3"/>
  <c r="O431" i="3" s="1"/>
  <c r="V431" i="3" s="1"/>
  <c r="W381" i="3"/>
  <c r="U381" i="3"/>
  <c r="N381" i="3"/>
  <c r="O381" i="3" s="1"/>
  <c r="V381" i="3" s="1"/>
  <c r="W286" i="3"/>
  <c r="U286" i="3"/>
  <c r="N286" i="3"/>
  <c r="O286" i="3" s="1"/>
  <c r="V286" i="3" s="1"/>
  <c r="W451" i="3"/>
  <c r="U451" i="3"/>
  <c r="N451" i="3"/>
  <c r="O451" i="3" s="1"/>
  <c r="V451" i="3" s="1"/>
  <c r="W280" i="3"/>
  <c r="U280" i="3"/>
  <c r="N280" i="3"/>
  <c r="O280" i="3" s="1"/>
  <c r="V280" i="3" s="1"/>
  <c r="W440" i="3"/>
  <c r="U440" i="3"/>
  <c r="N440" i="3"/>
  <c r="O440" i="3" s="1"/>
  <c r="V440" i="3" s="1"/>
  <c r="W482" i="3"/>
  <c r="U482" i="3"/>
  <c r="N482" i="3"/>
  <c r="O482" i="3" s="1"/>
  <c r="V482" i="3" s="1"/>
  <c r="U394" i="3"/>
  <c r="W394" i="3"/>
  <c r="N394" i="3"/>
  <c r="O394" i="3" s="1"/>
  <c r="V394" i="3" s="1"/>
  <c r="U441" i="3"/>
  <c r="W441" i="3"/>
  <c r="N441" i="3"/>
  <c r="O441" i="3" s="1"/>
  <c r="V441" i="3" s="1"/>
  <c r="U333" i="3"/>
  <c r="W333" i="3"/>
  <c r="N333" i="3"/>
  <c r="O333" i="3" s="1"/>
  <c r="V333" i="3" s="1"/>
  <c r="W386" i="3"/>
  <c r="U386" i="3"/>
  <c r="N386" i="3"/>
  <c r="O386" i="3" s="1"/>
  <c r="V386" i="3" s="1"/>
  <c r="U287" i="3"/>
  <c r="W287" i="3"/>
  <c r="N287" i="3"/>
  <c r="O287" i="3" s="1"/>
  <c r="V287" i="3" s="1"/>
  <c r="U436" i="3"/>
  <c r="W436" i="3"/>
  <c r="N436" i="3"/>
  <c r="O436" i="3" s="1"/>
  <c r="V436" i="3" s="1"/>
  <c r="W479" i="3"/>
  <c r="U479" i="3"/>
  <c r="N479" i="3"/>
  <c r="O479" i="3" s="1"/>
  <c r="V479" i="3" s="1"/>
  <c r="U385" i="3"/>
  <c r="W385" i="3"/>
  <c r="N385" i="3"/>
  <c r="O385" i="3" s="1"/>
  <c r="V385" i="3" s="1"/>
  <c r="O89" i="3"/>
  <c r="V89" i="3" s="1"/>
  <c r="W89" i="3"/>
  <c r="U89" i="3"/>
  <c r="W498" i="3"/>
  <c r="W504" i="3"/>
  <c r="W346" i="3"/>
  <c r="U346" i="3"/>
  <c r="N346" i="3"/>
  <c r="O346" i="3" s="1"/>
  <c r="V346" i="3" s="1"/>
  <c r="U273" i="3"/>
  <c r="W273" i="3"/>
  <c r="N273" i="3"/>
  <c r="O273" i="3" s="1"/>
  <c r="V273" i="3" s="1"/>
  <c r="W438" i="3"/>
  <c r="U438" i="3"/>
  <c r="N438" i="3"/>
  <c r="O438" i="3" s="1"/>
  <c r="V438" i="3" s="1"/>
  <c r="W272" i="3"/>
  <c r="U272" i="3"/>
  <c r="N272" i="3"/>
  <c r="O272" i="3" s="1"/>
  <c r="V272" i="3" s="1"/>
  <c r="W376" i="3"/>
  <c r="U376" i="3"/>
  <c r="N376" i="3"/>
  <c r="O376" i="3" s="1"/>
  <c r="V376" i="3" s="1"/>
  <c r="W343" i="3"/>
  <c r="U343" i="3"/>
  <c r="N343" i="3"/>
  <c r="O343" i="3" s="1"/>
  <c r="V343" i="3" s="1"/>
  <c r="W292" i="3"/>
  <c r="U292" i="3"/>
  <c r="N292" i="3"/>
  <c r="O292" i="3" s="1"/>
  <c r="V292" i="3" s="1"/>
  <c r="W277" i="3"/>
  <c r="U277" i="3"/>
  <c r="N277" i="3"/>
  <c r="O277" i="3" s="1"/>
  <c r="V277" i="3" s="1"/>
  <c r="U490" i="3"/>
  <c r="W490" i="3"/>
  <c r="N490" i="3"/>
  <c r="O490" i="3" s="1"/>
  <c r="V490" i="3" s="1"/>
  <c r="W428" i="3"/>
  <c r="U428" i="3"/>
  <c r="N428" i="3"/>
  <c r="O428" i="3" s="1"/>
  <c r="V428" i="3" s="1"/>
  <c r="U352" i="3"/>
  <c r="W352" i="3"/>
  <c r="N352" i="3"/>
  <c r="O352" i="3" s="1"/>
  <c r="V352" i="3" s="1"/>
  <c r="U461" i="3"/>
  <c r="W461" i="3"/>
  <c r="N461" i="3"/>
  <c r="O461" i="3" s="1"/>
  <c r="V461" i="3" s="1"/>
  <c r="W462" i="3"/>
  <c r="U462" i="3"/>
  <c r="N462" i="3"/>
  <c r="O462" i="3" s="1"/>
  <c r="V462" i="3" s="1"/>
  <c r="W399" i="3"/>
  <c r="U399" i="3"/>
  <c r="N399" i="3"/>
  <c r="O399" i="3" s="1"/>
  <c r="V399" i="3" s="1"/>
  <c r="W260" i="3"/>
  <c r="U260" i="3"/>
  <c r="N260" i="3"/>
  <c r="O260" i="3" s="1"/>
  <c r="V260" i="3" s="1"/>
  <c r="U475" i="3"/>
  <c r="W475" i="3"/>
  <c r="N475" i="3"/>
  <c r="O475" i="3" s="1"/>
  <c r="V475" i="3" s="1"/>
  <c r="U473" i="3"/>
  <c r="W473" i="3"/>
  <c r="N473" i="3"/>
  <c r="O473" i="3" s="1"/>
  <c r="V473" i="3" s="1"/>
  <c r="U349" i="3"/>
  <c r="W349" i="3"/>
  <c r="N349" i="3"/>
  <c r="O349" i="3" s="1"/>
  <c r="V349" i="3" s="1"/>
  <c r="W429" i="3"/>
  <c r="U429" i="3"/>
  <c r="N429" i="3"/>
  <c r="O429" i="3" s="1"/>
  <c r="V429" i="3" s="1"/>
  <c r="W254" i="3"/>
  <c r="U254" i="3"/>
  <c r="N254" i="3"/>
  <c r="O254" i="3" s="1"/>
  <c r="V254" i="3" s="1"/>
  <c r="W316" i="3"/>
  <c r="U316" i="3"/>
  <c r="N316" i="3"/>
  <c r="O316" i="3" s="1"/>
  <c r="V316" i="3" s="1"/>
  <c r="W332" i="3"/>
  <c r="U332" i="3"/>
  <c r="N332" i="3"/>
  <c r="O332" i="3" s="1"/>
  <c r="V332" i="3" s="1"/>
  <c r="W295" i="3"/>
  <c r="U295" i="3"/>
  <c r="N295" i="3"/>
  <c r="O295" i="3" s="1"/>
  <c r="V295" i="3" s="1"/>
  <c r="W351" i="3"/>
  <c r="U351" i="3"/>
  <c r="N351" i="3"/>
  <c r="O351" i="3" s="1"/>
  <c r="V351" i="3" s="1"/>
  <c r="W369" i="3"/>
  <c r="U369" i="3"/>
  <c r="N369" i="3"/>
  <c r="O369" i="3" s="1"/>
  <c r="V369" i="3" s="1"/>
  <c r="U339" i="3"/>
  <c r="W339" i="3"/>
  <c r="N339" i="3"/>
  <c r="O339" i="3" s="1"/>
  <c r="V339" i="3" s="1"/>
  <c r="W338" i="3"/>
  <c r="U338" i="3"/>
  <c r="N338" i="3"/>
  <c r="O338" i="3" s="1"/>
  <c r="V338" i="3" s="1"/>
  <c r="U328" i="3"/>
  <c r="W328" i="3"/>
  <c r="N328" i="3"/>
  <c r="O328" i="3" s="1"/>
  <c r="V328" i="3" s="1"/>
  <c r="U297" i="3"/>
  <c r="W297" i="3"/>
  <c r="N297" i="3"/>
  <c r="O297" i="3" s="1"/>
  <c r="V297" i="3" s="1"/>
  <c r="W470" i="3"/>
  <c r="U470" i="3"/>
  <c r="N470" i="3"/>
  <c r="O470" i="3" s="1"/>
  <c r="V470" i="3" s="1"/>
  <c r="W400" i="3"/>
  <c r="U400" i="3"/>
  <c r="N400" i="3"/>
  <c r="O400" i="3" s="1"/>
  <c r="V400" i="3" s="1"/>
  <c r="U255" i="3"/>
  <c r="W255" i="3"/>
  <c r="N255" i="3"/>
  <c r="O255" i="3" s="1"/>
  <c r="V255" i="3" s="1"/>
  <c r="U426" i="3"/>
  <c r="W426" i="3"/>
  <c r="N426" i="3"/>
  <c r="O426" i="3" s="1"/>
  <c r="V426" i="3" s="1"/>
  <c r="U443" i="3"/>
  <c r="W443" i="3"/>
  <c r="N443" i="3"/>
  <c r="O443" i="3" s="1"/>
  <c r="V443" i="3" s="1"/>
  <c r="W374" i="3"/>
  <c r="U374" i="3"/>
  <c r="N374" i="3"/>
  <c r="O374" i="3" s="1"/>
  <c r="V374" i="3" s="1"/>
  <c r="B240" i="3"/>
  <c r="P2" i="5"/>
  <c r="U393" i="3"/>
  <c r="W393" i="3"/>
  <c r="N393" i="3"/>
  <c r="O393" i="3" s="1"/>
  <c r="V393" i="3" s="1"/>
  <c r="U484" i="3"/>
  <c r="W484" i="3"/>
  <c r="N484" i="3"/>
  <c r="O484" i="3" s="1"/>
  <c r="V484" i="3" s="1"/>
  <c r="W489" i="3"/>
  <c r="U489" i="3"/>
  <c r="N489" i="3"/>
  <c r="O489" i="3" s="1"/>
  <c r="V489" i="3" s="1"/>
  <c r="U370" i="3"/>
  <c r="W370" i="3"/>
  <c r="N370" i="3"/>
  <c r="O370" i="3" s="1"/>
  <c r="V370" i="3" s="1"/>
  <c r="W274" i="3"/>
  <c r="U274" i="3"/>
  <c r="N274" i="3"/>
  <c r="O274" i="3" s="1"/>
  <c r="V274" i="3" s="1"/>
  <c r="U303" i="3"/>
  <c r="W303" i="3"/>
  <c r="N303" i="3"/>
  <c r="O303" i="3" s="1"/>
  <c r="V303" i="3" s="1"/>
  <c r="P242" i="5"/>
  <c r="B480" i="3"/>
  <c r="P230" i="5"/>
  <c r="B468" i="3"/>
  <c r="U256" i="3"/>
  <c r="W256" i="3"/>
  <c r="N256" i="3"/>
  <c r="O256" i="3" s="1"/>
  <c r="V256" i="3" s="1"/>
  <c r="U353" i="3"/>
  <c r="W353" i="3"/>
  <c r="N353" i="3"/>
  <c r="O353" i="3" s="1"/>
  <c r="V353" i="3" s="1"/>
  <c r="W298" i="3"/>
  <c r="U298" i="3"/>
  <c r="N298" i="3"/>
  <c r="O298" i="3" s="1"/>
  <c r="V298" i="3" s="1"/>
  <c r="W335" i="3"/>
  <c r="U335" i="3"/>
  <c r="N335" i="3"/>
  <c r="O335" i="3" s="1"/>
  <c r="V335" i="3" s="1"/>
  <c r="U334" i="3"/>
  <c r="W334" i="3"/>
  <c r="N334" i="3"/>
  <c r="O334" i="3" s="1"/>
  <c r="V334" i="3" s="1"/>
  <c r="U269" i="3"/>
  <c r="W269" i="3"/>
  <c r="N269" i="3"/>
  <c r="O269" i="3" s="1"/>
  <c r="V269" i="3" s="1"/>
  <c r="W301" i="3"/>
  <c r="U301" i="3"/>
  <c r="N301" i="3"/>
  <c r="O301" i="3" s="1"/>
  <c r="V301" i="3" s="1"/>
  <c r="U466" i="3"/>
  <c r="W466" i="3"/>
  <c r="N466" i="3"/>
  <c r="O466" i="3" s="1"/>
  <c r="V466" i="3" s="1"/>
  <c r="P158" i="5"/>
  <c r="B396" i="3"/>
  <c r="U259" i="3"/>
  <c r="W259" i="3"/>
  <c r="N259" i="3"/>
  <c r="O259" i="3" s="1"/>
  <c r="V259" i="3" s="1"/>
  <c r="U418" i="3"/>
  <c r="W418" i="3"/>
  <c r="N418" i="3"/>
  <c r="O418" i="3" s="1"/>
  <c r="V418" i="3" s="1"/>
  <c r="U439" i="3"/>
  <c r="W439" i="3"/>
  <c r="N439" i="3"/>
  <c r="O439" i="3" s="1"/>
  <c r="V439" i="3" s="1"/>
  <c r="W371" i="3"/>
  <c r="U371" i="3"/>
  <c r="N371" i="3"/>
  <c r="O371" i="3" s="1"/>
  <c r="V371" i="3" s="1"/>
  <c r="W478" i="3"/>
  <c r="U478" i="3"/>
  <c r="N478" i="3"/>
  <c r="O478" i="3" s="1"/>
  <c r="V478" i="3" s="1"/>
  <c r="W390" i="3"/>
  <c r="U390" i="3"/>
  <c r="N390" i="3"/>
  <c r="O390" i="3" s="1"/>
  <c r="V390" i="3" s="1"/>
  <c r="U464" i="3"/>
  <c r="W464" i="3"/>
  <c r="N464" i="3"/>
  <c r="O464" i="3" s="1"/>
  <c r="V464" i="3" s="1"/>
  <c r="U481" i="3"/>
  <c r="W481" i="3"/>
  <c r="N481" i="3"/>
  <c r="O481" i="3" s="1"/>
  <c r="V481" i="3" s="1"/>
  <c r="W366" i="3"/>
  <c r="U366" i="3"/>
  <c r="N366" i="3"/>
  <c r="O366" i="3" s="1"/>
  <c r="V366" i="3" s="1"/>
  <c r="U294" i="3"/>
  <c r="W294" i="3"/>
  <c r="N294" i="3"/>
  <c r="O294" i="3" s="1"/>
  <c r="V294" i="3" s="1"/>
  <c r="W499" i="3"/>
  <c r="N495" i="3"/>
  <c r="O495" i="3" s="1"/>
  <c r="V495" i="3" s="1"/>
  <c r="U495" i="3"/>
  <c r="W291" i="3"/>
  <c r="U291" i="3"/>
  <c r="N291" i="3"/>
  <c r="O291" i="3" s="1"/>
  <c r="V291" i="3" s="1"/>
  <c r="U242" i="3"/>
  <c r="W242" i="3"/>
  <c r="N242" i="3"/>
  <c r="O242" i="3" s="1"/>
  <c r="V242" i="3" s="1"/>
  <c r="U459" i="3"/>
  <c r="W459" i="3"/>
  <c r="N459" i="3"/>
  <c r="O459" i="3" s="1"/>
  <c r="V459" i="3" s="1"/>
  <c r="U404" i="3"/>
  <c r="W404" i="3"/>
  <c r="N404" i="3"/>
  <c r="O404" i="3" s="1"/>
  <c r="V404" i="3" s="1"/>
  <c r="W442" i="3"/>
  <c r="U442" i="3"/>
  <c r="N442" i="3"/>
  <c r="O442" i="3" s="1"/>
  <c r="V442" i="3" s="1"/>
  <c r="U465" i="3"/>
  <c r="W465" i="3"/>
  <c r="N465" i="3"/>
  <c r="O465" i="3" s="1"/>
  <c r="V465" i="3" s="1"/>
  <c r="U304" i="3"/>
  <c r="W304" i="3"/>
  <c r="N304" i="3"/>
  <c r="O304" i="3" s="1"/>
  <c r="V304" i="3" s="1"/>
  <c r="U401" i="3"/>
  <c r="W401" i="3"/>
  <c r="N401" i="3"/>
  <c r="O401" i="3" s="1"/>
  <c r="V401" i="3" s="1"/>
  <c r="U283" i="3"/>
  <c r="W283" i="3"/>
  <c r="N283" i="3"/>
  <c r="O283" i="3" s="1"/>
  <c r="V283" i="3" s="1"/>
  <c r="U317" i="3"/>
  <c r="W317" i="3"/>
  <c r="N317" i="3"/>
  <c r="O317" i="3" s="1"/>
  <c r="V317" i="3" s="1"/>
  <c r="W485" i="3"/>
  <c r="U485" i="3"/>
  <c r="N485" i="3"/>
  <c r="O485" i="3" s="1"/>
  <c r="V485" i="3" s="1"/>
  <c r="U248" i="3"/>
  <c r="W248" i="3"/>
  <c r="N248" i="3"/>
  <c r="O248" i="3" s="1"/>
  <c r="V248" i="3" s="1"/>
  <c r="U361" i="3"/>
  <c r="W361" i="3"/>
  <c r="N361" i="3"/>
  <c r="O361" i="3" s="1"/>
  <c r="V361" i="3" s="1"/>
  <c r="W250" i="3"/>
  <c r="U250" i="3"/>
  <c r="N250" i="3"/>
  <c r="O250" i="3" s="1"/>
  <c r="V250" i="3" s="1"/>
  <c r="W435" i="3"/>
  <c r="U435" i="3"/>
  <c r="N435" i="3"/>
  <c r="O435" i="3" s="1"/>
  <c r="V435" i="3" s="1"/>
  <c r="W307" i="3"/>
  <c r="U307" i="3"/>
  <c r="N307" i="3"/>
  <c r="O307" i="3" s="1"/>
  <c r="V307" i="3" s="1"/>
  <c r="U318" i="3"/>
  <c r="W318" i="3"/>
  <c r="N318" i="3"/>
  <c r="O318" i="3" s="1"/>
  <c r="V318" i="3" s="1"/>
  <c r="U472" i="3"/>
  <c r="W472" i="3"/>
  <c r="N472" i="3"/>
  <c r="O472" i="3" s="1"/>
  <c r="V472" i="3" s="1"/>
  <c r="U387" i="3"/>
  <c r="W387" i="3"/>
  <c r="N387" i="3"/>
  <c r="O387" i="3" s="1"/>
  <c r="V387" i="3" s="1"/>
  <c r="U96" i="3"/>
  <c r="W96" i="3"/>
  <c r="N96" i="3"/>
  <c r="O96" i="3" s="1"/>
  <c r="V96" i="3" s="1"/>
  <c r="P50" i="5"/>
  <c r="B288" i="3"/>
  <c r="W448" i="3"/>
  <c r="U448" i="3"/>
  <c r="N448" i="3"/>
  <c r="O448" i="3" s="1"/>
  <c r="V448" i="3" s="1"/>
  <c r="W469" i="3"/>
  <c r="U469" i="3"/>
  <c r="N469" i="3"/>
  <c r="O469" i="3" s="1"/>
  <c r="V469" i="3" s="1"/>
  <c r="W491" i="3"/>
  <c r="U491" i="3"/>
  <c r="N491" i="3"/>
  <c r="O491" i="3" s="1"/>
  <c r="V491" i="3" s="1"/>
  <c r="W433" i="3"/>
  <c r="U433" i="3"/>
  <c r="N433" i="3"/>
  <c r="O433" i="3" s="1"/>
  <c r="V433" i="3" s="1"/>
  <c r="W279" i="3"/>
  <c r="U279" i="3"/>
  <c r="N279" i="3"/>
  <c r="O279" i="3" s="1"/>
  <c r="V279" i="3" s="1"/>
  <c r="W340" i="3"/>
  <c r="U340" i="3"/>
  <c r="N340" i="3"/>
  <c r="O340" i="3" s="1"/>
  <c r="V340" i="3" s="1"/>
  <c r="U293" i="3"/>
  <c r="W293" i="3"/>
  <c r="N293" i="3"/>
  <c r="O293" i="3" s="1"/>
  <c r="V293" i="3" s="1"/>
  <c r="U476" i="3"/>
  <c r="W476" i="3"/>
  <c r="N476" i="3"/>
  <c r="O476" i="3" s="1"/>
  <c r="V476" i="3" s="1"/>
  <c r="U406" i="3"/>
  <c r="W406" i="3"/>
  <c r="N406" i="3"/>
  <c r="O406" i="3" s="1"/>
  <c r="V406" i="3" s="1"/>
  <c r="W251" i="3"/>
  <c r="U251" i="3"/>
  <c r="N251" i="3"/>
  <c r="O251" i="3" s="1"/>
  <c r="V251" i="3" s="1"/>
  <c r="W430" i="3"/>
  <c r="U430" i="3"/>
  <c r="N430" i="3"/>
  <c r="O430" i="3" s="1"/>
  <c r="V430" i="3" s="1"/>
  <c r="U447" i="3"/>
  <c r="W447" i="3"/>
  <c r="N447" i="3"/>
  <c r="O447" i="3" s="1"/>
  <c r="V447" i="3" s="1"/>
  <c r="U378" i="3"/>
  <c r="W378" i="3"/>
  <c r="N378" i="3"/>
  <c r="O378" i="3" s="1"/>
  <c r="V378" i="3" s="1"/>
  <c r="B276" i="3"/>
  <c r="P38" i="5"/>
  <c r="W397" i="3"/>
  <c r="U397" i="3"/>
  <c r="N397" i="3"/>
  <c r="O397" i="3" s="1"/>
  <c r="V397" i="3" s="1"/>
  <c r="U488" i="3"/>
  <c r="W488" i="3"/>
  <c r="N488" i="3"/>
  <c r="O488" i="3" s="1"/>
  <c r="V488" i="3" s="1"/>
  <c r="U383" i="3"/>
  <c r="W383" i="3"/>
  <c r="N383" i="3"/>
  <c r="O383" i="3" s="1"/>
  <c r="V383" i="3" s="1"/>
  <c r="W410" i="3"/>
  <c r="U410" i="3"/>
  <c r="N410" i="3"/>
  <c r="O410" i="3" s="1"/>
  <c r="V410" i="3" s="1"/>
  <c r="U270" i="3"/>
  <c r="W270" i="3"/>
  <c r="N270" i="3"/>
  <c r="O270" i="3" s="1"/>
  <c r="V270" i="3" s="1"/>
  <c r="U330" i="3"/>
  <c r="W330" i="3"/>
  <c r="N330" i="3"/>
  <c r="O330" i="3" s="1"/>
  <c r="V330" i="3" s="1"/>
  <c r="U463" i="3"/>
  <c r="W463" i="3"/>
  <c r="N463" i="3"/>
  <c r="O463" i="3" s="1"/>
  <c r="V463" i="3" s="1"/>
  <c r="W411" i="3"/>
  <c r="U411" i="3"/>
  <c r="N411" i="3"/>
  <c r="O411" i="3" s="1"/>
  <c r="V411" i="3" s="1"/>
  <c r="W450" i="3"/>
  <c r="U450" i="3"/>
  <c r="N450" i="3"/>
  <c r="O450" i="3" s="1"/>
  <c r="V450" i="3" s="1"/>
  <c r="W477" i="3"/>
  <c r="U477" i="3"/>
  <c r="N477" i="3"/>
  <c r="O477" i="3" s="1"/>
  <c r="V477" i="3" s="1"/>
  <c r="W323" i="3"/>
  <c r="U323" i="3"/>
  <c r="N323" i="3"/>
  <c r="O323" i="3" s="1"/>
  <c r="V323" i="3" s="1"/>
  <c r="U322" i="3"/>
  <c r="W322" i="3"/>
  <c r="N322" i="3"/>
  <c r="O322" i="3" s="1"/>
  <c r="V322" i="3" s="1"/>
  <c r="W341" i="3"/>
  <c r="U341" i="3"/>
  <c r="N341" i="3"/>
  <c r="O341" i="3" s="1"/>
  <c r="V341" i="3" s="1"/>
  <c r="U344" i="3"/>
  <c r="W344" i="3"/>
  <c r="N344" i="3"/>
  <c r="O344" i="3" s="1"/>
  <c r="V344" i="3" s="1"/>
  <c r="B456" i="3"/>
  <c r="P218" i="5"/>
  <c r="U379" i="3"/>
  <c r="W379" i="3"/>
  <c r="N379" i="3"/>
  <c r="O379" i="3" s="1"/>
  <c r="V379" i="3" s="1"/>
  <c r="W271" i="3"/>
  <c r="U271" i="3"/>
  <c r="N271" i="3"/>
  <c r="O271" i="3" s="1"/>
  <c r="V271" i="3" s="1"/>
  <c r="U398" i="3"/>
  <c r="W398" i="3"/>
  <c r="N398" i="3"/>
  <c r="O398" i="3" s="1"/>
  <c r="V398" i="3" s="1"/>
  <c r="U427" i="3"/>
  <c r="W427" i="3"/>
  <c r="N427" i="3"/>
  <c r="O427" i="3" s="1"/>
  <c r="V427" i="3" s="1"/>
  <c r="U359" i="3"/>
  <c r="W359" i="3"/>
  <c r="N359" i="3"/>
  <c r="O359" i="3" s="1"/>
  <c r="V359" i="3" s="1"/>
  <c r="U434" i="3"/>
  <c r="W434" i="3"/>
  <c r="N434" i="3"/>
  <c r="O434" i="3" s="1"/>
  <c r="V434" i="3" s="1"/>
  <c r="W245" i="3"/>
  <c r="U245" i="3"/>
  <c r="N245" i="3"/>
  <c r="O245" i="3" s="1"/>
  <c r="V245" i="3" s="1"/>
  <c r="U377" i="3"/>
  <c r="W377" i="3"/>
  <c r="N377" i="3"/>
  <c r="O377" i="3" s="1"/>
  <c r="V377" i="3" s="1"/>
  <c r="U457" i="3"/>
  <c r="W457" i="3"/>
  <c r="N457" i="3"/>
  <c r="O457" i="3" s="1"/>
  <c r="V457" i="3" s="1"/>
  <c r="U354" i="3"/>
  <c r="W354" i="3"/>
  <c r="N354" i="3"/>
  <c r="O354" i="3" s="1"/>
  <c r="V354" i="3" s="1"/>
  <c r="U290" i="3"/>
  <c r="W290" i="3"/>
  <c r="N290" i="3"/>
  <c r="O290" i="3" s="1"/>
  <c r="V290" i="3" s="1"/>
  <c r="W315" i="3"/>
  <c r="U315" i="3"/>
  <c r="N315" i="3"/>
  <c r="O315" i="3" s="1"/>
  <c r="V315" i="3" s="1"/>
  <c r="B432" i="3"/>
  <c r="P194" i="5"/>
  <c r="B384" i="3"/>
  <c r="P146" i="5"/>
  <c r="W415" i="3"/>
  <c r="U415" i="3"/>
  <c r="N415" i="3"/>
  <c r="O415" i="3" s="1"/>
  <c r="V415" i="3" s="1"/>
  <c r="U449" i="3"/>
  <c r="W449" i="3"/>
  <c r="N449" i="3"/>
  <c r="O449" i="3" s="1"/>
  <c r="V449" i="3" s="1"/>
  <c r="W327" i="3"/>
  <c r="U327" i="3"/>
  <c r="N327" i="3"/>
  <c r="O327" i="3" s="1"/>
  <c r="V327" i="3" s="1"/>
  <c r="U320" i="3"/>
  <c r="W320" i="3"/>
  <c r="N320" i="3"/>
  <c r="O320" i="3" s="1"/>
  <c r="V320" i="3" s="1"/>
  <c r="U319" i="3"/>
  <c r="W319" i="3"/>
  <c r="N319" i="3"/>
  <c r="O319" i="3" s="1"/>
  <c r="V319" i="3" s="1"/>
  <c r="U337" i="3"/>
  <c r="W337" i="3"/>
  <c r="N337" i="3"/>
  <c r="O337" i="3" s="1"/>
  <c r="V337" i="3" s="1"/>
  <c r="B336" i="3"/>
  <c r="P98" i="5"/>
  <c r="W452" i="3"/>
  <c r="U452" i="3"/>
  <c r="N452" i="3"/>
  <c r="O452" i="3" s="1"/>
  <c r="V452" i="3" s="1"/>
  <c r="U375" i="3"/>
  <c r="W375" i="3"/>
  <c r="N375" i="3"/>
  <c r="O375" i="3" s="1"/>
  <c r="V375" i="3" s="1"/>
  <c r="W275" i="3"/>
  <c r="U275" i="3"/>
  <c r="N275" i="3"/>
  <c r="O275" i="3" s="1"/>
  <c r="V275" i="3" s="1"/>
  <c r="U391" i="3"/>
  <c r="W391" i="3"/>
  <c r="N391" i="3"/>
  <c r="O391" i="3" s="1"/>
  <c r="V391" i="3" s="1"/>
  <c r="U423" i="3"/>
  <c r="W423" i="3"/>
  <c r="N423" i="3"/>
  <c r="O423" i="3" s="1"/>
  <c r="V423" i="3" s="1"/>
  <c r="W355" i="3"/>
  <c r="U355" i="3"/>
  <c r="N355" i="3"/>
  <c r="O355" i="3" s="1"/>
  <c r="V355" i="3" s="1"/>
  <c r="W422" i="3"/>
  <c r="U422" i="3"/>
  <c r="N422" i="3"/>
  <c r="O422" i="3" s="1"/>
  <c r="V422" i="3" s="1"/>
  <c r="U249" i="3"/>
  <c r="W249" i="3"/>
  <c r="N249" i="3"/>
  <c r="O249" i="3" s="1"/>
  <c r="V249" i="3" s="1"/>
  <c r="U373" i="3"/>
  <c r="W373" i="3"/>
  <c r="N373" i="3"/>
  <c r="O373" i="3" s="1"/>
  <c r="V373" i="3" s="1"/>
  <c r="U453" i="3"/>
  <c r="W453" i="3"/>
  <c r="N453" i="3"/>
  <c r="O453" i="3" s="1"/>
  <c r="V453" i="3" s="1"/>
  <c r="U350" i="3"/>
  <c r="W350" i="3"/>
  <c r="N350" i="3"/>
  <c r="O350" i="3" s="1"/>
  <c r="V350" i="3" s="1"/>
  <c r="U310" i="3"/>
  <c r="W310" i="3"/>
  <c r="N310" i="3"/>
  <c r="O310" i="3" s="1"/>
  <c r="V310" i="3" s="1"/>
  <c r="W514" i="3"/>
  <c r="U514" i="3"/>
  <c r="N514" i="3"/>
  <c r="O514" i="3" s="1"/>
  <c r="V514" i="3" s="1"/>
  <c r="U212" i="3"/>
  <c r="U125" i="3"/>
  <c r="W125" i="3"/>
  <c r="V125" i="3"/>
  <c r="V140" i="3"/>
  <c r="U141" i="3"/>
  <c r="V141" i="3"/>
  <c r="W141" i="3"/>
  <c r="V143" i="3"/>
  <c r="W153" i="3"/>
  <c r="U153" i="3"/>
  <c r="V153" i="3"/>
  <c r="W130" i="3"/>
  <c r="U130" i="3"/>
  <c r="V130" i="3"/>
  <c r="N212" i="3"/>
  <c r="O212" i="3" s="1"/>
  <c r="V212" i="3" s="1"/>
  <c r="U143" i="3"/>
  <c r="W124" i="3"/>
  <c r="U124" i="3"/>
  <c r="V124" i="3"/>
  <c r="V500" i="3"/>
  <c r="N215" i="3"/>
  <c r="O215" i="3" s="1"/>
  <c r="V215" i="3" s="1"/>
  <c r="N180" i="3"/>
  <c r="O180" i="3" s="1"/>
  <c r="V180" i="3" s="1"/>
  <c r="W524" i="3"/>
  <c r="U524" i="3"/>
  <c r="V524" i="3"/>
  <c r="U180" i="3"/>
  <c r="U500" i="3"/>
  <c r="BR45" i="2"/>
  <c r="CG44" i="2"/>
  <c r="BQ57" i="2" s="1"/>
  <c r="BS57" i="2" s="1"/>
  <c r="BY44" i="2"/>
  <c r="CE44" i="2" s="1"/>
  <c r="CF44" i="2" s="1"/>
  <c r="U69" i="3"/>
  <c r="W69" i="3"/>
  <c r="N69" i="3"/>
  <c r="O69" i="3" s="1"/>
  <c r="V69" i="3" s="1"/>
  <c r="H60" i="2"/>
  <c r="I60" i="2" s="1"/>
  <c r="U508" i="3"/>
  <c r="V508" i="3"/>
  <c r="U507" i="3"/>
  <c r="V507" i="3"/>
  <c r="W17" i="5"/>
  <c r="W7" i="5"/>
  <c r="W22" i="5"/>
  <c r="W2" i="5"/>
  <c r="W14" i="5"/>
  <c r="W18" i="5"/>
  <c r="W12" i="5"/>
  <c r="W16" i="5"/>
  <c r="W3" i="5"/>
  <c r="W13" i="5"/>
  <c r="W19" i="5"/>
  <c r="W15" i="5"/>
  <c r="W11" i="5"/>
  <c r="W20" i="5"/>
  <c r="W21" i="5"/>
  <c r="W8" i="5"/>
  <c r="W4" i="5"/>
  <c r="W5" i="5"/>
  <c r="W10" i="5"/>
  <c r="W6" i="5"/>
  <c r="W9" i="5"/>
  <c r="W468" i="3" l="1"/>
  <c r="U468" i="3"/>
  <c r="N468" i="3"/>
  <c r="O468" i="3" s="1"/>
  <c r="V468" i="3" s="1"/>
  <c r="W408" i="3"/>
  <c r="U408" i="3"/>
  <c r="N408" i="3"/>
  <c r="O408" i="3" s="1"/>
  <c r="V408" i="3" s="1"/>
  <c r="U312" i="3"/>
  <c r="W312" i="3"/>
  <c r="N312" i="3"/>
  <c r="O312" i="3" s="1"/>
  <c r="V312" i="3" s="1"/>
  <c r="W432" i="3"/>
  <c r="U432" i="3"/>
  <c r="N432" i="3"/>
  <c r="O432" i="3" s="1"/>
  <c r="V432" i="3" s="1"/>
  <c r="W420" i="3"/>
  <c r="U420" i="3"/>
  <c r="N420" i="3"/>
  <c r="O420" i="3" s="1"/>
  <c r="V420" i="3" s="1"/>
  <c r="U300" i="3"/>
  <c r="W300" i="3"/>
  <c r="N300" i="3"/>
  <c r="O300" i="3" s="1"/>
  <c r="V300" i="3" s="1"/>
  <c r="U348" i="3"/>
  <c r="W348" i="3"/>
  <c r="N348" i="3"/>
  <c r="O348" i="3" s="1"/>
  <c r="V348" i="3" s="1"/>
  <c r="W444" i="3"/>
  <c r="U444" i="3"/>
  <c r="N444" i="3"/>
  <c r="O444" i="3" s="1"/>
  <c r="V444" i="3" s="1"/>
  <c r="U252" i="3"/>
  <c r="W252" i="3"/>
  <c r="N252" i="3"/>
  <c r="O252" i="3" s="1"/>
  <c r="V252" i="3" s="1"/>
  <c r="W372" i="3"/>
  <c r="U372" i="3"/>
  <c r="N372" i="3"/>
  <c r="O372" i="3" s="1"/>
  <c r="V372" i="3" s="1"/>
  <c r="U396" i="3"/>
  <c r="W396" i="3"/>
  <c r="N396" i="3"/>
  <c r="O396" i="3" s="1"/>
  <c r="V396" i="3" s="1"/>
  <c r="W480" i="3"/>
  <c r="U480" i="3"/>
  <c r="N480" i="3"/>
  <c r="O480" i="3" s="1"/>
  <c r="V480" i="3" s="1"/>
  <c r="W360" i="3"/>
  <c r="U360" i="3"/>
  <c r="N360" i="3"/>
  <c r="O360" i="3" s="1"/>
  <c r="V360" i="3" s="1"/>
  <c r="U336" i="3"/>
  <c r="W336" i="3"/>
  <c r="N336" i="3"/>
  <c r="O336" i="3" s="1"/>
  <c r="V336" i="3" s="1"/>
  <c r="W384" i="3"/>
  <c r="U384" i="3"/>
  <c r="N384" i="3"/>
  <c r="O384" i="3" s="1"/>
  <c r="V384" i="3" s="1"/>
  <c r="W456" i="3"/>
  <c r="U456" i="3"/>
  <c r="N456" i="3"/>
  <c r="O456" i="3" s="1"/>
  <c r="V456" i="3" s="1"/>
  <c r="W276" i="3"/>
  <c r="U276" i="3"/>
  <c r="N276" i="3"/>
  <c r="O276" i="3" s="1"/>
  <c r="V276" i="3" s="1"/>
  <c r="U288" i="3"/>
  <c r="W288" i="3"/>
  <c r="N288" i="3"/>
  <c r="O288" i="3" s="1"/>
  <c r="V288" i="3" s="1"/>
  <c r="U240" i="3"/>
  <c r="W240" i="3"/>
  <c r="N240" i="3"/>
  <c r="O240" i="3" s="1"/>
  <c r="V240" i="3" s="1"/>
  <c r="U264" i="3"/>
  <c r="W264" i="3"/>
  <c r="N264" i="3"/>
  <c r="O264" i="3" s="1"/>
  <c r="V264" i="3" s="1"/>
  <c r="W324" i="3"/>
  <c r="U324" i="3"/>
  <c r="N324" i="3"/>
  <c r="O324" i="3" s="1"/>
  <c r="V324" i="3" s="1"/>
  <c r="BR46" i="2"/>
  <c r="BY45" i="2"/>
  <c r="CE45" i="2" s="1"/>
  <c r="CF45" i="2" s="1"/>
  <c r="CG45" i="2" s="1"/>
  <c r="BQ58" i="2" s="1"/>
  <c r="U70" i="3"/>
  <c r="W70" i="3"/>
  <c r="N70" i="3"/>
  <c r="O70" i="3" s="1"/>
  <c r="V70" i="3" s="1"/>
  <c r="H61" i="2"/>
  <c r="I61" i="2" s="1"/>
  <c r="H62" i="2"/>
  <c r="I62" i="2" s="1"/>
  <c r="BS58" i="2" l="1"/>
  <c r="BT58" i="2" s="1"/>
  <c r="BR58" i="2"/>
  <c r="BR47" i="2"/>
  <c r="BY46" i="2"/>
  <c r="CE46" i="2" s="1"/>
  <c r="CF46" i="2" s="1"/>
  <c r="CG46" i="2" s="1"/>
  <c r="BQ59" i="2" s="1"/>
  <c r="U71" i="3"/>
  <c r="W71" i="3"/>
  <c r="N71" i="3"/>
  <c r="O71" i="3" s="1"/>
  <c r="V71" i="3" s="1"/>
  <c r="U72" i="3"/>
  <c r="W72" i="3"/>
  <c r="N72" i="3"/>
  <c r="O72" i="3" s="1"/>
  <c r="V72" i="3" s="1"/>
  <c r="BS59" i="2" l="1"/>
  <c r="BT59" i="2" s="1"/>
  <c r="BR59" i="2"/>
  <c r="BR48" i="2"/>
  <c r="BY47" i="2"/>
  <c r="CE47" i="2" s="1"/>
  <c r="CF47" i="2" s="1"/>
  <c r="CG47" i="2" s="1"/>
  <c r="BQ60" i="2" s="1"/>
  <c r="BS60" i="2" s="1"/>
  <c r="BR49" i="2" l="1"/>
  <c r="BY48" i="2"/>
  <c r="CE48" i="2" s="1"/>
  <c r="CF48" i="2" s="1"/>
  <c r="CG48" i="2" s="1"/>
  <c r="BQ61" i="2" s="1"/>
  <c r="BR61" i="2" l="1"/>
  <c r="BS61" i="2"/>
  <c r="BT61" i="2" s="1"/>
  <c r="BR50" i="2"/>
  <c r="BY49" i="2"/>
  <c r="CE49" i="2" s="1"/>
  <c r="CF49" i="2" s="1"/>
  <c r="CG49" i="2" s="1"/>
  <c r="BQ62" i="2" s="1"/>
  <c r="BR62" i="2" l="1"/>
  <c r="BS62" i="2"/>
  <c r="BT62" i="2" s="1"/>
  <c r="BR51" i="2"/>
  <c r="BY50" i="2"/>
  <c r="CE50" i="2" s="1"/>
  <c r="CF50" i="2" s="1"/>
  <c r="CG50" i="2" s="1"/>
  <c r="BQ63" i="2" s="1"/>
  <c r="BS63" i="2" s="1"/>
  <c r="BR52" i="2" l="1"/>
  <c r="BY52" i="2" s="1"/>
  <c r="CE52" i="2" s="1"/>
  <c r="CF52" i="2" s="1"/>
  <c r="CG52" i="2" s="1"/>
  <c r="BQ65" i="2" s="1"/>
  <c r="BY51" i="2"/>
  <c r="CE51" i="2" s="1"/>
  <c r="CF51" i="2" s="1"/>
  <c r="CG51" i="2" s="1"/>
  <c r="BQ64" i="2" s="1"/>
  <c r="BS65" i="2" l="1"/>
  <c r="BR65" i="2"/>
  <c r="BS64" i="2"/>
  <c r="BT64" i="2" s="1"/>
  <c r="BR64" i="2"/>
  <c r="BT65" i="2" l="1"/>
</calcChain>
</file>

<file path=xl/sharedStrings.xml><?xml version="1.0" encoding="utf-8"?>
<sst xmlns="http://schemas.openxmlformats.org/spreadsheetml/2006/main" count="1700" uniqueCount="1108">
  <si>
    <t>Базовые ресурсы</t>
  </si>
  <si>
    <t>Древесина</t>
  </si>
  <si>
    <t>Камень</t>
  </si>
  <si>
    <t>Пщеница</t>
  </si>
  <si>
    <t>Мясо</t>
  </si>
  <si>
    <t>Столица</t>
  </si>
  <si>
    <t>Сталь</t>
  </si>
  <si>
    <t>Камни Талантов</t>
  </si>
  <si>
    <t>Травы</t>
  </si>
  <si>
    <t>Цена за 1(в золотых)</t>
  </si>
  <si>
    <t>Обычные ресурсы</t>
  </si>
  <si>
    <t>Оружие(маленькое)</t>
  </si>
  <si>
    <t>Оружие(Среднее)</t>
  </si>
  <si>
    <t>Оружие(Большое)</t>
  </si>
  <si>
    <t>Состав</t>
  </si>
  <si>
    <t>1 дерево, 1 сталь</t>
  </si>
  <si>
    <t>1 дерево, 2 сталь</t>
  </si>
  <si>
    <t>1 дерево, 4 сталь</t>
  </si>
  <si>
    <t>Простая еда</t>
  </si>
  <si>
    <t>1 пшеница</t>
  </si>
  <si>
    <t>Хорошая еда</t>
  </si>
  <si>
    <t>1 пщеница, 1 мясо</t>
  </si>
  <si>
    <t>Лекарства</t>
  </si>
  <si>
    <t>1 травы</t>
  </si>
  <si>
    <t>Себестоимость</t>
  </si>
  <si>
    <t>Доспехи(легкие)</t>
  </si>
  <si>
    <t>Доспехи(Средние)</t>
  </si>
  <si>
    <t>Доспехи(тяжелые)</t>
  </si>
  <si>
    <t>Кожа</t>
  </si>
  <si>
    <t>5 кожа</t>
  </si>
  <si>
    <t>3 кожа, 2 сталь</t>
  </si>
  <si>
    <t>4 сталь, 1 кожа</t>
  </si>
  <si>
    <t>Наценка</t>
  </si>
  <si>
    <t>Средняя цена</t>
  </si>
  <si>
    <t>Элитные ресурсы</t>
  </si>
  <si>
    <t>Золото</t>
  </si>
  <si>
    <t>Элит.Оружие(маленькое)</t>
  </si>
  <si>
    <t>Элит.Оружие(Среднее)</t>
  </si>
  <si>
    <t>Элит.Оружие(Большое)</t>
  </si>
  <si>
    <t>Элит.Доспехи(легкие)</t>
  </si>
  <si>
    <t>ЭлитДоспехи(Средние)</t>
  </si>
  <si>
    <t>Элит.Доспехи(тяжелые)</t>
  </si>
  <si>
    <t>Дорогая еда</t>
  </si>
  <si>
    <t>Хорошие лекарства</t>
  </si>
  <si>
    <t>Волшебное зелье</t>
  </si>
  <si>
    <t>Все элитное имеет +1 куб урона для оружия, и +2 КД для брони</t>
  </si>
  <si>
    <t>1 дерево, 1 сталь, 05 золота</t>
  </si>
  <si>
    <t>1 дерево, 2 сталь, 1 золото</t>
  </si>
  <si>
    <t>1 дерево, 4 сталь, 2 золото</t>
  </si>
  <si>
    <t>5 кожа, 1 золото</t>
  </si>
  <si>
    <t>3 кожа, 2 сталь, 1 золото</t>
  </si>
  <si>
    <t>4 сталь, 1 кожа, 1 золото</t>
  </si>
  <si>
    <t>1 пщеница, 1 мясо, 1 травы</t>
  </si>
  <si>
    <t>4 травы, 2 пщеница (на пщеничной водке)</t>
  </si>
  <si>
    <t>1 Камень Талантов, 2 травы</t>
  </si>
  <si>
    <t>Стоимость перевозки</t>
  </si>
  <si>
    <t>Итоговая цена</t>
  </si>
  <si>
    <t>Спрос</t>
  </si>
  <si>
    <t>Предложение</t>
  </si>
  <si>
    <t>Каждые 50 ед. товара повышают Предложение на 0,01</t>
  </si>
  <si>
    <t>Товар</t>
  </si>
  <si>
    <t>Необходимое количество людей</t>
  </si>
  <si>
    <t>Стоимость обслуживания оборудования</t>
  </si>
  <si>
    <t>Трудозатраты на добычу (в часах)</t>
  </si>
  <si>
    <t>Уголь</t>
  </si>
  <si>
    <t>Железная руда</t>
  </si>
  <si>
    <t>Редкая руда(мифрил и т.д.)</t>
  </si>
  <si>
    <t>Легендарная руда (адамант)</t>
  </si>
  <si>
    <t>Шерсть</t>
  </si>
  <si>
    <t>Налог на оборудование</t>
  </si>
  <si>
    <t>Зарплата/обеспечение людей</t>
  </si>
  <si>
    <t>Доспехи</t>
  </si>
  <si>
    <t>Стеганый</t>
  </si>
  <si>
    <t>Кожаный</t>
  </si>
  <si>
    <t>Проклепанный</t>
  </si>
  <si>
    <t>Шкурный</t>
  </si>
  <si>
    <t>Кольчужная рубаха</t>
  </si>
  <si>
    <t>Чешуйчатый</t>
  </si>
  <si>
    <t>Кираса</t>
  </si>
  <si>
    <t>Полулаты</t>
  </si>
  <si>
    <t>Колечный</t>
  </si>
  <si>
    <t>Кольчуга</t>
  </si>
  <si>
    <t>Наборный</t>
  </si>
  <si>
    <t>Латы</t>
  </si>
  <si>
    <t>Щит</t>
  </si>
  <si>
    <t>Оружие</t>
  </si>
  <si>
    <t>боевой посох</t>
  </si>
  <si>
    <t>Булава</t>
  </si>
  <si>
    <t>Дубинка</t>
  </si>
  <si>
    <t>Кинжал</t>
  </si>
  <si>
    <t>Копье</t>
  </si>
  <si>
    <t>Легкий молот</t>
  </si>
  <si>
    <t>Метательное копье</t>
  </si>
  <si>
    <t>Палица</t>
  </si>
  <si>
    <t>Ручной топор</t>
  </si>
  <si>
    <t>Серп</t>
  </si>
  <si>
    <t>Дротик</t>
  </si>
  <si>
    <t>Короткий лук</t>
  </si>
  <si>
    <t>Праща</t>
  </si>
  <si>
    <t>Алебарда</t>
  </si>
  <si>
    <t>Боевая кирка</t>
  </si>
  <si>
    <t>Боевой молот</t>
  </si>
  <si>
    <t>Боевой топор</t>
  </si>
  <si>
    <t>Глефа</t>
  </si>
  <si>
    <t>Двуручный меч</t>
  </si>
  <si>
    <t>Длинное копье</t>
  </si>
  <si>
    <t>Длинный меч</t>
  </si>
  <si>
    <t>Кнут</t>
  </si>
  <si>
    <t>Короткий меч</t>
  </si>
  <si>
    <t>Молот</t>
  </si>
  <si>
    <t>Моргенштерн</t>
  </si>
  <si>
    <t>Пика</t>
  </si>
  <si>
    <t>Рапира</t>
  </si>
  <si>
    <t>Секира</t>
  </si>
  <si>
    <t>Скимитар</t>
  </si>
  <si>
    <t>Трезубец</t>
  </si>
  <si>
    <t>Цеп</t>
  </si>
  <si>
    <t>Арбалет, ручной</t>
  </si>
  <si>
    <t>Арбалет, легкий</t>
  </si>
  <si>
    <t>Арбалет, тяжелый</t>
  </si>
  <si>
    <t>Длинный лук</t>
  </si>
  <si>
    <t>Духовая трубка</t>
  </si>
  <si>
    <t>Сеть</t>
  </si>
  <si>
    <t>Лен</t>
  </si>
  <si>
    <t>Ресурс (1 уровень)</t>
  </si>
  <si>
    <t>Единица измерения (база - кг)</t>
  </si>
  <si>
    <t>Вода</t>
  </si>
  <si>
    <t>цена без налога</t>
  </si>
  <si>
    <t>Итоговая цена на производстве</t>
  </si>
  <si>
    <t>Ресурс (2 уровень)</t>
  </si>
  <si>
    <t>Используемые ресурсы</t>
  </si>
  <si>
    <t>Цена материалов</t>
  </si>
  <si>
    <t>Хлеб</t>
  </si>
  <si>
    <t>Вяленое мясо</t>
  </si>
  <si>
    <t>пщеница 0,8; вода 0,2</t>
  </si>
  <si>
    <t>мясо 2,5</t>
  </si>
  <si>
    <t>Камни талантов</t>
  </si>
  <si>
    <t>КМ0</t>
  </si>
  <si>
    <t>КМ1</t>
  </si>
  <si>
    <t>КМ2</t>
  </si>
  <si>
    <t>КМ3</t>
  </si>
  <si>
    <t>КМ4</t>
  </si>
  <si>
    <t>КМ5</t>
  </si>
  <si>
    <t>КМ6</t>
  </si>
  <si>
    <t>КМ7</t>
  </si>
  <si>
    <t>КМ8</t>
  </si>
  <si>
    <t>КМ9</t>
  </si>
  <si>
    <t>КЧ</t>
  </si>
  <si>
    <t>КУ</t>
  </si>
  <si>
    <t>КН</t>
  </si>
  <si>
    <t>Шанс нахождения</t>
  </si>
  <si>
    <t>Волшебные чернила</t>
  </si>
  <si>
    <t>1 КТМ0, вода 0,09</t>
  </si>
  <si>
    <t>Расчет МРОТ: 50 зм/месяц = 0,13 зм/час</t>
  </si>
  <si>
    <t>Железо</t>
  </si>
  <si>
    <t>Золотая руда</t>
  </si>
  <si>
    <t>Лекарственные травы</t>
  </si>
  <si>
    <t>Специи</t>
  </si>
  <si>
    <t>Налоги:</t>
  </si>
  <si>
    <t>Фермерское снаряжение</t>
  </si>
  <si>
    <t>Шахтерское снаряжение</t>
  </si>
  <si>
    <t xml:space="preserve"> обусловлено тем, что на плавающих островах очень опасно копать - можно и остров " сломать"</t>
  </si>
  <si>
    <t>Ткань (льняная)</t>
  </si>
  <si>
    <t>Ткань (шерстяная)</t>
  </si>
  <si>
    <t>1,428 лен</t>
  </si>
  <si>
    <t>1 шерсть</t>
  </si>
  <si>
    <t xml:space="preserve">2 железная руда, (1,5 кг угля для плавки) </t>
  </si>
  <si>
    <t>Печь</t>
  </si>
  <si>
    <t>Кузнечное оборудование</t>
  </si>
  <si>
    <t>Алхимическое оборудование</t>
  </si>
  <si>
    <t>Пергамент</t>
  </si>
  <si>
    <t>"вода"</t>
  </si>
  <si>
    <t>"мясо"</t>
  </si>
  <si>
    <t>кг</t>
  </si>
  <si>
    <t>? Кг</t>
  </si>
  <si>
    <t>3,7 кожа</t>
  </si>
  <si>
    <t>Конечная продукция (4 уровень)</t>
  </si>
  <si>
    <t>Арбалетный болт</t>
  </si>
  <si>
    <t>Стрела</t>
  </si>
  <si>
    <t>Ткацкое и портное оборудование</t>
  </si>
  <si>
    <t>Калькулятор пропорций</t>
  </si>
  <si>
    <t>Магическое оборудование</t>
  </si>
  <si>
    <t>Лекарства (простые)</t>
  </si>
  <si>
    <t>Транспортный налог</t>
  </si>
  <si>
    <t>Предметы</t>
  </si>
  <si>
    <t>абак</t>
  </si>
  <si>
    <t>Фляга</t>
  </si>
  <si>
    <t>блок и лебедка</t>
  </si>
  <si>
    <t>игла для трубки</t>
  </si>
  <si>
    <t>снаряд для пращи</t>
  </si>
  <si>
    <t>бочка</t>
  </si>
  <si>
    <t>бутылка</t>
  </si>
  <si>
    <t>ведро</t>
  </si>
  <si>
    <t>весы</t>
  </si>
  <si>
    <t>железный горшок</t>
  </si>
  <si>
    <t>замок</t>
  </si>
  <si>
    <t>Стальное зеркало</t>
  </si>
  <si>
    <t>Кандалы</t>
  </si>
  <si>
    <t>Кирка</t>
  </si>
  <si>
    <t>Книга</t>
  </si>
  <si>
    <t>Колокольчик</t>
  </si>
  <si>
    <t>Колчан</t>
  </si>
  <si>
    <t>кольцо</t>
  </si>
  <si>
    <t>браслет</t>
  </si>
  <si>
    <t>комплект для лазанья</t>
  </si>
  <si>
    <t>Комплект для рыбылки</t>
  </si>
  <si>
    <t>Комплект целителя</t>
  </si>
  <si>
    <t>Контейнер для болтов</t>
  </si>
  <si>
    <t>контейнер для свитков</t>
  </si>
  <si>
    <t>кошель</t>
  </si>
  <si>
    <t>крюк-кошка</t>
  </si>
  <si>
    <t>Лампа</t>
  </si>
  <si>
    <t>Лестница 10 фт</t>
  </si>
  <si>
    <t>веревка, шерсть 50фт</t>
  </si>
  <si>
    <t>веревка, лен 50фт</t>
  </si>
  <si>
    <t>ломик</t>
  </si>
  <si>
    <t>Лопата</t>
  </si>
  <si>
    <t>мел</t>
  </si>
  <si>
    <t>металлический шарик</t>
  </si>
  <si>
    <t>мешок</t>
  </si>
  <si>
    <t>мешочек с компонентами</t>
  </si>
  <si>
    <t>Кузнечный молот</t>
  </si>
  <si>
    <t>молоток</t>
  </si>
  <si>
    <t>мыло</t>
  </si>
  <si>
    <t>Одежда дорожная</t>
  </si>
  <si>
    <t>костюм</t>
  </si>
  <si>
    <t>Обычная одежда</t>
  </si>
  <si>
    <t>Элитная одежда</t>
  </si>
  <si>
    <t>Одеяло</t>
  </si>
  <si>
    <t>Охотничий капкан</t>
  </si>
  <si>
    <t>Палатка</t>
  </si>
  <si>
    <t>Песочные часы</t>
  </si>
  <si>
    <t>Писчее перо</t>
  </si>
  <si>
    <t>Песок</t>
  </si>
  <si>
    <t>Воск</t>
  </si>
  <si>
    <t>Мед</t>
  </si>
  <si>
    <t>Перья</t>
  </si>
  <si>
    <t>Яйца</t>
  </si>
  <si>
    <t>Подзорная труба</t>
  </si>
  <si>
    <t>Рацион</t>
  </si>
  <si>
    <t>Рюкзак</t>
  </si>
  <si>
    <t>Ряса</t>
  </si>
  <si>
    <t>Свеча</t>
  </si>
  <si>
    <t>Сигнальный свисток</t>
  </si>
  <si>
    <t>спальник</t>
  </si>
  <si>
    <t>Столовый набор</t>
  </si>
  <si>
    <t>Сундук</t>
  </si>
  <si>
    <t>точильный камень</t>
  </si>
  <si>
    <t>Трутница</t>
  </si>
  <si>
    <t>Увеличительное стекло</t>
  </si>
  <si>
    <t>Факел</t>
  </si>
  <si>
    <t>Флакон</t>
  </si>
  <si>
    <t>Фонарь, закрытый</t>
  </si>
  <si>
    <t>Фонарь, направленный</t>
  </si>
  <si>
    <t>Цепь 10 фт</t>
  </si>
  <si>
    <t>Чернила</t>
  </si>
  <si>
    <t>Шест 10 фт</t>
  </si>
  <si>
    <t>шлямбур</t>
  </si>
  <si>
    <t>Зелье лечения</t>
  </si>
  <si>
    <t>Алхимия (фляга)</t>
  </si>
  <si>
    <t>Алхимический огонь</t>
  </si>
  <si>
    <t>Кислота</t>
  </si>
  <si>
    <t>Противоядие</t>
  </si>
  <si>
    <t>Яд простой</t>
  </si>
  <si>
    <t>Масло</t>
  </si>
  <si>
    <t>Алхимия (флакон)</t>
  </si>
  <si>
    <t>Духи</t>
  </si>
  <si>
    <t>Большое зелье лечения</t>
  </si>
  <si>
    <t>дерево 0,3</t>
  </si>
  <si>
    <t>железо 0,1</t>
  </si>
  <si>
    <t xml:space="preserve"> </t>
  </si>
  <si>
    <t>Лекарства (хорошие)</t>
  </si>
  <si>
    <t>лек.травы 0,5, вода 0,5</t>
  </si>
  <si>
    <t>лек.трав 0,6, КТУ, вода 0,4</t>
  </si>
  <si>
    <t xml:space="preserve">Сталь </t>
  </si>
  <si>
    <t>Редкий металл</t>
  </si>
  <si>
    <t>Легендарный металл</t>
  </si>
  <si>
    <t>2 руда, 10 уголь для печи</t>
  </si>
  <si>
    <t>железо 3</t>
  </si>
  <si>
    <t>дерево 31,75</t>
  </si>
  <si>
    <t>Стекло</t>
  </si>
  <si>
    <t>песок 1,5, уголь 1,5</t>
  </si>
  <si>
    <t>стекло 0.2</t>
  </si>
  <si>
    <t>железо 1</t>
  </si>
  <si>
    <t>шерсть 4,54</t>
  </si>
  <si>
    <t>лен 2,27</t>
  </si>
  <si>
    <t>железо 1,36</t>
  </si>
  <si>
    <t>железо 4,54</t>
  </si>
  <si>
    <t>железо 0,5</t>
  </si>
  <si>
    <t>0,18 железо, 0,5 стекло</t>
  </si>
  <si>
    <t>2,27 железо</t>
  </si>
  <si>
    <t>Калтроп</t>
  </si>
  <si>
    <t>0,09 железо</t>
  </si>
  <si>
    <t>1,54 дерево, 3 железо</t>
  </si>
  <si>
    <t>2 пергамент, 0,27 кожа</t>
  </si>
  <si>
    <t>0,01 железо</t>
  </si>
  <si>
    <t>0,7 кожа</t>
  </si>
  <si>
    <t>0,03 железо</t>
  </si>
  <si>
    <t>0,05 железа</t>
  </si>
  <si>
    <t>0,3 пщеница + 0,4 вяленое мясо + 0,1 хлеб</t>
  </si>
  <si>
    <t>5,44 сталь</t>
  </si>
  <si>
    <t>0,81 сталь+дерево 1</t>
  </si>
  <si>
    <t>1,81 лекарство</t>
  </si>
  <si>
    <t>0,6 железо</t>
  </si>
  <si>
    <t>0,6 кожа</t>
  </si>
  <si>
    <t>1,81 сталь</t>
  </si>
  <si>
    <t>Графин</t>
  </si>
  <si>
    <t>1,81 стекло</t>
  </si>
  <si>
    <t>0,91 железо</t>
  </si>
  <si>
    <t>11,34 дерево</t>
  </si>
  <si>
    <t>1,5 дерево 0,77железо</t>
  </si>
  <si>
    <t>0,0009 железо</t>
  </si>
  <si>
    <t>0,23 ткань шерсть</t>
  </si>
  <si>
    <t>всякий хлам</t>
  </si>
  <si>
    <t>0,54 дерево +4 сталь</t>
  </si>
  <si>
    <t>0,36 дерево 1 сталь</t>
  </si>
  <si>
    <t>жир</t>
  </si>
  <si>
    <t>1,81 ткань лен</t>
  </si>
  <si>
    <t>Шелк</t>
  </si>
  <si>
    <t>Ткань (шелк)</t>
  </si>
  <si>
    <t>2 шелк</t>
  </si>
  <si>
    <t>1,36 тк.шерсть</t>
  </si>
  <si>
    <t>1,81 тк.шелк</t>
  </si>
  <si>
    <t>2,5 тк.шелк 0,22 золото</t>
  </si>
  <si>
    <t>0,2 тк.лен 1,16 шерсть</t>
  </si>
  <si>
    <t>11,34 железо</t>
  </si>
  <si>
    <t>9 тк.лен</t>
  </si>
  <si>
    <t>0,25 стекло 0,2 песок</t>
  </si>
  <si>
    <t>0,01 перо</t>
  </si>
  <si>
    <t>0,3 железо 0,15 стекло</t>
  </si>
  <si>
    <t>Кожа 2,27</t>
  </si>
  <si>
    <t>тк.лен 1,81</t>
  </si>
  <si>
    <t>воск 0,01</t>
  </si>
  <si>
    <t>железо 0,01</t>
  </si>
  <si>
    <t>3 перо 0,18 тк.шерсть</t>
  </si>
  <si>
    <t>0,45 железо</t>
  </si>
  <si>
    <t>10 дерево 1,34 железо</t>
  </si>
  <si>
    <t>0,45 камень</t>
  </si>
  <si>
    <t>0,25 железо 0,2 камень</t>
  </si>
  <si>
    <t>0,05 железо  0,01 стекло</t>
  </si>
  <si>
    <t>0,35 дерево 0,1 тк.шерсть</t>
  </si>
  <si>
    <t>0,05 стекло</t>
  </si>
  <si>
    <t>0,81 стекло 0,1 железо</t>
  </si>
  <si>
    <t>0,41 стекло 0,5 железо</t>
  </si>
  <si>
    <t>4,54 железо</t>
  </si>
  <si>
    <t>чернила</t>
  </si>
  <si>
    <t>3,18 дерево</t>
  </si>
  <si>
    <t xml:space="preserve">Шип железные </t>
  </si>
  <si>
    <t>0,227 железо</t>
  </si>
  <si>
    <t>0,11 железо</t>
  </si>
  <si>
    <t>3,63 тк.шерсть</t>
  </si>
  <si>
    <t>4,54 кожа</t>
  </si>
  <si>
    <t>4,54 кожа 1,36 сталь</t>
  </si>
  <si>
    <t>5,44 кожа</t>
  </si>
  <si>
    <t>9,07 сталь</t>
  </si>
  <si>
    <t>9,07 железо</t>
  </si>
  <si>
    <t>20,41 железо</t>
  </si>
  <si>
    <t>18,14 сталь</t>
  </si>
  <si>
    <t>24,95 сталь</t>
  </si>
  <si>
    <t>27,22 сталь</t>
  </si>
  <si>
    <t>29,48 сталь</t>
  </si>
  <si>
    <t>1 дерево 1,72 сталь</t>
  </si>
  <si>
    <t>1,81 дерево</t>
  </si>
  <si>
    <t>0,81 дерево + 1 сталь</t>
  </si>
  <si>
    <t>0,91 дерево</t>
  </si>
  <si>
    <t>1,1 дерево 0,26 железо</t>
  </si>
  <si>
    <t>0,41 дерево 0,5 сталь</t>
  </si>
  <si>
    <t>0,31 дерево 0,6 сталь</t>
  </si>
  <si>
    <t>0,8 дерево 0,11 железо</t>
  </si>
  <si>
    <t>4 дерево 0,54 железо</t>
  </si>
  <si>
    <t>0,4 дерево 0,51 сталь</t>
  </si>
  <si>
    <t>0,21 дерево 0,7 сталь</t>
  </si>
  <si>
    <t>2 дерево 0,27 железо</t>
  </si>
  <si>
    <t>0,11 дерево</t>
  </si>
  <si>
    <t>0,05 тк.лен</t>
  </si>
  <si>
    <t>2 дерево 0,27 сталь</t>
  </si>
  <si>
    <t>0,3 дерево 0,61 сталь</t>
  </si>
  <si>
    <t>2,72 сталь</t>
  </si>
  <si>
    <t>2,5 дерево 0,22 сталь</t>
  </si>
  <si>
    <t>1,36 сталь</t>
  </si>
  <si>
    <t>1,36 кожа</t>
  </si>
  <si>
    <t>0,91 сталь</t>
  </si>
  <si>
    <t>4,54 сталь</t>
  </si>
  <si>
    <t>8,16 сталь</t>
  </si>
  <si>
    <t>0,68 дерево 2,5 сталь</t>
  </si>
  <si>
    <t>1,2 дерево 0,16 сталь</t>
  </si>
  <si>
    <t>7 дерево 1,16 сталь</t>
  </si>
  <si>
    <t>0,45 дерево</t>
  </si>
  <si>
    <t>1,36 лен</t>
  </si>
  <si>
    <t>0,02 дерево + 0,0025 сталь</t>
  </si>
  <si>
    <t>0,034 железо</t>
  </si>
  <si>
    <t>0,1 камень</t>
  </si>
  <si>
    <t/>
  </si>
  <si>
    <t>Охотнечье/столярное снаряжение</t>
  </si>
  <si>
    <t>0,03</t>
  </si>
  <si>
    <t>0,1</t>
  </si>
  <si>
    <t>0,05</t>
  </si>
  <si>
    <t>Используемый корабль (налог)</t>
  </si>
  <si>
    <t>Торговая пошлина</t>
  </si>
  <si>
    <t>Итого</t>
  </si>
  <si>
    <t>Цена 1 продукта</t>
  </si>
  <si>
    <t xml:space="preserve">Минимальная партия </t>
  </si>
  <si>
    <t>Расходы на транспорт (зарплата экипажа)</t>
  </si>
  <si>
    <t>москит</t>
  </si>
  <si>
    <t>пешка</t>
  </si>
  <si>
    <t>ладья</t>
  </si>
  <si>
    <t>слон</t>
  </si>
  <si>
    <t>ферзь</t>
  </si>
  <si>
    <t xml:space="preserve"> в год</t>
  </si>
  <si>
    <t>Ежемесячный</t>
  </si>
  <si>
    <t>Цена единицы продукта в точке</t>
  </si>
  <si>
    <t xml:space="preserve"> (в днях)Расстояние до торговой точки</t>
  </si>
  <si>
    <t xml:space="preserve">Расходы </t>
  </si>
  <si>
    <t>Экипаж</t>
  </si>
  <si>
    <t>Расходы на путь</t>
  </si>
  <si>
    <t>ожерелье/медальон</t>
  </si>
  <si>
    <t>0,2</t>
  </si>
  <si>
    <t>0,3 сталь</t>
  </si>
  <si>
    <t>Маршруты</t>
  </si>
  <si>
    <t>Люг-о-дан</t>
  </si>
  <si>
    <t>Готун</t>
  </si>
  <si>
    <t>Фидваго</t>
  </si>
  <si>
    <t>Дарутан</t>
  </si>
  <si>
    <t>Сарухан</t>
  </si>
  <si>
    <t>Лорен</t>
  </si>
  <si>
    <t>камень</t>
  </si>
  <si>
    <t>руды, плавильни</t>
  </si>
  <si>
    <t>зерно, дерево</t>
  </si>
  <si>
    <t>0,98 железо, 0,02 уголь (0,1 Камень Силы)</t>
  </si>
  <si>
    <t>3 руда, 1 кс для печи</t>
  </si>
  <si>
    <t>Травы, специи</t>
  </si>
  <si>
    <t>Шихон</t>
  </si>
  <si>
    <t>кожа, мясо</t>
  </si>
  <si>
    <t>Расстояние</t>
  </si>
  <si>
    <t>На нижнем уровне нет Люг-О-Данской пошлины</t>
  </si>
  <si>
    <t>Пошлина - 10 зм за пролет корабля</t>
  </si>
  <si>
    <t>адресное пространство для точек</t>
  </si>
  <si>
    <t>Цены в:</t>
  </si>
  <si>
    <t>Текущий город</t>
  </si>
  <si>
    <t>Адрес ячейки</t>
  </si>
  <si>
    <t>Коды 0,1,2 - недопустимые значения</t>
  </si>
  <si>
    <t>Начальный город</t>
  </si>
  <si>
    <t>Люг-О-данская пошлина</t>
  </si>
  <si>
    <t>Самардейл</t>
  </si>
  <si>
    <t>Гвадекура</t>
  </si>
  <si>
    <t>Ранджар-ара</t>
  </si>
  <si>
    <t>Садат</t>
  </si>
  <si>
    <t>Цена закупки</t>
  </si>
  <si>
    <t>Цена продажи</t>
  </si>
  <si>
    <t>простое оружие</t>
  </si>
  <si>
    <t>элитное оружие</t>
  </si>
  <si>
    <t>драгоценности</t>
  </si>
  <si>
    <t>Упрощенная таблица</t>
  </si>
  <si>
    <t>Артефакты (5 уровень)</t>
  </si>
  <si>
    <t>Волшебная палочка снарядов</t>
  </si>
  <si>
    <t>Ножны волшебной палочки</t>
  </si>
  <si>
    <t>железо 0,1 КТЧ 1</t>
  </si>
  <si>
    <t>Скимитар скорости</t>
  </si>
  <si>
    <t>0,8976 сталь 0,4624 редкая руда</t>
  </si>
  <si>
    <t>Слиток с руной Скельд</t>
  </si>
  <si>
    <t>железо 1, КТЧ</t>
  </si>
  <si>
    <t>КТЧ</t>
  </si>
  <si>
    <t>Опал с руной Ильд</t>
  </si>
  <si>
    <t>Кольцо свободных действий</t>
  </si>
  <si>
    <t>кольцо, КТМ2</t>
  </si>
  <si>
    <t>кольцо, КТМ3</t>
  </si>
  <si>
    <t>Кольцо временного спасения</t>
  </si>
  <si>
    <t>Крылатые сапоги</t>
  </si>
  <si>
    <t>одежда, КТС</t>
  </si>
  <si>
    <t>Коррозийный пооршок</t>
  </si>
  <si>
    <t>не существует</t>
  </si>
  <si>
    <t>Корона несущего гнев</t>
  </si>
  <si>
    <t>золото 0,5 КТМ3</t>
  </si>
  <si>
    <t>4 золотая руда, КТС</t>
  </si>
  <si>
    <t>Когти искателя</t>
  </si>
  <si>
    <t>сталь 0,5, КТЧ</t>
  </si>
  <si>
    <t>Зовущий в ночи</t>
  </si>
  <si>
    <t>Железные ленты Биларро</t>
  </si>
  <si>
    <t>железо 0,45, КТМ0</t>
  </si>
  <si>
    <t>Защитник (длинный меч)</t>
  </si>
  <si>
    <t>0,8976 редкая руда 0,4624 сталь</t>
  </si>
  <si>
    <t>Зелье неуязвимости</t>
  </si>
  <si>
    <t>Зелье максимальной мощи</t>
  </si>
  <si>
    <t>(Вписать сюда код города)</t>
  </si>
  <si>
    <t>Износостойкая книга заклинаний</t>
  </si>
  <si>
    <t>Осколок заклинаний</t>
  </si>
  <si>
    <t>Сундук консервации</t>
  </si>
  <si>
    <t>Технология утеряна</t>
  </si>
  <si>
    <t>Сфера направления</t>
  </si>
  <si>
    <t>стекло 0,3, волшебные чернила 0,2</t>
  </si>
  <si>
    <t>Базовая</t>
  </si>
  <si>
    <t>Серьга сообщения</t>
  </si>
  <si>
    <t>железо 0,01 КТЧ 1</t>
  </si>
  <si>
    <t>Тепловой куб</t>
  </si>
  <si>
    <t>Удобный мешочек специй хеварда</t>
  </si>
  <si>
    <t>технология утеряна</t>
  </si>
  <si>
    <t>процент</t>
  </si>
  <si>
    <t>номер игры от начала</t>
  </si>
  <si>
    <t>сумма долга</t>
  </si>
  <si>
    <t>Плащ невидимости</t>
  </si>
  <si>
    <t>Кольцо отражения заклинаний</t>
  </si>
  <si>
    <t>Перчатки воровства</t>
  </si>
  <si>
    <t>1 тк.шелк, КТМ2</t>
  </si>
  <si>
    <t>кольцо, КТМ1</t>
  </si>
  <si>
    <t>Запрещены к продаже</t>
  </si>
  <si>
    <t>кожа 1,5, волшебные чернила 0,5</t>
  </si>
  <si>
    <t>Революция</t>
  </si>
  <si>
    <t>шелк</t>
  </si>
  <si>
    <t>мифрил</t>
  </si>
  <si>
    <t>цены</t>
  </si>
  <si>
    <t>лен</t>
  </si>
  <si>
    <t>Уровень доспеха</t>
  </si>
  <si>
    <t>цена(базовая)</t>
  </si>
  <si>
    <t>КС1</t>
  </si>
  <si>
    <t>КС2</t>
  </si>
  <si>
    <t>КС3</t>
  </si>
  <si>
    <t>КС4</t>
  </si>
  <si>
    <t>КС5</t>
  </si>
  <si>
    <t>КС6</t>
  </si>
  <si>
    <t>КС7</t>
  </si>
  <si>
    <t>КС8</t>
  </si>
  <si>
    <t>КС9</t>
  </si>
  <si>
    <t>КС10</t>
  </si>
  <si>
    <t>КС11</t>
  </si>
  <si>
    <t>КС12</t>
  </si>
  <si>
    <t>КС13</t>
  </si>
  <si>
    <t>КС14</t>
  </si>
  <si>
    <t>КС15</t>
  </si>
  <si>
    <t>КС16</t>
  </si>
  <si>
    <t>КС17</t>
  </si>
  <si>
    <t>КС18</t>
  </si>
  <si>
    <t>КС19</t>
  </si>
  <si>
    <t>КС20</t>
  </si>
  <si>
    <t>Броня монаха +0</t>
  </si>
  <si>
    <t>Броня монаха +1</t>
  </si>
  <si>
    <t>Броня монаха +2</t>
  </si>
  <si>
    <t>Броня монаха +3</t>
  </si>
  <si>
    <t>Броня монаха +4</t>
  </si>
  <si>
    <t>Броня монаха +5</t>
  </si>
  <si>
    <t>Броня монаха +6</t>
  </si>
  <si>
    <t>Броня монаха +7</t>
  </si>
  <si>
    <t>Броня монаха +8</t>
  </si>
  <si>
    <t>%</t>
  </si>
  <si>
    <t>Корабль</t>
  </si>
  <si>
    <t>Ядро</t>
  </si>
  <si>
    <t>Заряд картечи</t>
  </si>
  <si>
    <t>Бомба</t>
  </si>
  <si>
    <t>Детали парусов</t>
  </si>
  <si>
    <t>Детали ядра</t>
  </si>
  <si>
    <t>Детали корпуса</t>
  </si>
  <si>
    <t>Временный Крепеж</t>
  </si>
  <si>
    <t>Дерево 5, железо 3</t>
  </si>
  <si>
    <t>7 тк.лен, 3 железо</t>
  </si>
  <si>
    <t>Железо 10</t>
  </si>
  <si>
    <t>КТМ1, железо 8</t>
  </si>
  <si>
    <t xml:space="preserve">Железо 2 </t>
  </si>
  <si>
    <t>Общий ремкомплект (все детали в одном месте)</t>
  </si>
  <si>
    <t>Железо 2 КТМ2</t>
  </si>
  <si>
    <t>Предмет +0</t>
  </si>
  <si>
    <t>Предмет +1</t>
  </si>
  <si>
    <t>Предмет +2</t>
  </si>
  <si>
    <t>Предмет +3</t>
  </si>
  <si>
    <t>Предмет +4</t>
  </si>
  <si>
    <t>Предмет +5</t>
  </si>
  <si>
    <t>Предмет +6</t>
  </si>
  <si>
    <t>Предмет +7</t>
  </si>
  <si>
    <t>Предмет +8</t>
  </si>
  <si>
    <t>Адамант</t>
  </si>
  <si>
    <t>Мифрил</t>
  </si>
  <si>
    <t>Сталь/железо</t>
  </si>
  <si>
    <t>Цена улучшения</t>
  </si>
  <si>
    <t>Нужно купить новое</t>
  </si>
  <si>
    <t>купить новое</t>
  </si>
  <si>
    <t>Цены приведены для Лорена</t>
  </si>
  <si>
    <t>нужно купить</t>
  </si>
  <si>
    <t>др. город</t>
  </si>
  <si>
    <t>улучш</t>
  </si>
  <si>
    <t>Шлем совершенного потенциала</t>
  </si>
  <si>
    <t>1 железо, 2 КТЧ, КТМ3, КТМ2</t>
  </si>
  <si>
    <t>Камень удачи</t>
  </si>
  <si>
    <t>0,2 камень, чернила 0,05</t>
  </si>
  <si>
    <t>Кольцо уклонения</t>
  </si>
  <si>
    <t>кольцо, чернила 0,3</t>
  </si>
  <si>
    <t>Пояс силы великана Холмов</t>
  </si>
  <si>
    <t>Пояс силы великана Каменн</t>
  </si>
  <si>
    <t>Пояс силы великана Огн</t>
  </si>
  <si>
    <t>Пояс силы великана Облач</t>
  </si>
  <si>
    <t>Пояс силы великана Шторм</t>
  </si>
  <si>
    <t>Кожа 1, чернила 1</t>
  </si>
  <si>
    <t>Кожа 1, чернила 2</t>
  </si>
  <si>
    <t>Кожа 1, КТУ</t>
  </si>
  <si>
    <t>Кожа 1, чернила 3</t>
  </si>
  <si>
    <t>Кожа 1, чернила 4</t>
  </si>
  <si>
    <t>1 книга, 0,2 волшебные чернила, 0,3 воск</t>
  </si>
  <si>
    <t>Люг-О-Дан</t>
  </si>
  <si>
    <t>Татуировка Кровавой ярости</t>
  </si>
  <si>
    <t>чернила 0,3</t>
  </si>
  <si>
    <t>Должность</t>
  </si>
  <si>
    <t>Способность</t>
  </si>
  <si>
    <t>Стоимость</t>
  </si>
  <si>
    <t>Автор</t>
  </si>
  <si>
    <t>Город</t>
  </si>
  <si>
    <t>Базовая стоимость книги</t>
  </si>
  <si>
    <t>Сложность должности</t>
  </si>
  <si>
    <t>Рулевой - база</t>
  </si>
  <si>
    <t>Рулевой продвинутый</t>
  </si>
  <si>
    <t>Ничего</t>
  </si>
  <si>
    <t>Дает преимущество на броски Силы корабля</t>
  </si>
  <si>
    <t>Рулевой мастер</t>
  </si>
  <si>
    <t>Дает преимущество, в случае провала можно добросить 1d8</t>
  </si>
  <si>
    <t>Штурман - база</t>
  </si>
  <si>
    <t>Когда ГМ бросает на событие в пути, штурман может умножить или поделить значение события на 2. Это складывается со схожими эффектами карт.</t>
  </si>
  <si>
    <t>Включает в себя Продвинутый, так же, может потребовать у ГМ второй бросок события. Изменить значение  броска можно только один раз</t>
  </si>
  <si>
    <t>Марсовый - база</t>
  </si>
  <si>
    <t>Марсовый -Продвинутый</t>
  </si>
  <si>
    <t>Увеличивает дальность зрения в 2 раза, преимущество на броски Вниматлельности</t>
  </si>
  <si>
    <t>Марсовый - мастер</t>
  </si>
  <si>
    <t>Может заменить негативное событие, которое можно увидеть (нападение пиратов, на прим.), на "Сдвиг на 2 клетки в случайном направлении"</t>
  </si>
  <si>
    <t>Канонир - база</t>
  </si>
  <si>
    <t>ничего</t>
  </si>
  <si>
    <t>Канонир - Прод</t>
  </si>
  <si>
    <t>Корабль получает дополнительную атаку</t>
  </si>
  <si>
    <t>Канонир - Мастер</t>
  </si>
  <si>
    <t>Способен нанести 5d6 урона Корпусу по тем же принципам, что и Скрытая атака</t>
  </si>
  <si>
    <t>Магинарий - база</t>
  </si>
  <si>
    <t>Магинарий - Прод</t>
  </si>
  <si>
    <t>Магинарий - Мастер</t>
  </si>
  <si>
    <t>Позволят тонко настраивать ядро. Корабль бонус-действием выбирает режим работы: Бой - дает +3 к броскам атаки, снижает скорость в 2 раза; Магия - переводин энергию на Спец-узлы, повышая их эффективность в два раза, снижает скорость в 2 раза; Побег - повышает скорость в 2 раза, однако использование оружия и СпецУзлов идет с помехой.</t>
  </si>
  <si>
    <t xml:space="preserve">Добавляет модификатор - Полная Мощь. Примененный к предыдущим режимам (Бой, Побег, Спец), полностью отключает другие системы, но дает: преимущество к стрельбе/использованию Спец/еще раз удваивает скорость. Использование Полной Мощи наносит 1 ед урона Корпусу каждый ход. </t>
  </si>
  <si>
    <t>Поммаг - база</t>
  </si>
  <si>
    <t>Поммаг - Прод</t>
  </si>
  <si>
    <t>Поммаг - Мастер</t>
  </si>
  <si>
    <t>Дает кораблю пассивную регенерацию в бою - 1d4 в ход. Здоровье не должно превышать 50%</t>
  </si>
  <si>
    <t>Один раз между прибытием в порт может восстановить кораблю 4d10 здоровья. Здоровье не должно превышать 25%</t>
  </si>
  <si>
    <t>Боцман - база</t>
  </si>
  <si>
    <t>Боцман - Прод</t>
  </si>
  <si>
    <t>Боцман - Мастер</t>
  </si>
  <si>
    <t>Корабль продолжает нормальное функционирование, пока мораль не ниже 33</t>
  </si>
  <si>
    <t>Если мораль команды больше 60, то корабль получает 2 действие.</t>
  </si>
  <si>
    <t>Эльдриан</t>
  </si>
  <si>
    <t>Лириндель</t>
  </si>
  <si>
    <t>Сильвания</t>
  </si>
  <si>
    <t>Галадрон</t>
  </si>
  <si>
    <t>Аринтейн</t>
  </si>
  <si>
    <t>Фиора</t>
  </si>
  <si>
    <t>Эллисар</t>
  </si>
  <si>
    <t>Тиандор</t>
  </si>
  <si>
    <t>Зафира</t>
  </si>
  <si>
    <t>Леонардис</t>
  </si>
  <si>
    <t>Аэллесар</t>
  </si>
  <si>
    <t>Илиориан</t>
  </si>
  <si>
    <t>Сианора</t>
  </si>
  <si>
    <t>Аркантус</t>
  </si>
  <si>
    <t>Лорандир</t>
  </si>
  <si>
    <t>Эмбриос</t>
  </si>
  <si>
    <t>Исолинда</t>
  </si>
  <si>
    <t>Кирантель</t>
  </si>
  <si>
    <t>Таурелор</t>
  </si>
  <si>
    <t>Фиреллия</t>
  </si>
  <si>
    <t>Эльмарин</t>
  </si>
  <si>
    <t>Ариадель</t>
  </si>
  <si>
    <t>Галендор</t>
  </si>
  <si>
    <t>Элестрия</t>
  </si>
  <si>
    <t>Дрейкор</t>
  </si>
  <si>
    <t>Иссиэль</t>
  </si>
  <si>
    <t>Арвандор</t>
  </si>
  <si>
    <t>Сирания</t>
  </si>
  <si>
    <t>Ториндор</t>
  </si>
  <si>
    <t>Фейлиндор</t>
  </si>
  <si>
    <t>Лиландрия</t>
  </si>
  <si>
    <t>Ворантис</t>
  </si>
  <si>
    <t>Сиренна</t>
  </si>
  <si>
    <t>Эландил</t>
  </si>
  <si>
    <t>Алиандра</t>
  </si>
  <si>
    <t>Зефирос</t>
  </si>
  <si>
    <t>Фэрэлия</t>
  </si>
  <si>
    <t>Эринтар</t>
  </si>
  <si>
    <t>Сирэлион</t>
  </si>
  <si>
    <t>Теландрис</t>
  </si>
  <si>
    <t>Араниас</t>
  </si>
  <si>
    <t>Эларион</t>
  </si>
  <si>
    <t>Иллириан</t>
  </si>
  <si>
    <t>Лорелия</t>
  </si>
  <si>
    <t>Фаэрандор</t>
  </si>
  <si>
    <t>Аресса</t>
  </si>
  <si>
    <t>Эриния</t>
  </si>
  <si>
    <t>Иллирон</t>
  </si>
  <si>
    <t>Силиндра</t>
  </si>
  <si>
    <t>Ардантир</t>
  </si>
  <si>
    <t>Элесиан</t>
  </si>
  <si>
    <t>Лиссандра</t>
  </si>
  <si>
    <t>Тирандор</t>
  </si>
  <si>
    <t>Фейлура</t>
  </si>
  <si>
    <t>Арвос</t>
  </si>
  <si>
    <t>Эмелиан</t>
  </si>
  <si>
    <t>Исиэль</t>
  </si>
  <si>
    <t>Силмарин</t>
  </si>
  <si>
    <t>Элианор</t>
  </si>
  <si>
    <t>Арэлис</t>
  </si>
  <si>
    <t>Лиресса</t>
  </si>
  <si>
    <t>Фарантус</t>
  </si>
  <si>
    <t>Элариэль</t>
  </si>
  <si>
    <t>Алэрион</t>
  </si>
  <si>
    <t>Зирона</t>
  </si>
  <si>
    <t>Телестра</t>
  </si>
  <si>
    <t>Финдорил</t>
  </si>
  <si>
    <t>Эльсара</t>
  </si>
  <si>
    <t>Иллуминар</t>
  </si>
  <si>
    <t>Сирентис</t>
  </si>
  <si>
    <t>Ариндор</t>
  </si>
  <si>
    <t>Элариана</t>
  </si>
  <si>
    <t>Исира</t>
  </si>
  <si>
    <t>Солиндор</t>
  </si>
  <si>
    <t>Фиалара</t>
  </si>
  <si>
    <t>Арданна</t>
  </si>
  <si>
    <t>Эльрион</t>
  </si>
  <si>
    <t>Лиринталия</t>
  </si>
  <si>
    <t>Тирасил</t>
  </si>
  <si>
    <t>Фиорелла</t>
  </si>
  <si>
    <t>Альтиран</t>
  </si>
  <si>
    <t>Эмбриан</t>
  </si>
  <si>
    <t>Илириана</t>
  </si>
  <si>
    <t>Сиранда</t>
  </si>
  <si>
    <t>Таэлин</t>
  </si>
  <si>
    <t>Фелиос</t>
  </si>
  <si>
    <t>Армидор</t>
  </si>
  <si>
    <t>Элориан</t>
  </si>
  <si>
    <t>Иландрия</t>
  </si>
  <si>
    <t>Сиресса</t>
  </si>
  <si>
    <t>Тарантис</t>
  </si>
  <si>
    <t>Филиан</t>
  </si>
  <si>
    <t>Арелиос</t>
  </si>
  <si>
    <t>Элиссара</t>
  </si>
  <si>
    <t>Линариус</t>
  </si>
  <si>
    <t>Сирель</t>
  </si>
  <si>
    <t>Элиндор</t>
  </si>
  <si>
    <t>Люг-о-дана</t>
  </si>
  <si>
    <t>Шихона</t>
  </si>
  <si>
    <t>Готуна</t>
  </si>
  <si>
    <t>Дарутана</t>
  </si>
  <si>
    <t>Сарухана</t>
  </si>
  <si>
    <t>Лорена</t>
  </si>
  <si>
    <t>Самардейла</t>
  </si>
  <si>
    <t>Гвадекуры</t>
  </si>
  <si>
    <t>Садата</t>
  </si>
  <si>
    <t>Столицы</t>
  </si>
  <si>
    <t>Фиреллия из Готуна</t>
  </si>
  <si>
    <t>Галадрон из Дарутана</t>
  </si>
  <si>
    <t>Исиэль из Ранджар-ара</t>
  </si>
  <si>
    <t>Элесиан из Фидваго</t>
  </si>
  <si>
    <t>Элориан из Садата</t>
  </si>
  <si>
    <t>Альтиран из Фидваго</t>
  </si>
  <si>
    <t>Эринтар из Ранджар-ара</t>
  </si>
  <si>
    <t>Элиндор из Ранджар-ара</t>
  </si>
  <si>
    <t>Солиндор из Лорена</t>
  </si>
  <si>
    <t>Тиандор из Готуна</t>
  </si>
  <si>
    <t>Лиресса из Фидваго</t>
  </si>
  <si>
    <t>Иллирон из Дарутана</t>
  </si>
  <si>
    <t>Фиреллия из Фидваго</t>
  </si>
  <si>
    <t>Арелиос из Садата</t>
  </si>
  <si>
    <t>Алиандра из Фидваго</t>
  </si>
  <si>
    <t>Сильвания из Ранджар-ара</t>
  </si>
  <si>
    <t>Ариадель из Люг-о-дана</t>
  </si>
  <si>
    <t>Финдорил из Фидваго</t>
  </si>
  <si>
    <t>Эллисар из Лорена</t>
  </si>
  <si>
    <t>Силмарин из Самардейла</t>
  </si>
  <si>
    <t>Тирасил из Садата</t>
  </si>
  <si>
    <t>Алиандра из Дарутана</t>
  </si>
  <si>
    <t>Арвандор из Ранджар-ара</t>
  </si>
  <si>
    <t>Телестра из Фидваго</t>
  </si>
  <si>
    <t>Эмбриан из Лорена</t>
  </si>
  <si>
    <t>Сильвания из Люг-о-дана</t>
  </si>
  <si>
    <t>Фиора из Дарутана</t>
  </si>
  <si>
    <t>Армидор из Лорена</t>
  </si>
  <si>
    <t>Фиора из Гвадекуры</t>
  </si>
  <si>
    <t>Тиандор из Столицы</t>
  </si>
  <si>
    <t>Телестра из Готуна</t>
  </si>
  <si>
    <t>Силиндра из Сарухана</t>
  </si>
  <si>
    <t>Ториндор из Ранджар-ара</t>
  </si>
  <si>
    <t>Иллуминар из Шихона</t>
  </si>
  <si>
    <t>Тирентис из Фидваго</t>
  </si>
  <si>
    <t>Элориан из Люг-о-дана</t>
  </si>
  <si>
    <t>Фейлура из Шихона</t>
  </si>
  <si>
    <t>Сирель из Лорена</t>
  </si>
  <si>
    <t>Фиора из Столицы</t>
  </si>
  <si>
    <t>Эландил из Люг-о-дана</t>
  </si>
  <si>
    <t>Элариэль из Готуна</t>
  </si>
  <si>
    <t>Элиндор из Дарутана</t>
  </si>
  <si>
    <t>Фаэрандор из Сарухана</t>
  </si>
  <si>
    <t>Филиан из Самардейла</t>
  </si>
  <si>
    <t>Таэлин из Ранджар-ара</t>
  </si>
  <si>
    <t>Фиалара из Садата</t>
  </si>
  <si>
    <t>Лиссандра из Столицы</t>
  </si>
  <si>
    <t>Тиандор из Шихона</t>
  </si>
  <si>
    <t>Исиллиэль из Готуна</t>
  </si>
  <si>
    <t>Фелиос из Сарухана</t>
  </si>
  <si>
    <t>Элиндор из Лорена</t>
  </si>
  <si>
    <t>Лиресса из Самардейла</t>
  </si>
  <si>
    <t>Элиндор из Гвадекуры</t>
  </si>
  <si>
    <t>Аркантус из Ранджар-ара</t>
  </si>
  <si>
    <t>Тиандор из Садата</t>
  </si>
  <si>
    <t>Фейлиндор из Столицы</t>
  </si>
  <si>
    <t>Арвос из Люг-о-дана</t>
  </si>
  <si>
    <t>Эльмарин из Шихона</t>
  </si>
  <si>
    <t>Эриния из Готуна</t>
  </si>
  <si>
    <t>Силиндра из Фидваго</t>
  </si>
  <si>
    <t>Аркантус из Дарутана</t>
  </si>
  <si>
    <t>Фиалара из Сарухана</t>
  </si>
  <si>
    <t>Ворантис из Лорена</t>
  </si>
  <si>
    <t>Алэрион из Самардейла</t>
  </si>
  <si>
    <t>Аркантус из Гвадекуры</t>
  </si>
  <si>
    <t>Финдорил из Ранджар-ара</t>
  </si>
  <si>
    <t>Сианора из Садата</t>
  </si>
  <si>
    <t>Алэрион из Столицы</t>
  </si>
  <si>
    <t>Зефирос из Люг-о-дана</t>
  </si>
  <si>
    <t>Таурелор из Шихона</t>
  </si>
  <si>
    <t>Теландрис из Готуна</t>
  </si>
  <si>
    <t>Эллисар из Фидваго</t>
  </si>
  <si>
    <t>Тирандор из Дарутана</t>
  </si>
  <si>
    <t>Телестра из Сарухана</t>
  </si>
  <si>
    <t>Сиранда из Самардейла</t>
  </si>
  <si>
    <t>Элестрия из Гвадекуры</t>
  </si>
  <si>
    <t>Лиресса из Ранджар-ара</t>
  </si>
  <si>
    <t>Тирентис из Садата</t>
  </si>
  <si>
    <t>Галендор из Столицы</t>
  </si>
  <si>
    <t>Лорелия из Люг-о-дана</t>
  </si>
  <si>
    <t>Алиандра из Шихона</t>
  </si>
  <si>
    <t>Кирантель из Готуна</t>
  </si>
  <si>
    <t>Элиндор из Фидваго</t>
  </si>
  <si>
    <t>Элестрия из Дарутана</t>
  </si>
  <si>
    <t>Аркантус из Сарухана</t>
  </si>
  <si>
    <t>Лиссандра из Самардейла</t>
  </si>
  <si>
    <t>Таэлин из Гвадекуры</t>
  </si>
  <si>
    <t>Эльрион из Ранджар-ара</t>
  </si>
  <si>
    <t>Аринтейн из Столицы</t>
  </si>
  <si>
    <t>Тирандор из Люг-о-дана</t>
  </si>
  <si>
    <t>Арелиос из Шихона</t>
  </si>
  <si>
    <t>Сирентис из Готуна</t>
  </si>
  <si>
    <t>Иссиэль из Дарутана</t>
  </si>
  <si>
    <t>Зирона из Сарухана</t>
  </si>
  <si>
    <t>Аресса из Гвадекуры</t>
  </si>
  <si>
    <t>Дрейкор из Ранджар-ара</t>
  </si>
  <si>
    <t>Фейлура из Садата</t>
  </si>
  <si>
    <t>Аэллесар из Готуна</t>
  </si>
  <si>
    <t>Эриния из Фидваго</t>
  </si>
  <si>
    <t>Арданна из Дарутана</t>
  </si>
  <si>
    <t>Зефирос из Сарухана</t>
  </si>
  <si>
    <t>Сирания из Лорена</t>
  </si>
  <si>
    <t>Исолинда из Самардейла</t>
  </si>
  <si>
    <t>Зефирос из Гвадекуры</t>
  </si>
  <si>
    <t>Ардантир из Садата</t>
  </si>
  <si>
    <t>Элесиан из Столицы</t>
  </si>
  <si>
    <t>Линариус из Люг-о-дана</t>
  </si>
  <si>
    <t>Арвос из Шихона</t>
  </si>
  <si>
    <t>Арвос из Готуна</t>
  </si>
  <si>
    <t>Сиранда из Дарутана</t>
  </si>
  <si>
    <t>Фиорелла из Сарухана</t>
  </si>
  <si>
    <t>Зафира из Лорена</t>
  </si>
  <si>
    <t>Филиан из Гвадекуры</t>
  </si>
  <si>
    <t>Фиреллия из Столицы</t>
  </si>
  <si>
    <t>Эриния из Люг-о-дана</t>
  </si>
  <si>
    <t>Галадрон из Шихона</t>
  </si>
  <si>
    <t>Эльсара из Фидваго</t>
  </si>
  <si>
    <t>Илириана из Дарутана</t>
  </si>
  <si>
    <t>Сианора из Самардейла</t>
  </si>
  <si>
    <t>Сильвания из Гвадекуры</t>
  </si>
  <si>
    <t>Кирантель из Ранджар-ара</t>
  </si>
  <si>
    <t>Аресса из Садата</t>
  </si>
  <si>
    <t>Таэлин из Столицы</t>
  </si>
  <si>
    <t>Тирентис из Люг-о-дана</t>
  </si>
  <si>
    <t>Теландрис из Шихона</t>
  </si>
  <si>
    <t>Таэлин из Готуна</t>
  </si>
  <si>
    <t>Аринтейн из Сарухана</t>
  </si>
  <si>
    <t>Арэлис из Лорена</t>
  </si>
  <si>
    <t>Иландрия из Самардейла</t>
  </si>
  <si>
    <t>Арэлис из Гвадекуры</t>
  </si>
  <si>
    <t>Фаралин из Садата</t>
  </si>
  <si>
    <t>Эльсара из Столицы</t>
  </si>
  <si>
    <t>Эмелиан из Люг-о-дана</t>
  </si>
  <si>
    <t>Элориан из Шихона</t>
  </si>
  <si>
    <t>10,400988925 из Готуна</t>
  </si>
  <si>
    <t>Арэлис из Фидваго</t>
  </si>
  <si>
    <t>Исиллиэль из Дарутана</t>
  </si>
  <si>
    <t>Альтиран из Сарухана</t>
  </si>
  <si>
    <t>Фейлура из Лорена</t>
  </si>
  <si>
    <t>Эльмарин из Самардейла</t>
  </si>
  <si>
    <t>Теландрис из Гвадекуры</t>
  </si>
  <si>
    <t>Эльмарин из Садата</t>
  </si>
  <si>
    <t>Аэллесар из Люг-о-дана</t>
  </si>
  <si>
    <t>Арданна из Шихона</t>
  </si>
  <si>
    <t>Фейлиндор из Готуна</t>
  </si>
  <si>
    <t>Фэрэлия из Сарухана</t>
  </si>
  <si>
    <t>Арданна из Самардейла</t>
  </si>
  <si>
    <t>10,400988925 из Гвадекуры</t>
  </si>
  <si>
    <t>Арелиос из Ранджар-ара</t>
  </si>
  <si>
    <t>Элесиан из Садата</t>
  </si>
  <si>
    <t>Арвандор из Столицы</t>
  </si>
  <si>
    <t>Сиренна из Люг-о-дана</t>
  </si>
  <si>
    <t>Леонардис из Шихона</t>
  </si>
  <si>
    <t>Сирентис из Дарутана</t>
  </si>
  <si>
    <t>Исолинда из Сарухана</t>
  </si>
  <si>
    <t>Тиандор из Лорена</t>
  </si>
  <si>
    <t>Кирантель из Гвадекуры</t>
  </si>
  <si>
    <t>Лиссандра из Садата</t>
  </si>
  <si>
    <t>Теландрис из Столицы</t>
  </si>
  <si>
    <t>Эльрион из Люг-о-дана</t>
  </si>
  <si>
    <t>Лиссандра из Готуна</t>
  </si>
  <si>
    <t>Сирания из Фидваго</t>
  </si>
  <si>
    <t>Алэрион из Лорена</t>
  </si>
  <si>
    <t>Фиорелла из Гвадекуры</t>
  </si>
  <si>
    <t>Иллириан из Ранджар-ара</t>
  </si>
  <si>
    <t>Галадрон из Столицы</t>
  </si>
  <si>
    <t>Эльмарин из Люг-о-дана</t>
  </si>
  <si>
    <t>Телестра из Шихона</t>
  </si>
  <si>
    <t>Иссиэль из Сарухана</t>
  </si>
  <si>
    <t>Илириана из Лорена</t>
  </si>
  <si>
    <t>Эмелиан из Самардейла</t>
  </si>
  <si>
    <t>Сиренна из Гвадекуры</t>
  </si>
  <si>
    <t>Лиссандра из Ранджар-ара</t>
  </si>
  <si>
    <t>Фейлура из Столицы</t>
  </si>
  <si>
    <t>Фейлура из Люг-о-дана</t>
  </si>
  <si>
    <t>Линариус из Шихона</t>
  </si>
  <si>
    <t>Элориан из Готуна</t>
  </si>
  <si>
    <t>Фелиос из Фидваго</t>
  </si>
  <si>
    <t>Дрейкор из Дарутана</t>
  </si>
  <si>
    <t>Эльмарин из Лорена</t>
  </si>
  <si>
    <t>Зирона из Гвадекуры</t>
  </si>
  <si>
    <t>Исиллиэль из Ранджар-ара</t>
  </si>
  <si>
    <t>Лириндель из Садата</t>
  </si>
  <si>
    <t>Сильвания из Столицы</t>
  </si>
  <si>
    <t>Сирель из Шихона</t>
  </si>
  <si>
    <t>Лиресса из Дарутана</t>
  </si>
  <si>
    <t>Эллисар из Сарухана</t>
  </si>
  <si>
    <t>Сиренна из Лорена</t>
  </si>
  <si>
    <t>Фейлиндор из Самардейла</t>
  </si>
  <si>
    <t>Лорелия из Гвадекуры</t>
  </si>
  <si>
    <t>Исиллиэль из Садата</t>
  </si>
  <si>
    <t>Эмелиан из Столицы</t>
  </si>
  <si>
    <t>Элиссара из Люг-о-дана</t>
  </si>
  <si>
    <t>Теландрис из Фидваго</t>
  </si>
  <si>
    <t>Арелиос из Дарутана</t>
  </si>
  <si>
    <t>Элестрия из Сарухана</t>
  </si>
  <si>
    <t>Фиора из Лорена</t>
  </si>
  <si>
    <t>Арэлис из Самардейла</t>
  </si>
  <si>
    <t>Сирэлион из Гвадекуры</t>
  </si>
  <si>
    <t>Зафира из Садата</t>
  </si>
  <si>
    <t>Эландил из Шихона</t>
  </si>
  <si>
    <t>Элариана из Готуна</t>
  </si>
  <si>
    <t>Зефирос из Фидваго</t>
  </si>
  <si>
    <t>Фелиос из Дарутана</t>
  </si>
  <si>
    <t>Дрейкор из Сарухана</t>
  </si>
  <si>
    <t>Лиресса из Лорена</t>
  </si>
  <si>
    <t>Солиндор из Самардейла</t>
  </si>
  <si>
    <t>Зафира из Гвадекуры</t>
  </si>
  <si>
    <t>Солиндор из Садата</t>
  </si>
  <si>
    <t>Арданна из Столицы</t>
  </si>
  <si>
    <t>Лиландрия из Люг-о-дана</t>
  </si>
  <si>
    <t>Фаэрандор из Шихона</t>
  </si>
  <si>
    <t>Ворантис из Готуна</t>
  </si>
  <si>
    <t>Эландил из Фидваго</t>
  </si>
  <si>
    <t>Ардантир из Дарутана</t>
  </si>
  <si>
    <t>Илиориан из Сарухана</t>
  </si>
  <si>
    <t>Зефирос из Самардейла</t>
  </si>
  <si>
    <t>Иллирон из Гвадекуры</t>
  </si>
  <si>
    <t>Филиан из Столицы</t>
  </si>
  <si>
    <t>Фиреллия из Шихона</t>
  </si>
  <si>
    <t>Леонардис из Готуна</t>
  </si>
  <si>
    <t>Сиресса из Фидваго</t>
  </si>
  <si>
    <t>Лорелия из Дарутана</t>
  </si>
  <si>
    <t>Исиэль из Сарухана</t>
  </si>
  <si>
    <t>Исиллиэль из Лорена</t>
  </si>
  <si>
    <t>Силиндра из Гвадекуры</t>
  </si>
  <si>
    <t>Алэрион из Садата</t>
  </si>
  <si>
    <t>Телестра из Столицы</t>
  </si>
  <si>
    <t>Учебники</t>
  </si>
  <si>
    <t>Штурман продвинутый</t>
  </si>
  <si>
    <t>Штурман мастер</t>
  </si>
  <si>
    <t>Только для книг: сложность проверки</t>
  </si>
  <si>
    <t>навык</t>
  </si>
  <si>
    <t>Блок просчета улучшений</t>
  </si>
  <si>
    <t>СЛ Инт</t>
  </si>
  <si>
    <t>Сенсорный камень</t>
  </si>
  <si>
    <t>Камень 0,1 чернила 0,1</t>
  </si>
  <si>
    <t>Светящийся рунический пигмент</t>
  </si>
  <si>
    <t>Чернила 1,5, флакон 6</t>
  </si>
  <si>
    <t>Плащ шарлатана</t>
  </si>
  <si>
    <t>Тк.шелк 2, КТМ3</t>
  </si>
  <si>
    <t>Оружие разрушающей силы (мин)</t>
  </si>
  <si>
    <t>Оружие разрушающей силы (макс)</t>
  </si>
  <si>
    <t>оружие, КТУ</t>
  </si>
  <si>
    <t>Оковы измерений</t>
  </si>
  <si>
    <t>Камень рассеивания</t>
  </si>
  <si>
    <t>камень 0,1 КТМ3</t>
  </si>
  <si>
    <t>Зелья</t>
  </si>
  <si>
    <t>Зелье скорости</t>
  </si>
  <si>
    <t>ктм2</t>
  </si>
  <si>
    <t>Зелье размеров великана</t>
  </si>
  <si>
    <t>Зелье возможностей</t>
  </si>
  <si>
    <t>Боевой рог доблести</t>
  </si>
  <si>
    <t>Железо 0,3, ктм1</t>
  </si>
  <si>
    <t>Свиток заклинаний М0</t>
  </si>
  <si>
    <t>Свиток заклинаний М1</t>
  </si>
  <si>
    <t>Свиток заклинаний М2</t>
  </si>
  <si>
    <t>Свиток заклинаний М3</t>
  </si>
  <si>
    <t>Свиток заклинаний М4</t>
  </si>
  <si>
    <t>Свиток заклинаний М5</t>
  </si>
  <si>
    <t>Свиток заклинаний М6</t>
  </si>
  <si>
    <t>Свиток заклинаний М7</t>
  </si>
  <si>
    <t>Свиток заклинаний М8</t>
  </si>
  <si>
    <t>Свиток заклинаний М9</t>
  </si>
  <si>
    <t>Таланиэль</t>
  </si>
  <si>
    <t>Эсмиральда</t>
  </si>
  <si>
    <t>Карл</t>
  </si>
  <si>
    <t>Танара</t>
  </si>
  <si>
    <t>Ядовитый клык</t>
  </si>
  <si>
    <t>Сталь 0,91, КТМ0</t>
  </si>
  <si>
    <t>шелк 1, ктм3</t>
  </si>
  <si>
    <t>Шлем бдительности</t>
  </si>
  <si>
    <t>Сталь 0,5, КТм2</t>
  </si>
  <si>
    <t>0,3 золото</t>
  </si>
  <si>
    <t>ожерелье/медальон золото</t>
  </si>
  <si>
    <t>ожерелье/медальон мифрил</t>
  </si>
  <si>
    <t>0,3 мифрил</t>
  </si>
  <si>
    <t>0,3</t>
  </si>
  <si>
    <t>0,4</t>
  </si>
  <si>
    <t>Железо 2</t>
  </si>
  <si>
    <t>Алхимические реагенты (3 уровень)</t>
  </si>
  <si>
    <t>Простой реагент</t>
  </si>
  <si>
    <t>для простых лечебных зелий и ядов</t>
  </si>
  <si>
    <t>Продвинутый реагент</t>
  </si>
  <si>
    <t>Зелья магии, и сопротивлений</t>
  </si>
  <si>
    <t>Сложный реагент</t>
  </si>
  <si>
    <t>Для сложных зелий</t>
  </si>
  <si>
    <t>0,25 трава, 0,25 камень, 0,25 кожа, 0,25 вода</t>
  </si>
  <si>
    <t>0,5 прост.реаг, 0,2 руд.железо, 0,2 руд.золото</t>
  </si>
  <si>
    <t>0,5 прод.реаг, 0,5 маг чернил</t>
  </si>
  <si>
    <t>0,04</t>
  </si>
  <si>
    <t>Рукавицы силы огра</t>
  </si>
  <si>
    <t>Кожа 1, кту</t>
  </si>
  <si>
    <t>Припасы</t>
  </si>
  <si>
    <t>цена</t>
  </si>
  <si>
    <t>количество</t>
  </si>
  <si>
    <t>Лекарство (простое)</t>
  </si>
  <si>
    <t>Снабжение революции на каждого бойца, дневное</t>
  </si>
  <si>
    <t>Боевое снабжение</t>
  </si>
  <si>
    <t>Кираса +1</t>
  </si>
  <si>
    <t>Копье +1</t>
  </si>
  <si>
    <t>Арбалет ручной +1</t>
  </si>
  <si>
    <t>палатка</t>
  </si>
  <si>
    <t>Кинжал +2</t>
  </si>
  <si>
    <t>Фляга (вода)</t>
  </si>
  <si>
    <t>Корабельное снабжение ежедневное</t>
  </si>
  <si>
    <t>Временный крепеж</t>
  </si>
  <si>
    <t>Ремкомплект</t>
  </si>
  <si>
    <t>Боевое снабжение - в случае утери придется платить за новый комплект</t>
  </si>
  <si>
    <t>Арбалетные Болты</t>
  </si>
  <si>
    <t xml:space="preserve">Если снабжение выдано, то новое не выдадут. То же относится к ежедневному - если фляги полны и лекарства и т.д. не израсходаваны, то больше положенного не дадут. </t>
  </si>
  <si>
    <t>Сон</t>
  </si>
  <si>
    <t>Вероятность в день</t>
  </si>
  <si>
    <t>Прием пищи</t>
  </si>
  <si>
    <t>Работа</t>
  </si>
  <si>
    <t>Отдых</t>
  </si>
  <si>
    <t>Что угодно</t>
  </si>
  <si>
    <t>Каждый час</t>
  </si>
  <si>
    <t>Каждые 15 минут</t>
  </si>
  <si>
    <t>Тестовое расписание</t>
  </si>
  <si>
    <t>Зелье бдительного отдыха</t>
  </si>
  <si>
    <t>пр реаг</t>
  </si>
  <si>
    <t>вода</t>
  </si>
  <si>
    <t>Пр.реаг, мед 0,1, вода 0,25, флакон</t>
  </si>
  <si>
    <t>флакон</t>
  </si>
  <si>
    <t>Зелье героизма</t>
  </si>
  <si>
    <t>Пр.реаг, золото 0,1, вода 0,3 , флакон</t>
  </si>
  <si>
    <t>Зелье лечение</t>
  </si>
  <si>
    <t>Зелье большого лечения</t>
  </si>
  <si>
    <t>Зелье отличного лечения</t>
  </si>
  <si>
    <t>Зелье превосходного лечения</t>
  </si>
  <si>
    <t>реагент</t>
  </si>
  <si>
    <t>реаг, лекарств, вода 0,4, флакон</t>
  </si>
  <si>
    <t>реаг, вода 0,5, флакон</t>
  </si>
  <si>
    <t>пр реаг, хор лекарст, вода 0,3, флакон</t>
  </si>
  <si>
    <t xml:space="preserve">пр реаг, лекарств 10, вода 0,3, флакон </t>
  </si>
  <si>
    <t>Зелье огненного дыхания</t>
  </si>
  <si>
    <t>слж реаг</t>
  </si>
  <si>
    <t>слж реаг, флакон, масло 0,3</t>
  </si>
  <si>
    <t>Льняное Масло</t>
  </si>
  <si>
    <t>Зелье полета</t>
  </si>
  <si>
    <t>слж реаг, флакон, вода 0,4</t>
  </si>
  <si>
    <t>Зелье преимущества</t>
  </si>
  <si>
    <t>пр.реаг, флакон, вода 0,5</t>
  </si>
  <si>
    <t>Зелье псионической стойкости</t>
  </si>
  <si>
    <t>пр.реаг, флакон, масло 0,4</t>
  </si>
  <si>
    <t>Зелье увеличения</t>
  </si>
  <si>
    <t>слж.реаг, флакон, сталь 0,1, вода 0,3</t>
  </si>
  <si>
    <t>Зелье яда</t>
  </si>
  <si>
    <t>пр.реаг, вода 0,5, лекарств</t>
  </si>
  <si>
    <t>Зелье любви</t>
  </si>
  <si>
    <t>пр реаг, вода 0,5, флакон</t>
  </si>
  <si>
    <t>дерево 0,1, КТМ2</t>
  </si>
  <si>
    <t>Переработать</t>
  </si>
  <si>
    <t>пергамент</t>
  </si>
  <si>
    <t>лен 3</t>
  </si>
  <si>
    <t>Доделать</t>
  </si>
  <si>
    <t>Результат броска</t>
  </si>
  <si>
    <t>Мораль</t>
  </si>
  <si>
    <t>Не трогать!</t>
  </si>
  <si>
    <t>элитные товары, зелья</t>
  </si>
  <si>
    <t>Артефакты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</si>
</sst>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Fill="1"/>
    <xf numFmtId="0" fontId="0" fillId="6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6" borderId="1" xfId="0" applyFont="1" applyFill="1" applyBorder="1" applyAlignment="1">
      <alignment horizontal="right"/>
    </xf>
    <xf numFmtId="0" fontId="1" fillId="10" borderId="1" xfId="0" applyFont="1" applyFill="1" applyBorder="1"/>
    <xf numFmtId="0" fontId="1" fillId="9" borderId="1" xfId="0" applyFont="1" applyFill="1" applyBorder="1"/>
    <xf numFmtId="0" fontId="0" fillId="9" borderId="1" xfId="0" applyFill="1" applyBorder="1"/>
    <xf numFmtId="0" fontId="1" fillId="3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5" zoomScaleNormal="85" workbookViewId="0">
      <selection activeCell="J29" sqref="J29"/>
    </sheetView>
  </sheetViews>
  <sheetFormatPr defaultRowHeight="15" x14ac:dyDescent="0.25"/>
  <cols>
    <col min="1" max="1" width="17.7109375" customWidth="1"/>
    <col min="2" max="2" width="13.28515625" customWidth="1"/>
  </cols>
  <sheetData>
    <row r="1" spans="1:19" x14ac:dyDescent="0.25">
      <c r="A1" t="s">
        <v>0</v>
      </c>
      <c r="C1" t="s">
        <v>9</v>
      </c>
      <c r="F1" t="s">
        <v>10</v>
      </c>
      <c r="H1" t="s">
        <v>14</v>
      </c>
      <c r="I1" t="s">
        <v>24</v>
      </c>
      <c r="J1" t="s">
        <v>32</v>
      </c>
      <c r="K1" t="s">
        <v>33</v>
      </c>
      <c r="N1" t="s">
        <v>34</v>
      </c>
      <c r="P1" t="s">
        <v>14</v>
      </c>
      <c r="Q1" t="s">
        <v>24</v>
      </c>
      <c r="R1" t="s">
        <v>32</v>
      </c>
      <c r="S1" t="s">
        <v>33</v>
      </c>
    </row>
    <row r="2" spans="1:19" x14ac:dyDescent="0.25">
      <c r="A2" t="s">
        <v>1</v>
      </c>
      <c r="C2">
        <v>0.2</v>
      </c>
      <c r="F2" t="s">
        <v>11</v>
      </c>
      <c r="H2" t="s">
        <v>15</v>
      </c>
      <c r="I2">
        <f>C2+C6</f>
        <v>1.2</v>
      </c>
      <c r="J2">
        <v>2</v>
      </c>
      <c r="K2">
        <f>J2*I2</f>
        <v>2.4</v>
      </c>
      <c r="N2" t="s">
        <v>36</v>
      </c>
      <c r="P2" t="s">
        <v>46</v>
      </c>
      <c r="Q2">
        <f>C2+C6+0.5*C10</f>
        <v>6.2</v>
      </c>
      <c r="R2">
        <v>3</v>
      </c>
      <c r="S2">
        <f>R2*Q2</f>
        <v>18.600000000000001</v>
      </c>
    </row>
    <row r="3" spans="1:19" x14ac:dyDescent="0.25">
      <c r="A3" t="s">
        <v>2</v>
      </c>
      <c r="C3">
        <v>0.1</v>
      </c>
      <c r="F3" t="s">
        <v>12</v>
      </c>
      <c r="H3" t="s">
        <v>16</v>
      </c>
      <c r="I3">
        <f>C2+2*C6</f>
        <v>2.2000000000000002</v>
      </c>
      <c r="J3">
        <v>2</v>
      </c>
      <c r="K3">
        <f t="shared" ref="K3:K10" si="0">J3*I3</f>
        <v>4.4000000000000004</v>
      </c>
      <c r="N3" t="s">
        <v>37</v>
      </c>
      <c r="P3" t="s">
        <v>47</v>
      </c>
      <c r="Q3">
        <f>C2+C10+2*C6</f>
        <v>12.2</v>
      </c>
      <c r="R3">
        <v>3</v>
      </c>
      <c r="S3">
        <f t="shared" ref="S3:S10" si="1">R3*Q3</f>
        <v>36.599999999999994</v>
      </c>
    </row>
    <row r="4" spans="1:19" x14ac:dyDescent="0.25">
      <c r="A4" t="s">
        <v>3</v>
      </c>
      <c r="C4">
        <v>0.2</v>
      </c>
      <c r="F4" t="s">
        <v>13</v>
      </c>
      <c r="H4" t="s">
        <v>17</v>
      </c>
      <c r="I4">
        <f>C2+4*C6</f>
        <v>4.2</v>
      </c>
      <c r="J4">
        <v>2</v>
      </c>
      <c r="K4">
        <f t="shared" si="0"/>
        <v>8.4</v>
      </c>
      <c r="N4" t="s">
        <v>38</v>
      </c>
      <c r="P4" t="s">
        <v>48</v>
      </c>
      <c r="Q4">
        <f>C2+2*C10+4*C6</f>
        <v>24.2</v>
      </c>
      <c r="R4">
        <v>3</v>
      </c>
      <c r="S4">
        <f t="shared" si="1"/>
        <v>72.599999999999994</v>
      </c>
    </row>
    <row r="5" spans="1:19" x14ac:dyDescent="0.25">
      <c r="A5" t="s">
        <v>4</v>
      </c>
      <c r="C5">
        <v>0.6</v>
      </c>
      <c r="F5" t="s">
        <v>18</v>
      </c>
      <c r="H5" t="s">
        <v>19</v>
      </c>
      <c r="I5">
        <f>C4</f>
        <v>0.2</v>
      </c>
      <c r="J5">
        <v>2</v>
      </c>
      <c r="K5">
        <f t="shared" si="0"/>
        <v>0.4</v>
      </c>
      <c r="N5" t="s">
        <v>39</v>
      </c>
      <c r="P5" t="s">
        <v>49</v>
      </c>
      <c r="Q5">
        <f>5*C9+C10</f>
        <v>11.5</v>
      </c>
      <c r="R5">
        <v>3</v>
      </c>
      <c r="S5">
        <f t="shared" si="1"/>
        <v>34.5</v>
      </c>
    </row>
    <row r="6" spans="1:19" x14ac:dyDescent="0.25">
      <c r="A6" t="s">
        <v>6</v>
      </c>
      <c r="C6">
        <v>1</v>
      </c>
      <c r="F6" t="s">
        <v>20</v>
      </c>
      <c r="H6" t="s">
        <v>21</v>
      </c>
      <c r="I6">
        <f>C4+C5</f>
        <v>0.8</v>
      </c>
      <c r="J6">
        <v>2</v>
      </c>
      <c r="K6">
        <f t="shared" si="0"/>
        <v>1.6</v>
      </c>
      <c r="N6" t="s">
        <v>40</v>
      </c>
      <c r="P6" t="s">
        <v>50</v>
      </c>
      <c r="Q6">
        <f>3*C9+2*C6+C10</f>
        <v>12.9</v>
      </c>
      <c r="R6">
        <v>3</v>
      </c>
      <c r="S6">
        <f t="shared" si="1"/>
        <v>38.700000000000003</v>
      </c>
    </row>
    <row r="7" spans="1:19" x14ac:dyDescent="0.25">
      <c r="A7" t="s">
        <v>7</v>
      </c>
      <c r="C7">
        <v>100</v>
      </c>
      <c r="F7" t="s">
        <v>22</v>
      </c>
      <c r="H7" t="s">
        <v>23</v>
      </c>
      <c r="I7">
        <f>C8</f>
        <v>0.3</v>
      </c>
      <c r="J7">
        <v>2</v>
      </c>
      <c r="K7">
        <f t="shared" si="0"/>
        <v>0.6</v>
      </c>
      <c r="N7" t="s">
        <v>41</v>
      </c>
      <c r="P7" t="s">
        <v>51</v>
      </c>
      <c r="Q7">
        <f>4*C6+C9+C10</f>
        <v>14.3</v>
      </c>
      <c r="R7">
        <v>3</v>
      </c>
      <c r="S7">
        <f t="shared" si="1"/>
        <v>42.900000000000006</v>
      </c>
    </row>
    <row r="8" spans="1:19" x14ac:dyDescent="0.25">
      <c r="A8" t="s">
        <v>8</v>
      </c>
      <c r="C8">
        <v>0.3</v>
      </c>
      <c r="F8" t="s">
        <v>25</v>
      </c>
      <c r="H8" t="s">
        <v>29</v>
      </c>
      <c r="I8">
        <f>5*C9</f>
        <v>1.5</v>
      </c>
      <c r="J8">
        <v>2</v>
      </c>
      <c r="K8">
        <f t="shared" si="0"/>
        <v>3</v>
      </c>
      <c r="N8" t="s">
        <v>42</v>
      </c>
      <c r="P8" t="s">
        <v>52</v>
      </c>
      <c r="Q8">
        <f>C4+C5+C8</f>
        <v>1.1000000000000001</v>
      </c>
      <c r="R8">
        <v>3</v>
      </c>
      <c r="S8">
        <f t="shared" si="1"/>
        <v>3.3000000000000003</v>
      </c>
    </row>
    <row r="9" spans="1:19" x14ac:dyDescent="0.25">
      <c r="A9" t="s">
        <v>28</v>
      </c>
      <c r="C9">
        <v>0.3</v>
      </c>
      <c r="F9" t="s">
        <v>26</v>
      </c>
      <c r="H9" t="s">
        <v>30</v>
      </c>
      <c r="I9">
        <f>3*C9+2*C6</f>
        <v>2.9</v>
      </c>
      <c r="J9">
        <v>2</v>
      </c>
      <c r="K9">
        <f t="shared" si="0"/>
        <v>5.8</v>
      </c>
      <c r="N9" t="s">
        <v>43</v>
      </c>
      <c r="P9" t="s">
        <v>53</v>
      </c>
      <c r="Q9">
        <f>4*C8+2*C4</f>
        <v>1.6</v>
      </c>
      <c r="R9">
        <v>3</v>
      </c>
      <c r="S9">
        <f t="shared" si="1"/>
        <v>4.8000000000000007</v>
      </c>
    </row>
    <row r="10" spans="1:19" x14ac:dyDescent="0.25">
      <c r="A10" t="s">
        <v>35</v>
      </c>
      <c r="C10">
        <v>10</v>
      </c>
      <c r="F10" t="s">
        <v>27</v>
      </c>
      <c r="H10" t="s">
        <v>31</v>
      </c>
      <c r="I10">
        <f>4*C6+C9</f>
        <v>4.3</v>
      </c>
      <c r="J10">
        <v>2</v>
      </c>
      <c r="K10">
        <f t="shared" si="0"/>
        <v>8.6</v>
      </c>
      <c r="N10" t="s">
        <v>44</v>
      </c>
      <c r="P10" t="s">
        <v>54</v>
      </c>
      <c r="Q10">
        <f>C7+2*C8</f>
        <v>100.6</v>
      </c>
      <c r="R10">
        <v>3</v>
      </c>
      <c r="S10">
        <f t="shared" si="1"/>
        <v>301.79999999999995</v>
      </c>
    </row>
    <row r="12" spans="1:19" x14ac:dyDescent="0.25">
      <c r="N12" t="s">
        <v>45</v>
      </c>
    </row>
    <row r="14" spans="1:19" x14ac:dyDescent="0.25">
      <c r="A14" t="s">
        <v>5</v>
      </c>
      <c r="E14" t="s">
        <v>59</v>
      </c>
    </row>
    <row r="15" spans="1:19" x14ac:dyDescent="0.25">
      <c r="A15" t="s">
        <v>60</v>
      </c>
      <c r="B15" t="s">
        <v>33</v>
      </c>
      <c r="C15" t="s">
        <v>55</v>
      </c>
      <c r="D15" t="s">
        <v>57</v>
      </c>
      <c r="E15" t="s">
        <v>58</v>
      </c>
      <c r="F15" t="s">
        <v>32</v>
      </c>
      <c r="G15" t="s">
        <v>56</v>
      </c>
    </row>
    <row r="16" spans="1:19" x14ac:dyDescent="0.25">
      <c r="A16" t="str">
        <f>A2</f>
        <v>Древесина</v>
      </c>
      <c r="B16">
        <f>C2</f>
        <v>0.2</v>
      </c>
      <c r="C16">
        <v>5</v>
      </c>
      <c r="D16">
        <v>2</v>
      </c>
      <c r="E16">
        <v>1</v>
      </c>
      <c r="F16">
        <f>D16/E16</f>
        <v>2</v>
      </c>
      <c r="G16">
        <f>(B16+C16)*F16</f>
        <v>10.4</v>
      </c>
    </row>
    <row r="17" spans="1:7" x14ac:dyDescent="0.25">
      <c r="A17" t="str">
        <f t="shared" ref="A17:A22" si="2">A3</f>
        <v>Камень</v>
      </c>
      <c r="B17">
        <f t="shared" ref="B17:B23" si="3">C3</f>
        <v>0.1</v>
      </c>
      <c r="C17">
        <v>5</v>
      </c>
      <c r="D17">
        <v>1</v>
      </c>
      <c r="E17">
        <v>1</v>
      </c>
      <c r="F17">
        <f t="shared" ref="F17:F41" si="4">D17/E17</f>
        <v>1</v>
      </c>
      <c r="G17">
        <f t="shared" ref="G17:G41" si="5">(B17+C17)*F17</f>
        <v>5.0999999999999996</v>
      </c>
    </row>
    <row r="18" spans="1:7" x14ac:dyDescent="0.25">
      <c r="A18" t="str">
        <f t="shared" si="2"/>
        <v>Пщеница</v>
      </c>
      <c r="B18">
        <f t="shared" si="3"/>
        <v>0.2</v>
      </c>
      <c r="C18">
        <v>5</v>
      </c>
      <c r="D18">
        <v>5</v>
      </c>
      <c r="E18">
        <v>1</v>
      </c>
      <c r="F18">
        <f t="shared" si="4"/>
        <v>5</v>
      </c>
      <c r="G18">
        <f t="shared" si="5"/>
        <v>26</v>
      </c>
    </row>
    <row r="19" spans="1:7" x14ac:dyDescent="0.25">
      <c r="A19" t="str">
        <f t="shared" si="2"/>
        <v>Мясо</v>
      </c>
      <c r="B19">
        <f t="shared" si="3"/>
        <v>0.6</v>
      </c>
      <c r="C19">
        <v>5</v>
      </c>
      <c r="D19">
        <v>3</v>
      </c>
      <c r="E19">
        <v>1</v>
      </c>
      <c r="F19">
        <f t="shared" si="4"/>
        <v>3</v>
      </c>
      <c r="G19">
        <f t="shared" si="5"/>
        <v>16.799999999999997</v>
      </c>
    </row>
    <row r="20" spans="1:7" x14ac:dyDescent="0.25">
      <c r="A20" t="str">
        <f t="shared" si="2"/>
        <v>Сталь</v>
      </c>
      <c r="B20">
        <f t="shared" si="3"/>
        <v>1</v>
      </c>
      <c r="C20">
        <v>5</v>
      </c>
      <c r="D20">
        <v>2</v>
      </c>
      <c r="E20">
        <v>1</v>
      </c>
      <c r="F20">
        <f t="shared" si="4"/>
        <v>2</v>
      </c>
      <c r="G20">
        <f t="shared" si="5"/>
        <v>12</v>
      </c>
    </row>
    <row r="21" spans="1:7" x14ac:dyDescent="0.25">
      <c r="A21" t="str">
        <f t="shared" si="2"/>
        <v>Камни Талантов</v>
      </c>
      <c r="B21">
        <f t="shared" si="3"/>
        <v>100</v>
      </c>
      <c r="C21">
        <v>5</v>
      </c>
      <c r="D21">
        <v>4</v>
      </c>
      <c r="E21">
        <v>0.3</v>
      </c>
      <c r="F21">
        <f t="shared" si="4"/>
        <v>13.333333333333334</v>
      </c>
      <c r="G21">
        <f t="shared" si="5"/>
        <v>1400</v>
      </c>
    </row>
    <row r="22" spans="1:7" x14ac:dyDescent="0.25">
      <c r="A22" t="str">
        <f t="shared" si="2"/>
        <v>Травы</v>
      </c>
      <c r="B22">
        <f t="shared" si="3"/>
        <v>0.3</v>
      </c>
      <c r="C22">
        <v>5</v>
      </c>
      <c r="D22">
        <v>3</v>
      </c>
      <c r="E22">
        <v>1</v>
      </c>
      <c r="F22">
        <f t="shared" si="4"/>
        <v>3</v>
      </c>
      <c r="G22">
        <f t="shared" si="5"/>
        <v>15.899999999999999</v>
      </c>
    </row>
    <row r="23" spans="1:7" x14ac:dyDescent="0.25">
      <c r="A23" t="str">
        <f>A9</f>
        <v>Кожа</v>
      </c>
      <c r="B23">
        <f t="shared" si="3"/>
        <v>0.3</v>
      </c>
      <c r="C23">
        <v>5</v>
      </c>
      <c r="D23">
        <v>2</v>
      </c>
      <c r="E23">
        <v>1</v>
      </c>
      <c r="F23">
        <f t="shared" si="4"/>
        <v>2</v>
      </c>
      <c r="G23">
        <f t="shared" si="5"/>
        <v>10.6</v>
      </c>
    </row>
    <row r="24" spans="1:7" x14ac:dyDescent="0.25">
      <c r="A24" t="str">
        <f>F2</f>
        <v>Оружие(маленькое)</v>
      </c>
      <c r="B24">
        <f>K2</f>
        <v>2.4</v>
      </c>
      <c r="C24">
        <v>7</v>
      </c>
      <c r="D24">
        <v>2</v>
      </c>
      <c r="E24">
        <v>0.5</v>
      </c>
      <c r="F24">
        <f t="shared" si="4"/>
        <v>4</v>
      </c>
      <c r="G24">
        <f t="shared" si="5"/>
        <v>37.6</v>
      </c>
    </row>
    <row r="25" spans="1:7" x14ac:dyDescent="0.25">
      <c r="A25" t="str">
        <f t="shared" ref="A25:A31" si="6">F3</f>
        <v>Оружие(Среднее)</v>
      </c>
      <c r="B25">
        <f t="shared" ref="B25:B32" si="7">K3</f>
        <v>4.4000000000000004</v>
      </c>
      <c r="C25">
        <v>7</v>
      </c>
      <c r="D25">
        <v>2</v>
      </c>
      <c r="E25">
        <v>0.5</v>
      </c>
      <c r="F25">
        <f t="shared" si="4"/>
        <v>4</v>
      </c>
      <c r="G25">
        <f t="shared" si="5"/>
        <v>45.6</v>
      </c>
    </row>
    <row r="26" spans="1:7" x14ac:dyDescent="0.25">
      <c r="A26" t="str">
        <f t="shared" si="6"/>
        <v>Оружие(Большое)</v>
      </c>
      <c r="B26">
        <f t="shared" si="7"/>
        <v>8.4</v>
      </c>
      <c r="C26">
        <v>7</v>
      </c>
      <c r="D26">
        <v>2</v>
      </c>
      <c r="E26">
        <v>0.5</v>
      </c>
      <c r="F26">
        <f t="shared" si="4"/>
        <v>4</v>
      </c>
      <c r="G26">
        <f t="shared" si="5"/>
        <v>61.6</v>
      </c>
    </row>
    <row r="27" spans="1:7" x14ac:dyDescent="0.25">
      <c r="A27" t="str">
        <f t="shared" si="6"/>
        <v>Простая еда</v>
      </c>
      <c r="B27">
        <f t="shared" si="7"/>
        <v>0.4</v>
      </c>
      <c r="C27">
        <v>7</v>
      </c>
      <c r="D27">
        <v>2</v>
      </c>
      <c r="E27">
        <v>1.5</v>
      </c>
      <c r="F27">
        <f t="shared" si="4"/>
        <v>1.3333333333333333</v>
      </c>
      <c r="G27">
        <f t="shared" si="5"/>
        <v>9.8666666666666671</v>
      </c>
    </row>
    <row r="28" spans="1:7" x14ac:dyDescent="0.25">
      <c r="A28" t="str">
        <f t="shared" si="6"/>
        <v>Хорошая еда</v>
      </c>
      <c r="B28">
        <f t="shared" si="7"/>
        <v>1.6</v>
      </c>
      <c r="C28">
        <v>7</v>
      </c>
      <c r="D28">
        <v>5</v>
      </c>
      <c r="E28">
        <v>1.5</v>
      </c>
      <c r="F28">
        <f t="shared" si="4"/>
        <v>3.3333333333333335</v>
      </c>
      <c r="G28">
        <f t="shared" si="5"/>
        <v>28.666666666666668</v>
      </c>
    </row>
    <row r="29" spans="1:7" x14ac:dyDescent="0.25">
      <c r="A29" t="str">
        <f t="shared" si="6"/>
        <v>Лекарства</v>
      </c>
      <c r="B29">
        <f t="shared" si="7"/>
        <v>0.6</v>
      </c>
      <c r="C29">
        <v>7</v>
      </c>
      <c r="D29">
        <v>4</v>
      </c>
      <c r="E29">
        <v>0.5</v>
      </c>
      <c r="F29">
        <f t="shared" si="4"/>
        <v>8</v>
      </c>
      <c r="G29">
        <f t="shared" si="5"/>
        <v>60.8</v>
      </c>
    </row>
    <row r="30" spans="1:7" x14ac:dyDescent="0.25">
      <c r="A30" t="str">
        <f t="shared" si="6"/>
        <v>Доспехи(легкие)</v>
      </c>
      <c r="B30">
        <f t="shared" si="7"/>
        <v>3</v>
      </c>
      <c r="C30">
        <v>7</v>
      </c>
      <c r="D30">
        <v>2</v>
      </c>
      <c r="E30">
        <v>0.5</v>
      </c>
      <c r="F30">
        <f t="shared" si="4"/>
        <v>4</v>
      </c>
      <c r="G30">
        <f t="shared" si="5"/>
        <v>40</v>
      </c>
    </row>
    <row r="31" spans="1:7" x14ac:dyDescent="0.25">
      <c r="A31" t="str">
        <f t="shared" si="6"/>
        <v>Доспехи(Средние)</v>
      </c>
      <c r="B31">
        <f t="shared" si="7"/>
        <v>5.8</v>
      </c>
      <c r="C31">
        <v>7</v>
      </c>
      <c r="D31">
        <v>2</v>
      </c>
      <c r="E31">
        <v>0.5</v>
      </c>
      <c r="F31">
        <f t="shared" si="4"/>
        <v>4</v>
      </c>
      <c r="G31">
        <f t="shared" si="5"/>
        <v>51.2</v>
      </c>
    </row>
    <row r="32" spans="1:7" x14ac:dyDescent="0.25">
      <c r="A32" t="str">
        <f>F10</f>
        <v>Доспехи(тяжелые)</v>
      </c>
      <c r="B32">
        <f t="shared" si="7"/>
        <v>8.6</v>
      </c>
      <c r="C32">
        <v>7</v>
      </c>
      <c r="D32">
        <v>2</v>
      </c>
      <c r="E32">
        <v>0.5</v>
      </c>
      <c r="F32">
        <f t="shared" si="4"/>
        <v>4</v>
      </c>
      <c r="G32">
        <f t="shared" si="5"/>
        <v>62.4</v>
      </c>
    </row>
    <row r="33" spans="1:7" x14ac:dyDescent="0.25">
      <c r="A33" t="str">
        <f>N2</f>
        <v>Элит.Оружие(маленькое)</v>
      </c>
      <c r="B33">
        <f>S2</f>
        <v>18.600000000000001</v>
      </c>
      <c r="C33">
        <v>2</v>
      </c>
      <c r="D33">
        <v>3</v>
      </c>
      <c r="E33">
        <v>0.3</v>
      </c>
      <c r="F33">
        <f t="shared" si="4"/>
        <v>10</v>
      </c>
      <c r="G33">
        <f t="shared" si="5"/>
        <v>206</v>
      </c>
    </row>
    <row r="34" spans="1:7" x14ac:dyDescent="0.25">
      <c r="A34" t="str">
        <f t="shared" ref="A34:A41" si="8">N3</f>
        <v>Элит.Оружие(Среднее)</v>
      </c>
      <c r="B34">
        <f t="shared" ref="B34:B41" si="9">S3</f>
        <v>36.599999999999994</v>
      </c>
      <c r="C34">
        <v>2</v>
      </c>
      <c r="D34">
        <v>3</v>
      </c>
      <c r="E34">
        <v>0.3</v>
      </c>
      <c r="F34">
        <f t="shared" si="4"/>
        <v>10</v>
      </c>
      <c r="G34">
        <f t="shared" si="5"/>
        <v>385.99999999999994</v>
      </c>
    </row>
    <row r="35" spans="1:7" x14ac:dyDescent="0.25">
      <c r="A35" t="str">
        <f t="shared" si="8"/>
        <v>Элит.Оружие(Большое)</v>
      </c>
      <c r="B35">
        <f t="shared" si="9"/>
        <v>72.599999999999994</v>
      </c>
      <c r="C35">
        <v>2</v>
      </c>
      <c r="D35">
        <v>3</v>
      </c>
      <c r="E35">
        <v>0.3</v>
      </c>
      <c r="F35">
        <f t="shared" si="4"/>
        <v>10</v>
      </c>
      <c r="G35">
        <f t="shared" si="5"/>
        <v>746</v>
      </c>
    </row>
    <row r="36" spans="1:7" x14ac:dyDescent="0.25">
      <c r="A36" t="str">
        <f t="shared" si="8"/>
        <v>Элит.Доспехи(легкие)</v>
      </c>
      <c r="B36">
        <f t="shared" si="9"/>
        <v>34.5</v>
      </c>
      <c r="C36">
        <v>2</v>
      </c>
      <c r="D36">
        <v>3</v>
      </c>
      <c r="E36">
        <v>0.3</v>
      </c>
      <c r="F36">
        <f t="shared" si="4"/>
        <v>10</v>
      </c>
      <c r="G36">
        <f t="shared" si="5"/>
        <v>365</v>
      </c>
    </row>
    <row r="37" spans="1:7" x14ac:dyDescent="0.25">
      <c r="A37" t="str">
        <f t="shared" si="8"/>
        <v>ЭлитДоспехи(Средние)</v>
      </c>
      <c r="B37">
        <f t="shared" si="9"/>
        <v>38.700000000000003</v>
      </c>
      <c r="C37">
        <v>2</v>
      </c>
      <c r="D37">
        <v>3</v>
      </c>
      <c r="E37">
        <v>0.3</v>
      </c>
      <c r="F37">
        <f t="shared" si="4"/>
        <v>10</v>
      </c>
      <c r="G37">
        <f t="shared" si="5"/>
        <v>407</v>
      </c>
    </row>
    <row r="38" spans="1:7" x14ac:dyDescent="0.25">
      <c r="A38" t="str">
        <f t="shared" si="8"/>
        <v>Элит.Доспехи(тяжелые)</v>
      </c>
      <c r="B38">
        <f t="shared" si="9"/>
        <v>42.900000000000006</v>
      </c>
      <c r="C38">
        <v>2</v>
      </c>
      <c r="D38">
        <v>3</v>
      </c>
      <c r="E38">
        <v>0.3</v>
      </c>
      <c r="F38">
        <f t="shared" si="4"/>
        <v>10</v>
      </c>
      <c r="G38">
        <f t="shared" si="5"/>
        <v>449.00000000000006</v>
      </c>
    </row>
    <row r="39" spans="1:7" x14ac:dyDescent="0.25">
      <c r="A39" t="str">
        <f t="shared" si="8"/>
        <v>Дорогая еда</v>
      </c>
      <c r="B39">
        <f t="shared" si="9"/>
        <v>3.3000000000000003</v>
      </c>
      <c r="C39">
        <v>0</v>
      </c>
      <c r="D39">
        <v>7</v>
      </c>
      <c r="E39">
        <v>0.3</v>
      </c>
      <c r="F39">
        <f t="shared" si="4"/>
        <v>23.333333333333336</v>
      </c>
      <c r="G39">
        <f t="shared" si="5"/>
        <v>77.000000000000014</v>
      </c>
    </row>
    <row r="40" spans="1:7" x14ac:dyDescent="0.25">
      <c r="A40" t="str">
        <f t="shared" si="8"/>
        <v>Хорошие лекарства</v>
      </c>
      <c r="B40">
        <f t="shared" si="9"/>
        <v>4.8000000000000007</v>
      </c>
      <c r="C40">
        <v>0</v>
      </c>
      <c r="D40">
        <v>5</v>
      </c>
      <c r="E40">
        <v>0.3</v>
      </c>
      <c r="F40">
        <f t="shared" si="4"/>
        <v>16.666666666666668</v>
      </c>
      <c r="G40">
        <f t="shared" si="5"/>
        <v>80.000000000000014</v>
      </c>
    </row>
    <row r="41" spans="1:7" x14ac:dyDescent="0.25">
      <c r="A41" t="str">
        <f t="shared" si="8"/>
        <v>Волшебное зелье</v>
      </c>
      <c r="B41">
        <f t="shared" si="9"/>
        <v>301.79999999999995</v>
      </c>
      <c r="C41">
        <v>0</v>
      </c>
      <c r="D41">
        <v>2</v>
      </c>
      <c r="E41">
        <v>0.3</v>
      </c>
      <c r="F41">
        <f t="shared" si="4"/>
        <v>6.666666666666667</v>
      </c>
      <c r="G41">
        <f t="shared" si="5"/>
        <v>2011.9999999999998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43"/>
  <sheetViews>
    <sheetView topLeftCell="AJ55" zoomScale="70" zoomScaleNormal="70" workbookViewId="0">
      <selection activeCell="O34" sqref="O34"/>
    </sheetView>
  </sheetViews>
  <sheetFormatPr defaultRowHeight="15" x14ac:dyDescent="0.25"/>
  <cols>
    <col min="1" max="1" width="31.140625" customWidth="1"/>
    <col min="2" max="8" width="8.7109375" customWidth="1"/>
    <col min="12" max="12" width="20" customWidth="1"/>
    <col min="24" max="24" width="26.28515625" customWidth="1"/>
    <col min="38" max="38" width="28.140625" customWidth="1"/>
    <col min="39" max="39" width="13.7109375" customWidth="1"/>
    <col min="41" max="41" width="10.42578125" customWidth="1"/>
    <col min="48" max="48" width="10.5703125" customWidth="1"/>
    <col min="51" max="51" width="10.42578125" customWidth="1"/>
    <col min="52" max="52" width="25" customWidth="1"/>
    <col min="53" max="53" width="7.85546875" customWidth="1"/>
    <col min="54" max="54" width="10.85546875" customWidth="1"/>
  </cols>
  <sheetData>
    <row r="3" spans="1:78" x14ac:dyDescent="0.25">
      <c r="A3" s="1" t="s">
        <v>124</v>
      </c>
      <c r="B3" s="5" t="s">
        <v>125</v>
      </c>
      <c r="C3" s="5" t="s">
        <v>63</v>
      </c>
      <c r="D3" s="5" t="s">
        <v>61</v>
      </c>
      <c r="E3" s="5" t="s">
        <v>70</v>
      </c>
      <c r="F3" s="5" t="s">
        <v>62</v>
      </c>
      <c r="G3" s="5" t="s">
        <v>69</v>
      </c>
      <c r="H3" s="5" t="s">
        <v>127</v>
      </c>
      <c r="I3" s="5" t="s">
        <v>128</v>
      </c>
      <c r="J3" s="6"/>
      <c r="L3" s="4" t="s">
        <v>129</v>
      </c>
      <c r="M3" s="5" t="s">
        <v>125</v>
      </c>
      <c r="N3" s="5" t="s">
        <v>130</v>
      </c>
      <c r="O3" s="5" t="s">
        <v>131</v>
      </c>
      <c r="P3" s="5" t="s">
        <v>63</v>
      </c>
      <c r="Q3" s="5" t="s">
        <v>61</v>
      </c>
      <c r="R3" s="5" t="s">
        <v>70</v>
      </c>
      <c r="S3" s="5" t="s">
        <v>62</v>
      </c>
      <c r="T3" s="5" t="s">
        <v>69</v>
      </c>
      <c r="U3" s="5" t="s">
        <v>127</v>
      </c>
      <c r="V3" s="5" t="s">
        <v>128</v>
      </c>
      <c r="W3" s="6"/>
      <c r="X3" s="1" t="s">
        <v>1026</v>
      </c>
      <c r="Y3" s="7" t="s">
        <v>130</v>
      </c>
      <c r="Z3" s="7" t="s">
        <v>131</v>
      </c>
      <c r="AA3" s="7" t="s">
        <v>63</v>
      </c>
      <c r="AB3" s="7" t="s">
        <v>61</v>
      </c>
      <c r="AC3" s="7" t="s">
        <v>70</v>
      </c>
      <c r="AD3" s="7" t="s">
        <v>62</v>
      </c>
      <c r="AE3" s="7" t="s">
        <v>69</v>
      </c>
      <c r="AF3" s="7" t="s">
        <v>127</v>
      </c>
      <c r="AG3" s="7" t="s">
        <v>128</v>
      </c>
      <c r="AL3" s="1" t="s">
        <v>176</v>
      </c>
      <c r="AM3" s="7" t="s">
        <v>130</v>
      </c>
      <c r="AN3" s="7" t="s">
        <v>131</v>
      </c>
      <c r="AO3" s="7" t="s">
        <v>63</v>
      </c>
      <c r="AP3" s="7" t="s">
        <v>61</v>
      </c>
      <c r="AQ3" s="7" t="s">
        <v>70</v>
      </c>
      <c r="AR3" s="7" t="s">
        <v>62</v>
      </c>
      <c r="AS3" s="7" t="s">
        <v>69</v>
      </c>
      <c r="AT3" s="7" t="s">
        <v>127</v>
      </c>
      <c r="AU3" s="7" t="s">
        <v>128</v>
      </c>
      <c r="AZ3" s="1" t="s">
        <v>453</v>
      </c>
      <c r="BA3" s="7" t="s">
        <v>130</v>
      </c>
      <c r="BB3" s="7" t="s">
        <v>131</v>
      </c>
      <c r="BC3" s="7" t="s">
        <v>63</v>
      </c>
      <c r="BD3" s="7" t="s">
        <v>61</v>
      </c>
      <c r="BE3" s="7" t="s">
        <v>70</v>
      </c>
      <c r="BF3" s="7" t="s">
        <v>62</v>
      </c>
      <c r="BG3" s="7" t="s">
        <v>69</v>
      </c>
      <c r="BH3" s="7" t="s">
        <v>127</v>
      </c>
      <c r="BI3" s="7" t="s">
        <v>128</v>
      </c>
      <c r="BP3" t="s">
        <v>469</v>
      </c>
      <c r="BT3" t="s">
        <v>470</v>
      </c>
      <c r="BW3" s="9"/>
    </row>
    <row r="4" spans="1:78" x14ac:dyDescent="0.25">
      <c r="A4" s="3" t="s">
        <v>1</v>
      </c>
      <c r="B4">
        <v>1</v>
      </c>
      <c r="C4">
        <v>0.5</v>
      </c>
      <c r="D4">
        <v>1</v>
      </c>
      <c r="E4">
        <v>0.13</v>
      </c>
      <c r="F4">
        <v>0.02</v>
      </c>
      <c r="G4">
        <v>0.05</v>
      </c>
      <c r="H4">
        <f>B4+C4*D4*E4+F4</f>
        <v>1.085</v>
      </c>
      <c r="I4">
        <f t="shared" ref="I4:I9" si="0">(G4*H4)+H4</f>
        <v>1.1392499999999999</v>
      </c>
      <c r="L4" s="3" t="s">
        <v>132</v>
      </c>
      <c r="M4">
        <v>1</v>
      </c>
      <c r="N4" t="s">
        <v>134</v>
      </c>
      <c r="O4">
        <f>I10*0.8+I15*0.2</f>
        <v>1.1948999999999999</v>
      </c>
      <c r="P4">
        <v>6</v>
      </c>
      <c r="Q4">
        <v>1</v>
      </c>
      <c r="R4">
        <v>0.14000000000000001</v>
      </c>
      <c r="S4">
        <v>0.02</v>
      </c>
      <c r="T4">
        <v>0</v>
      </c>
      <c r="U4">
        <f t="shared" ref="U4:U8" si="1">O4+P4*Q4*R4+S4</f>
        <v>2.0548999999999999</v>
      </c>
      <c r="V4">
        <f>(T4*U4)+U4</f>
        <v>2.0548999999999999</v>
      </c>
      <c r="X4" t="s">
        <v>1027</v>
      </c>
      <c r="Y4" t="s">
        <v>1033</v>
      </c>
      <c r="Z4">
        <f>I5*0.25+I12*0.25+I15*0.25+I17*0.25</f>
        <v>1.2228749999999999</v>
      </c>
      <c r="AA4">
        <v>4</v>
      </c>
      <c r="AB4">
        <v>1</v>
      </c>
      <c r="AC4">
        <v>0.14000000000000001</v>
      </c>
      <c r="AD4">
        <v>0.1</v>
      </c>
      <c r="AE4" s="9" t="s">
        <v>394</v>
      </c>
      <c r="AF4">
        <f t="shared" ref="AF4" si="2">Z4+AA4*AB4*AC4+AD4</f>
        <v>1.8828750000000001</v>
      </c>
      <c r="AG4">
        <f>(AE4*AF4)+AF4</f>
        <v>1.9393612500000001</v>
      </c>
      <c r="AH4" t="s">
        <v>1028</v>
      </c>
      <c r="AL4" s="8" t="s">
        <v>184</v>
      </c>
      <c r="AZ4" s="3" t="s">
        <v>454</v>
      </c>
      <c r="BA4" t="s">
        <v>1098</v>
      </c>
      <c r="BB4">
        <f>I4*0.1+I32</f>
        <v>1200.1139250000001</v>
      </c>
      <c r="BC4">
        <v>12</v>
      </c>
      <c r="BD4">
        <v>1</v>
      </c>
      <c r="BE4">
        <v>0.2</v>
      </c>
      <c r="BF4">
        <v>0.5</v>
      </c>
      <c r="BG4" s="9">
        <v>0.08</v>
      </c>
      <c r="BH4">
        <f t="shared" ref="BH4" si="3">BB4+BC4*BD4*BE4+BF4</f>
        <v>1203.0139250000002</v>
      </c>
      <c r="BI4">
        <f t="shared" ref="BI4:BI11" si="4">(BG4*BH4)+BH4</f>
        <v>1299.2550390000001</v>
      </c>
      <c r="BP4" t="s">
        <v>476</v>
      </c>
      <c r="BT4" t="s">
        <v>470</v>
      </c>
    </row>
    <row r="5" spans="1:78" x14ac:dyDescent="0.25">
      <c r="A5" s="3" t="s">
        <v>2</v>
      </c>
      <c r="B5">
        <v>1</v>
      </c>
      <c r="C5">
        <v>0.2</v>
      </c>
      <c r="D5">
        <v>1</v>
      </c>
      <c r="E5">
        <v>0.13</v>
      </c>
      <c r="F5">
        <v>0.03</v>
      </c>
      <c r="G5">
        <v>0.25</v>
      </c>
      <c r="H5">
        <f t="shared" ref="H5:H24" si="5">B5+C5*D5*E5+F5</f>
        <v>1.056</v>
      </c>
      <c r="I5">
        <f t="shared" si="0"/>
        <v>1.32</v>
      </c>
      <c r="L5" s="3" t="s">
        <v>133</v>
      </c>
      <c r="M5">
        <v>1</v>
      </c>
      <c r="N5" t="s">
        <v>135</v>
      </c>
      <c r="O5">
        <f>I11*2.5</f>
        <v>3.0187499999999998</v>
      </c>
      <c r="P5">
        <v>1</v>
      </c>
      <c r="Q5">
        <v>1</v>
      </c>
      <c r="R5">
        <v>0.14000000000000001</v>
      </c>
      <c r="S5">
        <v>0</v>
      </c>
      <c r="T5">
        <v>0</v>
      </c>
      <c r="U5">
        <f t="shared" si="1"/>
        <v>3.1587499999999999</v>
      </c>
      <c r="V5">
        <f t="shared" ref="V5:V11" si="6">(T5*U5)+U5</f>
        <v>3.1587499999999999</v>
      </c>
      <c r="X5" t="s">
        <v>1029</v>
      </c>
      <c r="Y5" t="s">
        <v>1034</v>
      </c>
      <c r="Z5">
        <f>AG4*0.5+I7*0.25+I16*0.25</f>
        <v>1.639680625</v>
      </c>
      <c r="AA5">
        <v>20</v>
      </c>
      <c r="AB5">
        <v>2</v>
      </c>
      <c r="AC5">
        <v>0.2</v>
      </c>
      <c r="AD5">
        <v>10</v>
      </c>
      <c r="AE5" s="9" t="s">
        <v>1036</v>
      </c>
      <c r="AF5">
        <f t="shared" ref="AF5:AF6" si="7">Z5+AA5*AB5*AC5+AD5</f>
        <v>19.639680625</v>
      </c>
      <c r="AG5">
        <f t="shared" ref="AG5:AG6" si="8">(AE5*AF5)+AF5</f>
        <v>20.425267850000001</v>
      </c>
      <c r="AH5" t="s">
        <v>1030</v>
      </c>
      <c r="AL5" s="3" t="s">
        <v>185</v>
      </c>
      <c r="AM5" t="s">
        <v>268</v>
      </c>
      <c r="AN5">
        <f>I4*0.3</f>
        <v>0.34177499999999994</v>
      </c>
      <c r="AO5">
        <v>4</v>
      </c>
      <c r="AP5">
        <v>1</v>
      </c>
      <c r="AQ5">
        <v>0.14000000000000001</v>
      </c>
      <c r="AR5">
        <v>0.1</v>
      </c>
      <c r="AS5" s="9" t="s">
        <v>394</v>
      </c>
      <c r="AT5">
        <f t="shared" ref="AT5" si="9">AN5+AO5*AP5*AQ5+AR5</f>
        <v>1.0017750000000001</v>
      </c>
      <c r="AU5">
        <f>(AS5*AT5)+AT5</f>
        <v>1.03182825</v>
      </c>
      <c r="AZ5" s="3" t="s">
        <v>455</v>
      </c>
      <c r="BA5" t="s">
        <v>456</v>
      </c>
      <c r="BB5">
        <f>V7*0.1+I40</f>
        <v>1500.5684249999999</v>
      </c>
      <c r="BC5">
        <v>30</v>
      </c>
      <c r="BD5">
        <v>1</v>
      </c>
      <c r="BE5">
        <v>0.2</v>
      </c>
      <c r="BF5">
        <v>0.5</v>
      </c>
      <c r="BG5" s="9">
        <v>0.08</v>
      </c>
      <c r="BH5">
        <f t="shared" ref="BH5" si="10">BB5+BC5*BD5*BE5+BF5</f>
        <v>1507.0684249999999</v>
      </c>
      <c r="BI5">
        <f t="shared" si="4"/>
        <v>1627.6338989999999</v>
      </c>
      <c r="BP5" t="s">
        <v>485</v>
      </c>
      <c r="BT5" t="s">
        <v>470</v>
      </c>
    </row>
    <row r="6" spans="1:78" x14ac:dyDescent="0.25">
      <c r="A6" s="3" t="s">
        <v>64</v>
      </c>
      <c r="B6">
        <v>1</v>
      </c>
      <c r="C6">
        <v>0.2</v>
      </c>
      <c r="D6">
        <v>1</v>
      </c>
      <c r="E6">
        <v>0.13</v>
      </c>
      <c r="F6">
        <v>0.03</v>
      </c>
      <c r="G6">
        <v>0.25</v>
      </c>
      <c r="H6">
        <f t="shared" si="5"/>
        <v>1.056</v>
      </c>
      <c r="I6">
        <f t="shared" si="0"/>
        <v>1.32</v>
      </c>
      <c r="L6" s="3" t="s">
        <v>151</v>
      </c>
      <c r="M6">
        <v>1</v>
      </c>
      <c r="N6" t="s">
        <v>152</v>
      </c>
      <c r="O6">
        <f>0.09*I15+I30</f>
        <v>300.11542500000002</v>
      </c>
      <c r="P6">
        <v>0.5</v>
      </c>
      <c r="Q6">
        <v>1</v>
      </c>
      <c r="R6">
        <v>0.15</v>
      </c>
      <c r="S6">
        <v>0.1</v>
      </c>
      <c r="T6">
        <v>0.15</v>
      </c>
      <c r="U6">
        <f t="shared" si="1"/>
        <v>300.29042500000003</v>
      </c>
      <c r="V6">
        <f t="shared" si="6"/>
        <v>345.33398875</v>
      </c>
      <c r="X6" t="s">
        <v>1031</v>
      </c>
      <c r="Y6" t="s">
        <v>1035</v>
      </c>
      <c r="Z6">
        <f>AG5*0.5+0.5*V6</f>
        <v>182.87962830000001</v>
      </c>
      <c r="AA6">
        <v>40</v>
      </c>
      <c r="AB6">
        <v>3</v>
      </c>
      <c r="AC6">
        <v>0.25</v>
      </c>
      <c r="AD6">
        <v>1</v>
      </c>
      <c r="AE6" s="9">
        <v>0.03</v>
      </c>
      <c r="AF6">
        <f t="shared" si="7"/>
        <v>213.87962830000001</v>
      </c>
      <c r="AG6">
        <f t="shared" si="8"/>
        <v>220.29601714899999</v>
      </c>
      <c r="AH6" t="s">
        <v>1032</v>
      </c>
      <c r="AL6" s="3" t="s">
        <v>186</v>
      </c>
      <c r="AM6" t="s">
        <v>269</v>
      </c>
      <c r="AN6">
        <f>V7*0.1</f>
        <v>0.56842500000000007</v>
      </c>
      <c r="AO6">
        <v>2</v>
      </c>
      <c r="AP6">
        <v>1</v>
      </c>
      <c r="AQ6">
        <v>0.16</v>
      </c>
      <c r="AR6">
        <v>0.1</v>
      </c>
      <c r="AS6" s="9">
        <v>0.1</v>
      </c>
      <c r="AT6">
        <f t="shared" ref="AT6:AT24" si="11">AN6+AO6*AP6*AQ6+AR6</f>
        <v>0.988425</v>
      </c>
      <c r="AU6">
        <f t="shared" ref="AU6:AU24" si="12">(AS6*AT6)+AT6</f>
        <v>1.0872675000000001</v>
      </c>
      <c r="AZ6" s="3" t="s">
        <v>457</v>
      </c>
      <c r="BA6" t="s">
        <v>458</v>
      </c>
      <c r="BB6">
        <f>V15*0.8976+V16*0.4624</f>
        <v>537.04809419411117</v>
      </c>
      <c r="BC6">
        <v>180</v>
      </c>
      <c r="BD6">
        <v>3</v>
      </c>
      <c r="BE6">
        <v>0.16</v>
      </c>
      <c r="BF6">
        <v>2</v>
      </c>
      <c r="BG6" s="9">
        <v>0.08</v>
      </c>
      <c r="BH6">
        <f t="shared" ref="BH6" si="13">BB6+BC6*BD6*BE6+BF6</f>
        <v>625.44809419411115</v>
      </c>
      <c r="BI6">
        <f t="shared" si="4"/>
        <v>675.48394172964004</v>
      </c>
      <c r="BP6" t="s">
        <v>486</v>
      </c>
      <c r="BT6" t="s">
        <v>487</v>
      </c>
    </row>
    <row r="7" spans="1:78" x14ac:dyDescent="0.25">
      <c r="A7" s="3" t="s">
        <v>65</v>
      </c>
      <c r="B7">
        <v>1</v>
      </c>
      <c r="C7">
        <v>0.3</v>
      </c>
      <c r="D7">
        <v>1</v>
      </c>
      <c r="E7">
        <v>0.15</v>
      </c>
      <c r="F7">
        <v>0.03</v>
      </c>
      <c r="G7">
        <v>0.25</v>
      </c>
      <c r="H7">
        <f t="shared" si="5"/>
        <v>1.075</v>
      </c>
      <c r="I7">
        <f t="shared" si="0"/>
        <v>1.34375</v>
      </c>
      <c r="L7" s="3" t="s">
        <v>154</v>
      </c>
      <c r="M7">
        <v>1</v>
      </c>
      <c r="N7" t="s">
        <v>166</v>
      </c>
      <c r="O7">
        <f>I7*2+I6*1.5</f>
        <v>4.6675000000000004</v>
      </c>
      <c r="P7">
        <v>2</v>
      </c>
      <c r="Q7">
        <v>1</v>
      </c>
      <c r="R7">
        <v>0.15</v>
      </c>
      <c r="S7">
        <v>0.2</v>
      </c>
      <c r="T7">
        <v>0.1</v>
      </c>
      <c r="U7">
        <f t="shared" si="1"/>
        <v>5.1675000000000004</v>
      </c>
      <c r="V7">
        <f t="shared" si="6"/>
        <v>5.6842500000000005</v>
      </c>
      <c r="AL7" s="3" t="s">
        <v>187</v>
      </c>
      <c r="AM7" t="s">
        <v>278</v>
      </c>
      <c r="AN7">
        <f>V7*3</f>
        <v>17.052750000000003</v>
      </c>
      <c r="AO7">
        <v>4</v>
      </c>
      <c r="AP7">
        <v>1</v>
      </c>
      <c r="AQ7">
        <v>0.16</v>
      </c>
      <c r="AR7">
        <v>0.1</v>
      </c>
      <c r="AS7" s="9">
        <v>0.1</v>
      </c>
      <c r="AT7">
        <f t="shared" si="11"/>
        <v>17.792750000000005</v>
      </c>
      <c r="AU7">
        <f t="shared" si="12"/>
        <v>19.572025000000007</v>
      </c>
      <c r="AZ7" s="3" t="s">
        <v>459</v>
      </c>
      <c r="BA7" t="s">
        <v>460</v>
      </c>
      <c r="BB7">
        <f>V7+I40</f>
        <v>1505.68425</v>
      </c>
      <c r="BC7">
        <v>8</v>
      </c>
      <c r="BD7">
        <v>2</v>
      </c>
      <c r="BE7">
        <v>0.2</v>
      </c>
      <c r="BF7">
        <v>0.5</v>
      </c>
      <c r="BG7" s="9">
        <v>0.08</v>
      </c>
      <c r="BH7">
        <f t="shared" ref="BH7" si="14">BB7+BC7*BD7*BE7+BF7</f>
        <v>1509.3842500000001</v>
      </c>
      <c r="BI7">
        <f t="shared" si="4"/>
        <v>1630.13499</v>
      </c>
      <c r="BP7" t="s">
        <v>494</v>
      </c>
      <c r="BT7" t="s">
        <v>495</v>
      </c>
    </row>
    <row r="8" spans="1:78" x14ac:dyDescent="0.25">
      <c r="A8" s="3" t="s">
        <v>66</v>
      </c>
      <c r="B8">
        <v>1</v>
      </c>
      <c r="C8">
        <v>24</v>
      </c>
      <c r="D8">
        <v>1</v>
      </c>
      <c r="E8">
        <v>0.18</v>
      </c>
      <c r="F8">
        <v>1</v>
      </c>
      <c r="G8">
        <v>0.25</v>
      </c>
      <c r="H8">
        <f t="shared" si="5"/>
        <v>6.32</v>
      </c>
      <c r="I8">
        <f t="shared" si="0"/>
        <v>7.9</v>
      </c>
      <c r="L8" s="3" t="s">
        <v>35</v>
      </c>
      <c r="M8">
        <v>1</v>
      </c>
      <c r="N8" t="s">
        <v>473</v>
      </c>
      <c r="O8">
        <f>I16*4+I40*0.1</f>
        <v>155.345</v>
      </c>
      <c r="P8">
        <v>4</v>
      </c>
      <c r="Q8">
        <v>1</v>
      </c>
      <c r="R8">
        <v>0.2</v>
      </c>
      <c r="S8">
        <v>0.2</v>
      </c>
      <c r="T8">
        <v>0.3</v>
      </c>
      <c r="U8">
        <f t="shared" si="1"/>
        <v>156.345</v>
      </c>
      <c r="V8">
        <f t="shared" si="6"/>
        <v>203.24850000000001</v>
      </c>
      <c r="X8" s="8" t="s">
        <v>259</v>
      </c>
      <c r="Y8" s="26"/>
      <c r="Z8" s="27" t="s">
        <v>1102</v>
      </c>
      <c r="AL8" s="3" t="s">
        <v>190</v>
      </c>
      <c r="AM8" t="s">
        <v>279</v>
      </c>
      <c r="AN8">
        <f>I4*32.75</f>
        <v>37.310437499999999</v>
      </c>
      <c r="AO8">
        <v>3</v>
      </c>
      <c r="AP8">
        <v>2</v>
      </c>
      <c r="AQ8">
        <v>0.16</v>
      </c>
      <c r="AR8">
        <v>0.1</v>
      </c>
      <c r="AS8" s="9">
        <v>0.1</v>
      </c>
      <c r="AT8">
        <f t="shared" si="11"/>
        <v>38.370437500000001</v>
      </c>
      <c r="AU8">
        <f t="shared" si="12"/>
        <v>42.207481250000001</v>
      </c>
      <c r="AZ8" s="3" t="s">
        <v>462</v>
      </c>
      <c r="BA8" t="s">
        <v>461</v>
      </c>
      <c r="BB8">
        <f>I40</f>
        <v>1500</v>
      </c>
      <c r="BC8">
        <v>4</v>
      </c>
      <c r="BD8">
        <v>1</v>
      </c>
      <c r="BE8">
        <v>0.2</v>
      </c>
      <c r="BF8">
        <v>0.5</v>
      </c>
      <c r="BG8" s="9">
        <v>0.08</v>
      </c>
      <c r="BH8">
        <f t="shared" ref="BH8" si="15">BB8+BC8*BD8*BE8+BF8</f>
        <v>1501.3</v>
      </c>
      <c r="BI8">
        <f t="shared" si="4"/>
        <v>1621.404</v>
      </c>
      <c r="BP8" t="s">
        <v>990</v>
      </c>
      <c r="BT8" t="s">
        <v>487</v>
      </c>
    </row>
    <row r="9" spans="1:78" x14ac:dyDescent="0.25">
      <c r="A9" s="3" t="s">
        <v>67</v>
      </c>
      <c r="B9">
        <v>1</v>
      </c>
      <c r="C9">
        <v>48</v>
      </c>
      <c r="D9">
        <v>1</v>
      </c>
      <c r="E9">
        <v>0.2</v>
      </c>
      <c r="F9">
        <v>10</v>
      </c>
      <c r="G9">
        <v>0.25</v>
      </c>
      <c r="H9">
        <f t="shared" si="5"/>
        <v>20.6</v>
      </c>
      <c r="I9">
        <f t="shared" si="0"/>
        <v>25.75</v>
      </c>
      <c r="L9" s="3" t="s">
        <v>162</v>
      </c>
      <c r="M9">
        <v>1</v>
      </c>
      <c r="N9" t="s">
        <v>164</v>
      </c>
      <c r="O9">
        <f>I14*1.428</f>
        <v>1.6750439999999998</v>
      </c>
      <c r="P9">
        <v>8</v>
      </c>
      <c r="Q9">
        <v>2</v>
      </c>
      <c r="R9">
        <v>0.15</v>
      </c>
      <c r="S9">
        <v>0.15</v>
      </c>
      <c r="T9">
        <v>0.05</v>
      </c>
      <c r="U9">
        <f>O9+P9*Q9*R9+S9</f>
        <v>4.2250440000000005</v>
      </c>
      <c r="V9">
        <f>(T9*U9)+U9</f>
        <v>4.4362962000000001</v>
      </c>
      <c r="X9" t="s">
        <v>260</v>
      </c>
      <c r="Y9" s="26"/>
      <c r="AL9" s="3" t="s">
        <v>191</v>
      </c>
      <c r="AM9" t="s">
        <v>282</v>
      </c>
      <c r="AN9">
        <f>V18*0.2</f>
        <v>0.91150400000000009</v>
      </c>
      <c r="AO9">
        <v>2</v>
      </c>
      <c r="AP9">
        <v>1</v>
      </c>
      <c r="AQ9">
        <v>0.16</v>
      </c>
      <c r="AR9">
        <v>0.1</v>
      </c>
      <c r="AS9" s="9">
        <v>0.1</v>
      </c>
      <c r="AT9">
        <f t="shared" si="11"/>
        <v>1.3315040000000002</v>
      </c>
      <c r="AU9">
        <f t="shared" si="12"/>
        <v>1.4646544000000004</v>
      </c>
      <c r="AZ9" s="3" t="s">
        <v>463</v>
      </c>
      <c r="BA9" t="s">
        <v>464</v>
      </c>
      <c r="BB9">
        <f>AU23+I33</f>
        <v>2400.4735802499999</v>
      </c>
      <c r="BC9">
        <v>4</v>
      </c>
      <c r="BD9">
        <v>1</v>
      </c>
      <c r="BE9">
        <v>0.2</v>
      </c>
      <c r="BF9">
        <v>0.5</v>
      </c>
      <c r="BG9" s="9">
        <v>0.08</v>
      </c>
      <c r="BH9">
        <f t="shared" ref="BH9" si="16">BB9+BC9*BD9*BE9+BF9</f>
        <v>2401.7735802500001</v>
      </c>
      <c r="BI9">
        <f t="shared" si="4"/>
        <v>2593.9154666700001</v>
      </c>
    </row>
    <row r="10" spans="1:78" x14ac:dyDescent="0.25">
      <c r="A10" s="3" t="s">
        <v>3</v>
      </c>
      <c r="B10">
        <v>1</v>
      </c>
      <c r="C10">
        <v>1</v>
      </c>
      <c r="D10">
        <v>1</v>
      </c>
      <c r="E10">
        <v>0.13</v>
      </c>
      <c r="F10">
        <v>0.02</v>
      </c>
      <c r="G10">
        <v>0.02</v>
      </c>
      <c r="H10">
        <f t="shared" si="5"/>
        <v>1.1499999999999999</v>
      </c>
      <c r="I10">
        <f>(G10*H10)+H10</f>
        <v>1.1729999999999998</v>
      </c>
      <c r="L10" s="3" t="s">
        <v>163</v>
      </c>
      <c r="M10">
        <v>1</v>
      </c>
      <c r="N10" t="s">
        <v>165</v>
      </c>
      <c r="O10">
        <f>I13</f>
        <v>1.1067</v>
      </c>
      <c r="P10">
        <v>8</v>
      </c>
      <c r="Q10">
        <v>2</v>
      </c>
      <c r="R10">
        <v>0.15</v>
      </c>
      <c r="S10">
        <v>0.15</v>
      </c>
      <c r="T10">
        <v>0.05</v>
      </c>
      <c r="U10">
        <f>O10+P10*Q10*R10+S10</f>
        <v>3.6566999999999998</v>
      </c>
      <c r="V10">
        <f t="shared" si="6"/>
        <v>3.8395349999999997</v>
      </c>
      <c r="X10" t="s">
        <v>261</v>
      </c>
      <c r="Y10" s="26"/>
      <c r="AL10" s="3" t="s">
        <v>192</v>
      </c>
      <c r="AM10" t="s">
        <v>283</v>
      </c>
      <c r="AN10">
        <f>V7</f>
        <v>5.6842500000000005</v>
      </c>
      <c r="AO10">
        <v>2</v>
      </c>
      <c r="AP10">
        <v>1</v>
      </c>
      <c r="AQ10">
        <v>0.14000000000000001</v>
      </c>
      <c r="AR10">
        <v>0.1</v>
      </c>
      <c r="AS10" s="9">
        <v>0.03</v>
      </c>
      <c r="AT10">
        <f t="shared" si="11"/>
        <v>6.0642500000000004</v>
      </c>
      <c r="AU10">
        <f t="shared" si="12"/>
        <v>6.2461774999999999</v>
      </c>
      <c r="AZ10" s="3" t="s">
        <v>466</v>
      </c>
      <c r="BA10" t="s">
        <v>465</v>
      </c>
      <c r="BB10">
        <f>AU24+I33</f>
        <v>2400.5986337499999</v>
      </c>
      <c r="BC10">
        <v>8</v>
      </c>
      <c r="BD10">
        <v>1</v>
      </c>
      <c r="BE10">
        <v>0.2</v>
      </c>
      <c r="BF10">
        <v>0.5</v>
      </c>
      <c r="BG10" s="9">
        <v>0.08</v>
      </c>
      <c r="BH10">
        <f t="shared" ref="BH10" si="17">BB10+BC10*BD10*BE10+BF10</f>
        <v>2402.6986337499998</v>
      </c>
      <c r="BI10">
        <f t="shared" si="4"/>
        <v>2594.9145244499996</v>
      </c>
      <c r="BP10" t="s">
        <v>504</v>
      </c>
    </row>
    <row r="11" spans="1:78" x14ac:dyDescent="0.25">
      <c r="A11" s="3" t="s">
        <v>4</v>
      </c>
      <c r="B11">
        <v>1</v>
      </c>
      <c r="C11">
        <v>1</v>
      </c>
      <c r="D11">
        <v>1</v>
      </c>
      <c r="E11">
        <v>0.13</v>
      </c>
      <c r="F11">
        <v>0.02</v>
      </c>
      <c r="G11">
        <v>0.05</v>
      </c>
      <c r="H11">
        <f t="shared" si="5"/>
        <v>1.1499999999999999</v>
      </c>
      <c r="I11">
        <f t="shared" ref="I11:I14" si="18">(G11*H11)+H11</f>
        <v>1.2075</v>
      </c>
      <c r="L11" s="3" t="s">
        <v>319</v>
      </c>
      <c r="M11">
        <v>1</v>
      </c>
      <c r="N11" t="s">
        <v>320</v>
      </c>
      <c r="O11">
        <f>I24*2</f>
        <v>2.9</v>
      </c>
      <c r="P11">
        <v>8</v>
      </c>
      <c r="Q11">
        <v>2</v>
      </c>
      <c r="R11">
        <v>0.15</v>
      </c>
      <c r="S11">
        <v>0.15</v>
      </c>
      <c r="T11">
        <v>0.05</v>
      </c>
      <c r="U11">
        <f>O11+P11*Q11*R11+S11</f>
        <v>5.45</v>
      </c>
      <c r="V11">
        <f t="shared" si="6"/>
        <v>5.7225000000000001</v>
      </c>
      <c r="X11" t="s">
        <v>264</v>
      </c>
      <c r="Y11" s="26"/>
      <c r="AL11" s="3" t="s">
        <v>213</v>
      </c>
      <c r="AM11" t="s">
        <v>284</v>
      </c>
      <c r="AN11">
        <f>4.54*I13</f>
        <v>5.0244179999999998</v>
      </c>
      <c r="AO11">
        <v>2</v>
      </c>
      <c r="AP11">
        <v>1</v>
      </c>
      <c r="AQ11">
        <v>0.15</v>
      </c>
      <c r="AR11">
        <v>0.1</v>
      </c>
      <c r="AS11" s="9">
        <v>0.05</v>
      </c>
      <c r="AT11">
        <f t="shared" si="11"/>
        <v>5.4244179999999993</v>
      </c>
      <c r="AU11">
        <f t="shared" si="12"/>
        <v>5.6956388999999996</v>
      </c>
      <c r="AZ11" s="3" t="s">
        <v>467</v>
      </c>
      <c r="BA11" t="s">
        <v>468</v>
      </c>
      <c r="BB11">
        <f>AU48+I43</f>
        <v>923.25558066209908</v>
      </c>
      <c r="BC11">
        <v>32</v>
      </c>
      <c r="BD11">
        <v>1</v>
      </c>
      <c r="BE11">
        <v>0.2</v>
      </c>
      <c r="BF11">
        <v>0.5</v>
      </c>
      <c r="BG11" s="9">
        <v>0.08</v>
      </c>
      <c r="BH11">
        <f t="shared" ref="BH11" si="19">BB11+BC11*BD11*BE11+BF11</f>
        <v>930.15558066209906</v>
      </c>
      <c r="BI11">
        <f t="shared" si="4"/>
        <v>1004.568027115067</v>
      </c>
      <c r="BP11" t="s">
        <v>501</v>
      </c>
      <c r="BQ11" t="s">
        <v>505</v>
      </c>
      <c r="BR11">
        <f>I12*1.5+V6*0.5</f>
        <v>174.37586937500001</v>
      </c>
      <c r="BS11">
        <v>20</v>
      </c>
      <c r="BT11">
        <v>1</v>
      </c>
      <c r="BU11">
        <v>0.2</v>
      </c>
      <c r="BV11">
        <v>0.5</v>
      </c>
      <c r="BW11" s="9">
        <v>0.2</v>
      </c>
      <c r="BX11">
        <f>BR11+BS11*BT11*BU11+BV11</f>
        <v>178.87586937500001</v>
      </c>
      <c r="BY11">
        <f>(BW11*BX11)+BX11</f>
        <v>214.65104325000001</v>
      </c>
      <c r="BZ11">
        <f>BY11*4</f>
        <v>858.60417300000006</v>
      </c>
    </row>
    <row r="12" spans="1:78" x14ac:dyDescent="0.25">
      <c r="A12" s="3" t="s">
        <v>28</v>
      </c>
      <c r="B12">
        <v>1</v>
      </c>
      <c r="C12">
        <v>0.5</v>
      </c>
      <c r="D12">
        <v>1</v>
      </c>
      <c r="E12">
        <v>0.13</v>
      </c>
      <c r="F12">
        <v>0.02</v>
      </c>
      <c r="G12">
        <v>0.05</v>
      </c>
      <c r="H12">
        <f t="shared" si="5"/>
        <v>1.085</v>
      </c>
      <c r="I12">
        <f t="shared" si="18"/>
        <v>1.1392499999999999</v>
      </c>
      <c r="L12" s="3" t="s">
        <v>170</v>
      </c>
      <c r="M12">
        <v>1</v>
      </c>
      <c r="N12" t="s">
        <v>175</v>
      </c>
      <c r="O12">
        <f>I12*3.7</f>
        <v>4.2152249999999993</v>
      </c>
      <c r="P12">
        <v>2</v>
      </c>
      <c r="Q12">
        <v>1</v>
      </c>
      <c r="R12">
        <v>0.14000000000000001</v>
      </c>
      <c r="S12">
        <v>0</v>
      </c>
      <c r="T12">
        <v>0</v>
      </c>
      <c r="U12">
        <f>O12+P12*Q12*R12+S12</f>
        <v>4.4952249999999996</v>
      </c>
      <c r="V12">
        <f>(T12*U12)+U12</f>
        <v>4.4952249999999996</v>
      </c>
      <c r="X12" s="8" t="s">
        <v>265</v>
      </c>
      <c r="Y12" s="26"/>
      <c r="AL12" s="3" t="s">
        <v>214</v>
      </c>
      <c r="AM12" t="s">
        <v>285</v>
      </c>
      <c r="AN12">
        <f>I14*2.27</f>
        <v>2.6627099999999997</v>
      </c>
      <c r="AO12">
        <v>2</v>
      </c>
      <c r="AP12">
        <v>1</v>
      </c>
      <c r="AQ12">
        <v>0.15</v>
      </c>
      <c r="AR12">
        <v>0.1</v>
      </c>
      <c r="AS12" s="9">
        <v>0.05</v>
      </c>
      <c r="AT12">
        <f t="shared" si="11"/>
        <v>3.0627099999999996</v>
      </c>
      <c r="AU12">
        <f t="shared" si="12"/>
        <v>3.2158454999999995</v>
      </c>
      <c r="AZ12" s="3" t="s">
        <v>471</v>
      </c>
      <c r="BA12" t="s">
        <v>472</v>
      </c>
      <c r="BB12">
        <f>V8*0.5+I33</f>
        <v>2501.6242499999998</v>
      </c>
      <c r="BC12">
        <v>60</v>
      </c>
      <c r="BD12">
        <v>1</v>
      </c>
      <c r="BE12">
        <v>0.2</v>
      </c>
      <c r="BF12">
        <v>0.5</v>
      </c>
      <c r="BG12" s="9">
        <v>0.08</v>
      </c>
      <c r="BH12">
        <f t="shared" ref="BH12" si="20">BB12+BC12*BD12*BE12+BF12</f>
        <v>2514.1242499999998</v>
      </c>
      <c r="BI12">
        <f t="shared" ref="BI12" si="21">(BG12*BH12)+BH12</f>
        <v>2715.2541899999997</v>
      </c>
      <c r="BP12" t="s">
        <v>499</v>
      </c>
      <c r="BQ12" t="s">
        <v>1016</v>
      </c>
      <c r="BR12">
        <f>V11+I33</f>
        <v>2405.7224999999999</v>
      </c>
      <c r="BS12">
        <v>20</v>
      </c>
      <c r="BT12">
        <v>1</v>
      </c>
      <c r="BU12">
        <v>0.2</v>
      </c>
      <c r="BV12">
        <v>0.5</v>
      </c>
      <c r="BW12" s="9">
        <v>0.2</v>
      </c>
      <c r="BX12">
        <f>BR12+BS12*BT12*BU12+BV12</f>
        <v>2410.2224999999999</v>
      </c>
      <c r="BY12">
        <f>(BW12*BX12)+BX12</f>
        <v>2892.2669999999998</v>
      </c>
      <c r="BZ12">
        <f>BY12*4</f>
        <v>11569.067999999999</v>
      </c>
    </row>
    <row r="13" spans="1:78" x14ac:dyDescent="0.25">
      <c r="A13" s="3" t="s">
        <v>68</v>
      </c>
      <c r="B13">
        <v>1</v>
      </c>
      <c r="C13">
        <v>0.5</v>
      </c>
      <c r="D13">
        <v>1</v>
      </c>
      <c r="E13">
        <v>0.13</v>
      </c>
      <c r="F13">
        <v>0.02</v>
      </c>
      <c r="G13">
        <v>0.02</v>
      </c>
      <c r="H13">
        <f t="shared" si="5"/>
        <v>1.085</v>
      </c>
      <c r="I13">
        <f t="shared" si="18"/>
        <v>1.1067</v>
      </c>
      <c r="K13" t="s">
        <v>270</v>
      </c>
      <c r="L13" s="3" t="s">
        <v>182</v>
      </c>
      <c r="M13">
        <v>1</v>
      </c>
      <c r="N13" t="s">
        <v>272</v>
      </c>
      <c r="O13">
        <f>I17*0.5+I15*0.5</f>
        <v>1.2161249999999999</v>
      </c>
      <c r="P13">
        <v>0.5</v>
      </c>
      <c r="Q13">
        <v>1</v>
      </c>
      <c r="R13">
        <v>0.15</v>
      </c>
      <c r="S13">
        <v>0.1</v>
      </c>
      <c r="T13">
        <v>0.15</v>
      </c>
      <c r="U13">
        <f t="shared" ref="U13:U18" si="22">O13+P13*Q13*R13+S13</f>
        <v>1.3911249999999999</v>
      </c>
      <c r="V13">
        <f t="shared" ref="V13:V18" si="23">(T13*U13)+U13</f>
        <v>1.5997937499999999</v>
      </c>
      <c r="X13" t="s">
        <v>258</v>
      </c>
      <c r="Y13" s="26"/>
      <c r="AL13" s="3" t="s">
        <v>193</v>
      </c>
      <c r="AM13" t="s">
        <v>286</v>
      </c>
      <c r="AN13">
        <f>V7*1.36</f>
        <v>7.7305800000000016</v>
      </c>
      <c r="AO13">
        <v>7</v>
      </c>
      <c r="AP13">
        <v>1</v>
      </c>
      <c r="AQ13">
        <v>0.16</v>
      </c>
      <c r="AR13">
        <v>0.1</v>
      </c>
      <c r="AS13" s="9">
        <v>0.1</v>
      </c>
      <c r="AT13">
        <f t="shared" si="11"/>
        <v>8.9505800000000004</v>
      </c>
      <c r="AU13">
        <f t="shared" si="12"/>
        <v>9.845638000000001</v>
      </c>
      <c r="AZ13" s="3" t="s">
        <v>474</v>
      </c>
      <c r="BA13" t="s">
        <v>475</v>
      </c>
      <c r="BB13">
        <f>V9*0.5+I42</f>
        <v>1502.2181481</v>
      </c>
      <c r="BC13">
        <v>20</v>
      </c>
      <c r="BD13">
        <v>1</v>
      </c>
      <c r="BE13">
        <v>0.2</v>
      </c>
      <c r="BF13">
        <v>0.5</v>
      </c>
      <c r="BG13" s="9">
        <v>0.08</v>
      </c>
      <c r="BH13">
        <f t="shared" ref="BH13" si="24">BB13+BC13*BD13*BE13+BF13</f>
        <v>1506.7181481</v>
      </c>
      <c r="BI13">
        <f t="shared" ref="BI13" si="25">(BG13*BH13)+BH13</f>
        <v>1627.2555999480001</v>
      </c>
    </row>
    <row r="14" spans="1:78" x14ac:dyDescent="0.25">
      <c r="A14" s="3" t="s">
        <v>123</v>
      </c>
      <c r="B14">
        <v>1</v>
      </c>
      <c r="C14">
        <v>1</v>
      </c>
      <c r="D14">
        <v>1</v>
      </c>
      <c r="E14">
        <v>0.13</v>
      </c>
      <c r="F14">
        <v>0.02</v>
      </c>
      <c r="G14">
        <v>0.02</v>
      </c>
      <c r="H14">
        <f t="shared" si="5"/>
        <v>1.1499999999999999</v>
      </c>
      <c r="I14">
        <f t="shared" si="18"/>
        <v>1.1729999999999998</v>
      </c>
      <c r="L14" s="3" t="s">
        <v>271</v>
      </c>
      <c r="M14">
        <v>1</v>
      </c>
      <c r="N14" t="s">
        <v>273</v>
      </c>
      <c r="O14">
        <f>I17*0.6+0.4*I15+I41</f>
        <v>1501.2028499999999</v>
      </c>
      <c r="P14">
        <v>1</v>
      </c>
      <c r="Q14">
        <v>1</v>
      </c>
      <c r="R14">
        <v>0.15</v>
      </c>
      <c r="S14">
        <v>0.1</v>
      </c>
      <c r="T14">
        <v>0.15</v>
      </c>
      <c r="U14">
        <f t="shared" si="22"/>
        <v>1501.4528499999999</v>
      </c>
      <c r="V14">
        <f t="shared" si="23"/>
        <v>1726.6707775</v>
      </c>
      <c r="X14" t="s">
        <v>266</v>
      </c>
      <c r="Y14" s="26"/>
      <c r="AL14" s="3" t="s">
        <v>194</v>
      </c>
      <c r="AM14" t="s">
        <v>287</v>
      </c>
      <c r="AN14">
        <f>V7*4.54</f>
        <v>25.806495000000002</v>
      </c>
      <c r="AO14">
        <v>2</v>
      </c>
      <c r="AP14">
        <v>1</v>
      </c>
      <c r="AQ14">
        <v>0.16</v>
      </c>
      <c r="AR14">
        <v>0.1</v>
      </c>
      <c r="AS14" s="9">
        <v>0.1</v>
      </c>
      <c r="AT14">
        <f t="shared" si="11"/>
        <v>26.226495000000003</v>
      </c>
      <c r="AU14">
        <f t="shared" si="12"/>
        <v>28.849144500000005</v>
      </c>
      <c r="AZ14" s="3" t="s">
        <v>477</v>
      </c>
      <c r="BA14" t="s">
        <v>478</v>
      </c>
      <c r="BB14">
        <f>V7*0.45+I30</f>
        <v>302.55791249999999</v>
      </c>
      <c r="BC14">
        <v>20</v>
      </c>
      <c r="BD14">
        <v>1</v>
      </c>
      <c r="BE14">
        <v>0.2</v>
      </c>
      <c r="BF14">
        <v>0.5</v>
      </c>
      <c r="BG14" s="9">
        <v>0.08</v>
      </c>
      <c r="BH14">
        <f t="shared" ref="BH14" si="26">BB14+BC14*BD14*BE14+BF14</f>
        <v>307.05791249999999</v>
      </c>
      <c r="BI14">
        <f t="shared" ref="BI14" si="27">(BG14*BH14)+BH14</f>
        <v>331.6225455</v>
      </c>
    </row>
    <row r="15" spans="1:78" x14ac:dyDescent="0.25">
      <c r="A15" s="3" t="s">
        <v>126</v>
      </c>
      <c r="B15">
        <v>1</v>
      </c>
      <c r="C15">
        <v>0.2</v>
      </c>
      <c r="D15">
        <v>1</v>
      </c>
      <c r="E15">
        <v>0.13</v>
      </c>
      <c r="F15">
        <v>0</v>
      </c>
      <c r="G15">
        <v>0.25</v>
      </c>
      <c r="H15">
        <f t="shared" si="5"/>
        <v>1.026</v>
      </c>
      <c r="I15">
        <f>(G15*H15)+H15</f>
        <v>1.2825</v>
      </c>
      <c r="L15" s="3" t="s">
        <v>274</v>
      </c>
      <c r="M15">
        <v>1</v>
      </c>
      <c r="N15" t="s">
        <v>428</v>
      </c>
      <c r="O15">
        <f>V7*0.98+0.02*I6+0.1*I43</f>
        <v>90.8560218662099</v>
      </c>
      <c r="P15">
        <v>4</v>
      </c>
      <c r="Q15">
        <v>1</v>
      </c>
      <c r="R15">
        <v>0.15</v>
      </c>
      <c r="S15">
        <v>0.2</v>
      </c>
      <c r="T15">
        <v>0.1</v>
      </c>
      <c r="U15">
        <f t="shared" si="22"/>
        <v>91.656021866209898</v>
      </c>
      <c r="V15">
        <f t="shared" si="23"/>
        <v>100.82162405283088</v>
      </c>
      <c r="X15" t="s">
        <v>267</v>
      </c>
      <c r="Y15" s="26"/>
      <c r="AL15" s="3" t="s">
        <v>195</v>
      </c>
      <c r="AM15" t="s">
        <v>288</v>
      </c>
      <c r="AN15">
        <f>V7*0.5</f>
        <v>2.8421250000000002</v>
      </c>
      <c r="AO15">
        <v>5</v>
      </c>
      <c r="AP15">
        <v>2</v>
      </c>
      <c r="AQ15">
        <v>0.16</v>
      </c>
      <c r="AR15">
        <v>0.1</v>
      </c>
      <c r="AS15" s="9">
        <v>0.1</v>
      </c>
      <c r="AT15">
        <f t="shared" si="11"/>
        <v>4.5421250000000004</v>
      </c>
      <c r="AU15">
        <f t="shared" si="12"/>
        <v>4.9963375000000001</v>
      </c>
      <c r="AZ15" s="3" t="s">
        <v>479</v>
      </c>
      <c r="BA15" t="s">
        <v>480</v>
      </c>
      <c r="BB15">
        <f>V16*0.8976+V15*0.4624</f>
        <v>913.45344523623919</v>
      </c>
      <c r="BC15">
        <v>60</v>
      </c>
      <c r="BD15">
        <v>1</v>
      </c>
      <c r="BE15">
        <v>0.4</v>
      </c>
      <c r="BF15">
        <v>5</v>
      </c>
      <c r="BG15" s="9">
        <v>0.08</v>
      </c>
      <c r="BH15">
        <f t="shared" ref="BH15" si="28">BB15+BC15*BD15*BE15+BF15</f>
        <v>942.45344523623919</v>
      </c>
      <c r="BI15">
        <f t="shared" ref="BI15" si="29">(BG15*BH15)+BH15</f>
        <v>1017.8497208551383</v>
      </c>
    </row>
    <row r="16" spans="1:78" x14ac:dyDescent="0.25">
      <c r="A16" s="3" t="s">
        <v>155</v>
      </c>
      <c r="B16">
        <v>1</v>
      </c>
      <c r="C16">
        <v>0.3</v>
      </c>
      <c r="D16">
        <v>1</v>
      </c>
      <c r="E16">
        <v>0.13</v>
      </c>
      <c r="F16">
        <v>0.03</v>
      </c>
      <c r="G16">
        <v>0.25</v>
      </c>
      <c r="H16">
        <f t="shared" si="5"/>
        <v>1.069</v>
      </c>
      <c r="I16">
        <f t="shared" ref="I16:I24" si="30">(G16*H16)+H16</f>
        <v>1.3362499999999999</v>
      </c>
      <c r="L16" s="3" t="s">
        <v>275</v>
      </c>
      <c r="M16">
        <v>1</v>
      </c>
      <c r="N16" t="s">
        <v>429</v>
      </c>
      <c r="O16">
        <f>I8*3+I43</f>
        <v>876.29056866209908</v>
      </c>
      <c r="P16">
        <v>4</v>
      </c>
      <c r="Q16">
        <v>2</v>
      </c>
      <c r="R16">
        <v>0.18</v>
      </c>
      <c r="S16">
        <v>0.2</v>
      </c>
      <c r="T16">
        <v>0.1</v>
      </c>
      <c r="U16">
        <f t="shared" si="22"/>
        <v>877.93056866209918</v>
      </c>
      <c r="V16">
        <f>(T16*U16)+U16</f>
        <v>965.72362552830907</v>
      </c>
      <c r="X16" t="s">
        <v>262</v>
      </c>
      <c r="Y16" s="26"/>
      <c r="AL16" s="3" t="s">
        <v>196</v>
      </c>
      <c r="AM16" t="s">
        <v>289</v>
      </c>
      <c r="AN16">
        <f>V7*0.18 + 0.05*V18</f>
        <v>1.2510410000000001</v>
      </c>
      <c r="AO16">
        <v>1</v>
      </c>
      <c r="AP16">
        <v>2</v>
      </c>
      <c r="AQ16">
        <v>0.16</v>
      </c>
      <c r="AR16">
        <v>0.1</v>
      </c>
      <c r="AS16" s="9">
        <v>0</v>
      </c>
      <c r="AT16">
        <f t="shared" si="11"/>
        <v>1.6710410000000002</v>
      </c>
      <c r="AU16">
        <f t="shared" si="12"/>
        <v>1.6710410000000002</v>
      </c>
      <c r="AZ16" s="3" t="s">
        <v>484</v>
      </c>
      <c r="BA16" t="s">
        <v>593</v>
      </c>
      <c r="BB16">
        <f>AU20+V6*0.22+I20*0.3</f>
        <v>86.689034449999994</v>
      </c>
      <c r="BC16">
        <v>60</v>
      </c>
      <c r="BD16">
        <v>1</v>
      </c>
      <c r="BE16">
        <v>0.2</v>
      </c>
      <c r="BF16">
        <v>0.5</v>
      </c>
      <c r="BG16" s="9">
        <v>0.2</v>
      </c>
      <c r="BH16">
        <f t="shared" ref="BH16" si="31">BB16+BC16*BD16*BE16+BF16</f>
        <v>99.189034449999994</v>
      </c>
      <c r="BI16">
        <f t="shared" ref="BI16" si="32">(BG16*BH16)+BH16</f>
        <v>119.02684133999999</v>
      </c>
    </row>
    <row r="17" spans="1:85" x14ac:dyDescent="0.25">
      <c r="A17" s="3" t="s">
        <v>156</v>
      </c>
      <c r="B17">
        <v>1</v>
      </c>
      <c r="C17">
        <v>0.5</v>
      </c>
      <c r="D17">
        <v>1</v>
      </c>
      <c r="E17">
        <v>0.15</v>
      </c>
      <c r="F17">
        <v>0.02</v>
      </c>
      <c r="G17">
        <v>0.05</v>
      </c>
      <c r="H17">
        <f t="shared" si="5"/>
        <v>1.095</v>
      </c>
      <c r="I17">
        <f t="shared" si="30"/>
        <v>1.14975</v>
      </c>
      <c r="L17" s="3" t="s">
        <v>276</v>
      </c>
      <c r="M17">
        <v>1</v>
      </c>
      <c r="N17" t="s">
        <v>277</v>
      </c>
      <c r="O17">
        <f>I9*2+I43*2</f>
        <v>1756.6811373241981</v>
      </c>
      <c r="P17">
        <v>8</v>
      </c>
      <c r="Q17">
        <v>2</v>
      </c>
      <c r="R17">
        <v>0.25</v>
      </c>
      <c r="S17">
        <v>0.5</v>
      </c>
      <c r="T17">
        <v>0.1</v>
      </c>
      <c r="U17">
        <f t="shared" si="22"/>
        <v>1761.1811373241981</v>
      </c>
      <c r="V17">
        <f t="shared" si="23"/>
        <v>1937.2992510566178</v>
      </c>
      <c r="X17" t="s">
        <v>263</v>
      </c>
      <c r="Y17" s="26"/>
      <c r="AL17" s="3" t="s">
        <v>197</v>
      </c>
      <c r="AM17" t="s">
        <v>290</v>
      </c>
      <c r="AN17">
        <f>V7*2.27</f>
        <v>12.903247500000001</v>
      </c>
      <c r="AO17">
        <v>1</v>
      </c>
      <c r="AP17">
        <v>1</v>
      </c>
      <c r="AQ17">
        <v>0.16</v>
      </c>
      <c r="AR17">
        <v>0.1</v>
      </c>
      <c r="AS17" s="9">
        <v>0.1</v>
      </c>
      <c r="AT17">
        <f t="shared" si="11"/>
        <v>13.163247500000001</v>
      </c>
      <c r="AU17">
        <f t="shared" si="12"/>
        <v>14.47957225</v>
      </c>
      <c r="AZ17" s="3" t="s">
        <v>488</v>
      </c>
      <c r="BA17" t="s">
        <v>489</v>
      </c>
      <c r="BB17">
        <f>V6*0.2+V18*0.3</f>
        <v>70.434053750000004</v>
      </c>
      <c r="BC17">
        <v>60</v>
      </c>
      <c r="BD17">
        <v>1</v>
      </c>
      <c r="BE17">
        <v>0.2</v>
      </c>
      <c r="BF17">
        <v>0.5</v>
      </c>
      <c r="BG17" s="9">
        <v>0.2</v>
      </c>
      <c r="BH17">
        <f t="shared" ref="BH17" si="33">BB17+BC17*BD17*BE17+BF17</f>
        <v>82.934053750000004</v>
      </c>
      <c r="BI17">
        <f t="shared" ref="BI17" si="34">(BG17*BH17)+BH17</f>
        <v>99.520864500000002</v>
      </c>
    </row>
    <row r="18" spans="1:85" x14ac:dyDescent="0.25">
      <c r="A18" s="3" t="s">
        <v>157</v>
      </c>
      <c r="B18">
        <v>1</v>
      </c>
      <c r="C18">
        <v>1</v>
      </c>
      <c r="D18">
        <v>1</v>
      </c>
      <c r="E18">
        <v>0.15</v>
      </c>
      <c r="F18">
        <v>0.02</v>
      </c>
      <c r="G18">
        <v>0.05</v>
      </c>
      <c r="H18">
        <f t="shared" si="5"/>
        <v>1.17</v>
      </c>
      <c r="I18">
        <f t="shared" si="30"/>
        <v>1.2284999999999999</v>
      </c>
      <c r="L18" s="3" t="s">
        <v>280</v>
      </c>
      <c r="M18">
        <v>1</v>
      </c>
      <c r="N18" t="s">
        <v>281</v>
      </c>
      <c r="O18">
        <f>I19*1.5+I6*1.5</f>
        <v>3.6432000000000002</v>
      </c>
      <c r="P18">
        <v>2</v>
      </c>
      <c r="Q18">
        <v>1</v>
      </c>
      <c r="R18">
        <v>0.15</v>
      </c>
      <c r="S18">
        <v>0.2</v>
      </c>
      <c r="T18">
        <v>0.1</v>
      </c>
      <c r="U18">
        <f t="shared" si="22"/>
        <v>4.1432000000000002</v>
      </c>
      <c r="V18">
        <f t="shared" si="23"/>
        <v>4.5575200000000002</v>
      </c>
      <c r="AL18" s="3" t="s">
        <v>291</v>
      </c>
      <c r="AM18" t="s">
        <v>292</v>
      </c>
      <c r="AN18">
        <f>V7*0.09</f>
        <v>0.51158250000000005</v>
      </c>
      <c r="AO18">
        <v>0.2</v>
      </c>
      <c r="AP18">
        <v>1</v>
      </c>
      <c r="AQ18">
        <v>0.16</v>
      </c>
      <c r="AR18">
        <v>0.1</v>
      </c>
      <c r="AS18" s="9" t="s">
        <v>395</v>
      </c>
      <c r="AT18">
        <f t="shared" si="11"/>
        <v>0.64358250000000006</v>
      </c>
      <c r="AU18">
        <f t="shared" si="12"/>
        <v>0.70794075000000012</v>
      </c>
      <c r="AZ18" s="3" t="s">
        <v>491</v>
      </c>
      <c r="BA18" t="s">
        <v>492</v>
      </c>
      <c r="BB18">
        <f>V7*0.01+I31</f>
        <v>600.05684250000002</v>
      </c>
      <c r="BC18">
        <v>60</v>
      </c>
      <c r="BD18">
        <v>1</v>
      </c>
      <c r="BE18">
        <v>0.2</v>
      </c>
      <c r="BF18">
        <v>0.5</v>
      </c>
      <c r="BG18" s="9">
        <v>0.2</v>
      </c>
      <c r="BH18">
        <f t="shared" ref="BH18" si="35">BB18+BC18*BD18*BE18+BF18</f>
        <v>612.55684250000002</v>
      </c>
      <c r="BI18">
        <f t="shared" ref="BI18" si="36">(BG18*BH18)+BH18</f>
        <v>735.06821100000002</v>
      </c>
      <c r="BR18" t="s">
        <v>509</v>
      </c>
      <c r="BS18" t="s">
        <v>510</v>
      </c>
      <c r="BT18" t="s">
        <v>542</v>
      </c>
      <c r="BU18" t="s">
        <v>507</v>
      </c>
      <c r="BV18" t="s">
        <v>542</v>
      </c>
      <c r="BW18" t="s">
        <v>508</v>
      </c>
      <c r="BX18" t="s">
        <v>542</v>
      </c>
    </row>
    <row r="19" spans="1:85" x14ac:dyDescent="0.25">
      <c r="A19" s="3" t="s">
        <v>233</v>
      </c>
      <c r="B19">
        <v>1</v>
      </c>
      <c r="C19">
        <v>0.2</v>
      </c>
      <c r="D19">
        <v>1</v>
      </c>
      <c r="E19">
        <v>0.13</v>
      </c>
      <c r="F19">
        <v>0.03</v>
      </c>
      <c r="G19">
        <v>0.05</v>
      </c>
      <c r="H19">
        <f t="shared" si="5"/>
        <v>1.056</v>
      </c>
      <c r="I19">
        <f t="shared" si="30"/>
        <v>1.1088</v>
      </c>
      <c r="K19">
        <v>0</v>
      </c>
      <c r="L19" s="3" t="s">
        <v>1000</v>
      </c>
      <c r="M19">
        <v>1</v>
      </c>
      <c r="N19" t="s">
        <v>1100</v>
      </c>
      <c r="O19">
        <f>($V$12*0.05+$V$6*0.1*K19)*2</f>
        <v>0.44952249999999999</v>
      </c>
      <c r="P19">
        <v>2</v>
      </c>
      <c r="Q19">
        <v>1</v>
      </c>
      <c r="R19">
        <v>0.15</v>
      </c>
      <c r="S19">
        <v>0.2</v>
      </c>
      <c r="T19">
        <v>0.1</v>
      </c>
      <c r="U19">
        <f t="shared" ref="U19:U27" si="37">O19+P19*Q19*R19+S19</f>
        <v>0.94952250000000005</v>
      </c>
      <c r="V19">
        <f t="shared" ref="V19:V27" si="38">(T19*U19)+U19</f>
        <v>1.04447475</v>
      </c>
      <c r="AL19" s="3" t="s">
        <v>198</v>
      </c>
      <c r="AM19" t="s">
        <v>293</v>
      </c>
      <c r="AN19">
        <f>I4*1.54+U7*3</f>
        <v>17.256945000000002</v>
      </c>
      <c r="AO19">
        <v>3</v>
      </c>
      <c r="AP19">
        <v>2</v>
      </c>
      <c r="AQ19">
        <v>0.16</v>
      </c>
      <c r="AR19">
        <v>0.1</v>
      </c>
      <c r="AS19" s="9" t="s">
        <v>395</v>
      </c>
      <c r="AT19">
        <f t="shared" si="11"/>
        <v>18.316945000000004</v>
      </c>
      <c r="AU19">
        <f t="shared" si="12"/>
        <v>20.148639500000005</v>
      </c>
      <c r="AZ19" s="3" t="s">
        <v>493</v>
      </c>
      <c r="BB19">
        <v>150</v>
      </c>
      <c r="BC19">
        <v>60</v>
      </c>
      <c r="BD19">
        <v>1</v>
      </c>
      <c r="BE19">
        <v>0.2</v>
      </c>
      <c r="BF19">
        <v>0.5</v>
      </c>
      <c r="BG19" s="9">
        <v>0.2</v>
      </c>
      <c r="BH19">
        <f t="shared" ref="BH19" si="39">BB19+BC19*BD19*BE19+BF19</f>
        <v>162.5</v>
      </c>
      <c r="BI19">
        <f t="shared" ref="BI19" si="40">(BG19*BH19)+BH19</f>
        <v>195</v>
      </c>
      <c r="BP19" t="s">
        <v>533</v>
      </c>
      <c r="BQ19">
        <v>0</v>
      </c>
      <c r="BR19">
        <f t="shared" ref="BR19:BR27" si="41">$AU$80</f>
        <v>16.419387652499999</v>
      </c>
      <c r="BS19">
        <f>$V$9</f>
        <v>4.4362962000000001</v>
      </c>
      <c r="BT19">
        <v>1</v>
      </c>
      <c r="BU19">
        <f>$V$11</f>
        <v>5.7225000000000001</v>
      </c>
      <c r="BV19">
        <v>0</v>
      </c>
      <c r="BW19">
        <f>$V$16</f>
        <v>965.72362552830907</v>
      </c>
      <c r="BX19">
        <v>0</v>
      </c>
      <c r="BY19">
        <f t="shared" ref="BY19:BY27" si="42">BR19+BS19*BT19+BU19*BV19+BW19*BX19</f>
        <v>20.8556838525</v>
      </c>
      <c r="BZ19">
        <v>30</v>
      </c>
      <c r="CA19">
        <v>4</v>
      </c>
      <c r="CB19">
        <v>0.15</v>
      </c>
      <c r="CC19">
        <v>0.1</v>
      </c>
      <c r="CD19" s="9">
        <v>0.05</v>
      </c>
      <c r="CE19">
        <f>BY19+BZ19*CA19*CB19+CC19</f>
        <v>38.955683852500002</v>
      </c>
      <c r="CF19">
        <f t="shared" ref="CF19:CF27" si="43">(CD19*CE19)+CE19</f>
        <v>40.903468045125003</v>
      </c>
      <c r="CG19">
        <f>CF19+(CF19*BQ19/10)</f>
        <v>40.903468045125003</v>
      </c>
    </row>
    <row r="20" spans="1:85" x14ac:dyDescent="0.25">
      <c r="A20" s="3" t="s">
        <v>234</v>
      </c>
      <c r="B20">
        <v>1</v>
      </c>
      <c r="C20">
        <v>0.2</v>
      </c>
      <c r="D20">
        <v>1</v>
      </c>
      <c r="E20">
        <v>0.14000000000000001</v>
      </c>
      <c r="F20">
        <v>0</v>
      </c>
      <c r="G20">
        <v>0.02</v>
      </c>
      <c r="H20">
        <f t="shared" si="5"/>
        <v>1.028</v>
      </c>
      <c r="I20">
        <f t="shared" si="30"/>
        <v>1.0485599999999999</v>
      </c>
      <c r="K20">
        <v>1</v>
      </c>
      <c r="L20" s="3" t="s">
        <v>1001</v>
      </c>
      <c r="M20">
        <v>1</v>
      </c>
      <c r="N20" t="s">
        <v>1100</v>
      </c>
      <c r="O20">
        <f t="shared" ref="O20:O28" si="44">($V$12*0.05+$V$6*0.1*K20)*2</f>
        <v>69.516320250000007</v>
      </c>
      <c r="P20">
        <v>2</v>
      </c>
      <c r="Q20">
        <v>1</v>
      </c>
      <c r="R20">
        <v>0.15</v>
      </c>
      <c r="S20">
        <v>0.2</v>
      </c>
      <c r="T20">
        <v>0.1</v>
      </c>
      <c r="U20">
        <f t="shared" si="37"/>
        <v>70.016320250000007</v>
      </c>
      <c r="V20">
        <f t="shared" si="38"/>
        <v>77.017952275000013</v>
      </c>
      <c r="AL20" s="3" t="s">
        <v>199</v>
      </c>
      <c r="AM20" t="s">
        <v>294</v>
      </c>
      <c r="AN20">
        <f>V12*2+0.27*I12</f>
        <v>9.2980474999999991</v>
      </c>
      <c r="AO20">
        <v>5</v>
      </c>
      <c r="AP20">
        <v>1</v>
      </c>
      <c r="AQ20">
        <v>0.14000000000000001</v>
      </c>
      <c r="AR20">
        <v>0.1</v>
      </c>
      <c r="AS20" s="9" t="s">
        <v>394</v>
      </c>
      <c r="AT20">
        <f t="shared" si="11"/>
        <v>10.098047499999998</v>
      </c>
      <c r="AU20">
        <f t="shared" si="12"/>
        <v>10.400988924999998</v>
      </c>
      <c r="AZ20" s="3" t="s">
        <v>499</v>
      </c>
      <c r="BA20" t="s">
        <v>502</v>
      </c>
      <c r="BB20">
        <f>V11+I32</f>
        <v>1205.7225000000001</v>
      </c>
      <c r="BC20">
        <v>60</v>
      </c>
      <c r="BD20">
        <v>1</v>
      </c>
      <c r="BE20">
        <v>0.2</v>
      </c>
      <c r="BF20">
        <v>0.5</v>
      </c>
      <c r="BG20" s="9">
        <v>0.2</v>
      </c>
      <c r="BH20">
        <f t="shared" ref="BH20:BH21" si="45">BB20+BC20*BD20*BE20+BF20</f>
        <v>1218.2225000000001</v>
      </c>
      <c r="BI20">
        <f t="shared" ref="BI20:BI21" si="46">(BG20*BH20)+BH20</f>
        <v>1461.8670000000002</v>
      </c>
      <c r="BP20" t="s">
        <v>534</v>
      </c>
      <c r="BQ20">
        <v>1</v>
      </c>
      <c r="BR20">
        <f t="shared" si="41"/>
        <v>16.419387652499999</v>
      </c>
      <c r="BS20">
        <f t="shared" ref="BS20:BS27" si="47">$V$9</f>
        <v>4.4362962000000001</v>
      </c>
      <c r="BT20">
        <v>0.8</v>
      </c>
      <c r="BU20">
        <f t="shared" ref="BU20:BU27" si="48">$V$11</f>
        <v>5.7225000000000001</v>
      </c>
      <c r="BV20">
        <v>0.2</v>
      </c>
      <c r="BW20">
        <f t="shared" ref="BW20:BW27" si="49">$V$16</f>
        <v>965.72362552830907</v>
      </c>
      <c r="BX20">
        <v>0</v>
      </c>
      <c r="BY20">
        <f t="shared" si="42"/>
        <v>21.112924612500002</v>
      </c>
      <c r="BZ20">
        <v>60</v>
      </c>
      <c r="CA20">
        <v>4</v>
      </c>
      <c r="CB20">
        <v>0.25</v>
      </c>
      <c r="CC20">
        <v>10</v>
      </c>
      <c r="CD20" s="9">
        <v>0.05</v>
      </c>
      <c r="CE20">
        <f>BY20+BZ20*CA20*CB20+CC20</f>
        <v>91.112924612499995</v>
      </c>
      <c r="CF20">
        <f t="shared" si="43"/>
        <v>95.668570843124996</v>
      </c>
      <c r="CG20">
        <f>CF20+(CF20*BQ20/10)</f>
        <v>105.2354279274375</v>
      </c>
    </row>
    <row r="21" spans="1:85" x14ac:dyDescent="0.25">
      <c r="A21" s="3" t="s">
        <v>235</v>
      </c>
      <c r="B21">
        <v>1</v>
      </c>
      <c r="C21">
        <v>5</v>
      </c>
      <c r="D21">
        <v>1</v>
      </c>
      <c r="E21">
        <v>0.14000000000000001</v>
      </c>
      <c r="F21">
        <v>0.01</v>
      </c>
      <c r="G21">
        <v>0.02</v>
      </c>
      <c r="H21">
        <f t="shared" si="5"/>
        <v>1.7100000000000002</v>
      </c>
      <c r="I21">
        <f t="shared" si="30"/>
        <v>1.7442000000000002</v>
      </c>
      <c r="K21">
        <v>2</v>
      </c>
      <c r="L21" s="3" t="s">
        <v>1002</v>
      </c>
      <c r="M21">
        <v>1</v>
      </c>
      <c r="N21" t="s">
        <v>1100</v>
      </c>
      <c r="O21">
        <f t="shared" si="44"/>
        <v>138.58311800000001</v>
      </c>
      <c r="P21">
        <v>2</v>
      </c>
      <c r="Q21">
        <v>1</v>
      </c>
      <c r="R21">
        <v>0.15</v>
      </c>
      <c r="S21">
        <v>0.2</v>
      </c>
      <c r="T21">
        <v>0.1</v>
      </c>
      <c r="U21">
        <f t="shared" si="37"/>
        <v>139.08311800000001</v>
      </c>
      <c r="V21">
        <f t="shared" si="38"/>
        <v>152.99142980000002</v>
      </c>
      <c r="AL21" s="3" t="s">
        <v>200</v>
      </c>
      <c r="AM21" t="s">
        <v>295</v>
      </c>
      <c r="AN21">
        <f>V7*0.01</f>
        <v>5.6842500000000004E-2</v>
      </c>
      <c r="AO21">
        <v>4</v>
      </c>
      <c r="AP21">
        <v>1</v>
      </c>
      <c r="AQ21">
        <v>0.16</v>
      </c>
      <c r="AR21">
        <v>0.1</v>
      </c>
      <c r="AS21" s="9" t="s">
        <v>395</v>
      </c>
      <c r="AT21">
        <f t="shared" si="11"/>
        <v>0.79684250000000001</v>
      </c>
      <c r="AU21">
        <f t="shared" si="12"/>
        <v>0.87652675000000002</v>
      </c>
      <c r="AZ21" s="3" t="s">
        <v>500</v>
      </c>
      <c r="BA21" t="s">
        <v>503</v>
      </c>
      <c r="BB21">
        <f>AU23+I31</f>
        <v>600.47358025000005</v>
      </c>
      <c r="BC21">
        <v>60</v>
      </c>
      <c r="BD21">
        <v>1</v>
      </c>
      <c r="BE21">
        <v>0.2</v>
      </c>
      <c r="BF21">
        <v>0.5</v>
      </c>
      <c r="BG21" s="9">
        <v>0.2</v>
      </c>
      <c r="BH21">
        <f t="shared" si="45"/>
        <v>612.97358025000005</v>
      </c>
      <c r="BI21">
        <f t="shared" si="46"/>
        <v>735.56829630000004</v>
      </c>
      <c r="BP21" t="s">
        <v>535</v>
      </c>
      <c r="BQ21">
        <v>2</v>
      </c>
      <c r="BR21">
        <f t="shared" si="41"/>
        <v>16.419387652499999</v>
      </c>
      <c r="BS21">
        <f t="shared" si="47"/>
        <v>4.4362962000000001</v>
      </c>
      <c r="BT21">
        <v>0.66</v>
      </c>
      <c r="BU21">
        <f t="shared" si="48"/>
        <v>5.7225000000000001</v>
      </c>
      <c r="BV21">
        <v>0.33</v>
      </c>
      <c r="BW21">
        <f t="shared" si="49"/>
        <v>965.72362552830907</v>
      </c>
      <c r="BX21">
        <v>0</v>
      </c>
      <c r="BY21">
        <f t="shared" si="42"/>
        <v>21.2357681445</v>
      </c>
      <c r="BZ21">
        <v>90</v>
      </c>
      <c r="CA21">
        <v>4</v>
      </c>
      <c r="CB21">
        <v>0.25</v>
      </c>
      <c r="CC21">
        <v>10</v>
      </c>
      <c r="CD21" s="9">
        <v>0.05</v>
      </c>
      <c r="CE21">
        <f>BY21+BZ21*CA21*CB21+CC21</f>
        <v>121.2357681445</v>
      </c>
      <c r="CF21">
        <f t="shared" si="43"/>
        <v>127.29755655172499</v>
      </c>
      <c r="CG21">
        <f>CF21+(CF21*BQ21/10)</f>
        <v>152.75706786206999</v>
      </c>
    </row>
    <row r="22" spans="1:85" x14ac:dyDescent="0.25">
      <c r="A22" s="3" t="s">
        <v>236</v>
      </c>
      <c r="B22">
        <v>1</v>
      </c>
      <c r="C22">
        <v>1</v>
      </c>
      <c r="D22">
        <v>1</v>
      </c>
      <c r="E22">
        <v>0.13</v>
      </c>
      <c r="F22">
        <v>0.02</v>
      </c>
      <c r="G22">
        <v>0.05</v>
      </c>
      <c r="H22">
        <f t="shared" si="5"/>
        <v>1.1499999999999999</v>
      </c>
      <c r="I22">
        <f t="shared" si="30"/>
        <v>1.2075</v>
      </c>
      <c r="K22">
        <v>3</v>
      </c>
      <c r="L22" s="3" t="s">
        <v>1003</v>
      </c>
      <c r="M22">
        <v>1</v>
      </c>
      <c r="N22" t="s">
        <v>1100</v>
      </c>
      <c r="O22">
        <f t="shared" si="44"/>
        <v>207.64991575000002</v>
      </c>
      <c r="P22">
        <v>2</v>
      </c>
      <c r="Q22">
        <v>1</v>
      </c>
      <c r="R22">
        <v>0.15</v>
      </c>
      <c r="S22">
        <v>0.2</v>
      </c>
      <c r="T22">
        <v>0.1</v>
      </c>
      <c r="U22">
        <f t="shared" si="37"/>
        <v>208.14991575000002</v>
      </c>
      <c r="V22">
        <f t="shared" si="38"/>
        <v>228.96490732500001</v>
      </c>
      <c r="AL22" s="3" t="s">
        <v>201</v>
      </c>
      <c r="AM22" t="s">
        <v>296</v>
      </c>
      <c r="AN22">
        <f>I12*0.7</f>
        <v>0.79747499999999982</v>
      </c>
      <c r="AO22">
        <v>0.5</v>
      </c>
      <c r="AP22">
        <v>1</v>
      </c>
      <c r="AQ22">
        <v>0.15</v>
      </c>
      <c r="AR22">
        <v>0.1</v>
      </c>
      <c r="AS22" s="9" t="s">
        <v>396</v>
      </c>
      <c r="AT22">
        <f t="shared" si="11"/>
        <v>0.97247499999999976</v>
      </c>
      <c r="AU22">
        <f t="shared" si="12"/>
        <v>1.0210987499999997</v>
      </c>
      <c r="AZ22" s="3" t="s">
        <v>577</v>
      </c>
      <c r="BA22" t="s">
        <v>578</v>
      </c>
      <c r="BB22">
        <f>I40*2+I33*2+V7</f>
        <v>7805.6842500000002</v>
      </c>
      <c r="BC22">
        <v>300</v>
      </c>
      <c r="BD22">
        <v>4</v>
      </c>
      <c r="BE22">
        <v>0.4</v>
      </c>
      <c r="BF22">
        <v>0.5</v>
      </c>
      <c r="BG22" s="9">
        <v>0.2</v>
      </c>
      <c r="BH22">
        <f t="shared" ref="BH22" si="50">BB22+BC22*BD22*BE22+BF22</f>
        <v>8286.1842500000002</v>
      </c>
      <c r="BI22">
        <f t="shared" ref="BI22" si="51">(BG22*BH22)+BH22</f>
        <v>9943.4210999999996</v>
      </c>
      <c r="BP22" t="s">
        <v>536</v>
      </c>
      <c r="BQ22">
        <v>3</v>
      </c>
      <c r="BR22">
        <f t="shared" si="41"/>
        <v>16.419387652499999</v>
      </c>
      <c r="BS22">
        <f t="shared" si="47"/>
        <v>4.4362962000000001</v>
      </c>
      <c r="BT22">
        <v>0.33</v>
      </c>
      <c r="BU22">
        <f t="shared" si="48"/>
        <v>5.7225000000000001</v>
      </c>
      <c r="BV22">
        <v>0.66</v>
      </c>
      <c r="BW22">
        <f t="shared" si="49"/>
        <v>965.72362552830907</v>
      </c>
      <c r="BX22">
        <v>0</v>
      </c>
      <c r="BY22">
        <f t="shared" si="42"/>
        <v>21.6602153985</v>
      </c>
      <c r="BZ22">
        <v>120</v>
      </c>
      <c r="CA22">
        <v>4</v>
      </c>
      <c r="CB22">
        <v>0.25</v>
      </c>
      <c r="CC22">
        <v>10</v>
      </c>
      <c r="CD22" s="9">
        <v>0.05</v>
      </c>
      <c r="CE22">
        <f t="shared" ref="CE22:CE27" si="52">BY22+BZ22*CA22*CB22+CC22</f>
        <v>151.66021539849999</v>
      </c>
      <c r="CF22">
        <f t="shared" si="43"/>
        <v>159.243226168425</v>
      </c>
      <c r="CG22">
        <f t="shared" ref="CG22:CG26" si="53">CF22+(CF22*BQ22/10)</f>
        <v>207.01619401895249</v>
      </c>
    </row>
    <row r="23" spans="1:85" x14ac:dyDescent="0.25">
      <c r="A23" s="3" t="s">
        <v>237</v>
      </c>
      <c r="B23">
        <v>1</v>
      </c>
      <c r="C23">
        <v>0.1</v>
      </c>
      <c r="D23">
        <v>1</v>
      </c>
      <c r="E23">
        <v>0.13</v>
      </c>
      <c r="F23">
        <v>0.02</v>
      </c>
      <c r="G23">
        <v>0</v>
      </c>
      <c r="H23">
        <f t="shared" si="5"/>
        <v>1.0329999999999999</v>
      </c>
      <c r="I23">
        <f t="shared" si="30"/>
        <v>1.0329999999999999</v>
      </c>
      <c r="K23">
        <v>4</v>
      </c>
      <c r="L23" s="3" t="s">
        <v>1004</v>
      </c>
      <c r="M23">
        <v>1</v>
      </c>
      <c r="N23" t="s">
        <v>1100</v>
      </c>
      <c r="O23">
        <f t="shared" si="44"/>
        <v>276.71671350000003</v>
      </c>
      <c r="P23">
        <v>2</v>
      </c>
      <c r="Q23">
        <v>1</v>
      </c>
      <c r="R23">
        <v>0.15</v>
      </c>
      <c r="S23">
        <v>0.2</v>
      </c>
      <c r="T23">
        <v>0.1</v>
      </c>
      <c r="U23">
        <f t="shared" si="37"/>
        <v>277.21671350000003</v>
      </c>
      <c r="V23">
        <f t="shared" si="38"/>
        <v>304.93838485000003</v>
      </c>
      <c r="AL23" s="3" t="s">
        <v>202</v>
      </c>
      <c r="AM23" t="s">
        <v>297</v>
      </c>
      <c r="AN23">
        <f>0.03*V7</f>
        <v>0.1705275</v>
      </c>
      <c r="AO23">
        <v>1</v>
      </c>
      <c r="AP23">
        <v>1</v>
      </c>
      <c r="AQ23">
        <v>0.16</v>
      </c>
      <c r="AR23">
        <v>0.1</v>
      </c>
      <c r="AS23" s="9" t="s">
        <v>395</v>
      </c>
      <c r="AT23">
        <f t="shared" si="11"/>
        <v>0.43052749999999995</v>
      </c>
      <c r="AU23">
        <f t="shared" si="12"/>
        <v>0.47358024999999992</v>
      </c>
      <c r="AZ23" s="3" t="s">
        <v>579</v>
      </c>
      <c r="BA23" t="s">
        <v>580</v>
      </c>
      <c r="BB23">
        <f>I5*0.2+V6*0.05</f>
        <v>17.530699437500001</v>
      </c>
      <c r="BC23">
        <v>60</v>
      </c>
      <c r="BD23">
        <v>4</v>
      </c>
      <c r="BE23">
        <v>0.4</v>
      </c>
      <c r="BF23">
        <v>0.5</v>
      </c>
      <c r="BG23" s="9">
        <v>0.2</v>
      </c>
      <c r="BH23">
        <f t="shared" ref="BH23:BH24" si="54">BB23+BC23*BD23*BE23+BF23</f>
        <v>114.0306994375</v>
      </c>
      <c r="BI23">
        <f t="shared" ref="BI23:BI24" si="55">(BG23*BH23)+BH23</f>
        <v>136.836839325</v>
      </c>
      <c r="BP23" t="s">
        <v>537</v>
      </c>
      <c r="BQ23">
        <v>4</v>
      </c>
      <c r="BR23">
        <f t="shared" si="41"/>
        <v>16.419387652499999</v>
      </c>
      <c r="BS23">
        <f t="shared" si="47"/>
        <v>4.4362962000000001</v>
      </c>
      <c r="BT23">
        <v>0.2</v>
      </c>
      <c r="BU23">
        <f t="shared" si="48"/>
        <v>5.7225000000000001</v>
      </c>
      <c r="BV23">
        <v>0.8</v>
      </c>
      <c r="BW23">
        <f t="shared" si="49"/>
        <v>965.72362552830907</v>
      </c>
      <c r="BX23">
        <v>0</v>
      </c>
      <c r="BY23">
        <f t="shared" si="42"/>
        <v>21.884646892499998</v>
      </c>
      <c r="BZ23">
        <v>150</v>
      </c>
      <c r="CA23">
        <v>4</v>
      </c>
      <c r="CB23">
        <v>0.25</v>
      </c>
      <c r="CC23">
        <v>10</v>
      </c>
      <c r="CD23" s="9">
        <v>0.05</v>
      </c>
      <c r="CE23">
        <f t="shared" si="52"/>
        <v>181.8846468925</v>
      </c>
      <c r="CF23">
        <f t="shared" si="43"/>
        <v>190.978879237125</v>
      </c>
      <c r="CG23">
        <f t="shared" si="53"/>
        <v>267.37043093197497</v>
      </c>
    </row>
    <row r="24" spans="1:85" x14ac:dyDescent="0.25">
      <c r="A24" s="3" t="s">
        <v>318</v>
      </c>
      <c r="B24">
        <v>1</v>
      </c>
      <c r="C24">
        <v>3</v>
      </c>
      <c r="D24">
        <v>1</v>
      </c>
      <c r="E24">
        <v>0.15</v>
      </c>
      <c r="F24">
        <v>0</v>
      </c>
      <c r="G24">
        <v>0</v>
      </c>
      <c r="H24">
        <f t="shared" si="5"/>
        <v>1.45</v>
      </c>
      <c r="I24">
        <f t="shared" si="30"/>
        <v>1.45</v>
      </c>
      <c r="K24">
        <v>5</v>
      </c>
      <c r="L24" s="3" t="s">
        <v>1005</v>
      </c>
      <c r="M24">
        <v>1</v>
      </c>
      <c r="N24" t="s">
        <v>1100</v>
      </c>
      <c r="O24">
        <f t="shared" si="44"/>
        <v>345.78351125</v>
      </c>
      <c r="P24">
        <v>2</v>
      </c>
      <c r="Q24">
        <v>1</v>
      </c>
      <c r="R24">
        <v>0.15</v>
      </c>
      <c r="S24">
        <v>0.2</v>
      </c>
      <c r="T24">
        <v>0.1</v>
      </c>
      <c r="U24">
        <f t="shared" si="37"/>
        <v>346.28351125</v>
      </c>
      <c r="V24">
        <f t="shared" si="38"/>
        <v>380.911862375</v>
      </c>
      <c r="AL24" s="3" t="s">
        <v>203</v>
      </c>
      <c r="AM24" t="s">
        <v>298</v>
      </c>
      <c r="AN24">
        <f>0.05*V7</f>
        <v>0.28421250000000003</v>
      </c>
      <c r="AO24">
        <v>1</v>
      </c>
      <c r="AP24">
        <v>1</v>
      </c>
      <c r="AQ24">
        <v>0.16</v>
      </c>
      <c r="AR24">
        <v>0.1</v>
      </c>
      <c r="AS24" s="9" t="s">
        <v>395</v>
      </c>
      <c r="AT24">
        <f t="shared" si="11"/>
        <v>0.54421249999999999</v>
      </c>
      <c r="AU24">
        <f t="shared" si="12"/>
        <v>0.59863374999999996</v>
      </c>
      <c r="AZ24" s="3" t="s">
        <v>581</v>
      </c>
      <c r="BA24" t="s">
        <v>582</v>
      </c>
      <c r="BB24">
        <f>AU23+V6*0.3</f>
        <v>104.07377687499999</v>
      </c>
      <c r="BC24">
        <v>60</v>
      </c>
      <c r="BD24">
        <v>4</v>
      </c>
      <c r="BE24">
        <v>0.4</v>
      </c>
      <c r="BF24">
        <v>0.5</v>
      </c>
      <c r="BG24" s="9">
        <v>0.2</v>
      </c>
      <c r="BH24">
        <f t="shared" si="54"/>
        <v>200.57377687499999</v>
      </c>
      <c r="BI24">
        <f t="shared" si="55"/>
        <v>240.68853224999998</v>
      </c>
      <c r="BP24" t="s">
        <v>538</v>
      </c>
      <c r="BQ24">
        <v>5</v>
      </c>
      <c r="BR24">
        <f t="shared" si="41"/>
        <v>16.419387652499999</v>
      </c>
      <c r="BS24">
        <f t="shared" si="47"/>
        <v>4.4362962000000001</v>
      </c>
      <c r="BT24">
        <v>0.1</v>
      </c>
      <c r="BU24">
        <f t="shared" si="48"/>
        <v>5.7225000000000001</v>
      </c>
      <c r="BV24">
        <v>0.9</v>
      </c>
      <c r="BW24">
        <f t="shared" si="49"/>
        <v>965.72362552830907</v>
      </c>
      <c r="BX24">
        <v>0</v>
      </c>
      <c r="BY24">
        <f t="shared" si="42"/>
        <v>22.013267272499998</v>
      </c>
      <c r="BZ24">
        <v>180</v>
      </c>
      <c r="CA24">
        <v>4</v>
      </c>
      <c r="CB24">
        <v>0.25</v>
      </c>
      <c r="CC24">
        <v>10</v>
      </c>
      <c r="CD24" s="9">
        <v>0.05</v>
      </c>
      <c r="CE24">
        <f t="shared" si="52"/>
        <v>212.0132672725</v>
      </c>
      <c r="CF24">
        <f t="shared" si="43"/>
        <v>222.61393063612499</v>
      </c>
      <c r="CG24">
        <f t="shared" si="53"/>
        <v>333.92089595418747</v>
      </c>
    </row>
    <row r="25" spans="1:85" x14ac:dyDescent="0.25">
      <c r="K25">
        <v>6</v>
      </c>
      <c r="L25" s="3" t="s">
        <v>1006</v>
      </c>
      <c r="M25">
        <v>1</v>
      </c>
      <c r="N25" t="s">
        <v>1100</v>
      </c>
      <c r="O25">
        <f t="shared" si="44"/>
        <v>414.85030900000004</v>
      </c>
      <c r="P25">
        <v>2</v>
      </c>
      <c r="Q25">
        <v>1</v>
      </c>
      <c r="R25">
        <v>0.15</v>
      </c>
      <c r="S25">
        <v>0.2</v>
      </c>
      <c r="T25">
        <v>0.1</v>
      </c>
      <c r="U25">
        <f t="shared" si="37"/>
        <v>415.35030900000004</v>
      </c>
      <c r="V25">
        <f t="shared" si="38"/>
        <v>456.88533990000008</v>
      </c>
      <c r="AL25" s="3" t="s">
        <v>415</v>
      </c>
      <c r="AM25" t="s">
        <v>417</v>
      </c>
      <c r="AN25">
        <f>V15*0.3</f>
        <v>30.246487215849264</v>
      </c>
      <c r="AO25">
        <v>1</v>
      </c>
      <c r="AP25">
        <v>1</v>
      </c>
      <c r="AQ25">
        <v>0.16</v>
      </c>
      <c r="AR25">
        <v>0.1</v>
      </c>
      <c r="AS25" s="9" t="s">
        <v>416</v>
      </c>
      <c r="AT25">
        <f t="shared" ref="AT25" si="56">AN25+AO25*AP25*AQ25+AR25</f>
        <v>30.506487215849265</v>
      </c>
      <c r="AU25">
        <f t="shared" ref="AU25" si="57">(AS25*AT25)+AT25</f>
        <v>36.607784659019117</v>
      </c>
      <c r="AZ25" s="3" t="s">
        <v>583</v>
      </c>
      <c r="BA25" t="s">
        <v>588</v>
      </c>
      <c r="BB25">
        <f>I$12+V$6</f>
        <v>346.47323875000001</v>
      </c>
      <c r="BC25">
        <v>60</v>
      </c>
      <c r="BD25">
        <v>4</v>
      </c>
      <c r="BE25">
        <v>0.4</v>
      </c>
      <c r="BF25">
        <v>0.5</v>
      </c>
      <c r="BG25" s="9">
        <v>0.2</v>
      </c>
      <c r="BH25">
        <f t="shared" ref="BH25:BH29" si="58">BB25+BC25*BD25*BE25+BF25</f>
        <v>442.97323875000001</v>
      </c>
      <c r="BI25">
        <f t="shared" ref="BI25:BI29" si="59">(BG25*BH25)+BH25</f>
        <v>531.56788649999999</v>
      </c>
      <c r="BP25" t="s">
        <v>539</v>
      </c>
      <c r="BQ25">
        <v>6</v>
      </c>
      <c r="BR25">
        <f t="shared" si="41"/>
        <v>16.419387652499999</v>
      </c>
      <c r="BS25">
        <f t="shared" si="47"/>
        <v>4.4362962000000001</v>
      </c>
      <c r="BT25">
        <v>0</v>
      </c>
      <c r="BU25">
        <f t="shared" si="48"/>
        <v>5.7225000000000001</v>
      </c>
      <c r="BV25">
        <v>1</v>
      </c>
      <c r="BW25">
        <f t="shared" si="49"/>
        <v>965.72362552830907</v>
      </c>
      <c r="BX25">
        <v>0</v>
      </c>
      <c r="BY25">
        <f t="shared" si="42"/>
        <v>22.141887652499999</v>
      </c>
      <c r="BZ25">
        <v>210</v>
      </c>
      <c r="CA25">
        <v>4</v>
      </c>
      <c r="CB25">
        <v>0.25</v>
      </c>
      <c r="CC25">
        <v>10</v>
      </c>
      <c r="CD25" s="9">
        <v>0.08</v>
      </c>
      <c r="CE25">
        <f t="shared" si="52"/>
        <v>242.1418876525</v>
      </c>
      <c r="CF25">
        <f t="shared" si="43"/>
        <v>261.5132386647</v>
      </c>
      <c r="CG25">
        <f t="shared" si="53"/>
        <v>418.42118186352002</v>
      </c>
    </row>
    <row r="26" spans="1:85" x14ac:dyDescent="0.25">
      <c r="K26">
        <v>7</v>
      </c>
      <c r="L26" s="3" t="s">
        <v>1007</v>
      </c>
      <c r="M26">
        <v>1</v>
      </c>
      <c r="N26" t="s">
        <v>1100</v>
      </c>
      <c r="O26">
        <f t="shared" si="44"/>
        <v>483.91710675000007</v>
      </c>
      <c r="P26">
        <v>2</v>
      </c>
      <c r="Q26">
        <v>1</v>
      </c>
      <c r="R26">
        <v>0.15</v>
      </c>
      <c r="S26">
        <v>0.2</v>
      </c>
      <c r="T26">
        <v>0.1</v>
      </c>
      <c r="U26">
        <f t="shared" si="37"/>
        <v>484.41710675000007</v>
      </c>
      <c r="V26">
        <f t="shared" si="38"/>
        <v>532.8588174250001</v>
      </c>
      <c r="AL26" s="3" t="s">
        <v>204</v>
      </c>
      <c r="AM26" t="s">
        <v>300</v>
      </c>
      <c r="AN26">
        <f>V15*5.44</f>
        <v>548.46963484740002</v>
      </c>
      <c r="AO26">
        <v>3</v>
      </c>
      <c r="AP26">
        <v>2</v>
      </c>
      <c r="AQ26">
        <v>0.16</v>
      </c>
      <c r="AR26">
        <v>0.1</v>
      </c>
      <c r="AS26" s="9" t="s">
        <v>395</v>
      </c>
      <c r="AT26">
        <f t="shared" ref="AT26:AT70" si="60">AN26+AO26*AP26*AQ26+AR26</f>
        <v>549.52963484740008</v>
      </c>
      <c r="AU26">
        <f t="shared" ref="AU26:AU70" si="61">(AS26*AT26)+AT26</f>
        <v>604.48259833214013</v>
      </c>
      <c r="AZ26" s="3" t="s">
        <v>584</v>
      </c>
      <c r="BA26" t="s">
        <v>589</v>
      </c>
      <c r="BB26">
        <f>I$12+V$6*2</f>
        <v>691.80722749999995</v>
      </c>
      <c r="BC26">
        <v>60</v>
      </c>
      <c r="BD26">
        <v>4</v>
      </c>
      <c r="BE26">
        <v>0.4</v>
      </c>
      <c r="BF26">
        <v>0.5</v>
      </c>
      <c r="BG26" s="9">
        <v>0.2</v>
      </c>
      <c r="BH26">
        <f t="shared" si="58"/>
        <v>788.30722749999995</v>
      </c>
      <c r="BI26">
        <f t="shared" si="59"/>
        <v>945.96867299999997</v>
      </c>
      <c r="BP26" t="s">
        <v>540</v>
      </c>
      <c r="BQ26">
        <v>7</v>
      </c>
      <c r="BR26">
        <f t="shared" si="41"/>
        <v>16.419387652499999</v>
      </c>
      <c r="BS26">
        <f t="shared" si="47"/>
        <v>4.4362962000000001</v>
      </c>
      <c r="BT26">
        <v>0</v>
      </c>
      <c r="BU26">
        <f t="shared" si="48"/>
        <v>5.7225000000000001</v>
      </c>
      <c r="BV26">
        <v>0.95</v>
      </c>
      <c r="BW26">
        <f t="shared" si="49"/>
        <v>965.72362552830907</v>
      </c>
      <c r="BX26">
        <v>0.05</v>
      </c>
      <c r="BY26">
        <f t="shared" si="42"/>
        <v>70.141943928915452</v>
      </c>
      <c r="BZ26">
        <v>240</v>
      </c>
      <c r="CA26">
        <v>4</v>
      </c>
      <c r="CB26">
        <v>1</v>
      </c>
      <c r="CC26">
        <v>100</v>
      </c>
      <c r="CD26" s="9">
        <v>0.08</v>
      </c>
      <c r="CE26">
        <f t="shared" si="52"/>
        <v>1130.1419439289155</v>
      </c>
      <c r="CF26">
        <f t="shared" si="43"/>
        <v>1220.5532994432288</v>
      </c>
      <c r="CG26">
        <f t="shared" si="53"/>
        <v>2074.940609053489</v>
      </c>
    </row>
    <row r="27" spans="1:85" x14ac:dyDescent="0.25">
      <c r="K27">
        <v>8</v>
      </c>
      <c r="L27" s="3" t="s">
        <v>1008</v>
      </c>
      <c r="M27">
        <v>1</v>
      </c>
      <c r="N27" t="s">
        <v>1100</v>
      </c>
      <c r="O27">
        <f t="shared" si="44"/>
        <v>552.98390449999999</v>
      </c>
      <c r="P27">
        <v>2</v>
      </c>
      <c r="Q27">
        <v>1</v>
      </c>
      <c r="R27">
        <v>0.15</v>
      </c>
      <c r="S27">
        <v>0.2</v>
      </c>
      <c r="T27">
        <v>0.1</v>
      </c>
      <c r="U27">
        <f t="shared" si="37"/>
        <v>553.48390449999999</v>
      </c>
      <c r="V27">
        <f t="shared" si="38"/>
        <v>608.83229495</v>
      </c>
      <c r="AL27" s="3" t="s">
        <v>205</v>
      </c>
      <c r="AM27" t="s">
        <v>301</v>
      </c>
      <c r="AN27">
        <f>I4+0.81*V15</f>
        <v>82.80476548279303</v>
      </c>
      <c r="AO27">
        <v>3</v>
      </c>
      <c r="AP27">
        <v>1</v>
      </c>
      <c r="AQ27">
        <v>0.16</v>
      </c>
      <c r="AR27">
        <v>0.1</v>
      </c>
      <c r="AS27" s="9" t="s">
        <v>395</v>
      </c>
      <c r="AT27">
        <f t="shared" si="60"/>
        <v>83.384765482793028</v>
      </c>
      <c r="AU27">
        <f t="shared" si="61"/>
        <v>91.723242031072331</v>
      </c>
      <c r="AZ27" s="3" t="s">
        <v>585</v>
      </c>
      <c r="BA27" t="s">
        <v>591</v>
      </c>
      <c r="BB27">
        <f>I$12+V$6*3</f>
        <v>1037.1412162499998</v>
      </c>
      <c r="BC27">
        <v>60</v>
      </c>
      <c r="BD27">
        <v>4</v>
      </c>
      <c r="BE27">
        <v>0.4</v>
      </c>
      <c r="BF27">
        <v>0.5</v>
      </c>
      <c r="BG27" s="9">
        <v>0.2</v>
      </c>
      <c r="BH27">
        <f t="shared" si="58"/>
        <v>1133.6412162499998</v>
      </c>
      <c r="BI27">
        <f t="shared" si="59"/>
        <v>1360.3694594999997</v>
      </c>
      <c r="BP27" t="s">
        <v>541</v>
      </c>
      <c r="BQ27">
        <v>8</v>
      </c>
      <c r="BR27">
        <f t="shared" si="41"/>
        <v>16.419387652499999</v>
      </c>
      <c r="BS27">
        <f t="shared" si="47"/>
        <v>4.4362962000000001</v>
      </c>
      <c r="BT27">
        <v>0</v>
      </c>
      <c r="BU27">
        <f t="shared" si="48"/>
        <v>5.7225000000000001</v>
      </c>
      <c r="BV27">
        <v>0.9</v>
      </c>
      <c r="BW27">
        <f t="shared" si="49"/>
        <v>965.72362552830907</v>
      </c>
      <c r="BX27">
        <v>0.1</v>
      </c>
      <c r="BY27">
        <f t="shared" si="42"/>
        <v>118.1420002053309</v>
      </c>
      <c r="BZ27">
        <v>270</v>
      </c>
      <c r="CA27">
        <v>4</v>
      </c>
      <c r="CB27">
        <v>1</v>
      </c>
      <c r="CC27">
        <v>100</v>
      </c>
      <c r="CD27" s="9">
        <v>0.08</v>
      </c>
      <c r="CE27">
        <f t="shared" si="52"/>
        <v>1298.142000205331</v>
      </c>
      <c r="CF27">
        <f t="shared" si="43"/>
        <v>1401.9933602217575</v>
      </c>
      <c r="CG27">
        <f>CF27+(CF27*BQ27/10)</f>
        <v>2523.5880483991632</v>
      </c>
    </row>
    <row r="28" spans="1:85" x14ac:dyDescent="0.25">
      <c r="K28">
        <v>9</v>
      </c>
      <c r="L28" s="3" t="s">
        <v>1009</v>
      </c>
      <c r="M28">
        <v>1</v>
      </c>
      <c r="N28" t="s">
        <v>1100</v>
      </c>
      <c r="O28">
        <f t="shared" si="44"/>
        <v>622.05070224999997</v>
      </c>
      <c r="P28">
        <v>2</v>
      </c>
      <c r="Q28">
        <v>1</v>
      </c>
      <c r="R28">
        <v>0.15</v>
      </c>
      <c r="S28">
        <v>0.2</v>
      </c>
      <c r="T28">
        <v>0.1</v>
      </c>
      <c r="U28">
        <f t="shared" ref="U28:U29" si="62">O28+P28*Q28*R28+S28</f>
        <v>622.55070224999997</v>
      </c>
      <c r="V28">
        <f t="shared" ref="V28:V29" si="63">(T28*U28)+U28</f>
        <v>684.80577247499991</v>
      </c>
      <c r="AL28" s="3" t="s">
        <v>206</v>
      </c>
      <c r="AM28" t="s">
        <v>302</v>
      </c>
      <c r="AN28">
        <f>V13*1.81</f>
        <v>2.8956266875000001</v>
      </c>
      <c r="AO28">
        <v>1</v>
      </c>
      <c r="AP28">
        <v>1</v>
      </c>
      <c r="AQ28">
        <v>0.2</v>
      </c>
      <c r="AR28">
        <v>0.1</v>
      </c>
      <c r="AS28" s="9">
        <v>0</v>
      </c>
      <c r="AT28">
        <f t="shared" si="60"/>
        <v>3.1956266875000003</v>
      </c>
      <c r="AU28">
        <f t="shared" si="61"/>
        <v>3.1956266875000003</v>
      </c>
      <c r="AZ28" s="3" t="s">
        <v>586</v>
      </c>
      <c r="BA28" t="s">
        <v>592</v>
      </c>
      <c r="BB28">
        <f>I$12+V$6*4</f>
        <v>1382.475205</v>
      </c>
      <c r="BC28">
        <v>60</v>
      </c>
      <c r="BD28">
        <v>4</v>
      </c>
      <c r="BE28">
        <v>0.4</v>
      </c>
      <c r="BF28">
        <v>0.5</v>
      </c>
      <c r="BG28" s="9">
        <v>0.2</v>
      </c>
      <c r="BH28">
        <f t="shared" si="58"/>
        <v>1478.975205</v>
      </c>
      <c r="BI28">
        <f t="shared" si="59"/>
        <v>1774.770246</v>
      </c>
      <c r="CD28" s="9"/>
    </row>
    <row r="29" spans="1:85" x14ac:dyDescent="0.25">
      <c r="A29" s="1" t="s">
        <v>136</v>
      </c>
      <c r="B29" s="5" t="s">
        <v>150</v>
      </c>
      <c r="C29" s="5" t="s">
        <v>63</v>
      </c>
      <c r="D29" s="5" t="s">
        <v>61</v>
      </c>
      <c r="E29" s="5" t="s">
        <v>70</v>
      </c>
      <c r="F29" s="5" t="s">
        <v>62</v>
      </c>
      <c r="G29" s="5" t="s">
        <v>69</v>
      </c>
      <c r="H29" s="5" t="s">
        <v>127</v>
      </c>
      <c r="I29" s="5" t="s">
        <v>128</v>
      </c>
      <c r="L29" s="3" t="s">
        <v>1085</v>
      </c>
      <c r="M29">
        <v>1</v>
      </c>
      <c r="N29" t="s">
        <v>1101</v>
      </c>
      <c r="O29">
        <f>I14*3</f>
        <v>3.5189999999999992</v>
      </c>
      <c r="P29">
        <v>6</v>
      </c>
      <c r="Q29">
        <v>1</v>
      </c>
      <c r="R29">
        <v>0.14000000000000001</v>
      </c>
      <c r="S29">
        <v>0.2</v>
      </c>
      <c r="T29">
        <v>0.1</v>
      </c>
      <c r="U29">
        <f t="shared" si="62"/>
        <v>4.5589999999999993</v>
      </c>
      <c r="V29">
        <f t="shared" si="63"/>
        <v>5.014899999999999</v>
      </c>
      <c r="AL29" s="3" t="s">
        <v>207</v>
      </c>
      <c r="AM29" t="s">
        <v>303</v>
      </c>
      <c r="AN29">
        <f>0.6*V7</f>
        <v>3.4105500000000002</v>
      </c>
      <c r="AO29">
        <v>0.3</v>
      </c>
      <c r="AP29">
        <v>1</v>
      </c>
      <c r="AQ29">
        <v>0.16</v>
      </c>
      <c r="AR29">
        <v>0.1</v>
      </c>
      <c r="AS29" s="9" t="s">
        <v>395</v>
      </c>
      <c r="AT29">
        <f t="shared" si="60"/>
        <v>3.5585500000000003</v>
      </c>
      <c r="AU29">
        <f t="shared" si="61"/>
        <v>3.9144050000000004</v>
      </c>
      <c r="AZ29" s="3" t="s">
        <v>587</v>
      </c>
      <c r="BA29" t="s">
        <v>590</v>
      </c>
      <c r="BB29">
        <f>I$12+I41</f>
        <v>1501.1392499999999</v>
      </c>
      <c r="BC29">
        <v>60</v>
      </c>
      <c r="BD29">
        <v>4</v>
      </c>
      <c r="BE29">
        <v>0.4</v>
      </c>
      <c r="BF29">
        <v>0.5</v>
      </c>
      <c r="BG29" s="9">
        <v>0.2</v>
      </c>
      <c r="BH29">
        <f t="shared" si="58"/>
        <v>1597.6392499999999</v>
      </c>
      <c r="BI29">
        <f t="shared" si="59"/>
        <v>1917.1670999999999</v>
      </c>
      <c r="BQ29" t="s">
        <v>511</v>
      </c>
      <c r="BR29" t="s">
        <v>512</v>
      </c>
    </row>
    <row r="30" spans="1:85" x14ac:dyDescent="0.25">
      <c r="A30" s="3" t="s">
        <v>137</v>
      </c>
      <c r="B30">
        <v>0.1</v>
      </c>
      <c r="C30">
        <f>2.4*(0.4/B30)</f>
        <v>9.6</v>
      </c>
      <c r="D30">
        <v>5</v>
      </c>
      <c r="E30">
        <v>0.5</v>
      </c>
      <c r="F30">
        <v>10</v>
      </c>
      <c r="G30">
        <v>0.25</v>
      </c>
      <c r="H30">
        <f>C30*D30*E30*F30</f>
        <v>240</v>
      </c>
      <c r="I30">
        <f t="shared" ref="I30" si="64">(G30*H30)+H30</f>
        <v>300</v>
      </c>
      <c r="AL30" s="3" t="s">
        <v>208</v>
      </c>
      <c r="AM30" t="s">
        <v>303</v>
      </c>
      <c r="AN30">
        <f>0.6*V7</f>
        <v>3.4105500000000002</v>
      </c>
      <c r="AO30">
        <v>0.3</v>
      </c>
      <c r="AP30">
        <v>1</v>
      </c>
      <c r="AQ30">
        <v>0.16</v>
      </c>
      <c r="AR30">
        <v>0.1</v>
      </c>
      <c r="AS30" s="9" t="s">
        <v>395</v>
      </c>
      <c r="AT30">
        <f t="shared" si="60"/>
        <v>3.5585500000000003</v>
      </c>
      <c r="AU30">
        <f t="shared" si="61"/>
        <v>3.9144050000000004</v>
      </c>
      <c r="AZ30" s="3" t="s">
        <v>595</v>
      </c>
      <c r="BA30" t="s">
        <v>596</v>
      </c>
      <c r="BB30">
        <f>V6*0.3</f>
        <v>103.600196625</v>
      </c>
      <c r="BC30">
        <v>8</v>
      </c>
      <c r="BD30">
        <v>1</v>
      </c>
      <c r="BE30">
        <v>0.4</v>
      </c>
      <c r="BF30">
        <v>0.5</v>
      </c>
      <c r="BG30" s="9">
        <v>0.2</v>
      </c>
      <c r="BH30">
        <f t="shared" ref="BH30" si="65">BB30+BC30*BD30*BE30+BF30</f>
        <v>107.300196625</v>
      </c>
      <c r="BI30">
        <f t="shared" ref="BI30" si="66">(BG30*BH30)+BH30</f>
        <v>128.76023595000001</v>
      </c>
      <c r="BQ30" t="str">
        <f>BP19</f>
        <v>Броня монаха +0</v>
      </c>
      <c r="BR30">
        <f>CG19</f>
        <v>40.903468045125003</v>
      </c>
    </row>
    <row r="31" spans="1:85" x14ac:dyDescent="0.25">
      <c r="A31" s="3" t="s">
        <v>138</v>
      </c>
      <c r="B31">
        <f>B30/2</f>
        <v>0.05</v>
      </c>
      <c r="C31">
        <f t="shared" ref="C31:C39" si="67">2.4*(0.4/B31)</f>
        <v>19.2</v>
      </c>
      <c r="D31">
        <v>5</v>
      </c>
      <c r="E31">
        <v>0.5</v>
      </c>
      <c r="F31">
        <v>10</v>
      </c>
      <c r="G31">
        <v>0.25</v>
      </c>
      <c r="H31">
        <f t="shared" ref="H31:H42" si="68">C31*D31*E31*F31</f>
        <v>480</v>
      </c>
      <c r="I31">
        <f t="shared" ref="I31:I42" si="69">(G31*H31)+H31</f>
        <v>600</v>
      </c>
      <c r="AL31" s="3" t="s">
        <v>209</v>
      </c>
      <c r="AM31" t="s">
        <v>304</v>
      </c>
      <c r="AN31">
        <f>0.6*I12</f>
        <v>0.68354999999999988</v>
      </c>
      <c r="AO31">
        <v>0.2</v>
      </c>
      <c r="AP31">
        <v>1</v>
      </c>
      <c r="AQ31">
        <v>0.15</v>
      </c>
      <c r="AR31">
        <v>0.1</v>
      </c>
      <c r="AS31" s="9" t="s">
        <v>396</v>
      </c>
      <c r="AT31">
        <f t="shared" si="60"/>
        <v>0.81354999999999988</v>
      </c>
      <c r="AU31">
        <f t="shared" si="61"/>
        <v>0.85422749999999992</v>
      </c>
      <c r="AZ31" s="3" t="s">
        <v>981</v>
      </c>
      <c r="BA31" t="s">
        <v>982</v>
      </c>
      <c r="BB31">
        <f>I5*0.1+V6*0.1</f>
        <v>34.665398875000001</v>
      </c>
      <c r="BC31">
        <v>60</v>
      </c>
      <c r="BD31">
        <v>1</v>
      </c>
      <c r="BE31">
        <v>0.4</v>
      </c>
      <c r="BF31">
        <v>0.5</v>
      </c>
      <c r="BG31" s="9">
        <v>0.2</v>
      </c>
      <c r="BH31">
        <f t="shared" ref="BH31" si="70">BB31+BC31*BD31*BE31+BF31</f>
        <v>59.165398875000001</v>
      </c>
      <c r="BI31">
        <f t="shared" ref="BI31" si="71">(BG31*BH31)+BH31</f>
        <v>70.99847865000001</v>
      </c>
      <c r="BQ31" t="str">
        <f>BP20</f>
        <v>Броня монаха +1</v>
      </c>
      <c r="BR31">
        <f t="shared" ref="BR31:BR38" si="72">CG20</f>
        <v>105.2354279274375</v>
      </c>
    </row>
    <row r="32" spans="1:85" x14ac:dyDescent="0.25">
      <c r="A32" s="3" t="s">
        <v>139</v>
      </c>
      <c r="B32">
        <f t="shared" ref="B32:B39" si="73">B31/2</f>
        <v>2.5000000000000001E-2</v>
      </c>
      <c r="C32">
        <f t="shared" si="67"/>
        <v>38.4</v>
      </c>
      <c r="D32">
        <v>5</v>
      </c>
      <c r="E32">
        <v>0.5</v>
      </c>
      <c r="F32">
        <v>10</v>
      </c>
      <c r="G32">
        <v>0.25</v>
      </c>
      <c r="H32">
        <f t="shared" si="68"/>
        <v>960</v>
      </c>
      <c r="I32">
        <f t="shared" si="69"/>
        <v>1200</v>
      </c>
      <c r="AL32" s="3" t="s">
        <v>210</v>
      </c>
      <c r="AM32" t="s">
        <v>305</v>
      </c>
      <c r="AN32">
        <f>V15*1.81</f>
        <v>182.4871395356239</v>
      </c>
      <c r="AO32">
        <v>30</v>
      </c>
      <c r="AP32">
        <v>1</v>
      </c>
      <c r="AQ32">
        <v>0.16</v>
      </c>
      <c r="AR32">
        <v>0.2</v>
      </c>
      <c r="AS32" s="9" t="s">
        <v>395</v>
      </c>
      <c r="AT32">
        <f t="shared" si="60"/>
        <v>187.4871395356239</v>
      </c>
      <c r="AU32">
        <f t="shared" si="61"/>
        <v>206.2358534891863</v>
      </c>
      <c r="AZ32" s="3" t="s">
        <v>983</v>
      </c>
      <c r="BA32" t="s">
        <v>984</v>
      </c>
      <c r="BB32">
        <f>AU67*6+V6*1.5</f>
        <v>520.37616472499997</v>
      </c>
      <c r="BC32">
        <v>60</v>
      </c>
      <c r="BD32">
        <v>1</v>
      </c>
      <c r="BE32">
        <v>0.4</v>
      </c>
      <c r="BF32">
        <v>0.5</v>
      </c>
      <c r="BG32" s="9">
        <v>0.2</v>
      </c>
      <c r="BH32">
        <f t="shared" ref="BH32" si="74">BB32+BC32*BD32*BE32+BF32</f>
        <v>544.87616472499997</v>
      </c>
      <c r="BI32">
        <f t="shared" ref="BI32" si="75">(BG32*BH32)+BH32</f>
        <v>653.85139766999998</v>
      </c>
      <c r="BQ32" t="str">
        <f>BP21</f>
        <v>Броня монаха +2</v>
      </c>
      <c r="BR32">
        <f t="shared" si="72"/>
        <v>152.75706786206999</v>
      </c>
    </row>
    <row r="33" spans="1:85" x14ac:dyDescent="0.25">
      <c r="A33" s="3" t="s">
        <v>140</v>
      </c>
      <c r="B33">
        <f t="shared" si="73"/>
        <v>1.2500000000000001E-2</v>
      </c>
      <c r="C33">
        <f t="shared" si="67"/>
        <v>76.8</v>
      </c>
      <c r="D33">
        <v>5</v>
      </c>
      <c r="E33">
        <v>0.5</v>
      </c>
      <c r="F33">
        <v>10</v>
      </c>
      <c r="G33">
        <v>0.25</v>
      </c>
      <c r="H33">
        <f t="shared" si="68"/>
        <v>1920</v>
      </c>
      <c r="I33">
        <f t="shared" si="69"/>
        <v>2400</v>
      </c>
      <c r="AL33" s="3" t="s">
        <v>306</v>
      </c>
      <c r="AM33" t="s">
        <v>307</v>
      </c>
      <c r="AN33">
        <f>1.81*V18</f>
        <v>8.2491112000000015</v>
      </c>
      <c r="AO33">
        <v>1</v>
      </c>
      <c r="AP33">
        <v>1</v>
      </c>
      <c r="AQ33">
        <v>0.16</v>
      </c>
      <c r="AR33">
        <v>0.1</v>
      </c>
      <c r="AS33" s="9" t="s">
        <v>395</v>
      </c>
      <c r="AT33">
        <f t="shared" si="60"/>
        <v>8.5091112000000013</v>
      </c>
      <c r="AU33">
        <f t="shared" si="61"/>
        <v>9.3600223200000023</v>
      </c>
      <c r="AZ33" s="3" t="s">
        <v>985</v>
      </c>
      <c r="BA33" t="s">
        <v>986</v>
      </c>
      <c r="BB33">
        <f>V11*2+I33</f>
        <v>2411.4450000000002</v>
      </c>
      <c r="BC33">
        <v>60</v>
      </c>
      <c r="BD33">
        <v>1</v>
      </c>
      <c r="BE33">
        <v>0.4</v>
      </c>
      <c r="BF33">
        <v>0.5</v>
      </c>
      <c r="BG33" s="9">
        <v>0.2</v>
      </c>
      <c r="BH33">
        <f t="shared" ref="BH33" si="76">BB33+BC33*BD33*BE33+BF33</f>
        <v>2435.9450000000002</v>
      </c>
      <c r="BI33">
        <f t="shared" ref="BI33" si="77">(BG33*BH33)+BH33</f>
        <v>2923.134</v>
      </c>
      <c r="BQ33" t="str">
        <f t="shared" ref="BQ33:BQ38" si="78">BP22</f>
        <v>Броня монаха +3</v>
      </c>
      <c r="BR33">
        <f t="shared" si="72"/>
        <v>207.01619401895249</v>
      </c>
    </row>
    <row r="34" spans="1:85" x14ac:dyDescent="0.25">
      <c r="A34" s="3" t="s">
        <v>141</v>
      </c>
      <c r="B34">
        <f t="shared" si="73"/>
        <v>6.2500000000000003E-3</v>
      </c>
      <c r="C34">
        <f t="shared" si="67"/>
        <v>153.6</v>
      </c>
      <c r="D34">
        <v>5</v>
      </c>
      <c r="E34">
        <v>0.5</v>
      </c>
      <c r="F34">
        <v>10</v>
      </c>
      <c r="G34">
        <v>0.25</v>
      </c>
      <c r="H34">
        <f t="shared" si="68"/>
        <v>3840</v>
      </c>
      <c r="I34">
        <f t="shared" si="69"/>
        <v>4800</v>
      </c>
      <c r="AL34" s="3" t="s">
        <v>211</v>
      </c>
      <c r="AM34" t="s">
        <v>308</v>
      </c>
      <c r="AN34">
        <f>0.91*V7</f>
        <v>5.1726675000000002</v>
      </c>
      <c r="AO34">
        <v>30</v>
      </c>
      <c r="AP34">
        <v>1</v>
      </c>
      <c r="AQ34">
        <v>0.16</v>
      </c>
      <c r="AR34">
        <v>0.1</v>
      </c>
      <c r="AS34" s="9" t="s">
        <v>395</v>
      </c>
      <c r="AT34">
        <f t="shared" si="60"/>
        <v>10.0726675</v>
      </c>
      <c r="AU34">
        <f t="shared" si="61"/>
        <v>11.079934249999999</v>
      </c>
      <c r="AZ34" s="3" t="s">
        <v>987</v>
      </c>
      <c r="BA34" t="s">
        <v>989</v>
      </c>
      <c r="BB34">
        <f>AU96+I32</f>
        <v>1201.3459190250001</v>
      </c>
      <c r="BC34">
        <v>60</v>
      </c>
      <c r="BD34">
        <v>1</v>
      </c>
      <c r="BE34">
        <v>0.4</v>
      </c>
      <c r="BF34">
        <v>0.5</v>
      </c>
      <c r="BG34" s="9">
        <v>0.2</v>
      </c>
      <c r="BH34">
        <f t="shared" ref="BH34:BH35" si="79">BB34+BC34*BD34*BE34+BF34</f>
        <v>1225.8459190250001</v>
      </c>
      <c r="BI34">
        <f t="shared" ref="BI34:BI35" si="80">(BG34*BH34)+BH34</f>
        <v>1471.0151028300002</v>
      </c>
      <c r="BQ34" t="str">
        <f t="shared" si="78"/>
        <v>Броня монаха +4</v>
      </c>
      <c r="BR34">
        <f t="shared" si="72"/>
        <v>267.37043093197497</v>
      </c>
    </row>
    <row r="35" spans="1:85" x14ac:dyDescent="0.25">
      <c r="A35" s="3" t="s">
        <v>142</v>
      </c>
      <c r="B35">
        <f t="shared" si="73"/>
        <v>3.1250000000000002E-3</v>
      </c>
      <c r="C35">
        <f t="shared" si="67"/>
        <v>307.2</v>
      </c>
      <c r="D35">
        <v>5</v>
      </c>
      <c r="E35">
        <v>0.5</v>
      </c>
      <c r="F35">
        <v>10</v>
      </c>
      <c r="G35">
        <v>0.25</v>
      </c>
      <c r="H35">
        <f t="shared" si="68"/>
        <v>7680</v>
      </c>
      <c r="I35">
        <f t="shared" si="69"/>
        <v>9600</v>
      </c>
      <c r="AL35" s="3" t="s">
        <v>212</v>
      </c>
      <c r="AM35" t="s">
        <v>309</v>
      </c>
      <c r="AN35">
        <f>11.34 *I4</f>
        <v>12.919094999999999</v>
      </c>
      <c r="AO35">
        <v>1</v>
      </c>
      <c r="AP35">
        <v>1</v>
      </c>
      <c r="AQ35">
        <v>0.14000000000000001</v>
      </c>
      <c r="AR35">
        <v>0.1</v>
      </c>
      <c r="AS35" s="9" t="s">
        <v>394</v>
      </c>
      <c r="AT35">
        <f t="shared" si="60"/>
        <v>13.159094999999999</v>
      </c>
      <c r="AU35">
        <f t="shared" si="61"/>
        <v>13.55386785</v>
      </c>
      <c r="AZ35" s="3" t="s">
        <v>988</v>
      </c>
      <c r="BA35" t="s">
        <v>989</v>
      </c>
      <c r="BB35">
        <f>AU118+I32</f>
        <v>1724.8431905198374</v>
      </c>
      <c r="BC35">
        <v>60</v>
      </c>
      <c r="BD35">
        <v>1</v>
      </c>
      <c r="BE35">
        <v>0.4</v>
      </c>
      <c r="BF35">
        <v>0.5</v>
      </c>
      <c r="BG35" s="9">
        <v>0.2</v>
      </c>
      <c r="BH35">
        <f t="shared" si="79"/>
        <v>1749.3431905198374</v>
      </c>
      <c r="BI35">
        <f t="shared" si="80"/>
        <v>2099.2118286238051</v>
      </c>
      <c r="BQ35" t="str">
        <f t="shared" si="78"/>
        <v>Броня монаха +5</v>
      </c>
      <c r="BR35">
        <f t="shared" si="72"/>
        <v>333.92089595418747</v>
      </c>
    </row>
    <row r="36" spans="1:85" x14ac:dyDescent="0.25">
      <c r="A36" s="3" t="s">
        <v>143</v>
      </c>
      <c r="B36">
        <f t="shared" si="73"/>
        <v>1.5625000000000001E-3</v>
      </c>
      <c r="C36">
        <f t="shared" si="67"/>
        <v>614.4</v>
      </c>
      <c r="D36">
        <v>5</v>
      </c>
      <c r="E36">
        <v>0.5</v>
      </c>
      <c r="F36">
        <v>10</v>
      </c>
      <c r="G36">
        <v>0.25</v>
      </c>
      <c r="H36">
        <f t="shared" si="68"/>
        <v>15360</v>
      </c>
      <c r="I36">
        <f t="shared" si="69"/>
        <v>19200</v>
      </c>
      <c r="AL36" s="3" t="s">
        <v>215</v>
      </c>
      <c r="AM36" t="s">
        <v>290</v>
      </c>
      <c r="AN36">
        <f>V7*2.27</f>
        <v>12.903247500000001</v>
      </c>
      <c r="AO36">
        <v>24</v>
      </c>
      <c r="AP36">
        <v>1</v>
      </c>
      <c r="AQ36">
        <v>0.16</v>
      </c>
      <c r="AR36">
        <v>0.1</v>
      </c>
      <c r="AS36" s="9" t="s">
        <v>395</v>
      </c>
      <c r="AT36">
        <f t="shared" si="60"/>
        <v>16.843247500000004</v>
      </c>
      <c r="AU36">
        <f t="shared" si="61"/>
        <v>18.527572250000006</v>
      </c>
      <c r="AZ36" s="3" t="s">
        <v>991</v>
      </c>
      <c r="BA36" t="s">
        <v>992</v>
      </c>
      <c r="BB36">
        <f>I5*0.1+I33</f>
        <v>2400.1320000000001</v>
      </c>
      <c r="BC36">
        <v>60</v>
      </c>
      <c r="BD36">
        <v>1</v>
      </c>
      <c r="BE36">
        <v>0.4</v>
      </c>
      <c r="BF36">
        <v>0.5</v>
      </c>
      <c r="BG36" s="9">
        <v>0.2</v>
      </c>
      <c r="BH36">
        <f t="shared" ref="BH36" si="81">BB36+BC36*BD36*BE36+BF36</f>
        <v>2424.6320000000001</v>
      </c>
      <c r="BI36">
        <f t="shared" ref="BI36" si="82">(BG36*BH36)+BH36</f>
        <v>2909.5583999999999</v>
      </c>
      <c r="BQ36" t="str">
        <f t="shared" si="78"/>
        <v>Броня монаха +6</v>
      </c>
      <c r="BR36">
        <f t="shared" si="72"/>
        <v>418.42118186352002</v>
      </c>
    </row>
    <row r="37" spans="1:85" x14ac:dyDescent="0.25">
      <c r="A37" s="3" t="s">
        <v>144</v>
      </c>
      <c r="B37">
        <f t="shared" si="73"/>
        <v>7.8125000000000004E-4</v>
      </c>
      <c r="C37">
        <f t="shared" si="67"/>
        <v>1228.8</v>
      </c>
      <c r="D37">
        <v>5</v>
      </c>
      <c r="E37">
        <v>0.5</v>
      </c>
      <c r="F37">
        <v>10</v>
      </c>
      <c r="G37">
        <v>0.25</v>
      </c>
      <c r="H37">
        <f t="shared" si="68"/>
        <v>30720</v>
      </c>
      <c r="I37">
        <f t="shared" si="69"/>
        <v>38400</v>
      </c>
      <c r="AL37" s="3" t="s">
        <v>216</v>
      </c>
      <c r="AM37" t="s">
        <v>310</v>
      </c>
      <c r="AN37">
        <f>1.5*I4+0.77*V7</f>
        <v>6.0857475000000001</v>
      </c>
      <c r="AO37">
        <v>0.6</v>
      </c>
      <c r="AP37">
        <v>1</v>
      </c>
      <c r="AQ37">
        <v>0.16</v>
      </c>
      <c r="AR37">
        <v>0.1</v>
      </c>
      <c r="AS37" s="9" t="s">
        <v>395</v>
      </c>
      <c r="AT37">
        <f t="shared" si="60"/>
        <v>6.2817474999999998</v>
      </c>
      <c r="AU37">
        <f t="shared" si="61"/>
        <v>6.9099222500000002</v>
      </c>
      <c r="AZ37" s="3" t="s">
        <v>998</v>
      </c>
      <c r="BA37" t="s">
        <v>999</v>
      </c>
      <c r="BB37">
        <f>V7*0.3+I32</f>
        <v>1201.705275</v>
      </c>
      <c r="BC37">
        <v>60</v>
      </c>
      <c r="BD37">
        <v>1</v>
      </c>
      <c r="BE37">
        <v>0.4</v>
      </c>
      <c r="BF37">
        <v>0.5</v>
      </c>
      <c r="BG37" s="9">
        <v>0.2</v>
      </c>
      <c r="BH37">
        <f t="shared" ref="BH37" si="83">BB37+BC37*BD37*BE37+BF37</f>
        <v>1226.205275</v>
      </c>
      <c r="BI37">
        <f t="shared" ref="BI37" si="84">(BG37*BH37)+BH37</f>
        <v>1471.44633</v>
      </c>
      <c r="BQ37" t="str">
        <f t="shared" si="78"/>
        <v>Броня монаха +7</v>
      </c>
      <c r="BR37">
        <f t="shared" si="72"/>
        <v>2074.940609053489</v>
      </c>
    </row>
    <row r="38" spans="1:85" x14ac:dyDescent="0.25">
      <c r="A38" s="3" t="s">
        <v>145</v>
      </c>
      <c r="B38">
        <f t="shared" si="73"/>
        <v>3.9062500000000002E-4</v>
      </c>
      <c r="C38">
        <f t="shared" si="67"/>
        <v>2457.6</v>
      </c>
      <c r="D38">
        <v>5</v>
      </c>
      <c r="E38">
        <v>0.5</v>
      </c>
      <c r="F38">
        <v>10</v>
      </c>
      <c r="G38">
        <v>0.25</v>
      </c>
      <c r="H38">
        <f t="shared" si="68"/>
        <v>61440</v>
      </c>
      <c r="I38">
        <f t="shared" si="69"/>
        <v>76800</v>
      </c>
      <c r="M38" s="1" t="s">
        <v>180</v>
      </c>
      <c r="N38" s="1"/>
      <c r="O38" s="1"/>
      <c r="AL38" s="3" t="s">
        <v>217</v>
      </c>
      <c r="AM38" t="s">
        <v>217</v>
      </c>
      <c r="AN38">
        <v>0.53552999999999995</v>
      </c>
      <c r="AO38">
        <v>0.1</v>
      </c>
      <c r="AP38">
        <v>1</v>
      </c>
      <c r="AQ38">
        <v>0.2</v>
      </c>
      <c r="AR38">
        <v>0.1</v>
      </c>
      <c r="AS38" s="9">
        <v>0</v>
      </c>
      <c r="AT38">
        <f t="shared" si="60"/>
        <v>0.65552999999999995</v>
      </c>
      <c r="AU38">
        <f t="shared" si="61"/>
        <v>0.65552999999999995</v>
      </c>
      <c r="AZ38" s="3" t="s">
        <v>1014</v>
      </c>
      <c r="BA38" t="s">
        <v>1015</v>
      </c>
      <c r="BB38">
        <f>V15*0.91+I30</f>
        <v>391.74767788807611</v>
      </c>
      <c r="BC38">
        <v>60</v>
      </c>
      <c r="BD38">
        <v>1</v>
      </c>
      <c r="BE38">
        <v>0.4</v>
      </c>
      <c r="BF38">
        <v>0.5</v>
      </c>
      <c r="BG38" s="9">
        <v>0.2</v>
      </c>
      <c r="BH38">
        <f t="shared" ref="BH38" si="85">BB38+BC38*BD38*BE38+BF38</f>
        <v>416.24767788807611</v>
      </c>
      <c r="BI38">
        <f t="shared" ref="BI38" si="86">(BG38*BH38)+BH38</f>
        <v>499.49721346569135</v>
      </c>
      <c r="BQ38" t="str">
        <f t="shared" si="78"/>
        <v>Броня монаха +8</v>
      </c>
      <c r="BR38">
        <f t="shared" si="72"/>
        <v>2523.5880483991632</v>
      </c>
    </row>
    <row r="39" spans="1:85" x14ac:dyDescent="0.25">
      <c r="A39" s="3" t="s">
        <v>146</v>
      </c>
      <c r="B39">
        <f t="shared" si="73"/>
        <v>1.9531250000000001E-4</v>
      </c>
      <c r="C39">
        <f t="shared" si="67"/>
        <v>4915.2</v>
      </c>
      <c r="D39">
        <v>5</v>
      </c>
      <c r="E39">
        <v>0.5</v>
      </c>
      <c r="F39">
        <v>10</v>
      </c>
      <c r="G39">
        <v>0.25</v>
      </c>
      <c r="H39">
        <f t="shared" si="68"/>
        <v>122880</v>
      </c>
      <c r="I39">
        <f t="shared" si="69"/>
        <v>153600</v>
      </c>
      <c r="M39" t="s">
        <v>173</v>
      </c>
      <c r="N39" s="3">
        <v>1</v>
      </c>
      <c r="O39">
        <f>(N39*N40/O40)+O41</f>
        <v>3.6999999999999993</v>
      </c>
      <c r="P39" t="s">
        <v>174</v>
      </c>
      <c r="AL39" s="3" t="s">
        <v>218</v>
      </c>
      <c r="AM39" t="s">
        <v>311</v>
      </c>
      <c r="AN39">
        <f>0.0009*V7</f>
        <v>5.1158250000000001E-3</v>
      </c>
      <c r="AO39">
        <v>0.05</v>
      </c>
      <c r="AP39">
        <v>1</v>
      </c>
      <c r="AQ39">
        <v>0.16</v>
      </c>
      <c r="AR39">
        <v>0.2</v>
      </c>
      <c r="AS39" s="9" t="s">
        <v>395</v>
      </c>
      <c r="AT39">
        <f t="shared" si="60"/>
        <v>0.21311582500000001</v>
      </c>
      <c r="AU39">
        <f t="shared" si="61"/>
        <v>0.23442740750000002</v>
      </c>
      <c r="AZ39" s="3" t="s">
        <v>1017</v>
      </c>
      <c r="BA39" t="s">
        <v>1018</v>
      </c>
      <c r="BB39">
        <f>V15*0.5+I32</f>
        <v>1250.4108120264154</v>
      </c>
      <c r="BC39">
        <v>60</v>
      </c>
      <c r="BD39">
        <v>1</v>
      </c>
      <c r="BE39">
        <v>0.4</v>
      </c>
      <c r="BF39">
        <v>0.5</v>
      </c>
      <c r="BG39" s="9">
        <v>0.2</v>
      </c>
      <c r="BH39">
        <f t="shared" ref="BH39" si="87">BB39+BC39*BD39*BE39+BF39</f>
        <v>1274.9108120264154</v>
      </c>
      <c r="BI39">
        <f t="shared" ref="BI39" si="88">(BG39*BH39)+BH39</f>
        <v>1529.8929744316986</v>
      </c>
    </row>
    <row r="40" spans="1:85" x14ac:dyDescent="0.25">
      <c r="A40" s="3" t="s">
        <v>147</v>
      </c>
      <c r="B40">
        <v>0.2</v>
      </c>
      <c r="C40">
        <f t="shared" ref="C40:C42" si="89">24*(0.4/B40)</f>
        <v>48</v>
      </c>
      <c r="D40">
        <v>5</v>
      </c>
      <c r="E40">
        <v>0.5</v>
      </c>
      <c r="F40">
        <v>10</v>
      </c>
      <c r="G40">
        <v>0.25</v>
      </c>
      <c r="H40">
        <f t="shared" si="68"/>
        <v>1200</v>
      </c>
      <c r="I40">
        <f t="shared" si="69"/>
        <v>1500</v>
      </c>
      <c r="M40" t="s">
        <v>171</v>
      </c>
      <c r="N40" s="3">
        <v>0.3</v>
      </c>
      <c r="O40" s="3">
        <v>0.1</v>
      </c>
      <c r="AL40" s="3" t="s">
        <v>219</v>
      </c>
      <c r="AM40" t="s">
        <v>312</v>
      </c>
      <c r="AN40">
        <f>0.23*V10</f>
        <v>0.88309304999999994</v>
      </c>
      <c r="AO40">
        <v>0.2</v>
      </c>
      <c r="AP40">
        <v>1</v>
      </c>
      <c r="AQ40">
        <v>0.15</v>
      </c>
      <c r="AR40">
        <v>0.1</v>
      </c>
      <c r="AS40" s="9" t="s">
        <v>396</v>
      </c>
      <c r="AT40">
        <f t="shared" si="60"/>
        <v>1.0130930499999999</v>
      </c>
      <c r="AU40">
        <f t="shared" si="61"/>
        <v>1.0637477024999999</v>
      </c>
      <c r="AZ40" s="3" t="s">
        <v>1037</v>
      </c>
      <c r="BA40" t="s">
        <v>1038</v>
      </c>
      <c r="BB40">
        <f>I12+I41</f>
        <v>1501.1392499999999</v>
      </c>
      <c r="BC40">
        <v>60</v>
      </c>
      <c r="BD40">
        <v>1</v>
      </c>
      <c r="BE40">
        <v>0.4</v>
      </c>
      <c r="BF40">
        <v>0.5</v>
      </c>
      <c r="BG40" s="9">
        <v>0.2</v>
      </c>
      <c r="BH40">
        <f t="shared" ref="BH40" si="90">BB40+BC40*BD40*BE40+BF40</f>
        <v>1525.6392499999999</v>
      </c>
      <c r="BI40">
        <f t="shared" ref="BI40" si="91">(BG40*BH40)+BH40</f>
        <v>1830.7671</v>
      </c>
    </row>
    <row r="41" spans="1:85" x14ac:dyDescent="0.25">
      <c r="A41" s="3" t="s">
        <v>148</v>
      </c>
      <c r="B41">
        <v>0.2</v>
      </c>
      <c r="C41">
        <f t="shared" si="89"/>
        <v>48</v>
      </c>
      <c r="D41">
        <v>5</v>
      </c>
      <c r="E41">
        <v>0.5</v>
      </c>
      <c r="F41">
        <v>10</v>
      </c>
      <c r="G41">
        <v>0.25</v>
      </c>
      <c r="H41">
        <f t="shared" si="68"/>
        <v>1200</v>
      </c>
      <c r="I41">
        <f t="shared" si="69"/>
        <v>1500</v>
      </c>
      <c r="M41" t="s">
        <v>172</v>
      </c>
      <c r="N41">
        <f>N39-N40</f>
        <v>0.7</v>
      </c>
      <c r="O41">
        <f>N41</f>
        <v>0.7</v>
      </c>
      <c r="AL41" s="3" t="s">
        <v>220</v>
      </c>
      <c r="AM41" t="s">
        <v>313</v>
      </c>
      <c r="AN41">
        <v>12.122529999999999</v>
      </c>
      <c r="AO41">
        <v>0.4</v>
      </c>
      <c r="AP41">
        <v>1</v>
      </c>
      <c r="AQ41">
        <v>0.2</v>
      </c>
      <c r="AR41">
        <v>0.1</v>
      </c>
      <c r="AS41" s="9">
        <v>0</v>
      </c>
      <c r="AT41">
        <f t="shared" si="60"/>
        <v>12.302529999999999</v>
      </c>
      <c r="AU41">
        <f t="shared" si="61"/>
        <v>12.302529999999999</v>
      </c>
    </row>
    <row r="42" spans="1:85" x14ac:dyDescent="0.25">
      <c r="A42" s="3" t="s">
        <v>149</v>
      </c>
      <c r="B42">
        <v>0.2</v>
      </c>
      <c r="C42">
        <f t="shared" si="89"/>
        <v>48</v>
      </c>
      <c r="D42">
        <v>5</v>
      </c>
      <c r="E42">
        <v>0.5</v>
      </c>
      <c r="F42">
        <v>10</v>
      </c>
      <c r="G42">
        <v>0.25</v>
      </c>
      <c r="H42">
        <f t="shared" si="68"/>
        <v>1200</v>
      </c>
      <c r="I42">
        <f t="shared" si="69"/>
        <v>1500</v>
      </c>
      <c r="AL42" s="3" t="s">
        <v>221</v>
      </c>
      <c r="AM42" t="s">
        <v>314</v>
      </c>
      <c r="AN42">
        <f>0.54*I4+V15*4</f>
        <v>403.90169121132351</v>
      </c>
      <c r="AO42">
        <v>30</v>
      </c>
      <c r="AP42">
        <v>2</v>
      </c>
      <c r="AQ42">
        <v>0.16</v>
      </c>
      <c r="AR42">
        <v>0.1</v>
      </c>
      <c r="AS42" s="9" t="s">
        <v>395</v>
      </c>
      <c r="AT42">
        <f t="shared" si="60"/>
        <v>413.60169121132355</v>
      </c>
      <c r="AU42">
        <f t="shared" si="61"/>
        <v>454.9618603324559</v>
      </c>
      <c r="BP42" s="3" t="s">
        <v>979</v>
      </c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85" x14ac:dyDescent="0.25">
      <c r="A43" s="3" t="s">
        <v>513</v>
      </c>
      <c r="B43">
        <f>(2-(J43/0.25)^(1/2))^(2.8)</f>
        <v>6.9644045063689921</v>
      </c>
      <c r="C43">
        <f>24*(3/B43^(1/2))</f>
        <v>27.282898197187169</v>
      </c>
      <c r="D43">
        <v>5</v>
      </c>
      <c r="E43">
        <v>0.5</v>
      </c>
      <c r="F43">
        <v>10</v>
      </c>
      <c r="G43">
        <v>0.25</v>
      </c>
      <c r="H43">
        <f>C43*D43*E43*F43</f>
        <v>682.07245492967922</v>
      </c>
      <c r="I43">
        <f>(G43*H43)+H43</f>
        <v>852.59056866209903</v>
      </c>
      <c r="J43">
        <v>0</v>
      </c>
      <c r="AL43" s="3" t="s">
        <v>222</v>
      </c>
      <c r="AM43" t="s">
        <v>315</v>
      </c>
      <c r="AN43">
        <f>0.36*I4+V15</f>
        <v>101.23175405283088</v>
      </c>
      <c r="AO43">
        <v>10</v>
      </c>
      <c r="AP43">
        <v>1</v>
      </c>
      <c r="AQ43">
        <v>0.16</v>
      </c>
      <c r="AR43">
        <v>0.1</v>
      </c>
      <c r="AS43" s="9" t="s">
        <v>395</v>
      </c>
      <c r="AT43">
        <f t="shared" si="60"/>
        <v>102.93175405283087</v>
      </c>
      <c r="AU43">
        <f t="shared" si="61"/>
        <v>113.22492945811396</v>
      </c>
      <c r="BR43" t="s">
        <v>509</v>
      </c>
      <c r="BS43" t="s">
        <v>569</v>
      </c>
      <c r="BT43" t="s">
        <v>542</v>
      </c>
      <c r="BU43" t="s">
        <v>568</v>
      </c>
      <c r="BV43" t="s">
        <v>542</v>
      </c>
      <c r="BW43" t="s">
        <v>567</v>
      </c>
      <c r="BX43" t="s">
        <v>542</v>
      </c>
    </row>
    <row r="44" spans="1:85" x14ac:dyDescent="0.25">
      <c r="A44" s="3" t="s">
        <v>514</v>
      </c>
      <c r="B44">
        <f t="shared" ref="B44:B62" si="92">(2-(J44/0.25)^(1/2))^(2.8)</f>
        <v>3.4285683816576791</v>
      </c>
      <c r="C44">
        <f t="shared" ref="C44:C62" si="93">24*(3/B44^(1/2))</f>
        <v>38.884461468434374</v>
      </c>
      <c r="D44">
        <v>5</v>
      </c>
      <c r="E44">
        <v>0.5</v>
      </c>
      <c r="F44">
        <v>10</v>
      </c>
      <c r="G44">
        <v>0.25</v>
      </c>
      <c r="H44">
        <f t="shared" ref="H44:H62" si="94">C44*D44*E44*F44</f>
        <v>972.11153671085935</v>
      </c>
      <c r="I44">
        <f t="shared" ref="I44:I62" si="95">(G44*H44)+H44</f>
        <v>1215.1394208885743</v>
      </c>
      <c r="J44">
        <v>0.05</v>
      </c>
      <c r="AL44" s="3" t="s">
        <v>223</v>
      </c>
      <c r="AM44" t="s">
        <v>316</v>
      </c>
      <c r="AN44">
        <v>2.4548E-2</v>
      </c>
      <c r="AO44">
        <v>2</v>
      </c>
      <c r="AP44">
        <v>1</v>
      </c>
      <c r="AQ44">
        <v>0.2</v>
      </c>
      <c r="AR44">
        <v>0.1</v>
      </c>
      <c r="AS44" s="9">
        <v>0</v>
      </c>
      <c r="AT44">
        <f t="shared" si="60"/>
        <v>0.52454800000000001</v>
      </c>
      <c r="AU44">
        <f t="shared" si="61"/>
        <v>0.52454800000000001</v>
      </c>
      <c r="BP44" t="s">
        <v>558</v>
      </c>
      <c r="BQ44">
        <v>0</v>
      </c>
      <c r="BR44" s="1">
        <f>V18*0.1</f>
        <v>0.45575200000000005</v>
      </c>
      <c r="BS44">
        <f>$V$15</f>
        <v>100.82162405283088</v>
      </c>
      <c r="BT44">
        <v>1</v>
      </c>
      <c r="BU44">
        <f>$V$16</f>
        <v>965.72362552830907</v>
      </c>
      <c r="BV44">
        <v>0</v>
      </c>
      <c r="BW44">
        <f>$V$17</f>
        <v>1937.2992510566178</v>
      </c>
      <c r="BX44">
        <v>0</v>
      </c>
      <c r="BY44">
        <f t="shared" ref="BY44:BY52" si="96">BR44+BS44*BT44+BU44*BV44+BW44*BX44</f>
        <v>101.27737605283089</v>
      </c>
      <c r="BZ44">
        <v>30</v>
      </c>
      <c r="CA44">
        <v>4</v>
      </c>
      <c r="CB44">
        <v>0.15</v>
      </c>
      <c r="CC44">
        <v>0.1</v>
      </c>
      <c r="CD44" s="9">
        <v>0.05</v>
      </c>
      <c r="CE44">
        <f>BY44+BZ44*CA44*CB44+CC44</f>
        <v>119.37737605283088</v>
      </c>
      <c r="CF44">
        <f t="shared" ref="CF44:CF52" si="97">(CD44*CE44)+CE44</f>
        <v>125.34624485547243</v>
      </c>
      <c r="CG44">
        <f>BR44</f>
        <v>0.45575200000000005</v>
      </c>
    </row>
    <row r="45" spans="1:85" x14ac:dyDescent="0.25">
      <c r="A45" s="3" t="s">
        <v>515</v>
      </c>
      <c r="B45">
        <f t="shared" si="92"/>
        <v>2.4023488901937826</v>
      </c>
      <c r="C45">
        <f t="shared" si="93"/>
        <v>46.453073803404905</v>
      </c>
      <c r="D45">
        <v>5</v>
      </c>
      <c r="E45">
        <v>0.5</v>
      </c>
      <c r="F45">
        <v>10</v>
      </c>
      <c r="G45">
        <v>0.25</v>
      </c>
      <c r="H45">
        <f t="shared" si="94"/>
        <v>1161.3268450851226</v>
      </c>
      <c r="I45">
        <f t="shared" si="95"/>
        <v>1451.6585563564033</v>
      </c>
      <c r="J45">
        <v>0.1</v>
      </c>
      <c r="AL45" s="3" t="s">
        <v>224</v>
      </c>
      <c r="AM45" t="s">
        <v>317</v>
      </c>
      <c r="AN45">
        <f>V9*1.81</f>
        <v>8.0296961220000007</v>
      </c>
      <c r="AO45">
        <v>6</v>
      </c>
      <c r="AP45">
        <v>1</v>
      </c>
      <c r="AQ45">
        <v>0.15</v>
      </c>
      <c r="AR45">
        <v>0.1</v>
      </c>
      <c r="AS45" s="9" t="s">
        <v>396</v>
      </c>
      <c r="AT45">
        <f t="shared" si="60"/>
        <v>9.0296961220000007</v>
      </c>
      <c r="AU45">
        <f t="shared" si="61"/>
        <v>9.4811809281000006</v>
      </c>
      <c r="AV45" t="s">
        <v>1077</v>
      </c>
      <c r="AW45">
        <f>AG4</f>
        <v>1.9393612500000001</v>
      </c>
      <c r="AX45" t="s">
        <v>1028</v>
      </c>
      <c r="AZ45" s="1" t="s">
        <v>993</v>
      </c>
      <c r="BJ45" s="27" t="s">
        <v>1099</v>
      </c>
      <c r="BP45" t="s">
        <v>559</v>
      </c>
      <c r="BQ45">
        <v>1</v>
      </c>
      <c r="BR45">
        <f>BR44</f>
        <v>0.45575200000000005</v>
      </c>
      <c r="BS45">
        <f t="shared" ref="BS45:BS52" si="98">$V$15</f>
        <v>100.82162405283088</v>
      </c>
      <c r="BT45">
        <v>0.8</v>
      </c>
      <c r="BU45">
        <f t="shared" ref="BU45:BU52" si="99">$V$16</f>
        <v>965.72362552830907</v>
      </c>
      <c r="BV45">
        <v>0.2</v>
      </c>
      <c r="BW45">
        <f t="shared" ref="BW45:BW52" si="100">$V$17</f>
        <v>1937.2992510566178</v>
      </c>
      <c r="BX45">
        <v>0</v>
      </c>
      <c r="BY45">
        <f t="shared" si="96"/>
        <v>274.25777634792655</v>
      </c>
      <c r="BZ45">
        <v>60</v>
      </c>
      <c r="CA45">
        <v>4</v>
      </c>
      <c r="CB45">
        <v>0.25</v>
      </c>
      <c r="CC45">
        <v>10</v>
      </c>
      <c r="CD45" s="9">
        <v>0.05</v>
      </c>
      <c r="CE45">
        <f t="shared" ref="CE45:CE52" si="101">BY45+BZ45*CA45*CB45+CC45</f>
        <v>344.25777634792655</v>
      </c>
      <c r="CF45">
        <f t="shared" si="97"/>
        <v>361.47066516532288</v>
      </c>
      <c r="CG45">
        <f t="shared" ref="CG45:CG51" si="102">CF45+(CF45*BQ45/10)</f>
        <v>397.61773168185516</v>
      </c>
    </row>
    <row r="46" spans="1:85" x14ac:dyDescent="0.25">
      <c r="A46" s="3" t="s">
        <v>516</v>
      </c>
      <c r="B46">
        <f t="shared" si="92"/>
        <v>1.7667754585993487</v>
      </c>
      <c r="C46">
        <f t="shared" si="93"/>
        <v>54.167877345699985</v>
      </c>
      <c r="D46">
        <v>5</v>
      </c>
      <c r="E46">
        <v>0.5</v>
      </c>
      <c r="F46">
        <v>10</v>
      </c>
      <c r="G46">
        <v>0.25</v>
      </c>
      <c r="H46">
        <f t="shared" si="94"/>
        <v>1354.1969336424995</v>
      </c>
      <c r="I46">
        <f t="shared" si="95"/>
        <v>1692.7461670531243</v>
      </c>
      <c r="J46">
        <v>0.15</v>
      </c>
      <c r="AL46" s="3" t="s">
        <v>225</v>
      </c>
      <c r="AM46" t="s">
        <v>322</v>
      </c>
      <c r="AN46">
        <f>V11*1.81</f>
        <v>10.357725</v>
      </c>
      <c r="AO46">
        <v>8</v>
      </c>
      <c r="AP46">
        <v>2</v>
      </c>
      <c r="AQ46">
        <v>0.15</v>
      </c>
      <c r="AR46">
        <v>0.1</v>
      </c>
      <c r="AS46" s="9" t="s">
        <v>396</v>
      </c>
      <c r="AT46">
        <f t="shared" si="60"/>
        <v>12.857725</v>
      </c>
      <c r="AU46">
        <f t="shared" si="61"/>
        <v>13.50061125</v>
      </c>
      <c r="AV46" t="s">
        <v>1067</v>
      </c>
      <c r="AW46">
        <f>AG5</f>
        <v>20.425267850000001</v>
      </c>
      <c r="AX46" t="s">
        <v>1030</v>
      </c>
      <c r="AZ46" s="3" t="s">
        <v>481</v>
      </c>
      <c r="BB46">
        <v>903</v>
      </c>
      <c r="BC46">
        <v>30</v>
      </c>
      <c r="BD46">
        <v>1</v>
      </c>
      <c r="BE46">
        <v>0.2</v>
      </c>
      <c r="BF46">
        <v>0.5</v>
      </c>
      <c r="BG46" s="9">
        <v>0.2</v>
      </c>
      <c r="BH46">
        <f t="shared" ref="BH46" si="103">BB46+BC46*BD46*BE46+BF46</f>
        <v>909.5</v>
      </c>
      <c r="BI46">
        <f t="shared" ref="BI46" si="104">(BG46*BH46)+BH46</f>
        <v>1091.4000000000001</v>
      </c>
      <c r="BJ46" s="26"/>
      <c r="BP46" t="s">
        <v>560</v>
      </c>
      <c r="BQ46">
        <v>2</v>
      </c>
      <c r="BR46">
        <f t="shared" ref="BR46:BR52" si="105">BR45</f>
        <v>0.45575200000000005</v>
      </c>
      <c r="BS46">
        <f t="shared" si="98"/>
        <v>100.82162405283088</v>
      </c>
      <c r="BT46">
        <v>0.66</v>
      </c>
      <c r="BU46">
        <f t="shared" si="99"/>
        <v>965.72362552830907</v>
      </c>
      <c r="BV46">
        <v>0.33</v>
      </c>
      <c r="BW46">
        <f t="shared" si="100"/>
        <v>1937.2992510566178</v>
      </c>
      <c r="BX46">
        <v>0</v>
      </c>
      <c r="BY46">
        <f t="shared" si="96"/>
        <v>385.68682029921041</v>
      </c>
      <c r="BZ46">
        <v>90</v>
      </c>
      <c r="CA46">
        <v>4</v>
      </c>
      <c r="CB46">
        <v>0.25</v>
      </c>
      <c r="CC46">
        <v>10</v>
      </c>
      <c r="CD46" s="9">
        <v>0.05</v>
      </c>
      <c r="CE46">
        <f t="shared" si="101"/>
        <v>485.68682029921041</v>
      </c>
      <c r="CF46">
        <f t="shared" si="97"/>
        <v>509.97116131417096</v>
      </c>
      <c r="CG46">
        <f t="shared" si="102"/>
        <v>611.9653935770051</v>
      </c>
    </row>
    <row r="47" spans="1:85" x14ac:dyDescent="0.25">
      <c r="A47" s="3" t="s">
        <v>517</v>
      </c>
      <c r="B47">
        <f t="shared" si="92"/>
        <v>1.3244774755207889</v>
      </c>
      <c r="C47">
        <f t="shared" si="93"/>
        <v>62.561940078145867</v>
      </c>
      <c r="D47">
        <v>5</v>
      </c>
      <c r="E47">
        <v>0.5</v>
      </c>
      <c r="F47">
        <v>10</v>
      </c>
      <c r="G47">
        <v>0.25</v>
      </c>
      <c r="H47">
        <f t="shared" si="94"/>
        <v>1564.0485019536468</v>
      </c>
      <c r="I47">
        <f t="shared" si="95"/>
        <v>1955.0606274420584</v>
      </c>
      <c r="J47">
        <v>0.2</v>
      </c>
      <c r="AL47" s="3" t="s">
        <v>226</v>
      </c>
      <c r="AM47" t="s">
        <v>321</v>
      </c>
      <c r="AN47">
        <f>V10*1.36</f>
        <v>5.2217675999999997</v>
      </c>
      <c r="AO47">
        <v>8</v>
      </c>
      <c r="AP47">
        <v>1</v>
      </c>
      <c r="AQ47">
        <v>0.15</v>
      </c>
      <c r="AR47">
        <v>0.1</v>
      </c>
      <c r="AS47" s="9" t="s">
        <v>396</v>
      </c>
      <c r="AT47">
        <f t="shared" si="60"/>
        <v>6.5217675999999996</v>
      </c>
      <c r="AU47">
        <f t="shared" si="61"/>
        <v>6.8478559799999994</v>
      </c>
      <c r="AV47" t="s">
        <v>1083</v>
      </c>
      <c r="AW47">
        <f>AG6</f>
        <v>220.29601714899999</v>
      </c>
      <c r="AX47" t="s">
        <v>1032</v>
      </c>
      <c r="AZ47" s="3" t="s">
        <v>482</v>
      </c>
      <c r="BB47">
        <v>605</v>
      </c>
      <c r="BC47">
        <v>30</v>
      </c>
      <c r="BD47">
        <v>1</v>
      </c>
      <c r="BE47">
        <v>0.2</v>
      </c>
      <c r="BF47">
        <v>0.5</v>
      </c>
      <c r="BG47" s="9">
        <v>0.2</v>
      </c>
      <c r="BH47">
        <f t="shared" ref="BH47" si="106">BB47+BC47*BD47*BE47+BF47</f>
        <v>611.5</v>
      </c>
      <c r="BI47">
        <f t="shared" ref="BI47" si="107">(BG47*BH47)+BH47</f>
        <v>733.8</v>
      </c>
      <c r="BJ47" s="26"/>
      <c r="BP47" t="s">
        <v>561</v>
      </c>
      <c r="BQ47">
        <v>3</v>
      </c>
      <c r="BR47">
        <f t="shared" si="105"/>
        <v>0.45575200000000005</v>
      </c>
      <c r="BS47">
        <f t="shared" si="98"/>
        <v>100.82162405283088</v>
      </c>
      <c r="BT47">
        <v>0.33</v>
      </c>
      <c r="BU47">
        <f t="shared" si="99"/>
        <v>965.72362552830907</v>
      </c>
      <c r="BV47">
        <v>0.66</v>
      </c>
      <c r="BW47">
        <f t="shared" si="100"/>
        <v>1937.2992510566178</v>
      </c>
      <c r="BX47">
        <v>0</v>
      </c>
      <c r="BY47">
        <f t="shared" si="96"/>
        <v>671.10448078611819</v>
      </c>
      <c r="BZ47">
        <v>120</v>
      </c>
      <c r="CA47">
        <v>4</v>
      </c>
      <c r="CB47">
        <v>0.25</v>
      </c>
      <c r="CC47">
        <v>10</v>
      </c>
      <c r="CD47" s="9">
        <v>0.05</v>
      </c>
      <c r="CE47">
        <f t="shared" si="101"/>
        <v>801.10448078611819</v>
      </c>
      <c r="CF47">
        <f t="shared" si="97"/>
        <v>841.15970482542411</v>
      </c>
      <c r="CG47">
        <f t="shared" si="102"/>
        <v>1093.5076162730513</v>
      </c>
    </row>
    <row r="48" spans="1:85" x14ac:dyDescent="0.25">
      <c r="A48" s="3" t="s">
        <v>518</v>
      </c>
      <c r="B48">
        <f t="shared" si="92"/>
        <v>1</v>
      </c>
      <c r="C48">
        <f t="shared" si="93"/>
        <v>72</v>
      </c>
      <c r="D48">
        <v>5</v>
      </c>
      <c r="E48">
        <v>0.5</v>
      </c>
      <c r="F48">
        <v>10</v>
      </c>
      <c r="G48">
        <v>0.25</v>
      </c>
      <c r="H48">
        <f t="shared" si="94"/>
        <v>1800</v>
      </c>
      <c r="I48">
        <f t="shared" si="95"/>
        <v>2250</v>
      </c>
      <c r="J48">
        <v>0.25</v>
      </c>
      <c r="AL48" s="3" t="s">
        <v>227</v>
      </c>
      <c r="AM48" t="s">
        <v>323</v>
      </c>
      <c r="AN48">
        <f>V11*2.5 + V8*0.22</f>
        <v>59.020920000000004</v>
      </c>
      <c r="AO48">
        <v>16</v>
      </c>
      <c r="AP48">
        <v>2</v>
      </c>
      <c r="AQ48">
        <v>0.16</v>
      </c>
      <c r="AR48">
        <v>0.1</v>
      </c>
      <c r="AS48" s="9" t="s">
        <v>395</v>
      </c>
      <c r="AT48">
        <f t="shared" si="60"/>
        <v>64.240920000000003</v>
      </c>
      <c r="AU48">
        <f t="shared" si="61"/>
        <v>70.665012000000004</v>
      </c>
      <c r="AV48" t="s">
        <v>1068</v>
      </c>
      <c r="AW48">
        <f>I15</f>
        <v>1.2825</v>
      </c>
      <c r="AZ48" s="3" t="s">
        <v>994</v>
      </c>
      <c r="BA48" t="s">
        <v>995</v>
      </c>
      <c r="BB48">
        <v>706</v>
      </c>
      <c r="BC48">
        <v>30</v>
      </c>
      <c r="BD48">
        <v>1</v>
      </c>
      <c r="BE48">
        <v>0.2</v>
      </c>
      <c r="BF48">
        <v>0.5</v>
      </c>
      <c r="BG48" s="9">
        <v>0.2</v>
      </c>
      <c r="BH48">
        <f t="shared" ref="BH48" si="108">BB48+BC48*BD48*BE48+BF48</f>
        <v>712.5</v>
      </c>
      <c r="BI48">
        <f t="shared" ref="BI48" si="109">(BG48*BH48)+BH48</f>
        <v>855</v>
      </c>
      <c r="BJ48" s="26"/>
      <c r="BP48" t="s">
        <v>562</v>
      </c>
      <c r="BQ48">
        <v>4</v>
      </c>
      <c r="BR48">
        <f t="shared" si="105"/>
        <v>0.45575200000000005</v>
      </c>
      <c r="BS48">
        <f t="shared" si="98"/>
        <v>100.82162405283088</v>
      </c>
      <c r="BT48">
        <v>0.2</v>
      </c>
      <c r="BU48">
        <f t="shared" si="99"/>
        <v>965.72362552830907</v>
      </c>
      <c r="BV48">
        <v>0.8</v>
      </c>
      <c r="BW48">
        <f t="shared" si="100"/>
        <v>1937.2992510566178</v>
      </c>
      <c r="BX48">
        <v>0</v>
      </c>
      <c r="BY48">
        <f t="shared" si="96"/>
        <v>793.19897723321344</v>
      </c>
      <c r="BZ48">
        <v>150</v>
      </c>
      <c r="CA48">
        <v>4</v>
      </c>
      <c r="CB48">
        <v>0.25</v>
      </c>
      <c r="CC48">
        <v>10</v>
      </c>
      <c r="CD48" s="9">
        <v>0.05</v>
      </c>
      <c r="CE48">
        <f t="shared" si="101"/>
        <v>953.19897723321344</v>
      </c>
      <c r="CF48">
        <f t="shared" si="97"/>
        <v>1000.8589260948742</v>
      </c>
      <c r="CG48">
        <f t="shared" si="102"/>
        <v>1401.2024965328237</v>
      </c>
    </row>
    <row r="49" spans="1:85" x14ac:dyDescent="0.25">
      <c r="A49" s="3" t="s">
        <v>519</v>
      </c>
      <c r="B49">
        <f t="shared" si="92"/>
        <v>0.7551231511087847</v>
      </c>
      <c r="C49">
        <f t="shared" si="93"/>
        <v>82.855931413585964</v>
      </c>
      <c r="D49">
        <v>5</v>
      </c>
      <c r="E49">
        <v>0.5</v>
      </c>
      <c r="F49">
        <v>10</v>
      </c>
      <c r="G49">
        <v>0.25</v>
      </c>
      <c r="H49">
        <f t="shared" si="94"/>
        <v>2071.3982853396492</v>
      </c>
      <c r="I49">
        <f t="shared" si="95"/>
        <v>2589.2478566745613</v>
      </c>
      <c r="J49">
        <v>0.3</v>
      </c>
      <c r="AL49" s="3" t="s">
        <v>228</v>
      </c>
      <c r="AM49" t="s">
        <v>324</v>
      </c>
      <c r="AN49">
        <f>0.2*V9+I13*1.16</f>
        <v>2.17103124</v>
      </c>
      <c r="AO49">
        <v>1</v>
      </c>
      <c r="AP49">
        <v>1</v>
      </c>
      <c r="AQ49">
        <v>0.15</v>
      </c>
      <c r="AR49">
        <v>0.1</v>
      </c>
      <c r="AS49" s="9" t="s">
        <v>396</v>
      </c>
      <c r="AT49">
        <f t="shared" si="60"/>
        <v>2.42103124</v>
      </c>
      <c r="AU49">
        <f t="shared" si="61"/>
        <v>2.5420828019999999</v>
      </c>
      <c r="AV49" t="s">
        <v>1070</v>
      </c>
      <c r="AW49">
        <f>AU67</f>
        <v>0.39586359999999998</v>
      </c>
      <c r="AZ49" s="3" t="s">
        <v>996</v>
      </c>
      <c r="BB49">
        <v>754</v>
      </c>
      <c r="BC49">
        <v>30</v>
      </c>
      <c r="BD49">
        <v>1</v>
      </c>
      <c r="BE49">
        <v>0.2</v>
      </c>
      <c r="BF49">
        <v>0.5</v>
      </c>
      <c r="BG49" s="9">
        <v>0.2</v>
      </c>
      <c r="BH49">
        <f t="shared" ref="BH49" si="110">BB49+BC49*BD49*BE49+BF49</f>
        <v>760.5</v>
      </c>
      <c r="BI49">
        <f t="shared" ref="BI49" si="111">(BG49*BH49)+BH49</f>
        <v>912.6</v>
      </c>
      <c r="BJ49" s="26"/>
      <c r="BP49" t="s">
        <v>563</v>
      </c>
      <c r="BQ49">
        <v>5</v>
      </c>
      <c r="BR49">
        <f t="shared" si="105"/>
        <v>0.45575200000000005</v>
      </c>
      <c r="BS49">
        <f t="shared" si="98"/>
        <v>100.82162405283088</v>
      </c>
      <c r="BT49">
        <v>0.1</v>
      </c>
      <c r="BU49">
        <f t="shared" si="99"/>
        <v>965.72362552830907</v>
      </c>
      <c r="BV49">
        <v>0.9</v>
      </c>
      <c r="BW49">
        <f t="shared" si="100"/>
        <v>1937.2992510566178</v>
      </c>
      <c r="BX49">
        <v>0</v>
      </c>
      <c r="BY49">
        <f t="shared" si="96"/>
        <v>879.68917738076129</v>
      </c>
      <c r="BZ49">
        <v>180</v>
      </c>
      <c r="CA49">
        <v>4</v>
      </c>
      <c r="CB49">
        <v>0.25</v>
      </c>
      <c r="CC49">
        <v>10</v>
      </c>
      <c r="CD49" s="9">
        <v>0.05</v>
      </c>
      <c r="CE49">
        <f t="shared" si="101"/>
        <v>1069.6891773807613</v>
      </c>
      <c r="CF49">
        <f t="shared" si="97"/>
        <v>1123.1736362497993</v>
      </c>
      <c r="CG49">
        <f t="shared" si="102"/>
        <v>1684.7604543746988</v>
      </c>
    </row>
    <row r="50" spans="1:85" x14ac:dyDescent="0.25">
      <c r="A50" s="3" t="s">
        <v>520</v>
      </c>
      <c r="B50">
        <f t="shared" si="92"/>
        <v>0.56741431149719734</v>
      </c>
      <c r="C50">
        <f t="shared" si="93"/>
        <v>95.583373350881985</v>
      </c>
      <c r="D50">
        <v>5</v>
      </c>
      <c r="E50">
        <v>0.5</v>
      </c>
      <c r="F50">
        <v>10</v>
      </c>
      <c r="G50">
        <v>0.25</v>
      </c>
      <c r="H50">
        <f t="shared" si="94"/>
        <v>2389.5843337720494</v>
      </c>
      <c r="I50">
        <f t="shared" si="95"/>
        <v>2986.9804172150616</v>
      </c>
      <c r="J50">
        <v>0.35</v>
      </c>
      <c r="AL50" s="3" t="s">
        <v>229</v>
      </c>
      <c r="AM50" t="s">
        <v>325</v>
      </c>
      <c r="AN50">
        <f>V7*11.34</f>
        <v>64.459395000000001</v>
      </c>
      <c r="AO50">
        <v>2</v>
      </c>
      <c r="AP50">
        <v>2</v>
      </c>
      <c r="AQ50">
        <v>0.16</v>
      </c>
      <c r="AR50">
        <v>0.1</v>
      </c>
      <c r="AS50" s="9" t="s">
        <v>395</v>
      </c>
      <c r="AT50">
        <f t="shared" si="60"/>
        <v>65.199394999999996</v>
      </c>
      <c r="AU50">
        <f t="shared" si="61"/>
        <v>71.719334500000002</v>
      </c>
      <c r="AV50" t="s">
        <v>264</v>
      </c>
      <c r="AW50">
        <f>V29</f>
        <v>5.014899999999999</v>
      </c>
      <c r="AZ50" s="3" t="s">
        <v>997</v>
      </c>
      <c r="BB50">
        <v>802</v>
      </c>
      <c r="BC50">
        <v>30</v>
      </c>
      <c r="BD50">
        <v>1</v>
      </c>
      <c r="BE50">
        <v>0.2</v>
      </c>
      <c r="BF50">
        <v>0.5</v>
      </c>
      <c r="BG50" s="9">
        <v>0.2</v>
      </c>
      <c r="BH50">
        <f t="shared" ref="BH50" si="112">BB50+BC50*BD50*BE50+BF50</f>
        <v>808.5</v>
      </c>
      <c r="BI50">
        <f t="shared" ref="BI50" si="113">(BG50*BH50)+BH50</f>
        <v>970.2</v>
      </c>
      <c r="BJ50" s="26"/>
      <c r="BP50" t="s">
        <v>564</v>
      </c>
      <c r="BQ50">
        <v>6</v>
      </c>
      <c r="BR50">
        <f t="shared" si="105"/>
        <v>0.45575200000000005</v>
      </c>
      <c r="BS50">
        <f t="shared" si="98"/>
        <v>100.82162405283088</v>
      </c>
      <c r="BT50">
        <v>0</v>
      </c>
      <c r="BU50">
        <f t="shared" si="99"/>
        <v>965.72362552830907</v>
      </c>
      <c r="BV50">
        <v>1</v>
      </c>
      <c r="BW50">
        <f t="shared" si="100"/>
        <v>1937.2992510566178</v>
      </c>
      <c r="BX50">
        <v>0</v>
      </c>
      <c r="BY50">
        <f t="shared" si="96"/>
        <v>966.17937752830903</v>
      </c>
      <c r="BZ50">
        <v>210</v>
      </c>
      <c r="CA50">
        <v>4</v>
      </c>
      <c r="CB50">
        <v>0.25</v>
      </c>
      <c r="CC50">
        <v>10</v>
      </c>
      <c r="CD50" s="9">
        <v>0.08</v>
      </c>
      <c r="CE50">
        <f t="shared" si="101"/>
        <v>1186.179377528309</v>
      </c>
      <c r="CF50">
        <f t="shared" si="97"/>
        <v>1281.0737277305739</v>
      </c>
      <c r="CG50">
        <f t="shared" si="102"/>
        <v>2049.7179643689183</v>
      </c>
    </row>
    <row r="51" spans="1:85" x14ac:dyDescent="0.25">
      <c r="A51" s="3" t="s">
        <v>521</v>
      </c>
      <c r="B51">
        <f t="shared" si="92"/>
        <v>0.42242701177772674</v>
      </c>
      <c r="C51">
        <f t="shared" si="93"/>
        <v>110.77879987798801</v>
      </c>
      <c r="D51">
        <v>5</v>
      </c>
      <c r="E51">
        <v>0.5</v>
      </c>
      <c r="F51">
        <v>10</v>
      </c>
      <c r="G51">
        <v>0.25</v>
      </c>
      <c r="H51">
        <f t="shared" si="94"/>
        <v>2769.4699969497005</v>
      </c>
      <c r="I51">
        <f t="shared" si="95"/>
        <v>3461.8374961871259</v>
      </c>
      <c r="J51">
        <v>0.4</v>
      </c>
      <c r="AL51" s="3" t="s">
        <v>230</v>
      </c>
      <c r="AM51" t="s">
        <v>326</v>
      </c>
      <c r="AN51">
        <f>V9*9</f>
        <v>39.926665800000002</v>
      </c>
      <c r="AO51">
        <v>0.5</v>
      </c>
      <c r="AP51">
        <v>1</v>
      </c>
      <c r="AQ51">
        <v>0.15</v>
      </c>
      <c r="AR51">
        <v>0.1</v>
      </c>
      <c r="AS51" s="9" t="s">
        <v>396</v>
      </c>
      <c r="AT51">
        <f t="shared" si="60"/>
        <v>40.101665800000006</v>
      </c>
      <c r="AU51">
        <f t="shared" si="61"/>
        <v>42.106749090000008</v>
      </c>
      <c r="AZ51" s="3" t="s">
        <v>1066</v>
      </c>
      <c r="BA51" t="s">
        <v>1069</v>
      </c>
      <c r="BB51">
        <f>AW46+AW49+AW48*0.5+I21*0.1</f>
        <v>21.63680145</v>
      </c>
      <c r="BC51">
        <v>60</v>
      </c>
      <c r="BD51">
        <v>2</v>
      </c>
      <c r="BE51">
        <v>0.2</v>
      </c>
      <c r="BF51">
        <v>2</v>
      </c>
      <c r="BG51" s="9">
        <v>0.2</v>
      </c>
      <c r="BH51">
        <f t="shared" ref="BH51:BH63" si="114">BB51+BC51*BD51*BE51+BF51</f>
        <v>47.63680145</v>
      </c>
      <c r="BI51">
        <f>((BG51*BH51)+BH51)*3</f>
        <v>171.49248521999999</v>
      </c>
      <c r="BP51" t="s">
        <v>565</v>
      </c>
      <c r="BQ51">
        <v>7</v>
      </c>
      <c r="BR51">
        <f t="shared" si="105"/>
        <v>0.45575200000000005</v>
      </c>
      <c r="BS51">
        <f t="shared" si="98"/>
        <v>100.82162405283088</v>
      </c>
      <c r="BT51">
        <v>0</v>
      </c>
      <c r="BU51">
        <f t="shared" si="99"/>
        <v>965.72362552830907</v>
      </c>
      <c r="BV51">
        <v>0.95</v>
      </c>
      <c r="BW51">
        <f t="shared" si="100"/>
        <v>1937.2992510566178</v>
      </c>
      <c r="BX51">
        <v>0.05</v>
      </c>
      <c r="BY51">
        <f t="shared" si="96"/>
        <v>1014.7581588047244</v>
      </c>
      <c r="BZ51">
        <v>240</v>
      </c>
      <c r="CA51">
        <v>4</v>
      </c>
      <c r="CB51">
        <v>1</v>
      </c>
      <c r="CC51">
        <v>100</v>
      </c>
      <c r="CD51" s="9">
        <v>0.08</v>
      </c>
      <c r="CE51">
        <f t="shared" si="101"/>
        <v>2074.7581588047242</v>
      </c>
      <c r="CF51">
        <f t="shared" si="97"/>
        <v>2240.7388115091021</v>
      </c>
      <c r="CG51">
        <f t="shared" si="102"/>
        <v>3809.2559795654734</v>
      </c>
    </row>
    <row r="52" spans="1:85" x14ac:dyDescent="0.25">
      <c r="A52" s="3" t="s">
        <v>522</v>
      </c>
      <c r="B52">
        <f t="shared" si="92"/>
        <v>0.31023884127138368</v>
      </c>
      <c r="C52">
        <f t="shared" si="93"/>
        <v>129.26603017136173</v>
      </c>
      <c r="D52">
        <v>5</v>
      </c>
      <c r="E52">
        <v>0.5</v>
      </c>
      <c r="F52">
        <v>10</v>
      </c>
      <c r="G52">
        <v>0.25</v>
      </c>
      <c r="H52">
        <f t="shared" si="94"/>
        <v>3231.6507542840436</v>
      </c>
      <c r="I52">
        <f t="shared" si="95"/>
        <v>4039.5634428550547</v>
      </c>
      <c r="J52">
        <v>0.45</v>
      </c>
      <c r="AL52" s="3" t="s">
        <v>231</v>
      </c>
      <c r="AM52" t="s">
        <v>327</v>
      </c>
      <c r="AN52">
        <f>0.25*V18+0.2*I19</f>
        <v>1.36114</v>
      </c>
      <c r="AO52">
        <v>0.8</v>
      </c>
      <c r="AP52">
        <v>1</v>
      </c>
      <c r="AQ52">
        <v>0.16</v>
      </c>
      <c r="AR52">
        <v>0.1</v>
      </c>
      <c r="AS52" s="9" t="s">
        <v>395</v>
      </c>
      <c r="AT52">
        <f t="shared" si="60"/>
        <v>1.58914</v>
      </c>
      <c r="AU52">
        <f t="shared" si="61"/>
        <v>1.748054</v>
      </c>
      <c r="AZ52" s="3" t="s">
        <v>1071</v>
      </c>
      <c r="BA52" t="s">
        <v>1072</v>
      </c>
      <c r="BB52">
        <f>AW46+AW48*0.3+AW49+V8*0.1</f>
        <v>41.530731450000005</v>
      </c>
      <c r="BC52">
        <v>60</v>
      </c>
      <c r="BD52">
        <v>2</v>
      </c>
      <c r="BE52">
        <v>0.2</v>
      </c>
      <c r="BF52">
        <v>2</v>
      </c>
      <c r="BG52" s="9">
        <v>0.2</v>
      </c>
      <c r="BH52">
        <f t="shared" si="114"/>
        <v>67.530731450000005</v>
      </c>
      <c r="BI52">
        <f t="shared" ref="BI52:BI63" si="115">((BG52*BH52)+BH52)*3</f>
        <v>243.11063322000001</v>
      </c>
      <c r="BP52" t="s">
        <v>566</v>
      </c>
      <c r="BQ52">
        <v>8</v>
      </c>
      <c r="BR52">
        <f t="shared" si="105"/>
        <v>0.45575200000000005</v>
      </c>
      <c r="BS52">
        <f t="shared" si="98"/>
        <v>100.82162405283088</v>
      </c>
      <c r="BT52">
        <v>0</v>
      </c>
      <c r="BU52">
        <f t="shared" si="99"/>
        <v>965.72362552830907</v>
      </c>
      <c r="BV52">
        <v>0.9</v>
      </c>
      <c r="BW52">
        <f t="shared" si="100"/>
        <v>1937.2992510566178</v>
      </c>
      <c r="BX52">
        <v>0.1</v>
      </c>
      <c r="BY52">
        <f t="shared" si="96"/>
        <v>1063.3369400811398</v>
      </c>
      <c r="BZ52">
        <v>270</v>
      </c>
      <c r="CA52">
        <v>4</v>
      </c>
      <c r="CB52">
        <v>1</v>
      </c>
      <c r="CC52">
        <v>100</v>
      </c>
      <c r="CD52" s="9">
        <v>0.08</v>
      </c>
      <c r="CE52">
        <f t="shared" si="101"/>
        <v>2243.3369400811398</v>
      </c>
      <c r="CF52">
        <f t="shared" si="97"/>
        <v>2422.8038952876309</v>
      </c>
      <c r="CG52">
        <f>CF52+(CF52*BQ52/10)</f>
        <v>4361.0470115177359</v>
      </c>
    </row>
    <row r="53" spans="1:85" x14ac:dyDescent="0.25">
      <c r="A53" s="3" t="s">
        <v>523</v>
      </c>
      <c r="B53">
        <f t="shared" si="92"/>
        <v>0.22370210717785705</v>
      </c>
      <c r="C53">
        <f t="shared" si="93"/>
        <v>152.22902259219956</v>
      </c>
      <c r="D53">
        <v>5</v>
      </c>
      <c r="E53">
        <v>0.5</v>
      </c>
      <c r="F53">
        <v>10</v>
      </c>
      <c r="G53">
        <v>0.25</v>
      </c>
      <c r="H53">
        <f t="shared" si="94"/>
        <v>3805.7255648049886</v>
      </c>
      <c r="I53">
        <f t="shared" si="95"/>
        <v>4757.1569560062362</v>
      </c>
      <c r="J53">
        <v>0.5</v>
      </c>
      <c r="AL53" s="3" t="s">
        <v>232</v>
      </c>
      <c r="AM53" t="s">
        <v>328</v>
      </c>
      <c r="AN53">
        <f>I22*0.01</f>
        <v>1.2075000000000001E-2</v>
      </c>
      <c r="AO53">
        <v>0.1</v>
      </c>
      <c r="AP53">
        <v>1</v>
      </c>
      <c r="AQ53">
        <v>0.14000000000000001</v>
      </c>
      <c r="AR53">
        <v>0.1</v>
      </c>
      <c r="AS53" s="9" t="s">
        <v>394</v>
      </c>
      <c r="AT53">
        <f t="shared" si="60"/>
        <v>0.12607499999999999</v>
      </c>
      <c r="AU53">
        <f t="shared" si="61"/>
        <v>0.12985724999999998</v>
      </c>
      <c r="AZ53" s="3" t="s">
        <v>1073</v>
      </c>
      <c r="BA53" t="s">
        <v>1079</v>
      </c>
      <c r="BB53">
        <f>AW45+AW48*0.5+AW49</f>
        <v>2.9764748499999998</v>
      </c>
      <c r="BC53">
        <v>60</v>
      </c>
      <c r="BD53">
        <v>2</v>
      </c>
      <c r="BE53">
        <v>0.2</v>
      </c>
      <c r="BF53">
        <v>2</v>
      </c>
      <c r="BG53" s="9">
        <v>0.2</v>
      </c>
      <c r="BH53">
        <f t="shared" si="114"/>
        <v>28.976474849999999</v>
      </c>
      <c r="BI53">
        <f t="shared" si="115"/>
        <v>104.31530946000001</v>
      </c>
    </row>
    <row r="54" spans="1:85" x14ac:dyDescent="0.25">
      <c r="A54" s="3" t="s">
        <v>524</v>
      </c>
      <c r="B54">
        <f t="shared" si="92"/>
        <v>0.15747426964500272</v>
      </c>
      <c r="C54">
        <f t="shared" si="93"/>
        <v>181.43776815194789</v>
      </c>
      <c r="D54">
        <v>5</v>
      </c>
      <c r="E54">
        <v>0.5</v>
      </c>
      <c r="F54">
        <v>10</v>
      </c>
      <c r="G54">
        <v>0.25</v>
      </c>
      <c r="H54">
        <f t="shared" si="94"/>
        <v>4535.9442037986973</v>
      </c>
      <c r="I54">
        <f t="shared" si="95"/>
        <v>5669.9302547483712</v>
      </c>
      <c r="J54">
        <v>0.55000000000000004</v>
      </c>
      <c r="AL54" s="3" t="s">
        <v>238</v>
      </c>
      <c r="AM54" t="s">
        <v>329</v>
      </c>
      <c r="AN54">
        <f xml:space="preserve"> 0.3*V7+0.15*V18</f>
        <v>2.388903</v>
      </c>
      <c r="AO54">
        <v>30</v>
      </c>
      <c r="AP54">
        <v>1</v>
      </c>
      <c r="AQ54">
        <v>0.16</v>
      </c>
      <c r="AR54">
        <v>0.1</v>
      </c>
      <c r="AS54" s="9" t="s">
        <v>395</v>
      </c>
      <c r="AT54">
        <f t="shared" si="60"/>
        <v>7.2889029999999995</v>
      </c>
      <c r="AU54">
        <f t="shared" si="61"/>
        <v>8.0177932999999992</v>
      </c>
      <c r="AZ54" s="3" t="s">
        <v>1074</v>
      </c>
      <c r="BA54" t="s">
        <v>1078</v>
      </c>
      <c r="BB54">
        <f>AW45+V13+AW48*0.4+AW49</f>
        <v>4.4480186000000002</v>
      </c>
      <c r="BC54">
        <v>60</v>
      </c>
      <c r="BD54">
        <v>2</v>
      </c>
      <c r="BE54">
        <v>0.2</v>
      </c>
      <c r="BF54">
        <v>2</v>
      </c>
      <c r="BG54" s="9">
        <v>0.2</v>
      </c>
      <c r="BH54">
        <f t="shared" si="114"/>
        <v>30.448018600000001</v>
      </c>
      <c r="BI54">
        <f t="shared" si="115"/>
        <v>109.61286696000002</v>
      </c>
    </row>
    <row r="55" spans="1:85" x14ac:dyDescent="0.25">
      <c r="A55" s="3" t="s">
        <v>525</v>
      </c>
      <c r="B55">
        <f t="shared" si="92"/>
        <v>0.10744170951909529</v>
      </c>
      <c r="C55">
        <f t="shared" si="93"/>
        <v>219.65750257021904</v>
      </c>
      <c r="D55">
        <v>5</v>
      </c>
      <c r="E55">
        <v>0.5</v>
      </c>
      <c r="F55">
        <v>10</v>
      </c>
      <c r="G55">
        <v>0.25</v>
      </c>
      <c r="H55">
        <f t="shared" si="94"/>
        <v>5491.437564255476</v>
      </c>
      <c r="I55">
        <f t="shared" si="95"/>
        <v>6864.2969553193452</v>
      </c>
      <c r="J55">
        <v>0.6</v>
      </c>
      <c r="AL55" s="3" t="s">
        <v>239</v>
      </c>
      <c r="AM55" t="s">
        <v>299</v>
      </c>
      <c r="AN55">
        <f>I10*0.3+0.4*V5+0.1*V4</f>
        <v>1.8208899999999999</v>
      </c>
      <c r="AO55">
        <v>0.2</v>
      </c>
      <c r="AP55">
        <v>1</v>
      </c>
      <c r="AQ55">
        <v>0.13</v>
      </c>
      <c r="AR55">
        <v>0.1</v>
      </c>
      <c r="AS55" s="9">
        <v>0</v>
      </c>
      <c r="AT55">
        <f t="shared" si="60"/>
        <v>1.94689</v>
      </c>
      <c r="AU55">
        <f t="shared" si="61"/>
        <v>1.94689</v>
      </c>
      <c r="AZ55" s="3" t="s">
        <v>1075</v>
      </c>
      <c r="BA55" t="s">
        <v>1081</v>
      </c>
      <c r="BB55">
        <f>V13*10+AW46+AW49+AW48*0.3</f>
        <v>37.203818949999999</v>
      </c>
      <c r="BC55">
        <v>60</v>
      </c>
      <c r="BD55">
        <v>2</v>
      </c>
      <c r="BE55">
        <v>0.2</v>
      </c>
      <c r="BF55">
        <v>2</v>
      </c>
      <c r="BG55" s="9">
        <v>0.2</v>
      </c>
      <c r="BH55">
        <f t="shared" si="114"/>
        <v>63.203818949999999</v>
      </c>
      <c r="BI55">
        <f t="shared" si="115"/>
        <v>227.53374821999998</v>
      </c>
      <c r="BQ55" s="7" t="s">
        <v>573</v>
      </c>
      <c r="BR55" s="7"/>
    </row>
    <row r="56" spans="1:85" x14ac:dyDescent="0.25">
      <c r="A56" s="3" t="s">
        <v>526</v>
      </c>
      <c r="B56">
        <f t="shared" si="92"/>
        <v>7.0357891024450767E-2</v>
      </c>
      <c r="C56">
        <f t="shared" si="93"/>
        <v>271.44140208784631</v>
      </c>
      <c r="D56">
        <v>5</v>
      </c>
      <c r="E56">
        <v>0.5</v>
      </c>
      <c r="F56">
        <v>10</v>
      </c>
      <c r="G56">
        <v>0.25</v>
      </c>
      <c r="H56">
        <f t="shared" si="94"/>
        <v>6786.0350521961573</v>
      </c>
      <c r="I56">
        <f t="shared" si="95"/>
        <v>8482.543815245197</v>
      </c>
      <c r="J56">
        <v>0.65</v>
      </c>
      <c r="AL56" s="3" t="s">
        <v>240</v>
      </c>
      <c r="AM56" t="s">
        <v>330</v>
      </c>
      <c r="AN56">
        <f>2.27*I12</f>
        <v>2.5860974999999997</v>
      </c>
      <c r="AO56">
        <v>0.4</v>
      </c>
      <c r="AP56">
        <v>1</v>
      </c>
      <c r="AQ56">
        <v>0.15</v>
      </c>
      <c r="AR56">
        <v>0.1</v>
      </c>
      <c r="AS56" s="9" t="s">
        <v>396</v>
      </c>
      <c r="AT56">
        <f t="shared" si="60"/>
        <v>2.7460974999999999</v>
      </c>
      <c r="AU56">
        <f t="shared" si="61"/>
        <v>2.8834023749999997</v>
      </c>
      <c r="AZ56" s="3" t="s">
        <v>1076</v>
      </c>
      <c r="BA56" t="s">
        <v>1080</v>
      </c>
      <c r="BB56">
        <f>V14+AW46+AW49+AW48*0.3</f>
        <v>1747.8766589499999</v>
      </c>
      <c r="BC56">
        <v>60</v>
      </c>
      <c r="BD56">
        <v>2</v>
      </c>
      <c r="BE56">
        <v>0.2</v>
      </c>
      <c r="BF56">
        <v>2</v>
      </c>
      <c r="BG56" s="9">
        <v>0.2</v>
      </c>
      <c r="BH56">
        <f t="shared" si="114"/>
        <v>1773.8766589499999</v>
      </c>
      <c r="BI56">
        <f t="shared" si="115"/>
        <v>6385.9559722199992</v>
      </c>
      <c r="BP56" s="7"/>
      <c r="BQ56" s="7"/>
      <c r="BR56" s="7" t="s">
        <v>570</v>
      </c>
      <c r="BS56" s="16" t="s">
        <v>575</v>
      </c>
      <c r="BT56" s="16" t="s">
        <v>576</v>
      </c>
    </row>
    <row r="57" spans="1:85" x14ac:dyDescent="0.25">
      <c r="A57" s="3" t="s">
        <v>527</v>
      </c>
      <c r="B57">
        <f t="shared" si="92"/>
        <v>4.3605666990411233E-2</v>
      </c>
      <c r="C57">
        <f t="shared" si="93"/>
        <v>344.79505572105182</v>
      </c>
      <c r="D57">
        <v>5</v>
      </c>
      <c r="E57">
        <v>0.5</v>
      </c>
      <c r="F57">
        <v>10</v>
      </c>
      <c r="G57">
        <v>0.25</v>
      </c>
      <c r="H57">
        <f t="shared" si="94"/>
        <v>8619.8763930262958</v>
      </c>
      <c r="I57">
        <f t="shared" si="95"/>
        <v>10774.845491282869</v>
      </c>
      <c r="J57">
        <v>0.7</v>
      </c>
      <c r="AL57" s="3" t="s">
        <v>241</v>
      </c>
      <c r="AM57" t="s">
        <v>331</v>
      </c>
      <c r="AN57">
        <f>1.81*V9</f>
        <v>8.0296961220000007</v>
      </c>
      <c r="AO57">
        <v>2</v>
      </c>
      <c r="AP57">
        <v>1</v>
      </c>
      <c r="AQ57">
        <v>0.15</v>
      </c>
      <c r="AR57">
        <v>0.1</v>
      </c>
      <c r="AS57" s="9" t="s">
        <v>396</v>
      </c>
      <c r="AT57">
        <f t="shared" si="60"/>
        <v>8.4296961220000011</v>
      </c>
      <c r="AU57">
        <f t="shared" si="61"/>
        <v>8.8511809281000016</v>
      </c>
      <c r="AZ57" s="3" t="s">
        <v>1082</v>
      </c>
      <c r="BA57" t="s">
        <v>1084</v>
      </c>
      <c r="BB57">
        <f>AW50*0.3+AW47+AW49</f>
        <v>222.196350749</v>
      </c>
      <c r="BC57">
        <v>60</v>
      </c>
      <c r="BD57">
        <v>2</v>
      </c>
      <c r="BE57">
        <v>0.2</v>
      </c>
      <c r="BF57">
        <v>2</v>
      </c>
      <c r="BG57" s="9">
        <v>0.2</v>
      </c>
      <c r="BH57">
        <f t="shared" si="114"/>
        <v>248.196350749</v>
      </c>
      <c r="BI57">
        <f t="shared" si="115"/>
        <v>893.50686269640005</v>
      </c>
      <c r="BP57" s="15" t="s">
        <v>558</v>
      </c>
      <c r="BQ57" s="18">
        <f t="shared" ref="BQ57:BQ65" si="116">CG44</f>
        <v>0.45575200000000005</v>
      </c>
      <c r="BR57" s="18"/>
      <c r="BS57" s="17">
        <f>BQ57*3.12</f>
        <v>1.4219462400000002</v>
      </c>
      <c r="BT57" s="17"/>
    </row>
    <row r="58" spans="1:85" x14ac:dyDescent="0.25">
      <c r="A58" s="3" t="s">
        <v>528</v>
      </c>
      <c r="B58">
        <f t="shared" si="92"/>
        <v>2.503495798656722E-2</v>
      </c>
      <c r="C58">
        <f t="shared" si="93"/>
        <v>455.04994161137029</v>
      </c>
      <c r="D58">
        <v>5</v>
      </c>
      <c r="E58">
        <v>0.5</v>
      </c>
      <c r="F58">
        <v>10</v>
      </c>
      <c r="G58">
        <v>0.25</v>
      </c>
      <c r="H58">
        <f t="shared" si="94"/>
        <v>11376.248540284258</v>
      </c>
      <c r="I58">
        <f t="shared" si="95"/>
        <v>14220.310675355322</v>
      </c>
      <c r="J58">
        <v>0.75</v>
      </c>
      <c r="AL58" s="3" t="s">
        <v>242</v>
      </c>
      <c r="AM58" t="s">
        <v>332</v>
      </c>
      <c r="AN58">
        <f>0.01*I20</f>
        <v>1.0485599999999999E-2</v>
      </c>
      <c r="AO58">
        <v>0.3</v>
      </c>
      <c r="AP58">
        <v>1</v>
      </c>
      <c r="AQ58">
        <v>0.13</v>
      </c>
      <c r="AR58">
        <v>0.1</v>
      </c>
      <c r="AS58" s="9">
        <v>0</v>
      </c>
      <c r="AT58">
        <f t="shared" si="60"/>
        <v>0.1494856</v>
      </c>
      <c r="AU58">
        <f t="shared" si="61"/>
        <v>0.1494856</v>
      </c>
      <c r="AZ58" s="3" t="s">
        <v>1086</v>
      </c>
      <c r="BA58" t="s">
        <v>1087</v>
      </c>
      <c r="BB58">
        <f>AW47+AW48*0.4+AW49</f>
        <v>221.20488074900001</v>
      </c>
      <c r="BC58">
        <v>60</v>
      </c>
      <c r="BD58">
        <v>2</v>
      </c>
      <c r="BE58">
        <v>0.2</v>
      </c>
      <c r="BF58">
        <v>2</v>
      </c>
      <c r="BG58" s="9">
        <v>0.2</v>
      </c>
      <c r="BH58">
        <f t="shared" si="114"/>
        <v>247.20488074900001</v>
      </c>
      <c r="BI58">
        <f t="shared" si="115"/>
        <v>889.93757069640014</v>
      </c>
      <c r="BP58" s="15" t="s">
        <v>559</v>
      </c>
      <c r="BQ58" s="18">
        <f t="shared" si="116"/>
        <v>397.61773168185516</v>
      </c>
      <c r="BR58" s="18">
        <f>BQ58-BQ57</f>
        <v>397.16197968185514</v>
      </c>
      <c r="BS58" s="17">
        <f t="shared" ref="BS58:BS64" si="117">BQ58*3.12</f>
        <v>1240.5673228473881</v>
      </c>
      <c r="BT58" s="17">
        <f>BS58-BS57</f>
        <v>1239.1453766073882</v>
      </c>
    </row>
    <row r="59" spans="1:85" x14ac:dyDescent="0.25">
      <c r="A59" s="3" t="s">
        <v>529</v>
      </c>
      <c r="B59">
        <f t="shared" si="92"/>
        <v>1.2847830657244772E-2</v>
      </c>
      <c r="C59">
        <f t="shared" si="93"/>
        <v>635.21039211797483</v>
      </c>
      <c r="D59">
        <v>5</v>
      </c>
      <c r="E59">
        <v>0.5</v>
      </c>
      <c r="F59">
        <v>10</v>
      </c>
      <c r="G59">
        <v>0.25</v>
      </c>
      <c r="H59">
        <f t="shared" si="94"/>
        <v>15880.259802949371</v>
      </c>
      <c r="I59">
        <f t="shared" si="95"/>
        <v>19850.324753686713</v>
      </c>
      <c r="J59">
        <v>0.8</v>
      </c>
      <c r="AL59" s="3" t="s">
        <v>243</v>
      </c>
      <c r="AM59" t="s">
        <v>333</v>
      </c>
      <c r="AN59">
        <f>V7*0.01</f>
        <v>5.6842500000000004E-2</v>
      </c>
      <c r="AO59">
        <v>0.3</v>
      </c>
      <c r="AP59">
        <v>1</v>
      </c>
      <c r="AQ59">
        <v>0.16</v>
      </c>
      <c r="AR59">
        <v>0.1</v>
      </c>
      <c r="AS59" s="9" t="s">
        <v>395</v>
      </c>
      <c r="AT59">
        <f t="shared" si="60"/>
        <v>0.20484250000000001</v>
      </c>
      <c r="AU59">
        <f t="shared" si="61"/>
        <v>0.22532675000000002</v>
      </c>
      <c r="AZ59" s="3" t="s">
        <v>1088</v>
      </c>
      <c r="BA59" t="s">
        <v>1089</v>
      </c>
      <c r="BB59">
        <f>AW49+AW46+AW48*0.4</f>
        <v>21.334131450000001</v>
      </c>
      <c r="BC59">
        <v>60</v>
      </c>
      <c r="BD59">
        <v>2</v>
      </c>
      <c r="BE59">
        <v>0.2</v>
      </c>
      <c r="BF59">
        <v>2</v>
      </c>
      <c r="BG59" s="9">
        <v>0.2</v>
      </c>
      <c r="BH59">
        <f t="shared" si="114"/>
        <v>47.334131450000001</v>
      </c>
      <c r="BI59">
        <f t="shared" si="115"/>
        <v>170.40287322</v>
      </c>
      <c r="BP59" s="15" t="s">
        <v>560</v>
      </c>
      <c r="BQ59" s="18">
        <f t="shared" si="116"/>
        <v>611.9653935770051</v>
      </c>
      <c r="BR59" s="18">
        <f t="shared" ref="BR59:BR65" si="118">BQ59-BQ58</f>
        <v>214.34766189514994</v>
      </c>
      <c r="BS59" s="17">
        <f t="shared" si="117"/>
        <v>1909.332027960256</v>
      </c>
      <c r="BT59" s="17">
        <f t="shared" ref="BT59:BT65" si="119">BS59-BS58</f>
        <v>668.76470511286789</v>
      </c>
    </row>
    <row r="60" spans="1:85" x14ac:dyDescent="0.25">
      <c r="A60" s="3" t="s">
        <v>530</v>
      </c>
      <c r="B60">
        <f t="shared" si="92"/>
        <v>5.5138996996079975E-3</v>
      </c>
      <c r="C60">
        <f t="shared" si="93"/>
        <v>969.62335022750131</v>
      </c>
      <c r="D60">
        <v>5</v>
      </c>
      <c r="E60">
        <v>0.5</v>
      </c>
      <c r="F60">
        <v>10</v>
      </c>
      <c r="G60">
        <v>0.25</v>
      </c>
      <c r="H60">
        <f t="shared" si="94"/>
        <v>24240.58375568753</v>
      </c>
      <c r="I60">
        <f t="shared" si="95"/>
        <v>30300.729694609414</v>
      </c>
      <c r="J60">
        <v>0.85</v>
      </c>
      <c r="AL60" s="3" t="s">
        <v>244</v>
      </c>
      <c r="AM60" t="s">
        <v>334</v>
      </c>
      <c r="AN60">
        <f>3*I22+0.18*V10</f>
        <v>4.3136162999999996</v>
      </c>
      <c r="AO60">
        <v>1</v>
      </c>
      <c r="AP60">
        <v>1</v>
      </c>
      <c r="AQ60">
        <v>0.15</v>
      </c>
      <c r="AR60">
        <v>0.1</v>
      </c>
      <c r="AS60" s="9" t="s">
        <v>396</v>
      </c>
      <c r="AT60">
        <f t="shared" si="60"/>
        <v>4.5636162999999996</v>
      </c>
      <c r="AU60">
        <f t="shared" si="61"/>
        <v>4.7917971149999996</v>
      </c>
      <c r="AZ60" s="3" t="s">
        <v>1090</v>
      </c>
      <c r="BA60" t="s">
        <v>1091</v>
      </c>
      <c r="BB60">
        <f>AW46+AW49+AW50*0.4</f>
        <v>22.827091449999998</v>
      </c>
      <c r="BC60">
        <v>60</v>
      </c>
      <c r="BD60">
        <v>2</v>
      </c>
      <c r="BE60">
        <v>0.2</v>
      </c>
      <c r="BF60">
        <v>2</v>
      </c>
      <c r="BG60" s="9">
        <v>0.2</v>
      </c>
      <c r="BH60">
        <f t="shared" si="114"/>
        <v>48.827091449999998</v>
      </c>
      <c r="BI60">
        <f t="shared" si="115"/>
        <v>175.77752921999999</v>
      </c>
      <c r="BP60" s="19" t="s">
        <v>561</v>
      </c>
      <c r="BQ60" s="20">
        <f t="shared" si="116"/>
        <v>1093.5076162730513</v>
      </c>
      <c r="BR60" s="20" t="s">
        <v>571</v>
      </c>
      <c r="BS60" s="22">
        <f t="shared" si="117"/>
        <v>3411.74376277192</v>
      </c>
      <c r="BT60" s="21" t="s">
        <v>574</v>
      </c>
    </row>
    <row r="61" spans="1:85" x14ac:dyDescent="0.25">
      <c r="A61" s="3" t="s">
        <v>531</v>
      </c>
      <c r="B61">
        <f t="shared" si="92"/>
        <v>1.7045449242452282E-3</v>
      </c>
      <c r="C61">
        <f t="shared" si="93"/>
        <v>1743.9268752362559</v>
      </c>
      <c r="D61">
        <v>5</v>
      </c>
      <c r="E61">
        <v>0.5</v>
      </c>
      <c r="F61">
        <v>10</v>
      </c>
      <c r="G61">
        <v>0.25</v>
      </c>
      <c r="H61">
        <f t="shared" si="94"/>
        <v>43598.17188090639</v>
      </c>
      <c r="I61">
        <f t="shared" si="95"/>
        <v>54497.714851132987</v>
      </c>
      <c r="J61">
        <v>0.9</v>
      </c>
      <c r="AL61" s="3" t="s">
        <v>245</v>
      </c>
      <c r="AM61" t="s">
        <v>335</v>
      </c>
      <c r="AN61">
        <f>V7*0.45</f>
        <v>2.5579125000000005</v>
      </c>
      <c r="AO61">
        <v>0.5</v>
      </c>
      <c r="AP61">
        <v>1</v>
      </c>
      <c r="AQ61">
        <v>0.16</v>
      </c>
      <c r="AR61">
        <v>0.2</v>
      </c>
      <c r="AS61" s="9" t="s">
        <v>395</v>
      </c>
      <c r="AT61">
        <f t="shared" si="60"/>
        <v>2.8379125000000007</v>
      </c>
      <c r="AU61">
        <f t="shared" si="61"/>
        <v>3.1217037500000009</v>
      </c>
      <c r="AZ61" s="3" t="s">
        <v>1092</v>
      </c>
      <c r="BA61" t="s">
        <v>1093</v>
      </c>
      <c r="BB61">
        <f>AW47+AW49+AW48*0.3+V7*0.1</f>
        <v>221.64505574899999</v>
      </c>
      <c r="BC61">
        <v>60</v>
      </c>
      <c r="BD61">
        <v>2</v>
      </c>
      <c r="BE61">
        <v>0.2</v>
      </c>
      <c r="BF61">
        <v>2</v>
      </c>
      <c r="BG61" s="9">
        <v>0.2</v>
      </c>
      <c r="BH61">
        <f t="shared" si="114"/>
        <v>247.64505574899999</v>
      </c>
      <c r="BI61">
        <f t="shared" si="115"/>
        <v>891.52220069639998</v>
      </c>
      <c r="BP61" s="15" t="s">
        <v>562</v>
      </c>
      <c r="BQ61" s="18">
        <f t="shared" si="116"/>
        <v>1401.2024965328237</v>
      </c>
      <c r="BR61" s="18">
        <f t="shared" si="118"/>
        <v>307.69488025977239</v>
      </c>
      <c r="BS61" s="17">
        <f t="shared" si="117"/>
        <v>4371.75178918241</v>
      </c>
      <c r="BT61" s="17">
        <f t="shared" si="119"/>
        <v>960.00802641048995</v>
      </c>
    </row>
    <row r="62" spans="1:85" x14ac:dyDescent="0.25">
      <c r="A62" s="3" t="s">
        <v>532</v>
      </c>
      <c r="B62">
        <f t="shared" si="92"/>
        <v>2.3583568009062582E-4</v>
      </c>
      <c r="C62">
        <f t="shared" si="93"/>
        <v>4688.4332891277718</v>
      </c>
      <c r="D62">
        <v>5</v>
      </c>
      <c r="E62">
        <v>0.5</v>
      </c>
      <c r="F62">
        <v>10</v>
      </c>
      <c r="G62">
        <v>0.25</v>
      </c>
      <c r="H62">
        <f t="shared" si="94"/>
        <v>117210.83222819431</v>
      </c>
      <c r="I62">
        <f t="shared" si="95"/>
        <v>146513.5402852429</v>
      </c>
      <c r="J62">
        <v>0.95</v>
      </c>
      <c r="AL62" s="3" t="s">
        <v>246</v>
      </c>
      <c r="AM62" t="s">
        <v>336</v>
      </c>
      <c r="AN62">
        <f>10*I4+1.34*V7</f>
        <v>19.009394999999998</v>
      </c>
      <c r="AO62">
        <v>1</v>
      </c>
      <c r="AP62">
        <v>2</v>
      </c>
      <c r="AQ62">
        <v>0.16</v>
      </c>
      <c r="AR62">
        <v>0.1</v>
      </c>
      <c r="AS62" s="9" t="s">
        <v>395</v>
      </c>
      <c r="AT62">
        <f t="shared" si="60"/>
        <v>19.429395</v>
      </c>
      <c r="AU62">
        <f t="shared" si="61"/>
        <v>21.372334500000001</v>
      </c>
      <c r="AZ62" s="3" t="s">
        <v>1094</v>
      </c>
      <c r="BA62" t="s">
        <v>1095</v>
      </c>
      <c r="BB62">
        <f>AW46+AW48*0.5+V13</f>
        <v>22.6663116</v>
      </c>
      <c r="BC62">
        <v>60</v>
      </c>
      <c r="BD62">
        <v>2</v>
      </c>
      <c r="BE62">
        <v>0.2</v>
      </c>
      <c r="BF62">
        <v>2</v>
      </c>
      <c r="BG62" s="9">
        <v>0.2</v>
      </c>
      <c r="BH62">
        <f t="shared" si="114"/>
        <v>48.6663116</v>
      </c>
      <c r="BI62">
        <f t="shared" si="115"/>
        <v>175.19872176000001</v>
      </c>
      <c r="BP62" s="15" t="s">
        <v>563</v>
      </c>
      <c r="BQ62" s="18">
        <f t="shared" si="116"/>
        <v>1684.7604543746988</v>
      </c>
      <c r="BR62" s="18">
        <f t="shared" si="118"/>
        <v>283.55795784187512</v>
      </c>
      <c r="BS62" s="17">
        <f t="shared" si="117"/>
        <v>5256.4526176490608</v>
      </c>
      <c r="BT62" s="17">
        <f t="shared" si="119"/>
        <v>884.70082846665082</v>
      </c>
    </row>
    <row r="63" spans="1:85" x14ac:dyDescent="0.25">
      <c r="AL63" s="3" t="s">
        <v>247</v>
      </c>
      <c r="AM63" t="s">
        <v>337</v>
      </c>
      <c r="AN63">
        <f>0.45*I5</f>
        <v>0.59400000000000008</v>
      </c>
      <c r="AO63">
        <v>0.2</v>
      </c>
      <c r="AP63">
        <v>1</v>
      </c>
      <c r="AQ63">
        <v>0.16</v>
      </c>
      <c r="AR63">
        <v>0.1</v>
      </c>
      <c r="AS63" s="9" t="s">
        <v>395</v>
      </c>
      <c r="AT63">
        <f t="shared" si="60"/>
        <v>0.72600000000000009</v>
      </c>
      <c r="AU63">
        <f t="shared" si="61"/>
        <v>0.79860000000000009</v>
      </c>
      <c r="AZ63" s="3" t="s">
        <v>1096</v>
      </c>
      <c r="BA63" t="s">
        <v>1097</v>
      </c>
      <c r="BB63">
        <f>AW46+AW49+AW48*0.5</f>
        <v>21.462381449999999</v>
      </c>
      <c r="BC63">
        <v>60</v>
      </c>
      <c r="BD63">
        <v>2</v>
      </c>
      <c r="BE63">
        <v>0.2</v>
      </c>
      <c r="BF63">
        <v>2</v>
      </c>
      <c r="BG63" s="9">
        <v>0.2</v>
      </c>
      <c r="BH63">
        <f t="shared" si="114"/>
        <v>47.462381449999995</v>
      </c>
      <c r="BI63">
        <f t="shared" si="115"/>
        <v>170.86457321999998</v>
      </c>
      <c r="BP63" s="19" t="s">
        <v>564</v>
      </c>
      <c r="BQ63" s="20">
        <f t="shared" si="116"/>
        <v>2049.7179643689183</v>
      </c>
      <c r="BR63" s="20" t="s">
        <v>572</v>
      </c>
      <c r="BS63" s="22">
        <f t="shared" si="117"/>
        <v>6395.1200488310251</v>
      </c>
      <c r="BT63" s="21" t="s">
        <v>574</v>
      </c>
    </row>
    <row r="64" spans="1:85" x14ac:dyDescent="0.25">
      <c r="AL64" s="3" t="s">
        <v>248</v>
      </c>
      <c r="AM64" t="s">
        <v>338</v>
      </c>
      <c r="AN64">
        <f>0.25*V7+0.2*I5</f>
        <v>1.6850625000000001</v>
      </c>
      <c r="AO64">
        <v>0.2</v>
      </c>
      <c r="AP64">
        <v>1</v>
      </c>
      <c r="AQ64">
        <v>0.16</v>
      </c>
      <c r="AR64">
        <v>0.1</v>
      </c>
      <c r="AS64" s="9" t="s">
        <v>395</v>
      </c>
      <c r="AT64">
        <f t="shared" si="60"/>
        <v>1.8170625000000002</v>
      </c>
      <c r="AU64">
        <f t="shared" si="61"/>
        <v>1.9987687500000002</v>
      </c>
      <c r="BP64" s="15" t="s">
        <v>565</v>
      </c>
      <c r="BQ64" s="18">
        <f t="shared" si="116"/>
        <v>3809.2559795654734</v>
      </c>
      <c r="BR64" s="18">
        <f t="shared" si="118"/>
        <v>1759.5380151965551</v>
      </c>
      <c r="BS64" s="17">
        <f t="shared" si="117"/>
        <v>11884.878656244276</v>
      </c>
      <c r="BT64" s="17">
        <f t="shared" si="119"/>
        <v>5489.7586074132514</v>
      </c>
    </row>
    <row r="65" spans="1:72" x14ac:dyDescent="0.25">
      <c r="AL65" s="3" t="s">
        <v>249</v>
      </c>
      <c r="AM65" t="s">
        <v>339</v>
      </c>
      <c r="AN65">
        <f>V7*0.05+V18*0.01</f>
        <v>0.32978770000000002</v>
      </c>
      <c r="AO65">
        <v>0.3</v>
      </c>
      <c r="AP65">
        <v>1</v>
      </c>
      <c r="AQ65">
        <v>0.16</v>
      </c>
      <c r="AR65">
        <v>0.1</v>
      </c>
      <c r="AS65" s="9" t="s">
        <v>395</v>
      </c>
      <c r="AT65">
        <f t="shared" si="60"/>
        <v>0.47778770000000004</v>
      </c>
      <c r="AU65">
        <f t="shared" si="61"/>
        <v>0.52556647000000001</v>
      </c>
      <c r="BP65" s="15" t="s">
        <v>566</v>
      </c>
      <c r="BQ65" s="18">
        <f t="shared" si="116"/>
        <v>4361.0470115177359</v>
      </c>
      <c r="BR65" s="18">
        <f t="shared" si="118"/>
        <v>551.79103195226253</v>
      </c>
      <c r="BS65" s="17">
        <f t="shared" ref="BS65" si="120">BQ65*3.12</f>
        <v>13606.466675935337</v>
      </c>
      <c r="BT65" s="17">
        <f t="shared" si="119"/>
        <v>1721.5880196910603</v>
      </c>
    </row>
    <row r="66" spans="1:72" x14ac:dyDescent="0.25">
      <c r="AL66" s="3" t="s">
        <v>250</v>
      </c>
      <c r="AM66" t="s">
        <v>340</v>
      </c>
      <c r="AN66">
        <f>0.35*I4+0.1*I13</f>
        <v>0.5094074999999999</v>
      </c>
      <c r="AO66">
        <v>0.1</v>
      </c>
      <c r="AP66">
        <v>1</v>
      </c>
      <c r="AQ66">
        <v>0.13</v>
      </c>
      <c r="AR66">
        <v>0.1</v>
      </c>
      <c r="AS66" s="9">
        <v>0</v>
      </c>
      <c r="AT66">
        <f t="shared" si="60"/>
        <v>0.62240749999999989</v>
      </c>
      <c r="AU66">
        <f t="shared" si="61"/>
        <v>0.62240749999999989</v>
      </c>
    </row>
    <row r="67" spans="1:72" x14ac:dyDescent="0.25">
      <c r="AL67" s="3" t="s">
        <v>251</v>
      </c>
      <c r="AM67" t="s">
        <v>341</v>
      </c>
      <c r="AN67">
        <f>0.05*V18</f>
        <v>0.22787600000000002</v>
      </c>
      <c r="AO67">
        <v>0.2</v>
      </c>
      <c r="AP67">
        <v>1</v>
      </c>
      <c r="AQ67">
        <v>0.16</v>
      </c>
      <c r="AR67">
        <v>0.1</v>
      </c>
      <c r="AS67" s="9" t="s">
        <v>395</v>
      </c>
      <c r="AT67">
        <f t="shared" si="60"/>
        <v>0.35987599999999997</v>
      </c>
      <c r="AU67">
        <f t="shared" si="61"/>
        <v>0.39586359999999998</v>
      </c>
    </row>
    <row r="68" spans="1:72" x14ac:dyDescent="0.25">
      <c r="AL68" s="3" t="s">
        <v>252</v>
      </c>
      <c r="AM68" t="s">
        <v>342</v>
      </c>
      <c r="AN68">
        <f>V18*0.81+V7*0.1</f>
        <v>4.2600162000000008</v>
      </c>
      <c r="AO68">
        <v>4</v>
      </c>
      <c r="AP68">
        <v>2</v>
      </c>
      <c r="AQ68">
        <v>0.16</v>
      </c>
      <c r="AR68">
        <v>0.1</v>
      </c>
      <c r="AS68" s="9" t="s">
        <v>395</v>
      </c>
      <c r="AT68">
        <f t="shared" si="60"/>
        <v>5.6400162000000007</v>
      </c>
      <c r="AU68">
        <f t="shared" si="61"/>
        <v>6.2040178200000007</v>
      </c>
    </row>
    <row r="69" spans="1:72" x14ac:dyDescent="0.25">
      <c r="AL69" s="3" t="s">
        <v>253</v>
      </c>
      <c r="AM69" t="s">
        <v>343</v>
      </c>
      <c r="AN69">
        <f>V18*0.41+V7*0.5</f>
        <v>4.7107082</v>
      </c>
      <c r="AO69">
        <v>4</v>
      </c>
      <c r="AP69">
        <v>2</v>
      </c>
      <c r="AQ69">
        <v>0.16</v>
      </c>
      <c r="AR69">
        <v>0.1</v>
      </c>
      <c r="AS69" s="9" t="s">
        <v>395</v>
      </c>
      <c r="AT69">
        <f t="shared" si="60"/>
        <v>6.0907081999999999</v>
      </c>
      <c r="AU69">
        <f t="shared" si="61"/>
        <v>6.6997790200000003</v>
      </c>
    </row>
    <row r="70" spans="1:72" x14ac:dyDescent="0.25">
      <c r="AL70" s="3" t="s">
        <v>254</v>
      </c>
      <c r="AM70" t="s">
        <v>344</v>
      </c>
      <c r="AN70">
        <f>V7*4.54</f>
        <v>25.806495000000002</v>
      </c>
      <c r="AO70">
        <v>0.6</v>
      </c>
      <c r="AP70">
        <v>2</v>
      </c>
      <c r="AQ70">
        <v>0.16</v>
      </c>
      <c r="AR70">
        <v>0.1</v>
      </c>
      <c r="AS70" s="9" t="s">
        <v>395</v>
      </c>
      <c r="AT70">
        <f t="shared" si="60"/>
        <v>26.098495000000003</v>
      </c>
      <c r="AU70">
        <f t="shared" si="61"/>
        <v>28.708344500000003</v>
      </c>
    </row>
    <row r="71" spans="1:72" x14ac:dyDescent="0.25">
      <c r="AL71" s="3" t="s">
        <v>255</v>
      </c>
      <c r="AM71" t="s">
        <v>345</v>
      </c>
      <c r="AN71">
        <v>10</v>
      </c>
      <c r="AO71">
        <v>0.2</v>
      </c>
      <c r="AP71">
        <v>1</v>
      </c>
      <c r="AQ71">
        <v>0.2</v>
      </c>
      <c r="AR71">
        <v>0.1</v>
      </c>
      <c r="AS71" s="9">
        <v>0</v>
      </c>
      <c r="AT71">
        <f>AN71+AO71*AP71*AQ71+AR71</f>
        <v>10.139999999999999</v>
      </c>
      <c r="AU71">
        <f>(AS71*AT71)+AT71</f>
        <v>10.139999999999999</v>
      </c>
    </row>
    <row r="72" spans="1:72" x14ac:dyDescent="0.25">
      <c r="AL72" s="3" t="s">
        <v>256</v>
      </c>
      <c r="AM72" t="s">
        <v>346</v>
      </c>
      <c r="AN72">
        <f>I4*3.18</f>
        <v>3.6228149999999997</v>
      </c>
      <c r="AO72">
        <v>0.1</v>
      </c>
      <c r="AP72">
        <v>1</v>
      </c>
      <c r="AQ72">
        <v>0.14000000000000001</v>
      </c>
      <c r="AR72">
        <v>0.1</v>
      </c>
      <c r="AS72" s="9" t="s">
        <v>394</v>
      </c>
      <c r="AT72">
        <f>AN72+AO72*AP72*AQ72+AR72</f>
        <v>3.7368149999999996</v>
      </c>
      <c r="AU72">
        <f>(AS72*AT72)+AT72</f>
        <v>3.8489194499999995</v>
      </c>
    </row>
    <row r="73" spans="1:72" x14ac:dyDescent="0.25">
      <c r="AL73" s="3" t="s">
        <v>347</v>
      </c>
      <c r="AM73" t="s">
        <v>348</v>
      </c>
      <c r="AN73">
        <f>V7*0.227</f>
        <v>1.2903247500000001</v>
      </c>
      <c r="AO73">
        <v>0.2</v>
      </c>
      <c r="AP73">
        <v>1</v>
      </c>
      <c r="AQ73">
        <v>0.16</v>
      </c>
      <c r="AR73">
        <v>0.1</v>
      </c>
      <c r="AS73" s="9" t="s">
        <v>395</v>
      </c>
      <c r="AT73">
        <f>AN73+AO73*AP73*AQ73+AR73</f>
        <v>1.4223247500000002</v>
      </c>
      <c r="AU73">
        <f>(AS73*AT73)+AT73</f>
        <v>1.5645572250000002</v>
      </c>
    </row>
    <row r="74" spans="1:72" x14ac:dyDescent="0.25">
      <c r="A74" t="s">
        <v>153</v>
      </c>
      <c r="AL74" s="3" t="s">
        <v>257</v>
      </c>
      <c r="AM74" t="s">
        <v>349</v>
      </c>
      <c r="AN74">
        <f>V7*0.11</f>
        <v>0.62526750000000009</v>
      </c>
      <c r="AO74">
        <v>0.1</v>
      </c>
      <c r="AP74">
        <v>1</v>
      </c>
      <c r="AQ74">
        <v>0.16</v>
      </c>
      <c r="AR74">
        <v>0.1</v>
      </c>
      <c r="AS74" s="9" t="s">
        <v>395</v>
      </c>
      <c r="AT74">
        <f>AN74+AO74*AP74*AQ74+AR74</f>
        <v>0.74126750000000008</v>
      </c>
      <c r="AU74">
        <f>(AS74*AT74)+AT74</f>
        <v>0.8153942500000001</v>
      </c>
    </row>
    <row r="75" spans="1:72" x14ac:dyDescent="0.25">
      <c r="A75" t="s">
        <v>158</v>
      </c>
      <c r="AL75" s="3" t="s">
        <v>1020</v>
      </c>
      <c r="AM75" t="s">
        <v>1019</v>
      </c>
      <c r="AN75">
        <f>V8*0.3</f>
        <v>60.974550000000001</v>
      </c>
      <c r="AO75">
        <v>1</v>
      </c>
      <c r="AP75">
        <v>1</v>
      </c>
      <c r="AQ75">
        <v>0.16</v>
      </c>
      <c r="AR75">
        <v>0.1</v>
      </c>
      <c r="AS75" s="9" t="s">
        <v>1023</v>
      </c>
      <c r="AT75">
        <f t="shared" ref="AT75:AT76" si="121">AN75+AO75*AP75*AQ75+AR75</f>
        <v>61.234549999999999</v>
      </c>
      <c r="AU75">
        <f t="shared" ref="AU75:AU76" si="122">(AS75*AT75)+AT75</f>
        <v>79.604915000000005</v>
      </c>
    </row>
    <row r="76" spans="1:72" x14ac:dyDescent="0.25">
      <c r="A76" t="s">
        <v>159</v>
      </c>
      <c r="B76" s="2">
        <v>0.02</v>
      </c>
      <c r="AL76" s="3" t="s">
        <v>1021</v>
      </c>
      <c r="AM76" t="s">
        <v>1022</v>
      </c>
      <c r="AN76">
        <f>V16*0.3</f>
        <v>289.71708765849269</v>
      </c>
      <c r="AO76">
        <v>1</v>
      </c>
      <c r="AP76">
        <v>1</v>
      </c>
      <c r="AQ76">
        <v>0.16</v>
      </c>
      <c r="AR76">
        <v>0.1</v>
      </c>
      <c r="AS76" s="9" t="s">
        <v>1024</v>
      </c>
      <c r="AT76">
        <f t="shared" si="121"/>
        <v>289.97708765849274</v>
      </c>
      <c r="AU76">
        <f t="shared" si="122"/>
        <v>405.96792272188986</v>
      </c>
    </row>
    <row r="77" spans="1:72" x14ac:dyDescent="0.25">
      <c r="A77" t="s">
        <v>393</v>
      </c>
      <c r="B77" s="2">
        <v>0.03</v>
      </c>
    </row>
    <row r="78" spans="1:72" x14ac:dyDescent="0.25">
      <c r="A78" t="s">
        <v>160</v>
      </c>
      <c r="B78" s="2">
        <v>0.25</v>
      </c>
      <c r="C78" t="s">
        <v>161</v>
      </c>
    </row>
    <row r="79" spans="1:72" x14ac:dyDescent="0.25">
      <c r="A79" t="s">
        <v>167</v>
      </c>
      <c r="B79" s="2">
        <v>0</v>
      </c>
      <c r="AL79" s="8" t="s">
        <v>71</v>
      </c>
      <c r="AS79" s="9" t="s">
        <v>392</v>
      </c>
    </row>
    <row r="80" spans="1:72" x14ac:dyDescent="0.25">
      <c r="A80" t="s">
        <v>168</v>
      </c>
      <c r="B80" s="2">
        <v>0.1</v>
      </c>
      <c r="AL80" s="3" t="s">
        <v>72</v>
      </c>
      <c r="AM80" t="s">
        <v>350</v>
      </c>
      <c r="AN80">
        <f>V10*3.63</f>
        <v>13.937512049999999</v>
      </c>
      <c r="AO80">
        <v>10</v>
      </c>
      <c r="AP80">
        <v>1</v>
      </c>
      <c r="AQ80">
        <v>0.15</v>
      </c>
      <c r="AR80">
        <v>0.2</v>
      </c>
      <c r="AS80" s="9" t="s">
        <v>396</v>
      </c>
      <c r="AT80">
        <f t="shared" ref="AT80:AT92" si="123">AN80+AO80*AP80*AQ80+AR80</f>
        <v>15.637512049999998</v>
      </c>
      <c r="AU80">
        <f t="shared" ref="AU80:AU92" si="124">(AS80*AT80)+AT80</f>
        <v>16.419387652499999</v>
      </c>
    </row>
    <row r="81" spans="1:47" x14ac:dyDescent="0.25">
      <c r="A81" t="s">
        <v>179</v>
      </c>
      <c r="B81" s="2">
        <v>0.05</v>
      </c>
      <c r="AL81" s="3" t="s">
        <v>73</v>
      </c>
      <c r="AM81" t="s">
        <v>351</v>
      </c>
      <c r="AN81">
        <f>4.54*I12</f>
        <v>5.1721949999999994</v>
      </c>
      <c r="AO81">
        <v>8</v>
      </c>
      <c r="AP81">
        <v>1</v>
      </c>
      <c r="AQ81">
        <v>0.15</v>
      </c>
      <c r="AR81">
        <v>0.2</v>
      </c>
      <c r="AS81" s="9" t="s">
        <v>396</v>
      </c>
      <c r="AT81">
        <f t="shared" si="123"/>
        <v>6.5721949999999998</v>
      </c>
      <c r="AU81">
        <f t="shared" si="124"/>
        <v>6.9008047499999998</v>
      </c>
    </row>
    <row r="82" spans="1:47" x14ac:dyDescent="0.25">
      <c r="A82" t="s">
        <v>169</v>
      </c>
      <c r="B82" s="2">
        <v>0.15</v>
      </c>
      <c r="AL82" s="3" t="s">
        <v>74</v>
      </c>
      <c r="AM82" t="s">
        <v>352</v>
      </c>
      <c r="AN82">
        <f>I12*4.54+1.36*V15</f>
        <v>142.28960371184999</v>
      </c>
      <c r="AO82">
        <v>12</v>
      </c>
      <c r="AP82">
        <v>1</v>
      </c>
      <c r="AQ82">
        <v>0.15</v>
      </c>
      <c r="AR82">
        <v>0.2</v>
      </c>
      <c r="AS82" s="9" t="s">
        <v>396</v>
      </c>
      <c r="AT82">
        <f t="shared" si="123"/>
        <v>144.28960371184999</v>
      </c>
      <c r="AU82">
        <f t="shared" si="124"/>
        <v>151.50408389744248</v>
      </c>
    </row>
    <row r="83" spans="1:47" x14ac:dyDescent="0.25">
      <c r="A83" t="s">
        <v>181</v>
      </c>
      <c r="B83" s="2">
        <v>0.08</v>
      </c>
      <c r="E83" t="s">
        <v>409</v>
      </c>
      <c r="G83" t="s">
        <v>412</v>
      </c>
      <c r="H83" t="s">
        <v>413</v>
      </c>
      <c r="AL83" s="3" t="s">
        <v>75</v>
      </c>
      <c r="AM83" t="s">
        <v>353</v>
      </c>
      <c r="AN83">
        <f>5.44*I12</f>
        <v>6.1975199999999999</v>
      </c>
      <c r="AO83">
        <v>12</v>
      </c>
      <c r="AP83">
        <v>1</v>
      </c>
      <c r="AQ83">
        <v>0.15</v>
      </c>
      <c r="AR83">
        <v>0.2</v>
      </c>
      <c r="AS83" s="9" t="s">
        <v>396</v>
      </c>
      <c r="AT83">
        <f t="shared" si="123"/>
        <v>8.197519999999999</v>
      </c>
      <c r="AU83">
        <f t="shared" si="124"/>
        <v>8.6073959999999996</v>
      </c>
    </row>
    <row r="84" spans="1:47" x14ac:dyDescent="0.25">
      <c r="A84" t="s">
        <v>183</v>
      </c>
      <c r="B84" t="s">
        <v>403</v>
      </c>
      <c r="C84">
        <v>20</v>
      </c>
      <c r="D84" t="s">
        <v>408</v>
      </c>
      <c r="E84">
        <f>C84/12</f>
        <v>1.6666666666666667</v>
      </c>
      <c r="G84">
        <f>H84*100</f>
        <v>500</v>
      </c>
      <c r="H84">
        <v>5</v>
      </c>
      <c r="AL84" s="3" t="s">
        <v>76</v>
      </c>
      <c r="AM84" t="s">
        <v>355</v>
      </c>
      <c r="AN84">
        <f>9.07*V7</f>
        <v>51.556147500000009</v>
      </c>
      <c r="AO84">
        <v>70</v>
      </c>
      <c r="AP84">
        <v>3</v>
      </c>
      <c r="AQ84">
        <v>0.16</v>
      </c>
      <c r="AR84">
        <v>0.2</v>
      </c>
      <c r="AS84" s="9" t="s">
        <v>395</v>
      </c>
      <c r="AT84">
        <f t="shared" si="123"/>
        <v>85.356147500000006</v>
      </c>
      <c r="AU84">
        <f t="shared" si="124"/>
        <v>93.891762249999999</v>
      </c>
    </row>
    <row r="85" spans="1:47" x14ac:dyDescent="0.25">
      <c r="B85" t="s">
        <v>404</v>
      </c>
      <c r="C85">
        <v>30</v>
      </c>
      <c r="E85">
        <f t="shared" ref="E85:E88" si="125">C85/12</f>
        <v>2.5</v>
      </c>
      <c r="G85">
        <f t="shared" ref="G85:G88" si="126">H85*100</f>
        <v>1000</v>
      </c>
      <c r="H85">
        <v>10</v>
      </c>
      <c r="AL85" s="3" t="s">
        <v>77</v>
      </c>
      <c r="AM85" t="s">
        <v>356</v>
      </c>
      <c r="AN85">
        <f>20.41*V7</f>
        <v>116.01554250000001</v>
      </c>
      <c r="AO85">
        <v>70</v>
      </c>
      <c r="AP85">
        <v>3</v>
      </c>
      <c r="AQ85">
        <v>0.16</v>
      </c>
      <c r="AR85">
        <v>0.2</v>
      </c>
      <c r="AS85" s="9" t="s">
        <v>395</v>
      </c>
      <c r="AT85">
        <f t="shared" si="123"/>
        <v>149.81554249999999</v>
      </c>
      <c r="AU85">
        <f t="shared" si="124"/>
        <v>164.79709674999998</v>
      </c>
    </row>
    <row r="86" spans="1:47" x14ac:dyDescent="0.25">
      <c r="B86" t="s">
        <v>405</v>
      </c>
      <c r="C86">
        <v>50</v>
      </c>
      <c r="E86">
        <f t="shared" si="125"/>
        <v>4.166666666666667</v>
      </c>
      <c r="G86">
        <f t="shared" si="126"/>
        <v>1500</v>
      </c>
      <c r="H86">
        <v>15</v>
      </c>
      <c r="AL86" s="3" t="s">
        <v>78</v>
      </c>
      <c r="AM86" t="s">
        <v>354</v>
      </c>
      <c r="AN86">
        <f>9.07*V15</f>
        <v>914.45213015917614</v>
      </c>
      <c r="AO86">
        <v>50</v>
      </c>
      <c r="AP86">
        <v>2</v>
      </c>
      <c r="AQ86">
        <v>0.16</v>
      </c>
      <c r="AR86">
        <v>0.2</v>
      </c>
      <c r="AS86" s="9" t="s">
        <v>395</v>
      </c>
      <c r="AT86">
        <f t="shared" si="123"/>
        <v>930.65213015917618</v>
      </c>
      <c r="AU86">
        <f t="shared" si="124"/>
        <v>1023.7173431750938</v>
      </c>
    </row>
    <row r="87" spans="1:47" x14ac:dyDescent="0.25">
      <c r="B87" t="s">
        <v>406</v>
      </c>
      <c r="C87">
        <v>100</v>
      </c>
      <c r="E87">
        <f t="shared" si="125"/>
        <v>8.3333333333333339</v>
      </c>
      <c r="G87">
        <f t="shared" si="126"/>
        <v>2500</v>
      </c>
      <c r="H87">
        <v>25</v>
      </c>
      <c r="AL87" s="3" t="s">
        <v>79</v>
      </c>
      <c r="AM87" t="s">
        <v>357</v>
      </c>
      <c r="AN87">
        <f>V15*18.14</f>
        <v>1828.9042603183523</v>
      </c>
      <c r="AO87">
        <v>30</v>
      </c>
      <c r="AP87">
        <v>2</v>
      </c>
      <c r="AQ87">
        <v>0.16</v>
      </c>
      <c r="AR87">
        <v>0.2</v>
      </c>
      <c r="AS87" s="9" t="s">
        <v>395</v>
      </c>
      <c r="AT87">
        <f t="shared" si="123"/>
        <v>1838.7042603183522</v>
      </c>
      <c r="AU87">
        <f t="shared" si="124"/>
        <v>2022.5746863501874</v>
      </c>
    </row>
    <row r="88" spans="1:47" x14ac:dyDescent="0.25">
      <c r="B88" t="s">
        <v>407</v>
      </c>
      <c r="C88">
        <v>300</v>
      </c>
      <c r="E88">
        <f t="shared" si="125"/>
        <v>25</v>
      </c>
      <c r="G88">
        <f t="shared" si="126"/>
        <v>10000</v>
      </c>
      <c r="H88">
        <v>100</v>
      </c>
      <c r="AL88" s="3" t="s">
        <v>80</v>
      </c>
      <c r="AM88" t="s">
        <v>357</v>
      </c>
      <c r="AN88">
        <f>V15*18.14</f>
        <v>1828.9042603183523</v>
      </c>
      <c r="AO88">
        <v>70</v>
      </c>
      <c r="AP88">
        <v>3</v>
      </c>
      <c r="AQ88">
        <v>0.16</v>
      </c>
      <c r="AR88">
        <v>0.2</v>
      </c>
      <c r="AS88" s="9" t="s">
        <v>395</v>
      </c>
      <c r="AT88">
        <f t="shared" si="123"/>
        <v>1862.7042603183522</v>
      </c>
      <c r="AU88">
        <f t="shared" si="124"/>
        <v>2048.9746863501873</v>
      </c>
    </row>
    <row r="89" spans="1:47" x14ac:dyDescent="0.25">
      <c r="AL89" s="3" t="s">
        <v>81</v>
      </c>
      <c r="AM89" t="s">
        <v>358</v>
      </c>
      <c r="AN89">
        <f>V15*24.95</f>
        <v>2515.4995201181305</v>
      </c>
      <c r="AO89">
        <v>70</v>
      </c>
      <c r="AP89">
        <v>3</v>
      </c>
      <c r="AQ89">
        <v>0.16</v>
      </c>
      <c r="AR89">
        <v>0.2</v>
      </c>
      <c r="AS89" s="9" t="s">
        <v>395</v>
      </c>
      <c r="AT89">
        <f t="shared" si="123"/>
        <v>2549.2995201181302</v>
      </c>
      <c r="AU89">
        <f t="shared" si="124"/>
        <v>2804.2294721299431</v>
      </c>
    </row>
    <row r="90" spans="1:47" x14ac:dyDescent="0.25">
      <c r="AL90" s="3" t="s">
        <v>82</v>
      </c>
      <c r="AM90" t="s">
        <v>359</v>
      </c>
      <c r="AN90">
        <f>V15*27.22</f>
        <v>2744.3646067180566</v>
      </c>
      <c r="AO90">
        <v>65</v>
      </c>
      <c r="AP90">
        <v>3</v>
      </c>
      <c r="AQ90">
        <v>0.16</v>
      </c>
      <c r="AR90">
        <v>0.2</v>
      </c>
      <c r="AS90" s="9" t="s">
        <v>395</v>
      </c>
      <c r="AT90">
        <f t="shared" si="123"/>
        <v>2775.7646067180563</v>
      </c>
      <c r="AU90">
        <f t="shared" si="124"/>
        <v>3053.341067389862</v>
      </c>
    </row>
    <row r="91" spans="1:47" x14ac:dyDescent="0.25">
      <c r="AL91" s="3" t="s">
        <v>83</v>
      </c>
      <c r="AM91" t="s">
        <v>360</v>
      </c>
      <c r="AN91">
        <f>V15*29.48</f>
        <v>2972.2214770774544</v>
      </c>
      <c r="AO91">
        <v>80</v>
      </c>
      <c r="AP91">
        <v>2</v>
      </c>
      <c r="AQ91">
        <v>0.16</v>
      </c>
      <c r="AR91">
        <v>0.2</v>
      </c>
      <c r="AS91" s="9" t="s">
        <v>395</v>
      </c>
      <c r="AT91">
        <f t="shared" si="123"/>
        <v>2998.0214770774542</v>
      </c>
      <c r="AU91">
        <f t="shared" si="124"/>
        <v>3297.8236247851996</v>
      </c>
    </row>
    <row r="92" spans="1:47" x14ac:dyDescent="0.25">
      <c r="AL92" s="3" t="s">
        <v>84</v>
      </c>
      <c r="AM92" t="s">
        <v>361</v>
      </c>
      <c r="AN92">
        <f>V15*1.72+I4</f>
        <v>174.55244337086913</v>
      </c>
      <c r="AO92">
        <v>1</v>
      </c>
      <c r="AP92">
        <v>1</v>
      </c>
      <c r="AQ92">
        <v>0.16</v>
      </c>
      <c r="AR92">
        <v>0.2</v>
      </c>
      <c r="AS92" s="9" t="s">
        <v>395</v>
      </c>
      <c r="AT92">
        <f t="shared" si="123"/>
        <v>174.91244337086911</v>
      </c>
      <c r="AU92">
        <f t="shared" si="124"/>
        <v>192.40368770795601</v>
      </c>
    </row>
    <row r="93" spans="1:47" x14ac:dyDescent="0.25">
      <c r="AL93" s="8" t="s">
        <v>85</v>
      </c>
      <c r="AS93" s="9" t="s">
        <v>392</v>
      </c>
    </row>
    <row r="94" spans="1:47" x14ac:dyDescent="0.25">
      <c r="AL94" s="3" t="s">
        <v>86</v>
      </c>
      <c r="AM94" t="s">
        <v>362</v>
      </c>
      <c r="AN94">
        <f>I4*1.81</f>
        <v>2.0620425</v>
      </c>
      <c r="AO94">
        <v>0.5</v>
      </c>
      <c r="AP94">
        <v>1</v>
      </c>
      <c r="AQ94">
        <v>0.14000000000000001</v>
      </c>
      <c r="AR94">
        <v>0.2</v>
      </c>
      <c r="AS94" s="9" t="s">
        <v>394</v>
      </c>
      <c r="AT94">
        <f t="shared" ref="AT94:AT134" si="127">AN94+AO94*AP94*AQ94+AR94</f>
        <v>2.3320425</v>
      </c>
      <c r="AU94">
        <f t="shared" ref="AU94:AU134" si="128">(AS94*AT94)+AT94</f>
        <v>2.4020037749999998</v>
      </c>
    </row>
    <row r="95" spans="1:47" x14ac:dyDescent="0.25">
      <c r="AL95" s="3" t="s">
        <v>87</v>
      </c>
      <c r="AM95" t="s">
        <v>363</v>
      </c>
      <c r="AN95">
        <f>V15+I4*0.81</f>
        <v>101.74441655283088</v>
      </c>
      <c r="AO95">
        <v>12</v>
      </c>
      <c r="AP95">
        <v>1</v>
      </c>
      <c r="AQ95">
        <v>0.14000000000000001</v>
      </c>
      <c r="AR95">
        <v>0.2</v>
      </c>
      <c r="AS95" s="9" t="s">
        <v>394</v>
      </c>
      <c r="AT95">
        <f t="shared" si="127"/>
        <v>103.62441655283089</v>
      </c>
      <c r="AU95">
        <f t="shared" si="128"/>
        <v>106.73314904941581</v>
      </c>
    </row>
    <row r="96" spans="1:47" x14ac:dyDescent="0.25">
      <c r="AL96" s="3" t="s">
        <v>88</v>
      </c>
      <c r="AM96" t="s">
        <v>364</v>
      </c>
      <c r="AN96">
        <f>I4*0.91</f>
        <v>1.0367175</v>
      </c>
      <c r="AO96">
        <v>0.5</v>
      </c>
      <c r="AP96">
        <v>1</v>
      </c>
      <c r="AQ96">
        <v>0.14000000000000001</v>
      </c>
      <c r="AR96">
        <v>0.2</v>
      </c>
      <c r="AS96" s="9" t="s">
        <v>394</v>
      </c>
      <c r="AT96">
        <f t="shared" si="127"/>
        <v>1.3067175</v>
      </c>
      <c r="AU96">
        <f t="shared" si="128"/>
        <v>1.3459190249999999</v>
      </c>
    </row>
    <row r="97" spans="38:47" x14ac:dyDescent="0.25">
      <c r="AL97" s="3" t="s">
        <v>89</v>
      </c>
      <c r="AM97" t="s">
        <v>335</v>
      </c>
      <c r="AN97">
        <f>V7*0.45</f>
        <v>2.5579125000000005</v>
      </c>
      <c r="AO97">
        <v>6</v>
      </c>
      <c r="AP97">
        <v>1</v>
      </c>
      <c r="AQ97">
        <v>0.16</v>
      </c>
      <c r="AR97">
        <v>0.2</v>
      </c>
      <c r="AS97" s="9" t="s">
        <v>395</v>
      </c>
      <c r="AT97">
        <f t="shared" si="127"/>
        <v>3.7179125000000006</v>
      </c>
      <c r="AU97">
        <f t="shared" si="128"/>
        <v>4.0897037500000009</v>
      </c>
    </row>
    <row r="98" spans="38:47" x14ac:dyDescent="0.25">
      <c r="AL98" s="3" t="s">
        <v>90</v>
      </c>
      <c r="AM98" t="s">
        <v>365</v>
      </c>
      <c r="AN98">
        <f xml:space="preserve"> 1.1*I4+0.26*V7</f>
        <v>2.7310800000000004</v>
      </c>
      <c r="AO98">
        <v>6</v>
      </c>
      <c r="AP98">
        <v>1</v>
      </c>
      <c r="AQ98">
        <v>0.16</v>
      </c>
      <c r="AR98">
        <v>0.2</v>
      </c>
      <c r="AS98" s="9" t="s">
        <v>395</v>
      </c>
      <c r="AT98">
        <f t="shared" si="127"/>
        <v>3.8910800000000005</v>
      </c>
      <c r="AU98">
        <f t="shared" si="128"/>
        <v>4.2801880000000008</v>
      </c>
    </row>
    <row r="99" spans="38:47" x14ac:dyDescent="0.25">
      <c r="AL99" s="3" t="s">
        <v>91</v>
      </c>
      <c r="AM99" t="s">
        <v>367</v>
      </c>
      <c r="AN99">
        <f>0.31*I4</f>
        <v>0.35316749999999997</v>
      </c>
      <c r="AO99">
        <v>24</v>
      </c>
      <c r="AP99">
        <v>1</v>
      </c>
      <c r="AQ99">
        <v>0.16</v>
      </c>
      <c r="AR99">
        <v>0.2</v>
      </c>
      <c r="AS99" s="9" t="s">
        <v>395</v>
      </c>
      <c r="AT99">
        <f t="shared" si="127"/>
        <v>4.3931674999999997</v>
      </c>
      <c r="AU99">
        <f t="shared" si="128"/>
        <v>4.8324842499999994</v>
      </c>
    </row>
    <row r="100" spans="38:47" x14ac:dyDescent="0.25">
      <c r="AL100" s="3" t="s">
        <v>92</v>
      </c>
      <c r="AM100" t="s">
        <v>368</v>
      </c>
      <c r="AN100">
        <f>0.8*I4+0.11*V7</f>
        <v>1.5366675000000001</v>
      </c>
      <c r="AO100">
        <v>2</v>
      </c>
      <c r="AP100">
        <v>1</v>
      </c>
      <c r="AQ100">
        <v>0.16</v>
      </c>
      <c r="AR100">
        <v>0.2</v>
      </c>
      <c r="AS100" s="9" t="s">
        <v>395</v>
      </c>
      <c r="AT100">
        <f t="shared" si="127"/>
        <v>2.0566675000000001</v>
      </c>
      <c r="AU100">
        <f t="shared" si="128"/>
        <v>2.2623342500000003</v>
      </c>
    </row>
    <row r="101" spans="38:47" x14ac:dyDescent="0.25">
      <c r="AL101" s="3" t="s">
        <v>93</v>
      </c>
      <c r="AM101" t="s">
        <v>369</v>
      </c>
      <c r="AN101">
        <f>I4*4+V7*0.54</f>
        <v>7.6264950000000002</v>
      </c>
      <c r="AO101">
        <v>1</v>
      </c>
      <c r="AP101">
        <v>1</v>
      </c>
      <c r="AQ101">
        <v>0.16</v>
      </c>
      <c r="AR101">
        <v>0.2</v>
      </c>
      <c r="AS101" s="9" t="s">
        <v>395</v>
      </c>
      <c r="AT101">
        <f t="shared" si="127"/>
        <v>7.9864950000000006</v>
      </c>
      <c r="AU101">
        <f t="shared" si="128"/>
        <v>8.7851445000000012</v>
      </c>
    </row>
    <row r="102" spans="38:47" x14ac:dyDescent="0.25">
      <c r="AL102" s="3" t="s">
        <v>94</v>
      </c>
      <c r="AM102" t="s">
        <v>370</v>
      </c>
      <c r="AN102">
        <f>0.4*I4+0.51*V15</f>
        <v>51.874728266943755</v>
      </c>
      <c r="AO102">
        <v>30</v>
      </c>
      <c r="AP102">
        <v>1</v>
      </c>
      <c r="AQ102">
        <v>0.16</v>
      </c>
      <c r="AR102">
        <v>0.2</v>
      </c>
      <c r="AS102" s="9" t="s">
        <v>395</v>
      </c>
      <c r="AT102">
        <f t="shared" si="127"/>
        <v>56.874728266943755</v>
      </c>
      <c r="AU102">
        <f t="shared" si="128"/>
        <v>62.56220109363813</v>
      </c>
    </row>
    <row r="103" spans="38:47" x14ac:dyDescent="0.25">
      <c r="AL103" s="3" t="s">
        <v>95</v>
      </c>
      <c r="AM103" t="s">
        <v>371</v>
      </c>
      <c r="AN103">
        <f xml:space="preserve"> 0.21*I4+0.7*V15</f>
        <v>70.814379336981617</v>
      </c>
      <c r="AO103">
        <v>9</v>
      </c>
      <c r="AP103">
        <v>1</v>
      </c>
      <c r="AQ103">
        <v>0.16</v>
      </c>
      <c r="AR103">
        <v>0.2</v>
      </c>
      <c r="AS103" s="9" t="s">
        <v>395</v>
      </c>
      <c r="AT103">
        <f t="shared" si="127"/>
        <v>72.454379336981617</v>
      </c>
      <c r="AU103">
        <f t="shared" si="128"/>
        <v>79.699817270679773</v>
      </c>
    </row>
    <row r="104" spans="38:47" x14ac:dyDescent="0.25">
      <c r="AL104" s="3" t="s">
        <v>118</v>
      </c>
      <c r="AM104" t="s">
        <v>372</v>
      </c>
      <c r="AN104">
        <f>I4*2+V7*0.27</f>
        <v>3.8132475000000001</v>
      </c>
      <c r="AO104">
        <v>90</v>
      </c>
      <c r="AP104">
        <v>2</v>
      </c>
      <c r="AQ104">
        <v>0.16</v>
      </c>
      <c r="AR104">
        <v>0.2</v>
      </c>
      <c r="AS104" s="9" t="s">
        <v>395</v>
      </c>
      <c r="AT104">
        <f t="shared" si="127"/>
        <v>32.813247500000003</v>
      </c>
      <c r="AU104">
        <f t="shared" si="128"/>
        <v>36.094572250000006</v>
      </c>
    </row>
    <row r="105" spans="38:47" x14ac:dyDescent="0.25">
      <c r="AL105" s="3" t="s">
        <v>96</v>
      </c>
      <c r="AM105" t="s">
        <v>373</v>
      </c>
      <c r="AN105">
        <f>0.11*I4</f>
        <v>0.1253175</v>
      </c>
      <c r="AO105">
        <v>0.5</v>
      </c>
      <c r="AP105">
        <v>1</v>
      </c>
      <c r="AQ105">
        <v>0.14000000000000001</v>
      </c>
      <c r="AR105">
        <v>0.2</v>
      </c>
      <c r="AS105" s="9" t="s">
        <v>394</v>
      </c>
      <c r="AT105">
        <f t="shared" si="127"/>
        <v>0.39531749999999999</v>
      </c>
      <c r="AU105">
        <f t="shared" si="128"/>
        <v>0.40717702499999997</v>
      </c>
    </row>
    <row r="106" spans="38:47" x14ac:dyDescent="0.25">
      <c r="AL106" s="3" t="s">
        <v>97</v>
      </c>
      <c r="AM106" t="s">
        <v>364</v>
      </c>
      <c r="AN106">
        <f>0.91*I4</f>
        <v>1.0367175</v>
      </c>
      <c r="AO106">
        <v>0.5</v>
      </c>
      <c r="AP106">
        <v>1</v>
      </c>
      <c r="AQ106">
        <v>0.14000000000000001</v>
      </c>
      <c r="AR106">
        <v>0.2</v>
      </c>
      <c r="AS106" s="9" t="s">
        <v>394</v>
      </c>
      <c r="AT106">
        <f t="shared" si="127"/>
        <v>1.3067175</v>
      </c>
      <c r="AU106">
        <f t="shared" si="128"/>
        <v>1.3459190249999999</v>
      </c>
    </row>
    <row r="107" spans="38:47" x14ac:dyDescent="0.25">
      <c r="AL107" s="3" t="s">
        <v>98</v>
      </c>
      <c r="AM107" t="s">
        <v>374</v>
      </c>
      <c r="AN107">
        <f>V9*0.05</f>
        <v>0.22181481000000003</v>
      </c>
      <c r="AO107">
        <v>0.1</v>
      </c>
      <c r="AP107">
        <v>1</v>
      </c>
      <c r="AQ107">
        <v>0.13</v>
      </c>
      <c r="AR107">
        <v>0.2</v>
      </c>
      <c r="AS107" s="9">
        <v>0</v>
      </c>
      <c r="AT107">
        <f t="shared" si="127"/>
        <v>0.43481481000000005</v>
      </c>
      <c r="AU107">
        <f t="shared" si="128"/>
        <v>0.43481481000000005</v>
      </c>
    </row>
    <row r="108" spans="38:47" x14ac:dyDescent="0.25">
      <c r="AL108" s="3" t="s">
        <v>99</v>
      </c>
      <c r="AM108" t="s">
        <v>375</v>
      </c>
      <c r="AN108">
        <f>I4*2+0.27*V15</f>
        <v>29.500338494264341</v>
      </c>
      <c r="AO108">
        <v>90</v>
      </c>
      <c r="AP108">
        <v>2</v>
      </c>
      <c r="AQ108">
        <v>0.16</v>
      </c>
      <c r="AR108">
        <v>0.2</v>
      </c>
      <c r="AS108" s="9" t="s">
        <v>395</v>
      </c>
      <c r="AT108">
        <f t="shared" si="127"/>
        <v>58.500338494264341</v>
      </c>
      <c r="AU108">
        <f t="shared" si="128"/>
        <v>64.350372343690779</v>
      </c>
    </row>
    <row r="109" spans="38:47" x14ac:dyDescent="0.25">
      <c r="AL109" s="3" t="s">
        <v>100</v>
      </c>
      <c r="AM109" t="s">
        <v>376</v>
      </c>
      <c r="AN109">
        <f>0.3*I4+0.61*V15</f>
        <v>61.842965672226839</v>
      </c>
      <c r="AO109">
        <v>90</v>
      </c>
      <c r="AP109">
        <v>2</v>
      </c>
      <c r="AQ109">
        <v>0.16</v>
      </c>
      <c r="AR109">
        <v>0.2</v>
      </c>
      <c r="AS109" s="9" t="s">
        <v>395</v>
      </c>
      <c r="AT109">
        <f t="shared" si="127"/>
        <v>90.842965672226839</v>
      </c>
      <c r="AU109">
        <f t="shared" si="128"/>
        <v>99.927262239449519</v>
      </c>
    </row>
    <row r="110" spans="38:47" x14ac:dyDescent="0.25">
      <c r="AL110" s="3" t="s">
        <v>101</v>
      </c>
      <c r="AM110" t="s">
        <v>376</v>
      </c>
      <c r="AN110">
        <f>0.3*I4+0.61*V15</f>
        <v>61.842965672226839</v>
      </c>
      <c r="AO110">
        <v>90</v>
      </c>
      <c r="AP110">
        <v>2</v>
      </c>
      <c r="AQ110">
        <v>0.16</v>
      </c>
      <c r="AR110">
        <v>0.2</v>
      </c>
      <c r="AS110" s="9" t="s">
        <v>395</v>
      </c>
      <c r="AT110">
        <f t="shared" si="127"/>
        <v>90.842965672226839</v>
      </c>
      <c r="AU110">
        <f t="shared" si="128"/>
        <v>99.927262239449519</v>
      </c>
    </row>
    <row r="111" spans="38:47" x14ac:dyDescent="0.25">
      <c r="AL111" s="3" t="s">
        <v>102</v>
      </c>
      <c r="AM111" t="s">
        <v>366</v>
      </c>
      <c r="AN111">
        <f>0.41*I4+0.5*V15</f>
        <v>50.877904526415442</v>
      </c>
      <c r="AO111">
        <v>90</v>
      </c>
      <c r="AP111">
        <v>2</v>
      </c>
      <c r="AQ111">
        <v>0.16</v>
      </c>
      <c r="AR111">
        <v>0.2</v>
      </c>
      <c r="AS111" s="9" t="s">
        <v>395</v>
      </c>
      <c r="AT111">
        <f t="shared" si="127"/>
        <v>79.877904526415449</v>
      </c>
      <c r="AU111">
        <f t="shared" si="128"/>
        <v>87.865694979056997</v>
      </c>
    </row>
    <row r="112" spans="38:47" x14ac:dyDescent="0.25">
      <c r="AL112" s="3" t="s">
        <v>103</v>
      </c>
      <c r="AM112" t="s">
        <v>375</v>
      </c>
      <c r="AN112">
        <f>I4*2+0.27*V15</f>
        <v>29.500338494264341</v>
      </c>
      <c r="AO112">
        <v>180</v>
      </c>
      <c r="AP112">
        <v>2</v>
      </c>
      <c r="AQ112">
        <v>0.16</v>
      </c>
      <c r="AR112">
        <v>0.2</v>
      </c>
      <c r="AS112" s="9" t="s">
        <v>395</v>
      </c>
      <c r="AT112">
        <f t="shared" si="127"/>
        <v>87.300338494264352</v>
      </c>
      <c r="AU112">
        <f t="shared" si="128"/>
        <v>96.030372343690786</v>
      </c>
    </row>
    <row r="113" spans="38:47" x14ac:dyDescent="0.25">
      <c r="AL113" s="3" t="s">
        <v>104</v>
      </c>
      <c r="AM113" t="s">
        <v>377</v>
      </c>
      <c r="AN113">
        <f>V15*2.72</f>
        <v>274.23481742370001</v>
      </c>
      <c r="AO113">
        <v>90</v>
      </c>
      <c r="AP113">
        <v>2</v>
      </c>
      <c r="AQ113">
        <v>0.16</v>
      </c>
      <c r="AR113">
        <v>0.2</v>
      </c>
      <c r="AS113" s="9" t="s">
        <v>395</v>
      </c>
      <c r="AT113">
        <f t="shared" si="127"/>
        <v>303.23481742370001</v>
      </c>
      <c r="AU113">
        <f t="shared" si="128"/>
        <v>333.55829916607001</v>
      </c>
    </row>
    <row r="114" spans="38:47" x14ac:dyDescent="0.25">
      <c r="AL114" s="3" t="s">
        <v>105</v>
      </c>
      <c r="AM114" t="s">
        <v>378</v>
      </c>
      <c r="AN114">
        <f>I4*2.5+V15*0.22</f>
        <v>25.028882291622793</v>
      </c>
      <c r="AO114">
        <v>15</v>
      </c>
      <c r="AP114">
        <v>2</v>
      </c>
      <c r="AQ114">
        <v>0.16</v>
      </c>
      <c r="AR114">
        <v>0.2</v>
      </c>
      <c r="AS114" s="9" t="s">
        <v>395</v>
      </c>
      <c r="AT114">
        <f t="shared" si="127"/>
        <v>30.028882291622793</v>
      </c>
      <c r="AU114">
        <f t="shared" si="128"/>
        <v>33.031770520785074</v>
      </c>
    </row>
    <row r="115" spans="38:47" x14ac:dyDescent="0.25">
      <c r="AL115" s="3" t="s">
        <v>106</v>
      </c>
      <c r="AM115" t="s">
        <v>379</v>
      </c>
      <c r="AN115">
        <f>V15*1.36</f>
        <v>137.11740871185</v>
      </c>
      <c r="AO115">
        <v>72</v>
      </c>
      <c r="AP115">
        <v>2</v>
      </c>
      <c r="AQ115">
        <v>0.16</v>
      </c>
      <c r="AR115">
        <v>0.2</v>
      </c>
      <c r="AS115" s="9" t="s">
        <v>395</v>
      </c>
      <c r="AT115">
        <f t="shared" si="127"/>
        <v>160.35740871184998</v>
      </c>
      <c r="AU115">
        <f t="shared" si="128"/>
        <v>176.39314958303498</v>
      </c>
    </row>
    <row r="116" spans="38:47" x14ac:dyDescent="0.25">
      <c r="AL116" s="3" t="s">
        <v>107</v>
      </c>
      <c r="AM116" t="s">
        <v>380</v>
      </c>
      <c r="AN116">
        <f>I12*1.36</f>
        <v>1.54938</v>
      </c>
      <c r="AO116">
        <v>12</v>
      </c>
      <c r="AP116">
        <v>1</v>
      </c>
      <c r="AQ116">
        <v>0.15</v>
      </c>
      <c r="AR116">
        <v>0.2</v>
      </c>
      <c r="AS116" s="9" t="s">
        <v>396</v>
      </c>
      <c r="AT116">
        <f t="shared" si="127"/>
        <v>3.5493800000000002</v>
      </c>
      <c r="AU116">
        <f t="shared" si="128"/>
        <v>3.7268490000000001</v>
      </c>
    </row>
    <row r="117" spans="38:47" x14ac:dyDescent="0.25">
      <c r="AL117" s="3" t="s">
        <v>108</v>
      </c>
      <c r="AM117" t="s">
        <v>381</v>
      </c>
      <c r="AN117">
        <f>V15*0.91</f>
        <v>91.747677888076112</v>
      </c>
      <c r="AO117">
        <v>50</v>
      </c>
      <c r="AP117">
        <v>2</v>
      </c>
      <c r="AQ117">
        <v>0.16</v>
      </c>
      <c r="AR117">
        <v>0.2</v>
      </c>
      <c r="AS117" s="9" t="s">
        <v>395</v>
      </c>
      <c r="AT117">
        <f t="shared" si="127"/>
        <v>107.94767788807611</v>
      </c>
      <c r="AU117">
        <f t="shared" si="128"/>
        <v>118.74244567688373</v>
      </c>
    </row>
    <row r="118" spans="38:47" x14ac:dyDescent="0.25">
      <c r="AL118" s="3" t="s">
        <v>109</v>
      </c>
      <c r="AM118" t="s">
        <v>382</v>
      </c>
      <c r="AN118">
        <f>V15*4.54</f>
        <v>457.73017319985223</v>
      </c>
      <c r="AO118">
        <v>60</v>
      </c>
      <c r="AP118">
        <v>2</v>
      </c>
      <c r="AQ118">
        <v>0.16</v>
      </c>
      <c r="AR118">
        <v>0.2</v>
      </c>
      <c r="AS118" s="9" t="s">
        <v>395</v>
      </c>
      <c r="AT118">
        <f t="shared" si="127"/>
        <v>477.13017319985221</v>
      </c>
      <c r="AU118">
        <f t="shared" si="128"/>
        <v>524.84319051983744</v>
      </c>
    </row>
    <row r="119" spans="38:47" x14ac:dyDescent="0.25">
      <c r="AL119" s="3" t="s">
        <v>110</v>
      </c>
      <c r="AM119" t="s">
        <v>305</v>
      </c>
      <c r="AN119">
        <f>1.81*V15</f>
        <v>182.4871395356239</v>
      </c>
      <c r="AO119">
        <v>20</v>
      </c>
      <c r="AP119">
        <v>2</v>
      </c>
      <c r="AQ119">
        <v>0.16</v>
      </c>
      <c r="AR119">
        <v>0.2</v>
      </c>
      <c r="AS119" s="9" t="s">
        <v>395</v>
      </c>
      <c r="AT119">
        <f t="shared" si="127"/>
        <v>189.08713953562389</v>
      </c>
      <c r="AU119">
        <f t="shared" si="128"/>
        <v>207.99585348918629</v>
      </c>
    </row>
    <row r="120" spans="38:47" x14ac:dyDescent="0.25">
      <c r="AL120" s="3" t="s">
        <v>111</v>
      </c>
      <c r="AM120" t="s">
        <v>383</v>
      </c>
      <c r="AN120">
        <f>V15*8.16</f>
        <v>822.70445227110008</v>
      </c>
      <c r="AO120">
        <v>90</v>
      </c>
      <c r="AP120">
        <v>2</v>
      </c>
      <c r="AQ120">
        <v>0.16</v>
      </c>
      <c r="AR120">
        <v>0.2</v>
      </c>
      <c r="AS120" s="9" t="s">
        <v>395</v>
      </c>
      <c r="AT120">
        <f t="shared" si="127"/>
        <v>851.70445227110008</v>
      </c>
      <c r="AU120">
        <f t="shared" si="128"/>
        <v>936.87489749821009</v>
      </c>
    </row>
    <row r="121" spans="38:47" x14ac:dyDescent="0.25">
      <c r="AL121" s="3" t="s">
        <v>112</v>
      </c>
      <c r="AM121" t="s">
        <v>381</v>
      </c>
      <c r="AN121">
        <f>V15*0.91</f>
        <v>91.747677888076112</v>
      </c>
      <c r="AO121">
        <v>72</v>
      </c>
      <c r="AP121">
        <v>2</v>
      </c>
      <c r="AQ121">
        <v>0.16</v>
      </c>
      <c r="AR121">
        <v>0.2</v>
      </c>
      <c r="AS121" s="9" t="s">
        <v>395</v>
      </c>
      <c r="AT121">
        <f t="shared" si="127"/>
        <v>114.98767788807611</v>
      </c>
      <c r="AU121">
        <f t="shared" si="128"/>
        <v>126.48644567688372</v>
      </c>
    </row>
    <row r="122" spans="38:47" x14ac:dyDescent="0.25">
      <c r="AL122" s="3" t="s">
        <v>113</v>
      </c>
      <c r="AM122" t="s">
        <v>384</v>
      </c>
      <c r="AN122">
        <f>I4*0.68+2.5*V15</f>
        <v>252.8287501320772</v>
      </c>
      <c r="AO122">
        <v>72</v>
      </c>
      <c r="AP122">
        <v>2</v>
      </c>
      <c r="AQ122">
        <v>0.16</v>
      </c>
      <c r="AR122">
        <v>0.2</v>
      </c>
      <c r="AS122" s="9" t="s">
        <v>395</v>
      </c>
      <c r="AT122">
        <f t="shared" si="127"/>
        <v>276.06875013207718</v>
      </c>
      <c r="AU122">
        <f t="shared" si="128"/>
        <v>303.67562514528493</v>
      </c>
    </row>
    <row r="123" spans="38:47" x14ac:dyDescent="0.25">
      <c r="AL123" s="3" t="s">
        <v>114</v>
      </c>
      <c r="AM123" t="s">
        <v>379</v>
      </c>
      <c r="AN123">
        <f>V15*1.36</f>
        <v>137.11740871185</v>
      </c>
      <c r="AO123">
        <v>32</v>
      </c>
      <c r="AP123">
        <v>2</v>
      </c>
      <c r="AQ123">
        <v>0.16</v>
      </c>
      <c r="AR123">
        <v>0.2</v>
      </c>
      <c r="AS123" s="9" t="s">
        <v>395</v>
      </c>
      <c r="AT123">
        <f t="shared" si="127"/>
        <v>147.55740871185</v>
      </c>
      <c r="AU123">
        <f t="shared" si="128"/>
        <v>162.313149583035</v>
      </c>
    </row>
    <row r="124" spans="38:47" x14ac:dyDescent="0.25">
      <c r="AL124" s="3" t="s">
        <v>115</v>
      </c>
      <c r="AM124" t="s">
        <v>305</v>
      </c>
      <c r="AN124">
        <f>V15*1.81</f>
        <v>182.4871395356239</v>
      </c>
      <c r="AO124">
        <v>72</v>
      </c>
      <c r="AP124">
        <v>2</v>
      </c>
      <c r="AQ124">
        <v>0.16</v>
      </c>
      <c r="AR124">
        <v>0.2</v>
      </c>
      <c r="AS124" s="9" t="s">
        <v>395</v>
      </c>
      <c r="AT124">
        <f t="shared" si="127"/>
        <v>205.72713953562388</v>
      </c>
      <c r="AU124">
        <f t="shared" si="128"/>
        <v>226.29985348918626</v>
      </c>
    </row>
    <row r="125" spans="38:47" x14ac:dyDescent="0.25">
      <c r="AL125" s="3" t="s">
        <v>116</v>
      </c>
      <c r="AM125" t="s">
        <v>381</v>
      </c>
      <c r="AN125">
        <f>V15*0.91</f>
        <v>91.747677888076112</v>
      </c>
      <c r="AO125">
        <v>180</v>
      </c>
      <c r="AP125">
        <v>2</v>
      </c>
      <c r="AQ125">
        <v>0.16</v>
      </c>
      <c r="AR125">
        <v>0.2</v>
      </c>
      <c r="AS125" s="9" t="s">
        <v>395</v>
      </c>
      <c r="AT125">
        <f t="shared" si="127"/>
        <v>149.54767788807609</v>
      </c>
      <c r="AU125">
        <f t="shared" si="128"/>
        <v>164.5024456768837</v>
      </c>
    </row>
    <row r="126" spans="38:47" x14ac:dyDescent="0.25">
      <c r="AL126" s="3" t="s">
        <v>117</v>
      </c>
      <c r="AM126" t="s">
        <v>385</v>
      </c>
      <c r="AN126">
        <f>I4*1.2+V15*0.16</f>
        <v>17.498559848452942</v>
      </c>
      <c r="AO126">
        <v>180</v>
      </c>
      <c r="AP126">
        <v>2</v>
      </c>
      <c r="AQ126">
        <v>0.16</v>
      </c>
      <c r="AR126">
        <v>0.2</v>
      </c>
      <c r="AS126" s="9" t="s">
        <v>395</v>
      </c>
      <c r="AT126">
        <f t="shared" si="127"/>
        <v>75.298559848452939</v>
      </c>
      <c r="AU126">
        <f t="shared" si="128"/>
        <v>82.828415833298237</v>
      </c>
    </row>
    <row r="127" spans="38:47" x14ac:dyDescent="0.25">
      <c r="AL127" s="3" t="s">
        <v>119</v>
      </c>
      <c r="AM127" t="s">
        <v>386</v>
      </c>
      <c r="AN127">
        <f>I4*7+V15*1.16</f>
        <v>124.92783390128382</v>
      </c>
      <c r="AO127">
        <v>150</v>
      </c>
      <c r="AP127">
        <v>3</v>
      </c>
      <c r="AQ127">
        <v>0.16</v>
      </c>
      <c r="AR127">
        <v>0.2</v>
      </c>
      <c r="AS127" s="9" t="s">
        <v>395</v>
      </c>
      <c r="AT127">
        <f t="shared" si="127"/>
        <v>197.12783390128379</v>
      </c>
      <c r="AU127">
        <f t="shared" si="128"/>
        <v>216.84061729141217</v>
      </c>
    </row>
    <row r="128" spans="38:47" x14ac:dyDescent="0.25">
      <c r="AL128" s="3" t="s">
        <v>120</v>
      </c>
      <c r="AM128" t="s">
        <v>364</v>
      </c>
      <c r="AN128">
        <f>0.91*I4</f>
        <v>1.0367175</v>
      </c>
      <c r="AO128">
        <v>10</v>
      </c>
      <c r="AP128">
        <v>1</v>
      </c>
      <c r="AQ128">
        <v>0.16</v>
      </c>
      <c r="AR128">
        <v>0.2</v>
      </c>
      <c r="AS128" s="9" t="s">
        <v>395</v>
      </c>
      <c r="AT128">
        <f t="shared" si="127"/>
        <v>2.8367175000000002</v>
      </c>
      <c r="AU128">
        <f t="shared" si="128"/>
        <v>3.1203892500000001</v>
      </c>
    </row>
    <row r="129" spans="38:47" x14ac:dyDescent="0.25">
      <c r="AL129" s="3" t="s">
        <v>121</v>
      </c>
      <c r="AM129" t="s">
        <v>387</v>
      </c>
      <c r="AN129">
        <f>I4*0.45</f>
        <v>0.51266249999999991</v>
      </c>
      <c r="AO129">
        <v>3</v>
      </c>
      <c r="AP129">
        <v>1</v>
      </c>
      <c r="AQ129">
        <v>0.16</v>
      </c>
      <c r="AR129">
        <v>0.2</v>
      </c>
      <c r="AS129" s="9" t="s">
        <v>395</v>
      </c>
      <c r="AT129">
        <f t="shared" si="127"/>
        <v>1.1926625</v>
      </c>
      <c r="AU129">
        <f t="shared" si="128"/>
        <v>1.3119287499999999</v>
      </c>
    </row>
    <row r="130" spans="38:47" x14ac:dyDescent="0.25">
      <c r="AL130" s="3" t="s">
        <v>122</v>
      </c>
      <c r="AM130" t="s">
        <v>388</v>
      </c>
      <c r="AN130">
        <f>I14*1.36</f>
        <v>1.5952799999999998</v>
      </c>
      <c r="AO130">
        <v>32</v>
      </c>
      <c r="AP130">
        <v>1</v>
      </c>
      <c r="AQ130">
        <v>0.15</v>
      </c>
      <c r="AR130">
        <v>0.2</v>
      </c>
      <c r="AS130" s="9" t="s">
        <v>396</v>
      </c>
      <c r="AT130">
        <f t="shared" si="127"/>
        <v>6.5952799999999998</v>
      </c>
      <c r="AU130">
        <f t="shared" si="128"/>
        <v>6.9250439999999998</v>
      </c>
    </row>
    <row r="131" spans="38:47" x14ac:dyDescent="0.25">
      <c r="AL131" s="3" t="s">
        <v>178</v>
      </c>
      <c r="AM131" t="s">
        <v>389</v>
      </c>
      <c r="AN131">
        <f>I4*0.02 + 0.0025*V15</f>
        <v>0.27483906013207721</v>
      </c>
      <c r="AO131">
        <v>0.1</v>
      </c>
      <c r="AP131">
        <v>2</v>
      </c>
      <c r="AQ131">
        <v>0.16</v>
      </c>
      <c r="AR131">
        <v>0.2</v>
      </c>
      <c r="AS131" s="9" t="s">
        <v>395</v>
      </c>
      <c r="AT131">
        <f t="shared" si="127"/>
        <v>0.50683906013207713</v>
      </c>
      <c r="AU131">
        <f t="shared" si="128"/>
        <v>0.55752296614528485</v>
      </c>
    </row>
    <row r="132" spans="38:47" x14ac:dyDescent="0.25">
      <c r="AL132" s="3" t="s">
        <v>177</v>
      </c>
      <c r="AM132" t="s">
        <v>390</v>
      </c>
      <c r="AN132">
        <f>V7*0.034</f>
        <v>0.19326450000000003</v>
      </c>
      <c r="AO132">
        <v>0.1</v>
      </c>
      <c r="AP132">
        <v>1</v>
      </c>
      <c r="AQ132">
        <v>0.16</v>
      </c>
      <c r="AR132">
        <v>0.2</v>
      </c>
      <c r="AS132" s="9" t="s">
        <v>395</v>
      </c>
      <c r="AT132">
        <f t="shared" si="127"/>
        <v>0.40926450000000003</v>
      </c>
      <c r="AU132">
        <f t="shared" si="128"/>
        <v>0.45019095000000003</v>
      </c>
    </row>
    <row r="133" spans="38:47" x14ac:dyDescent="0.25">
      <c r="AL133" s="3" t="s">
        <v>188</v>
      </c>
      <c r="AM133" t="s">
        <v>295</v>
      </c>
      <c r="AN133">
        <f>V7*0.01</f>
        <v>5.6842500000000004E-2</v>
      </c>
      <c r="AO133">
        <v>0.03</v>
      </c>
      <c r="AP133">
        <v>1</v>
      </c>
      <c r="AQ133">
        <v>0.16</v>
      </c>
      <c r="AR133">
        <v>0.2</v>
      </c>
      <c r="AS133" s="9" t="s">
        <v>395</v>
      </c>
      <c r="AT133">
        <f t="shared" si="127"/>
        <v>0.2616425</v>
      </c>
      <c r="AU133">
        <f t="shared" si="128"/>
        <v>0.28780675</v>
      </c>
    </row>
    <row r="134" spans="38:47" x14ac:dyDescent="0.25">
      <c r="AL134" s="3" t="s">
        <v>189</v>
      </c>
      <c r="AM134" t="s">
        <v>391</v>
      </c>
      <c r="AN134">
        <f>I5*0.1</f>
        <v>0.13200000000000001</v>
      </c>
      <c r="AO134">
        <v>0.1</v>
      </c>
      <c r="AP134">
        <v>1</v>
      </c>
      <c r="AQ134">
        <v>0.13</v>
      </c>
      <c r="AR134">
        <v>0.2</v>
      </c>
      <c r="AS134" s="9">
        <v>0</v>
      </c>
      <c r="AT134">
        <f t="shared" si="127"/>
        <v>0.34500000000000003</v>
      </c>
      <c r="AU134">
        <f t="shared" si="128"/>
        <v>0.34500000000000003</v>
      </c>
    </row>
    <row r="135" spans="38:47" x14ac:dyDescent="0.25">
      <c r="AL135" s="8" t="s">
        <v>543</v>
      </c>
      <c r="AS135" s="9"/>
    </row>
    <row r="136" spans="38:47" x14ac:dyDescent="0.25">
      <c r="AL136" s="3" t="s">
        <v>544</v>
      </c>
      <c r="AM136" t="s">
        <v>1025</v>
      </c>
      <c r="AN136">
        <f>V7*2</f>
        <v>11.368500000000001</v>
      </c>
      <c r="AO136">
        <v>24</v>
      </c>
      <c r="AP136">
        <v>1</v>
      </c>
      <c r="AQ136">
        <v>0.2</v>
      </c>
      <c r="AR136">
        <v>0.2</v>
      </c>
      <c r="AS136" s="9">
        <v>0</v>
      </c>
      <c r="AT136">
        <f t="shared" ref="AT136:AT142" si="129">AN136+AO136*AP136*AQ136+AR136</f>
        <v>16.368500000000001</v>
      </c>
      <c r="AU136">
        <f t="shared" ref="AU136:AU142" si="130">(AS136*AT136)+AT136</f>
        <v>16.368500000000001</v>
      </c>
    </row>
    <row r="137" spans="38:47" x14ac:dyDescent="0.25">
      <c r="AL137" s="3" t="s">
        <v>545</v>
      </c>
      <c r="AM137" t="s">
        <v>553</v>
      </c>
      <c r="AN137">
        <f>V7*2</f>
        <v>11.368500000000001</v>
      </c>
      <c r="AO137">
        <v>60</v>
      </c>
      <c r="AP137">
        <v>1</v>
      </c>
      <c r="AQ137">
        <v>0.2</v>
      </c>
      <c r="AR137">
        <v>0.2</v>
      </c>
      <c r="AS137" s="9">
        <v>0</v>
      </c>
      <c r="AT137">
        <f t="shared" si="129"/>
        <v>23.5685</v>
      </c>
      <c r="AU137">
        <f t="shared" si="130"/>
        <v>23.5685</v>
      </c>
    </row>
    <row r="138" spans="38:47" x14ac:dyDescent="0.25">
      <c r="AL138" s="3" t="s">
        <v>546</v>
      </c>
      <c r="AM138" t="s">
        <v>557</v>
      </c>
      <c r="AN138">
        <f>V7*2+I31</f>
        <v>611.36850000000004</v>
      </c>
      <c r="AO138">
        <v>90</v>
      </c>
      <c r="AP138">
        <v>1</v>
      </c>
      <c r="AQ138">
        <v>0.2</v>
      </c>
      <c r="AR138">
        <v>0.2</v>
      </c>
      <c r="AS138" s="9">
        <v>0</v>
      </c>
      <c r="AT138">
        <f t="shared" si="129"/>
        <v>629.56850000000009</v>
      </c>
      <c r="AU138">
        <f t="shared" si="130"/>
        <v>629.56850000000009</v>
      </c>
    </row>
    <row r="139" spans="38:47" x14ac:dyDescent="0.25">
      <c r="AL139" s="3" t="s">
        <v>547</v>
      </c>
      <c r="AM139" t="s">
        <v>552</v>
      </c>
      <c r="AN139">
        <f>V9*7+V7*3</f>
        <v>48.106823400000003</v>
      </c>
      <c r="AO139">
        <v>60</v>
      </c>
      <c r="AP139">
        <v>1</v>
      </c>
      <c r="AQ139">
        <v>0.2</v>
      </c>
      <c r="AR139">
        <v>0.2</v>
      </c>
      <c r="AS139" s="9">
        <v>0</v>
      </c>
      <c r="AT139">
        <f t="shared" si="129"/>
        <v>60.306823400000006</v>
      </c>
      <c r="AU139">
        <f t="shared" si="130"/>
        <v>60.306823400000006</v>
      </c>
    </row>
    <row r="140" spans="38:47" x14ac:dyDescent="0.25">
      <c r="AL140" s="3" t="s">
        <v>548</v>
      </c>
      <c r="AM140" t="s">
        <v>554</v>
      </c>
      <c r="AN140">
        <f>I31+V7*8</f>
        <v>645.47400000000005</v>
      </c>
      <c r="AO140">
        <v>150</v>
      </c>
      <c r="AP140">
        <v>1</v>
      </c>
      <c r="AQ140">
        <v>0.2</v>
      </c>
      <c r="AR140">
        <v>0.2</v>
      </c>
      <c r="AS140" s="9">
        <v>0</v>
      </c>
      <c r="AT140">
        <f t="shared" si="129"/>
        <v>675.67400000000009</v>
      </c>
      <c r="AU140">
        <f t="shared" si="130"/>
        <v>675.67400000000009</v>
      </c>
    </row>
    <row r="141" spans="38:47" x14ac:dyDescent="0.25">
      <c r="AL141" s="3" t="s">
        <v>549</v>
      </c>
      <c r="AM141" t="s">
        <v>551</v>
      </c>
      <c r="AN141">
        <f>I4*5+V7*3</f>
        <v>22.749000000000002</v>
      </c>
      <c r="AO141">
        <v>60</v>
      </c>
      <c r="AP141">
        <v>1</v>
      </c>
      <c r="AQ141">
        <v>0.2</v>
      </c>
      <c r="AR141">
        <v>0.2</v>
      </c>
      <c r="AS141" s="9">
        <v>0</v>
      </c>
      <c r="AT141">
        <f t="shared" si="129"/>
        <v>34.949000000000005</v>
      </c>
      <c r="AU141">
        <f t="shared" si="130"/>
        <v>34.949000000000005</v>
      </c>
    </row>
    <row r="142" spans="38:47" x14ac:dyDescent="0.25">
      <c r="AL142" s="3" t="s">
        <v>550</v>
      </c>
      <c r="AM142" t="s">
        <v>555</v>
      </c>
      <c r="AN142">
        <f>V7*2</f>
        <v>11.368500000000001</v>
      </c>
      <c r="AO142">
        <v>12</v>
      </c>
      <c r="AP142">
        <v>1</v>
      </c>
      <c r="AQ142">
        <v>0.2</v>
      </c>
      <c r="AR142">
        <v>0.2</v>
      </c>
      <c r="AS142" s="9">
        <v>0</v>
      </c>
      <c r="AT142">
        <f t="shared" si="129"/>
        <v>13.968500000000001</v>
      </c>
      <c r="AU142">
        <f t="shared" si="130"/>
        <v>13.968500000000001</v>
      </c>
    </row>
    <row r="143" spans="38:47" x14ac:dyDescent="0.25">
      <c r="AL143" s="3" t="s">
        <v>556</v>
      </c>
      <c r="AN143">
        <f>AN139+AN140+AN141</f>
        <v>716.32982340000012</v>
      </c>
      <c r="AO143">
        <v>12</v>
      </c>
      <c r="AP143">
        <v>1</v>
      </c>
      <c r="AQ143">
        <v>0.2</v>
      </c>
      <c r="AR143">
        <v>0.2</v>
      </c>
      <c r="AS143" s="9">
        <v>0</v>
      </c>
      <c r="AT143">
        <f t="shared" ref="AT143" si="131">AN143+AO143*AP143*AQ143+AR143</f>
        <v>718.92982340000015</v>
      </c>
      <c r="AU143">
        <f t="shared" ref="AU143" si="132">(AS143*AT143)+AT143</f>
        <v>718.92982340000015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3"/>
  <sheetViews>
    <sheetView topLeftCell="K1" zoomScaleNormal="100" workbookViewId="0">
      <selection activeCell="R16" sqref="R16"/>
    </sheetView>
  </sheetViews>
  <sheetFormatPr defaultRowHeight="15" x14ac:dyDescent="0.25"/>
  <cols>
    <col min="5" max="5" width="17.7109375" customWidth="1"/>
    <col min="6" max="6" width="15.7109375" customWidth="1"/>
    <col min="8" max="9" width="9.85546875" customWidth="1"/>
    <col min="10" max="10" width="12.140625" customWidth="1"/>
    <col min="11" max="11" width="22" customWidth="1"/>
    <col min="12" max="12" width="23.5703125" customWidth="1"/>
    <col min="13" max="13" width="9.85546875" customWidth="1"/>
    <col min="21" max="21" width="24.42578125" customWidth="1"/>
    <col min="22" max="22" width="123" customWidth="1"/>
  </cols>
  <sheetData>
    <row r="1" spans="1:23" x14ac:dyDescent="0.25">
      <c r="A1" s="3" t="s">
        <v>602</v>
      </c>
      <c r="I1" t="s">
        <v>601</v>
      </c>
      <c r="J1" t="s">
        <v>603</v>
      </c>
      <c r="K1" t="s">
        <v>597</v>
      </c>
      <c r="L1" t="s">
        <v>600</v>
      </c>
      <c r="M1" t="s">
        <v>980</v>
      </c>
      <c r="N1" t="s">
        <v>599</v>
      </c>
      <c r="O1" t="s">
        <v>598</v>
      </c>
      <c r="U1" t="s">
        <v>978</v>
      </c>
      <c r="V1" t="s">
        <v>598</v>
      </c>
      <c r="W1" t="s">
        <v>33</v>
      </c>
    </row>
    <row r="2" spans="1:23" x14ac:dyDescent="0.25">
      <c r="A2" s="3">
        <f>'Модель v2 базовая'!AU20</f>
        <v>10.400988924999998</v>
      </c>
      <c r="C2">
        <f ca="1">RANDBETWEEN(2,102)</f>
        <v>60</v>
      </c>
      <c r="D2" t="str">
        <f ca="1">ADDRESS(C2+1,1)</f>
        <v>$A$61</v>
      </c>
      <c r="E2" t="str">
        <f ca="1">INDIRECT(D2)&amp;" из "&amp;INDIRECT(F2)</f>
        <v>Элианор из Люг-о-дана</v>
      </c>
      <c r="F2" t="str">
        <f>ADDRESS(I2,7)</f>
        <v>$G$3</v>
      </c>
      <c r="I2">
        <v>3</v>
      </c>
      <c r="J2">
        <v>1</v>
      </c>
      <c r="K2" t="s">
        <v>604</v>
      </c>
      <c r="L2" t="s">
        <v>785</v>
      </c>
      <c r="M2">
        <f>20-I2+J2</f>
        <v>18</v>
      </c>
      <c r="N2">
        <f t="shared" ref="N2:N65" si="0">(J2/M2*$A$2)*100+$A$2</f>
        <v>68.18426073055555</v>
      </c>
      <c r="O2" t="s">
        <v>606</v>
      </c>
      <c r="P2">
        <f>SUM(N2:N13)/12</f>
        <v>100.98563514789907</v>
      </c>
      <c r="T2">
        <v>0</v>
      </c>
      <c r="U2" t="str">
        <f ca="1">INDIRECT(ADDRESS((T2*12)+2,11))</f>
        <v>Рулевой - база</v>
      </c>
      <c r="V2" t="str">
        <f t="shared" ref="V2:V14" ca="1" si="1">INDIRECT(ADDRESS((T2*12)+2,15))</f>
        <v>Ничего</v>
      </c>
      <c r="W2">
        <f ca="1">INDIRECT(ADDRESS((T2*12)+2,16))</f>
        <v>100.98563514789907</v>
      </c>
    </row>
    <row r="3" spans="1:23" x14ac:dyDescent="0.25">
      <c r="A3" t="s">
        <v>639</v>
      </c>
      <c r="C3">
        <f t="shared" ref="C3:C66" ca="1" si="2">RANDBETWEEN(2,102)</f>
        <v>85</v>
      </c>
      <c r="D3" t="str">
        <f t="shared" ref="D3:D66" ca="1" si="3">ADDRESS(C3+1,1)</f>
        <v>$A$86</v>
      </c>
      <c r="E3" t="str">
        <f t="shared" ref="E3:E66" ca="1" si="4">INDIRECT(D3)&amp;" из "&amp;INDIRECT(F3)</f>
        <v>Сиранда из Шихона</v>
      </c>
      <c r="F3" t="str">
        <f t="shared" ref="F3:F65" si="5">ADDRESS(I3,7)</f>
        <v>$G$4</v>
      </c>
      <c r="G3" t="s">
        <v>736</v>
      </c>
      <c r="I3">
        <v>4</v>
      </c>
      <c r="J3">
        <v>1</v>
      </c>
      <c r="K3" t="s">
        <v>604</v>
      </c>
      <c r="L3" t="s">
        <v>782</v>
      </c>
      <c r="M3">
        <f t="shared" ref="M2:M65" si="6">20-I3+J3</f>
        <v>17</v>
      </c>
      <c r="N3">
        <f t="shared" si="0"/>
        <v>71.583276719117634</v>
      </c>
      <c r="T3">
        <v>1</v>
      </c>
      <c r="U3" t="str">
        <f t="shared" ref="U3:U14" ca="1" si="7">INDIRECT(ADDRESS((T3*12)+2,11))</f>
        <v>Рулевой продвинутый</v>
      </c>
      <c r="V3" t="str">
        <f t="shared" ca="1" si="1"/>
        <v>Дает преимущество на броски Силы корабля</v>
      </c>
      <c r="W3">
        <f t="shared" ref="W3:W14" ca="1" si="8">INDIRECT(ADDRESS((T3*12)+2,16))</f>
        <v>239.19219608488618</v>
      </c>
    </row>
    <row r="4" spans="1:23" x14ac:dyDescent="0.25">
      <c r="A4" t="s">
        <v>640</v>
      </c>
      <c r="C4">
        <f t="shared" ca="1" si="2"/>
        <v>15</v>
      </c>
      <c r="D4" t="str">
        <f t="shared" ca="1" si="3"/>
        <v>$A$16</v>
      </c>
      <c r="E4" t="str">
        <f t="shared" ca="1" si="4"/>
        <v>Аркантус из Готуна</v>
      </c>
      <c r="F4" t="str">
        <f t="shared" si="5"/>
        <v>$G$5</v>
      </c>
      <c r="G4" t="s">
        <v>737</v>
      </c>
      <c r="I4">
        <v>5</v>
      </c>
      <c r="J4">
        <v>1</v>
      </c>
      <c r="K4" t="s">
        <v>604</v>
      </c>
      <c r="L4" t="s">
        <v>786</v>
      </c>
      <c r="M4">
        <f t="shared" si="6"/>
        <v>16</v>
      </c>
      <c r="N4">
        <f t="shared" si="0"/>
        <v>75.407169706249988</v>
      </c>
      <c r="T4">
        <v>2</v>
      </c>
      <c r="U4" t="str">
        <f t="shared" ca="1" si="7"/>
        <v>Рулевой мастер</v>
      </c>
      <c r="V4" t="str">
        <f t="shared" ca="1" si="1"/>
        <v>Дает преимущество, в случае провала можно добросить 1d8</v>
      </c>
      <c r="W4">
        <f t="shared" ca="1" si="8"/>
        <v>340.56521261469715</v>
      </c>
    </row>
    <row r="5" spans="1:23" x14ac:dyDescent="0.25">
      <c r="A5" t="s">
        <v>641</v>
      </c>
      <c r="C5">
        <f t="shared" ca="1" si="2"/>
        <v>11</v>
      </c>
      <c r="D5" t="str">
        <f t="shared" ca="1" si="3"/>
        <v>$A$12</v>
      </c>
      <c r="E5" t="str">
        <f t="shared" ca="1" si="4"/>
        <v>Леонардис из Фидваго</v>
      </c>
      <c r="F5" t="str">
        <f t="shared" si="5"/>
        <v>$G$6</v>
      </c>
      <c r="G5" t="s">
        <v>738</v>
      </c>
      <c r="I5">
        <v>6</v>
      </c>
      <c r="J5">
        <v>1</v>
      </c>
      <c r="K5" t="s">
        <v>604</v>
      </c>
      <c r="L5" t="s">
        <v>763</v>
      </c>
      <c r="M5">
        <f t="shared" si="6"/>
        <v>15</v>
      </c>
      <c r="N5">
        <f t="shared" si="0"/>
        <v>79.74091509166665</v>
      </c>
      <c r="T5">
        <v>3</v>
      </c>
      <c r="U5" t="str">
        <f t="shared" ca="1" si="7"/>
        <v>Штурман - база</v>
      </c>
      <c r="V5" t="str">
        <f t="shared" ca="1" si="1"/>
        <v>Ничего</v>
      </c>
      <c r="W5">
        <f t="shared" ca="1" si="8"/>
        <v>293.44325683130319</v>
      </c>
    </row>
    <row r="6" spans="1:23" x14ac:dyDescent="0.25">
      <c r="A6" t="s">
        <v>642</v>
      </c>
      <c r="C6">
        <f t="shared" ca="1" si="2"/>
        <v>90</v>
      </c>
      <c r="D6" t="str">
        <f t="shared" ca="1" si="3"/>
        <v>$A$91</v>
      </c>
      <c r="E6" t="str">
        <f t="shared" ca="1" si="4"/>
        <v>Иландрия из Дарутана</v>
      </c>
      <c r="F6" t="str">
        <f t="shared" si="5"/>
        <v>$G$7</v>
      </c>
      <c r="G6" t="s">
        <v>421</v>
      </c>
      <c r="I6">
        <v>7</v>
      </c>
      <c r="J6">
        <v>1</v>
      </c>
      <c r="K6" t="s">
        <v>604</v>
      </c>
      <c r="L6" t="s">
        <v>787</v>
      </c>
      <c r="M6">
        <f t="shared" si="6"/>
        <v>14</v>
      </c>
      <c r="N6">
        <f t="shared" si="0"/>
        <v>84.693766960714257</v>
      </c>
      <c r="T6">
        <v>4</v>
      </c>
      <c r="U6" t="str">
        <f t="shared" ca="1" si="7"/>
        <v>Штурман продвинутый</v>
      </c>
      <c r="V6" t="str">
        <f t="shared" ca="1" si="1"/>
        <v>Когда ГМ бросает на событие в пути, штурман может умножить или поделить значение события на 2. Это складывается со схожими эффектами карт.</v>
      </c>
      <c r="W6">
        <f t="shared" ca="1" si="8"/>
        <v>381.93168045540341</v>
      </c>
    </row>
    <row r="7" spans="1:23" x14ac:dyDescent="0.25">
      <c r="A7" t="s">
        <v>643</v>
      </c>
      <c r="C7">
        <f t="shared" ca="1" si="2"/>
        <v>45</v>
      </c>
      <c r="D7" t="str">
        <f t="shared" ca="1" si="3"/>
        <v>$A$46</v>
      </c>
      <c r="E7" t="str">
        <f t="shared" ca="1" si="4"/>
        <v>Лорелия из Сарухана</v>
      </c>
      <c r="F7" t="str">
        <f t="shared" si="5"/>
        <v>$G$8</v>
      </c>
      <c r="G7" t="s">
        <v>739</v>
      </c>
      <c r="I7">
        <v>8</v>
      </c>
      <c r="J7">
        <v>1</v>
      </c>
      <c r="K7" t="s">
        <v>604</v>
      </c>
      <c r="L7" t="s">
        <v>788</v>
      </c>
      <c r="M7">
        <f t="shared" si="6"/>
        <v>13</v>
      </c>
      <c r="N7">
        <f t="shared" si="0"/>
        <v>90.408596040384595</v>
      </c>
      <c r="T7">
        <v>5</v>
      </c>
      <c r="U7" t="str">
        <f t="shared" ca="1" si="7"/>
        <v>Штурман мастер</v>
      </c>
      <c r="V7" t="str">
        <f t="shared" ca="1" si="1"/>
        <v>Включает в себя Продвинутый, так же, может потребовать у ГМ второй бросок события. Изменить значение  броска можно только один раз</v>
      </c>
      <c r="W7">
        <f t="shared" ca="1" si="8"/>
        <v>480.67446640992534</v>
      </c>
    </row>
    <row r="8" spans="1:23" x14ac:dyDescent="0.25">
      <c r="A8" t="s">
        <v>644</v>
      </c>
      <c r="C8">
        <f t="shared" ca="1" si="2"/>
        <v>81</v>
      </c>
      <c r="D8" t="str">
        <f t="shared" ca="1" si="3"/>
        <v>$A$82</v>
      </c>
      <c r="E8" t="str">
        <f t="shared" ca="1" si="4"/>
        <v>Фиорелла из Лорена</v>
      </c>
      <c r="F8" t="str">
        <f t="shared" si="5"/>
        <v>$G$9</v>
      </c>
      <c r="G8" t="s">
        <v>740</v>
      </c>
      <c r="I8">
        <v>9</v>
      </c>
      <c r="J8">
        <v>1</v>
      </c>
      <c r="K8" t="s">
        <v>604</v>
      </c>
      <c r="L8" t="s">
        <v>764</v>
      </c>
      <c r="M8">
        <f t="shared" si="6"/>
        <v>12</v>
      </c>
      <c r="N8">
        <f t="shared" si="0"/>
        <v>97.075896633333315</v>
      </c>
      <c r="T8">
        <v>6</v>
      </c>
      <c r="U8" t="str">
        <f t="shared" ca="1" si="7"/>
        <v>Марсовый - база</v>
      </c>
      <c r="V8" t="str">
        <f t="shared" ca="1" si="1"/>
        <v>Ничего</v>
      </c>
      <c r="W8">
        <f t="shared" ca="1" si="8"/>
        <v>100.98563514789907</v>
      </c>
    </row>
    <row r="9" spans="1:23" x14ac:dyDescent="0.25">
      <c r="A9" t="s">
        <v>645</v>
      </c>
      <c r="C9">
        <f t="shared" ca="1" si="2"/>
        <v>77</v>
      </c>
      <c r="D9" t="str">
        <f t="shared" ca="1" si="3"/>
        <v>$A$78</v>
      </c>
      <c r="E9" t="str">
        <f t="shared" ca="1" si="4"/>
        <v>Арданна из Самардейла</v>
      </c>
      <c r="F9" t="str">
        <f t="shared" si="5"/>
        <v>$G$10</v>
      </c>
      <c r="G9" t="s">
        <v>741</v>
      </c>
      <c r="I9">
        <v>10</v>
      </c>
      <c r="J9">
        <v>1</v>
      </c>
      <c r="K9" t="s">
        <v>604</v>
      </c>
      <c r="L9" t="s">
        <v>789</v>
      </c>
      <c r="M9">
        <f t="shared" si="6"/>
        <v>11</v>
      </c>
      <c r="N9">
        <f t="shared" si="0"/>
        <v>104.95543369772726</v>
      </c>
      <c r="T9">
        <v>7</v>
      </c>
      <c r="U9" t="str">
        <f t="shared" ca="1" si="7"/>
        <v>Марсовый -Продвинутый</v>
      </c>
      <c r="V9" t="str">
        <f t="shared" ca="1" si="1"/>
        <v>Увеличивает дальность зрения в 2 раза, преимущество на броски Вниматлельности</v>
      </c>
      <c r="W9">
        <f t="shared" ca="1" si="8"/>
        <v>293.44325683130319</v>
      </c>
    </row>
    <row r="10" spans="1:23" x14ac:dyDescent="0.25">
      <c r="A10" t="s">
        <v>646</v>
      </c>
      <c r="C10">
        <f t="shared" ca="1" si="2"/>
        <v>4</v>
      </c>
      <c r="D10" t="str">
        <f t="shared" ca="1" si="3"/>
        <v>$A$5</v>
      </c>
      <c r="E10" t="str">
        <f t="shared" ca="1" si="4"/>
        <v>Сильвания из Гвадекуры</v>
      </c>
      <c r="F10" t="str">
        <f t="shared" si="5"/>
        <v>$G$11</v>
      </c>
      <c r="G10" t="s">
        <v>742</v>
      </c>
      <c r="I10">
        <v>11</v>
      </c>
      <c r="J10">
        <v>1</v>
      </c>
      <c r="K10" t="s">
        <v>604</v>
      </c>
      <c r="L10" t="s">
        <v>774</v>
      </c>
      <c r="M10">
        <f t="shared" si="6"/>
        <v>10</v>
      </c>
      <c r="N10">
        <f t="shared" si="0"/>
        <v>114.41087817499998</v>
      </c>
      <c r="T10">
        <v>8</v>
      </c>
      <c r="U10" t="str">
        <f t="shared" ca="1" si="7"/>
        <v>Марсовый - мастер</v>
      </c>
      <c r="V10" t="str">
        <f t="shared" ca="1" si="1"/>
        <v>Может заменить негативное событие, которое можно увидеть (нападение пиратов, на прим.), на "Сдвиг на 2 клетки в случайном направлении"</v>
      </c>
      <c r="W10">
        <f t="shared" ca="1" si="8"/>
        <v>381.93168045540341</v>
      </c>
    </row>
    <row r="11" spans="1:23" x14ac:dyDescent="0.25">
      <c r="A11" t="s">
        <v>647</v>
      </c>
      <c r="C11">
        <f t="shared" ca="1" si="2"/>
        <v>7</v>
      </c>
      <c r="D11" t="str">
        <f t="shared" ca="1" si="3"/>
        <v>$A$8</v>
      </c>
      <c r="E11" t="str">
        <f t="shared" ca="1" si="4"/>
        <v>Фиора из Ранджар-ара</v>
      </c>
      <c r="F11" t="str">
        <f t="shared" si="5"/>
        <v>$G$12</v>
      </c>
      <c r="G11" t="s">
        <v>743</v>
      </c>
      <c r="I11">
        <v>12</v>
      </c>
      <c r="J11">
        <v>1</v>
      </c>
      <c r="K11" t="s">
        <v>604</v>
      </c>
      <c r="L11" t="s">
        <v>790</v>
      </c>
      <c r="M11">
        <f t="shared" si="6"/>
        <v>9</v>
      </c>
      <c r="N11">
        <f t="shared" si="0"/>
        <v>125.96753253611109</v>
      </c>
      <c r="T11">
        <v>9</v>
      </c>
      <c r="U11" t="str">
        <f t="shared" ca="1" si="7"/>
        <v>Канонир - база</v>
      </c>
      <c r="V11" t="str">
        <f t="shared" ca="1" si="1"/>
        <v>ничего</v>
      </c>
      <c r="W11">
        <f t="shared" ca="1" si="8"/>
        <v>340.56521261469715</v>
      </c>
    </row>
    <row r="12" spans="1:23" x14ac:dyDescent="0.25">
      <c r="A12" t="s">
        <v>648</v>
      </c>
      <c r="C12">
        <f t="shared" ca="1" si="2"/>
        <v>36</v>
      </c>
      <c r="D12" t="str">
        <f t="shared" ca="1" si="3"/>
        <v>$A$37</v>
      </c>
      <c r="E12" t="str">
        <f t="shared" ca="1" si="4"/>
        <v>Алиандра из Садата</v>
      </c>
      <c r="F12" t="str">
        <f t="shared" si="5"/>
        <v>$G$13</v>
      </c>
      <c r="G12" t="s">
        <v>445</v>
      </c>
      <c r="I12">
        <v>13</v>
      </c>
      <c r="J12">
        <v>1</v>
      </c>
      <c r="K12" t="s">
        <v>604</v>
      </c>
      <c r="L12" t="s">
        <v>791</v>
      </c>
      <c r="M12">
        <f t="shared" si="6"/>
        <v>8</v>
      </c>
      <c r="N12">
        <f t="shared" si="0"/>
        <v>140.4133504875</v>
      </c>
      <c r="T12">
        <v>10</v>
      </c>
      <c r="U12" t="str">
        <f t="shared" ca="1" si="7"/>
        <v>Канонир - Прод</v>
      </c>
      <c r="V12" t="str">
        <f t="shared" ca="1" si="1"/>
        <v>Корабль получает дополнительную атаку</v>
      </c>
      <c r="W12">
        <f t="shared" ca="1" si="8"/>
        <v>418.57328096220675</v>
      </c>
    </row>
    <row r="13" spans="1:23" x14ac:dyDescent="0.25">
      <c r="A13" t="s">
        <v>649</v>
      </c>
      <c r="C13">
        <f t="shared" ca="1" si="2"/>
        <v>92</v>
      </c>
      <c r="D13" t="str">
        <f t="shared" ca="1" si="3"/>
        <v>$A$93</v>
      </c>
      <c r="E13" t="str">
        <f t="shared" ca="1" si="4"/>
        <v>Тарантис из Столицы</v>
      </c>
      <c r="F13" t="str">
        <f t="shared" si="5"/>
        <v>$G$14</v>
      </c>
      <c r="G13" t="s">
        <v>744</v>
      </c>
      <c r="I13">
        <v>14</v>
      </c>
      <c r="J13">
        <v>1</v>
      </c>
      <c r="K13" t="s">
        <v>604</v>
      </c>
      <c r="L13" t="s">
        <v>792</v>
      </c>
      <c r="M13">
        <f t="shared" si="6"/>
        <v>7</v>
      </c>
      <c r="N13">
        <f t="shared" si="0"/>
        <v>158.98654499642853</v>
      </c>
      <c r="T13">
        <v>11</v>
      </c>
      <c r="U13" t="str">
        <f t="shared" ca="1" si="7"/>
        <v>Канонир - Мастер</v>
      </c>
      <c r="V13" t="str">
        <f t="shared" ca="1" si="1"/>
        <v>Способен нанести 5d6 урона Корпусу по тем же принципам, что и Скрытая атака</v>
      </c>
      <c r="W13">
        <f t="shared" ca="1" si="8"/>
        <v>507.24562088355896</v>
      </c>
    </row>
    <row r="14" spans="1:23" x14ac:dyDescent="0.25">
      <c r="A14" t="s">
        <v>650</v>
      </c>
      <c r="C14">
        <f t="shared" ca="1" si="2"/>
        <v>90</v>
      </c>
      <c r="D14" t="str">
        <f t="shared" ca="1" si="3"/>
        <v>$A$91</v>
      </c>
      <c r="E14" t="str">
        <f t="shared" ca="1" si="4"/>
        <v>Иландрия из Люг-о-дана</v>
      </c>
      <c r="F14" t="str">
        <f t="shared" si="5"/>
        <v>$G$3</v>
      </c>
      <c r="G14" t="s">
        <v>745</v>
      </c>
      <c r="I14">
        <v>3</v>
      </c>
      <c r="J14">
        <v>3</v>
      </c>
      <c r="K14" t="s">
        <v>605</v>
      </c>
      <c r="L14" t="s">
        <v>781</v>
      </c>
      <c r="M14">
        <f t="shared" si="6"/>
        <v>20</v>
      </c>
      <c r="N14">
        <f t="shared" si="0"/>
        <v>166.41582279999997</v>
      </c>
      <c r="O14" t="s">
        <v>607</v>
      </c>
      <c r="P14">
        <f>SUM(N14:N25)/12</f>
        <v>239.19219608488618</v>
      </c>
      <c r="T14">
        <v>12</v>
      </c>
      <c r="U14" t="str">
        <f t="shared" ca="1" si="7"/>
        <v>Магинарий - база</v>
      </c>
      <c r="V14" t="str">
        <f t="shared" ca="1" si="1"/>
        <v>ничего</v>
      </c>
      <c r="W14">
        <f t="shared" ca="1" si="8"/>
        <v>451.28117411917037</v>
      </c>
    </row>
    <row r="15" spans="1:23" x14ac:dyDescent="0.25">
      <c r="A15" t="s">
        <v>651</v>
      </c>
      <c r="C15">
        <f t="shared" ca="1" si="2"/>
        <v>33</v>
      </c>
      <c r="D15" t="str">
        <f t="shared" ca="1" si="3"/>
        <v>$A$34</v>
      </c>
      <c r="E15" t="str">
        <f t="shared" ca="1" si="4"/>
        <v>Ворантис из Шихона</v>
      </c>
      <c r="F15" t="str">
        <f t="shared" si="5"/>
        <v>$G$4</v>
      </c>
      <c r="I15">
        <v>4</v>
      </c>
      <c r="J15">
        <v>3</v>
      </c>
      <c r="K15" t="s">
        <v>605</v>
      </c>
      <c r="L15" t="s">
        <v>793</v>
      </c>
      <c r="M15">
        <f t="shared" si="6"/>
        <v>19</v>
      </c>
      <c r="N15">
        <f t="shared" si="0"/>
        <v>174.62712984605258</v>
      </c>
      <c r="T15">
        <v>13</v>
      </c>
      <c r="U15" t="str">
        <f t="shared" ref="U15:U22" ca="1" si="9">INDIRECT(ADDRESS((T15*12)+2,11))</f>
        <v>Магинарий - Прод</v>
      </c>
      <c r="V15" t="str">
        <f t="shared" ref="V15:V22" ca="1" si="10">INDIRECT(ADDRESS((T15*12)+2,15))</f>
        <v>Позволят тонко настраивать ядро. Корабль бонус-действием выбирает режим работы: Бой - дает +3 к броскам атаки, снижает скорость в 2 раза; Магия - переводин энергию на Спец-узлы, повышая их эффективность в два раза, снижает скорость в 2 раза; Побег - повышает скорость в 2 раза, однако использование оружия и СпецУзлов идет с помехой.</v>
      </c>
      <c r="W15">
        <f t="shared" ref="W15:W22" ca="1" si="11">INDIRECT(ADDRESS((T15*12)+2,16))</f>
        <v>553.43794676948426</v>
      </c>
    </row>
    <row r="16" spans="1:23" x14ac:dyDescent="0.25">
      <c r="A16" t="s">
        <v>652</v>
      </c>
      <c r="C16">
        <f t="shared" ca="1" si="2"/>
        <v>65</v>
      </c>
      <c r="D16" t="str">
        <f t="shared" ca="1" si="3"/>
        <v>$A$66</v>
      </c>
      <c r="E16" t="str">
        <f t="shared" ca="1" si="4"/>
        <v>Алэрион из Готуна</v>
      </c>
      <c r="F16" t="str">
        <f t="shared" si="5"/>
        <v>$G$5</v>
      </c>
      <c r="I16">
        <v>5</v>
      </c>
      <c r="J16">
        <v>3</v>
      </c>
      <c r="K16" t="s">
        <v>605</v>
      </c>
      <c r="L16" t="s">
        <v>794</v>
      </c>
      <c r="M16">
        <f t="shared" si="6"/>
        <v>18</v>
      </c>
      <c r="N16">
        <f t="shared" si="0"/>
        <v>183.75080434166665</v>
      </c>
      <c r="T16">
        <v>14</v>
      </c>
      <c r="U16" t="str">
        <f t="shared" ca="1" si="9"/>
        <v>Магинарий - Мастер</v>
      </c>
      <c r="V16" t="str">
        <f t="shared" ca="1" si="10"/>
        <v xml:space="preserve">Добавляет модификатор - Полная Мощь. Примененный к предыдущим режимам (Бой, Побег, Спец), полностью отключает другие системы, но дает: преимущество к стрельбе/использованию Спец/еще раз удваивает скорость. Использование Полной Мощи наносит 1 ед урона Корпусу каждый ход. </v>
      </c>
      <c r="W16">
        <f t="shared" ca="1" si="11"/>
        <v>592.25636480533024</v>
      </c>
    </row>
    <row r="17" spans="1:23" x14ac:dyDescent="0.25">
      <c r="A17" t="s">
        <v>653</v>
      </c>
      <c r="C17">
        <f t="shared" ca="1" si="2"/>
        <v>24</v>
      </c>
      <c r="D17" t="str">
        <f t="shared" ca="1" si="3"/>
        <v>$A$25</v>
      </c>
      <c r="E17" t="str">
        <f t="shared" ca="1" si="4"/>
        <v>Галендор из Фидваго</v>
      </c>
      <c r="F17" t="str">
        <f t="shared" si="5"/>
        <v>$G$6</v>
      </c>
      <c r="I17">
        <v>6</v>
      </c>
      <c r="J17">
        <v>3</v>
      </c>
      <c r="K17" t="s">
        <v>605</v>
      </c>
      <c r="L17" t="s">
        <v>780</v>
      </c>
      <c r="M17">
        <f t="shared" si="6"/>
        <v>17</v>
      </c>
      <c r="N17">
        <f t="shared" si="0"/>
        <v>193.94785230735295</v>
      </c>
      <c r="T17">
        <v>15</v>
      </c>
      <c r="U17" t="str">
        <f t="shared" ca="1" si="9"/>
        <v>Поммаг - база</v>
      </c>
      <c r="V17" t="str">
        <f t="shared" ca="1" si="10"/>
        <v>ничего</v>
      </c>
      <c r="W17">
        <f t="shared" ca="1" si="11"/>
        <v>451.28117411917037</v>
      </c>
    </row>
    <row r="18" spans="1:23" x14ac:dyDescent="0.25">
      <c r="A18" t="s">
        <v>654</v>
      </c>
      <c r="C18">
        <f t="shared" ca="1" si="2"/>
        <v>74</v>
      </c>
      <c r="D18" t="str">
        <f t="shared" ca="1" si="3"/>
        <v>$A$75</v>
      </c>
      <c r="E18" t="str">
        <f t="shared" ca="1" si="4"/>
        <v>Исира из Дарутана</v>
      </c>
      <c r="F18" t="str">
        <f t="shared" si="5"/>
        <v>$G$7</v>
      </c>
      <c r="I18">
        <v>7</v>
      </c>
      <c r="J18">
        <v>3</v>
      </c>
      <c r="K18" t="s">
        <v>605</v>
      </c>
      <c r="L18" t="s">
        <v>757</v>
      </c>
      <c r="M18">
        <f t="shared" si="6"/>
        <v>16</v>
      </c>
      <c r="N18">
        <f t="shared" si="0"/>
        <v>205.41953126874998</v>
      </c>
      <c r="T18">
        <v>16</v>
      </c>
      <c r="U18" t="str">
        <f t="shared" ca="1" si="9"/>
        <v>Поммаг - Прод</v>
      </c>
      <c r="V18" t="str">
        <f t="shared" ca="1" si="10"/>
        <v>Дает кораблю пассивную регенерацию в бою - 1d4 в ход. Здоровье не должно превышать 50%</v>
      </c>
      <c r="W18">
        <f t="shared" ca="1" si="11"/>
        <v>553.43794676948426</v>
      </c>
    </row>
    <row r="19" spans="1:23" x14ac:dyDescent="0.25">
      <c r="A19" t="s">
        <v>655</v>
      </c>
      <c r="C19">
        <f t="shared" ca="1" si="2"/>
        <v>47</v>
      </c>
      <c r="D19" t="str">
        <f t="shared" ca="1" si="3"/>
        <v>$A$48</v>
      </c>
      <c r="E19" t="str">
        <f t="shared" ca="1" si="4"/>
        <v>Аресса из Сарухана</v>
      </c>
      <c r="F19" t="str">
        <f t="shared" si="5"/>
        <v>$G$8</v>
      </c>
      <c r="I19">
        <v>8</v>
      </c>
      <c r="J19">
        <v>3</v>
      </c>
      <c r="K19" t="s">
        <v>605</v>
      </c>
      <c r="L19" t="s">
        <v>795</v>
      </c>
      <c r="M19">
        <f t="shared" si="6"/>
        <v>15</v>
      </c>
      <c r="N19">
        <f t="shared" si="0"/>
        <v>218.42076742499998</v>
      </c>
      <c r="T19">
        <v>17</v>
      </c>
      <c r="U19" t="str">
        <f t="shared" ca="1" si="9"/>
        <v>Поммаг - Мастер</v>
      </c>
      <c r="V19" t="str">
        <f t="shared" ca="1" si="10"/>
        <v>Один раз между прибытием в порт может восстановить кораблю 4d10 здоровья. Здоровье не должно превышать 25%</v>
      </c>
      <c r="W19">
        <f t="shared" ca="1" si="11"/>
        <v>592.25636480533024</v>
      </c>
    </row>
    <row r="20" spans="1:23" x14ac:dyDescent="0.25">
      <c r="A20" t="s">
        <v>656</v>
      </c>
      <c r="C20">
        <f t="shared" ca="1" si="2"/>
        <v>28</v>
      </c>
      <c r="D20" t="str">
        <f t="shared" ca="1" si="3"/>
        <v>$A$29</v>
      </c>
      <c r="E20" t="str">
        <f t="shared" ca="1" si="4"/>
        <v>Арвандор из Лорена</v>
      </c>
      <c r="F20" t="str">
        <f t="shared" si="5"/>
        <v>$G$9</v>
      </c>
      <c r="I20">
        <v>9</v>
      </c>
      <c r="J20">
        <v>3</v>
      </c>
      <c r="K20" t="s">
        <v>605</v>
      </c>
      <c r="L20" t="s">
        <v>796</v>
      </c>
      <c r="M20">
        <f t="shared" si="6"/>
        <v>14</v>
      </c>
      <c r="N20">
        <f t="shared" si="0"/>
        <v>233.2793230321428</v>
      </c>
      <c r="T20">
        <v>18</v>
      </c>
      <c r="U20" t="str">
        <f t="shared" ca="1" si="9"/>
        <v>Боцман - база</v>
      </c>
      <c r="V20" t="str">
        <f t="shared" ca="1" si="10"/>
        <v>ничего</v>
      </c>
      <c r="W20">
        <f t="shared" ca="1" si="11"/>
        <v>340.56521261469715</v>
      </c>
    </row>
    <row r="21" spans="1:23" x14ac:dyDescent="0.25">
      <c r="A21" t="s">
        <v>657</v>
      </c>
      <c r="C21">
        <f t="shared" ca="1" si="2"/>
        <v>70</v>
      </c>
      <c r="D21" t="str">
        <f t="shared" ca="1" si="3"/>
        <v>$A$71</v>
      </c>
      <c r="E21" t="str">
        <f t="shared" ca="1" si="4"/>
        <v>Иллуминар из Самардейла</v>
      </c>
      <c r="F21" t="str">
        <f t="shared" si="5"/>
        <v>$G$10</v>
      </c>
      <c r="I21">
        <v>10</v>
      </c>
      <c r="J21">
        <v>3</v>
      </c>
      <c r="K21" t="s">
        <v>605</v>
      </c>
      <c r="L21" t="s">
        <v>797</v>
      </c>
      <c r="M21">
        <f t="shared" si="6"/>
        <v>13</v>
      </c>
      <c r="N21">
        <f t="shared" si="0"/>
        <v>250.4238102711538</v>
      </c>
      <c r="T21">
        <v>19</v>
      </c>
      <c r="U21" t="str">
        <f t="shared" ca="1" si="9"/>
        <v>Боцман - Прод</v>
      </c>
      <c r="V21" t="str">
        <f t="shared" ca="1" si="10"/>
        <v>Корабль продолжает нормальное функционирование, пока мораль не ниже 33</v>
      </c>
      <c r="W21">
        <f t="shared" ca="1" si="11"/>
        <v>418.57328096220675</v>
      </c>
    </row>
    <row r="22" spans="1:23" x14ac:dyDescent="0.25">
      <c r="A22" t="s">
        <v>658</v>
      </c>
      <c r="C22">
        <f t="shared" ca="1" si="2"/>
        <v>86</v>
      </c>
      <c r="D22" t="str">
        <f t="shared" ca="1" si="3"/>
        <v>$A$87</v>
      </c>
      <c r="E22" t="str">
        <f t="shared" ca="1" si="4"/>
        <v>Таэлин из Гвадекуры</v>
      </c>
      <c r="F22" t="str">
        <f t="shared" si="5"/>
        <v>$G$11</v>
      </c>
      <c r="I22">
        <v>11</v>
      </c>
      <c r="J22">
        <v>3</v>
      </c>
      <c r="K22" t="s">
        <v>605</v>
      </c>
      <c r="L22" t="s">
        <v>798</v>
      </c>
      <c r="M22">
        <f t="shared" si="6"/>
        <v>12</v>
      </c>
      <c r="N22">
        <f t="shared" si="0"/>
        <v>270.42571204999996</v>
      </c>
      <c r="T22">
        <v>20</v>
      </c>
      <c r="U22" t="str">
        <f t="shared" ca="1" si="9"/>
        <v>Боцман - Мастер</v>
      </c>
      <c r="V22" t="str">
        <f t="shared" ca="1" si="10"/>
        <v>Если мораль команды больше 60, то корабль получает 2 действие.</v>
      </c>
      <c r="W22">
        <f t="shared" ca="1" si="11"/>
        <v>480.67446640992534</v>
      </c>
    </row>
    <row r="23" spans="1:23" x14ac:dyDescent="0.25">
      <c r="A23" t="s">
        <v>659</v>
      </c>
      <c r="C23">
        <f t="shared" ca="1" si="2"/>
        <v>43</v>
      </c>
      <c r="D23" t="str">
        <f t="shared" ca="1" si="3"/>
        <v>$A$44</v>
      </c>
      <c r="E23" t="str">
        <f t="shared" ca="1" si="4"/>
        <v>Эларион из Ранджар-ара</v>
      </c>
      <c r="F23" t="str">
        <f t="shared" si="5"/>
        <v>$G$12</v>
      </c>
      <c r="I23">
        <v>12</v>
      </c>
      <c r="J23">
        <v>3</v>
      </c>
      <c r="K23" t="s">
        <v>605</v>
      </c>
      <c r="L23" t="s">
        <v>799</v>
      </c>
      <c r="M23">
        <f t="shared" si="6"/>
        <v>11</v>
      </c>
      <c r="N23">
        <f t="shared" si="0"/>
        <v>294.06432324318172</v>
      </c>
    </row>
    <row r="24" spans="1:23" x14ac:dyDescent="0.25">
      <c r="A24" t="s">
        <v>660</v>
      </c>
      <c r="C24">
        <f t="shared" ca="1" si="2"/>
        <v>55</v>
      </c>
      <c r="D24" t="str">
        <f t="shared" ca="1" si="3"/>
        <v>$A$56</v>
      </c>
      <c r="E24" t="str">
        <f t="shared" ca="1" si="4"/>
        <v>Фейлура из Садата</v>
      </c>
      <c r="F24" t="str">
        <f t="shared" si="5"/>
        <v>$G$13</v>
      </c>
      <c r="I24">
        <v>13</v>
      </c>
      <c r="J24">
        <v>3</v>
      </c>
      <c r="K24" t="s">
        <v>605</v>
      </c>
      <c r="L24" t="s">
        <v>800</v>
      </c>
      <c r="M24">
        <f t="shared" si="6"/>
        <v>10</v>
      </c>
      <c r="N24">
        <f t="shared" si="0"/>
        <v>322.43065667499991</v>
      </c>
    </row>
    <row r="25" spans="1:23" x14ac:dyDescent="0.25">
      <c r="A25" t="s">
        <v>661</v>
      </c>
      <c r="C25">
        <f t="shared" ca="1" si="2"/>
        <v>6</v>
      </c>
      <c r="D25" t="str">
        <f t="shared" ca="1" si="3"/>
        <v>$A$7</v>
      </c>
      <c r="E25" t="str">
        <f t="shared" ca="1" si="4"/>
        <v>Аринтейн из Столицы</v>
      </c>
      <c r="F25" t="str">
        <f t="shared" si="5"/>
        <v>$G$14</v>
      </c>
      <c r="I25">
        <v>14</v>
      </c>
      <c r="J25">
        <v>3</v>
      </c>
      <c r="K25" t="s">
        <v>605</v>
      </c>
      <c r="L25" t="s">
        <v>801</v>
      </c>
      <c r="M25">
        <f t="shared" si="6"/>
        <v>9</v>
      </c>
      <c r="N25">
        <f t="shared" si="0"/>
        <v>357.10061975833327</v>
      </c>
    </row>
    <row r="26" spans="1:23" x14ac:dyDescent="0.25">
      <c r="A26" t="s">
        <v>662</v>
      </c>
      <c r="C26">
        <f t="shared" ca="1" si="2"/>
        <v>96</v>
      </c>
      <c r="D26" t="str">
        <f t="shared" ca="1" si="3"/>
        <v>$A$97</v>
      </c>
      <c r="E26" t="str">
        <f t="shared" ca="1" si="4"/>
        <v>Линариус из Люг-о-дана</v>
      </c>
      <c r="F26" t="str">
        <f t="shared" si="5"/>
        <v>$G$3</v>
      </c>
      <c r="I26">
        <v>3</v>
      </c>
      <c r="J26">
        <v>5</v>
      </c>
      <c r="K26" t="s">
        <v>608</v>
      </c>
      <c r="L26" t="s">
        <v>802</v>
      </c>
      <c r="M26">
        <f t="shared" si="6"/>
        <v>22</v>
      </c>
      <c r="N26">
        <f t="shared" si="0"/>
        <v>246.78710085681817</v>
      </c>
      <c r="O26" t="s">
        <v>609</v>
      </c>
      <c r="P26">
        <f>SUM(N26:N37)/12</f>
        <v>340.56521261469715</v>
      </c>
    </row>
    <row r="27" spans="1:23" x14ac:dyDescent="0.25">
      <c r="A27" t="s">
        <v>663</v>
      </c>
      <c r="C27">
        <f t="shared" ca="1" si="2"/>
        <v>33</v>
      </c>
      <c r="D27" t="str">
        <f t="shared" ca="1" si="3"/>
        <v>$A$34</v>
      </c>
      <c r="E27" t="str">
        <f t="shared" ca="1" si="4"/>
        <v>Ворантис из Шихона</v>
      </c>
      <c r="F27" t="str">
        <f t="shared" si="5"/>
        <v>$G$4</v>
      </c>
      <c r="I27">
        <v>4</v>
      </c>
      <c r="J27">
        <v>5</v>
      </c>
      <c r="K27" t="s">
        <v>608</v>
      </c>
      <c r="L27" t="s">
        <v>803</v>
      </c>
      <c r="M27">
        <f t="shared" si="6"/>
        <v>21</v>
      </c>
      <c r="N27">
        <f t="shared" si="0"/>
        <v>258.04358237738086</v>
      </c>
    </row>
    <row r="28" spans="1:23" x14ac:dyDescent="0.25">
      <c r="A28" t="s">
        <v>664</v>
      </c>
      <c r="C28">
        <f t="shared" ca="1" si="2"/>
        <v>22</v>
      </c>
      <c r="D28" t="str">
        <f t="shared" ca="1" si="3"/>
        <v>$A$23</v>
      </c>
      <c r="E28" t="str">
        <f t="shared" ca="1" si="4"/>
        <v>Эльмарин из Готуна</v>
      </c>
      <c r="F28" t="str">
        <f t="shared" si="5"/>
        <v>$G$5</v>
      </c>
      <c r="I28">
        <v>5</v>
      </c>
      <c r="J28">
        <v>5</v>
      </c>
      <c r="K28" t="s">
        <v>608</v>
      </c>
      <c r="L28" t="s">
        <v>804</v>
      </c>
      <c r="M28">
        <f t="shared" si="6"/>
        <v>20</v>
      </c>
      <c r="N28">
        <f t="shared" si="0"/>
        <v>270.42571204999996</v>
      </c>
    </row>
    <row r="29" spans="1:23" x14ac:dyDescent="0.25">
      <c r="A29" t="s">
        <v>665</v>
      </c>
      <c r="C29">
        <f t="shared" ca="1" si="2"/>
        <v>32</v>
      </c>
      <c r="D29" t="str">
        <f t="shared" ca="1" si="3"/>
        <v>$A$33</v>
      </c>
      <c r="E29" t="str">
        <f t="shared" ca="1" si="4"/>
        <v>Лиландрия из Фидваго</v>
      </c>
      <c r="F29" t="str">
        <f t="shared" si="5"/>
        <v>$G$6</v>
      </c>
      <c r="I29">
        <v>6</v>
      </c>
      <c r="J29">
        <v>5</v>
      </c>
      <c r="K29" t="s">
        <v>608</v>
      </c>
      <c r="L29" t="s">
        <v>805</v>
      </c>
      <c r="M29">
        <f t="shared" si="6"/>
        <v>19</v>
      </c>
      <c r="N29">
        <f t="shared" si="0"/>
        <v>284.111223793421</v>
      </c>
    </row>
    <row r="30" spans="1:23" x14ac:dyDescent="0.25">
      <c r="A30" t="s">
        <v>666</v>
      </c>
      <c r="C30">
        <f t="shared" ca="1" si="2"/>
        <v>38</v>
      </c>
      <c r="D30" t="str">
        <f t="shared" ca="1" si="3"/>
        <v>$A$39</v>
      </c>
      <c r="E30" t="str">
        <f t="shared" ca="1" si="4"/>
        <v>Фэрэлия из Дарутана</v>
      </c>
      <c r="F30" t="str">
        <f t="shared" si="5"/>
        <v>$G$7</v>
      </c>
      <c r="I30">
        <v>7</v>
      </c>
      <c r="J30">
        <v>5</v>
      </c>
      <c r="K30" t="s">
        <v>608</v>
      </c>
      <c r="L30" t="s">
        <v>806</v>
      </c>
      <c r="M30">
        <f t="shared" si="6"/>
        <v>18</v>
      </c>
      <c r="N30">
        <f t="shared" si="0"/>
        <v>299.31734795277771</v>
      </c>
    </row>
    <row r="31" spans="1:23" x14ac:dyDescent="0.25">
      <c r="A31" t="s">
        <v>667</v>
      </c>
      <c r="C31">
        <f t="shared" ca="1" si="2"/>
        <v>14</v>
      </c>
      <c r="D31" t="str">
        <f t="shared" ca="1" si="3"/>
        <v>$A$15</v>
      </c>
      <c r="E31" t="str">
        <f t="shared" ca="1" si="4"/>
        <v>Сианора из Сарухана</v>
      </c>
      <c r="F31" t="str">
        <f t="shared" si="5"/>
        <v>$G$8</v>
      </c>
      <c r="I31">
        <v>8</v>
      </c>
      <c r="J31">
        <v>5</v>
      </c>
      <c r="K31" t="s">
        <v>608</v>
      </c>
      <c r="L31" t="s">
        <v>807</v>
      </c>
      <c r="M31">
        <f t="shared" si="6"/>
        <v>17</v>
      </c>
      <c r="N31">
        <f t="shared" si="0"/>
        <v>316.31242789558814</v>
      </c>
    </row>
    <row r="32" spans="1:23" x14ac:dyDescent="0.25">
      <c r="A32" t="s">
        <v>668</v>
      </c>
      <c r="C32">
        <f t="shared" ca="1" si="2"/>
        <v>24</v>
      </c>
      <c r="D32" t="str">
        <f t="shared" ca="1" si="3"/>
        <v>$A$25</v>
      </c>
      <c r="E32" t="str">
        <f t="shared" ca="1" si="4"/>
        <v>Галендор из Лорена</v>
      </c>
      <c r="F32" t="str">
        <f t="shared" si="5"/>
        <v>$G$9</v>
      </c>
      <c r="I32">
        <v>9</v>
      </c>
      <c r="J32">
        <v>5</v>
      </c>
      <c r="K32" t="s">
        <v>608</v>
      </c>
      <c r="L32" t="s">
        <v>808</v>
      </c>
      <c r="M32">
        <f t="shared" si="6"/>
        <v>16</v>
      </c>
      <c r="N32">
        <f t="shared" si="0"/>
        <v>335.43189283124991</v>
      </c>
    </row>
    <row r="33" spans="1:16" x14ac:dyDescent="0.25">
      <c r="A33" t="s">
        <v>669</v>
      </c>
      <c r="C33">
        <f t="shared" ca="1" si="2"/>
        <v>96</v>
      </c>
      <c r="D33" t="str">
        <f t="shared" ca="1" si="3"/>
        <v>$A$97</v>
      </c>
      <c r="E33" t="str">
        <f t="shared" ca="1" si="4"/>
        <v>Линариус из Самардейла</v>
      </c>
      <c r="F33" t="str">
        <f t="shared" si="5"/>
        <v>$G$10</v>
      </c>
      <c r="I33">
        <v>10</v>
      </c>
      <c r="J33">
        <v>5</v>
      </c>
      <c r="K33" t="s">
        <v>608</v>
      </c>
      <c r="L33" t="s">
        <v>809</v>
      </c>
      <c r="M33">
        <f t="shared" si="6"/>
        <v>15</v>
      </c>
      <c r="N33">
        <f t="shared" si="0"/>
        <v>357.10061975833327</v>
      </c>
    </row>
    <row r="34" spans="1:16" x14ac:dyDescent="0.25">
      <c r="A34" t="s">
        <v>670</v>
      </c>
      <c r="C34">
        <f t="shared" ca="1" si="2"/>
        <v>40</v>
      </c>
      <c r="D34" t="str">
        <f t="shared" ca="1" si="3"/>
        <v>$A$41</v>
      </c>
      <c r="E34" t="str">
        <f t="shared" ca="1" si="4"/>
        <v>Сирэлион из Гвадекуры</v>
      </c>
      <c r="F34" t="str">
        <f t="shared" si="5"/>
        <v>$G$11</v>
      </c>
      <c r="I34">
        <v>11</v>
      </c>
      <c r="J34">
        <v>5</v>
      </c>
      <c r="K34" t="s">
        <v>608</v>
      </c>
      <c r="L34" t="s">
        <v>810</v>
      </c>
      <c r="M34">
        <f t="shared" si="6"/>
        <v>14</v>
      </c>
      <c r="N34">
        <f t="shared" si="0"/>
        <v>381.86487910357135</v>
      </c>
    </row>
    <row r="35" spans="1:16" x14ac:dyDescent="0.25">
      <c r="A35" t="s">
        <v>671</v>
      </c>
      <c r="C35">
        <f t="shared" ca="1" si="2"/>
        <v>84</v>
      </c>
      <c r="D35" t="str">
        <f t="shared" ca="1" si="3"/>
        <v>$A$85</v>
      </c>
      <c r="E35" t="str">
        <f t="shared" ca="1" si="4"/>
        <v>Илириана из Ранджар-ара</v>
      </c>
      <c r="F35" t="str">
        <f t="shared" si="5"/>
        <v>$G$12</v>
      </c>
      <c r="I35">
        <v>12</v>
      </c>
      <c r="J35">
        <v>5</v>
      </c>
      <c r="K35" t="s">
        <v>608</v>
      </c>
      <c r="L35" t="s">
        <v>811</v>
      </c>
      <c r="M35">
        <f t="shared" si="6"/>
        <v>13</v>
      </c>
      <c r="N35">
        <f t="shared" si="0"/>
        <v>410.43902450192297</v>
      </c>
    </row>
    <row r="36" spans="1:16" x14ac:dyDescent="0.25">
      <c r="A36" t="s">
        <v>672</v>
      </c>
      <c r="C36">
        <f t="shared" ca="1" si="2"/>
        <v>77</v>
      </c>
      <c r="D36" t="str">
        <f t="shared" ca="1" si="3"/>
        <v>$A$78</v>
      </c>
      <c r="E36" t="str">
        <f t="shared" ca="1" si="4"/>
        <v>Арданна из Садата</v>
      </c>
      <c r="F36" t="str">
        <f t="shared" si="5"/>
        <v>$G$13</v>
      </c>
      <c r="I36">
        <v>13</v>
      </c>
      <c r="J36">
        <v>5</v>
      </c>
      <c r="K36" t="s">
        <v>608</v>
      </c>
      <c r="L36" t="s">
        <v>812</v>
      </c>
      <c r="M36">
        <f t="shared" si="6"/>
        <v>12</v>
      </c>
      <c r="N36">
        <f t="shared" si="0"/>
        <v>443.77552746666657</v>
      </c>
    </row>
    <row r="37" spans="1:16" x14ac:dyDescent="0.25">
      <c r="A37" t="s">
        <v>673</v>
      </c>
      <c r="C37">
        <f t="shared" ca="1" si="2"/>
        <v>75</v>
      </c>
      <c r="D37" t="str">
        <f t="shared" ca="1" si="3"/>
        <v>$A$76</v>
      </c>
      <c r="E37" t="str">
        <f t="shared" ca="1" si="4"/>
        <v>Солиндор из Столицы</v>
      </c>
      <c r="F37" t="str">
        <f t="shared" si="5"/>
        <v>$G$14</v>
      </c>
      <c r="I37">
        <v>14</v>
      </c>
      <c r="J37">
        <v>5</v>
      </c>
      <c r="K37" t="s">
        <v>608</v>
      </c>
      <c r="L37" t="s">
        <v>813</v>
      </c>
      <c r="M37">
        <f t="shared" si="6"/>
        <v>11</v>
      </c>
      <c r="N37">
        <f t="shared" si="0"/>
        <v>483.17321278863631</v>
      </c>
    </row>
    <row r="38" spans="1:16" x14ac:dyDescent="0.25">
      <c r="A38" t="s">
        <v>674</v>
      </c>
      <c r="C38">
        <f t="shared" ca="1" si="2"/>
        <v>102</v>
      </c>
      <c r="D38" t="str">
        <f t="shared" ca="1" si="3"/>
        <v>$A$103</v>
      </c>
      <c r="E38" t="str">
        <f t="shared" ca="1" si="4"/>
        <v>Таланиэль из Люг-о-дана</v>
      </c>
      <c r="F38" t="str">
        <f t="shared" si="5"/>
        <v>$G$3</v>
      </c>
      <c r="I38">
        <v>3</v>
      </c>
      <c r="J38">
        <v>4</v>
      </c>
      <c r="K38" t="s">
        <v>610</v>
      </c>
      <c r="L38" t="s">
        <v>814</v>
      </c>
      <c r="M38">
        <f t="shared" si="6"/>
        <v>21</v>
      </c>
      <c r="N38">
        <f t="shared" si="0"/>
        <v>208.51506368690474</v>
      </c>
      <c r="O38" t="s">
        <v>606</v>
      </c>
      <c r="P38">
        <f>SUM(N38:N49)/12</f>
        <v>293.44325683130319</v>
      </c>
    </row>
    <row r="39" spans="1:16" x14ac:dyDescent="0.25">
      <c r="A39" t="s">
        <v>675</v>
      </c>
      <c r="C39">
        <f t="shared" ca="1" si="2"/>
        <v>46</v>
      </c>
      <c r="D39" t="str">
        <f t="shared" ca="1" si="3"/>
        <v>$A$47</v>
      </c>
      <c r="E39" t="str">
        <f t="shared" ca="1" si="4"/>
        <v>Фаэрандор из Шихона</v>
      </c>
      <c r="F39" t="str">
        <f t="shared" si="5"/>
        <v>$G$4</v>
      </c>
      <c r="I39">
        <v>4</v>
      </c>
      <c r="J39">
        <v>4</v>
      </c>
      <c r="K39" t="s">
        <v>610</v>
      </c>
      <c r="L39" t="s">
        <v>815</v>
      </c>
      <c r="M39">
        <f t="shared" si="6"/>
        <v>20</v>
      </c>
      <c r="N39">
        <f t="shared" si="0"/>
        <v>218.42076742499998</v>
      </c>
    </row>
    <row r="40" spans="1:16" x14ac:dyDescent="0.25">
      <c r="A40" t="s">
        <v>676</v>
      </c>
      <c r="C40">
        <f t="shared" ca="1" si="2"/>
        <v>86</v>
      </c>
      <c r="D40" t="str">
        <f t="shared" ca="1" si="3"/>
        <v>$A$87</v>
      </c>
      <c r="E40" t="str">
        <f t="shared" ca="1" si="4"/>
        <v>Таэлин из Готуна</v>
      </c>
      <c r="F40" t="str">
        <f t="shared" si="5"/>
        <v>$G$5</v>
      </c>
      <c r="I40">
        <v>5</v>
      </c>
      <c r="J40">
        <v>4</v>
      </c>
      <c r="K40" t="s">
        <v>610</v>
      </c>
      <c r="L40" t="s">
        <v>816</v>
      </c>
      <c r="M40">
        <f t="shared" si="6"/>
        <v>19</v>
      </c>
      <c r="N40">
        <f t="shared" si="0"/>
        <v>229.36917681973679</v>
      </c>
    </row>
    <row r="41" spans="1:16" x14ac:dyDescent="0.25">
      <c r="A41" t="s">
        <v>677</v>
      </c>
      <c r="C41">
        <f t="shared" ca="1" si="2"/>
        <v>43</v>
      </c>
      <c r="D41" t="str">
        <f t="shared" ca="1" si="3"/>
        <v>$A$44</v>
      </c>
      <c r="E41" t="str">
        <f t="shared" ca="1" si="4"/>
        <v>Эларион из Фидваго</v>
      </c>
      <c r="F41" t="str">
        <f t="shared" si="5"/>
        <v>$G$6</v>
      </c>
      <c r="I41">
        <v>6</v>
      </c>
      <c r="J41">
        <v>4</v>
      </c>
      <c r="K41" t="s">
        <v>610</v>
      </c>
      <c r="L41" t="s">
        <v>817</v>
      </c>
      <c r="M41">
        <f t="shared" si="6"/>
        <v>18</v>
      </c>
      <c r="N41">
        <f t="shared" si="0"/>
        <v>241.53407614722221</v>
      </c>
    </row>
    <row r="42" spans="1:16" x14ac:dyDescent="0.25">
      <c r="A42" t="s">
        <v>678</v>
      </c>
      <c r="C42">
        <f t="shared" ca="1" si="2"/>
        <v>23</v>
      </c>
      <c r="D42" t="str">
        <f t="shared" ca="1" si="3"/>
        <v>$A$24</v>
      </c>
      <c r="E42" t="str">
        <f t="shared" ca="1" si="4"/>
        <v>Ариадель из Дарутана</v>
      </c>
      <c r="F42" t="str">
        <f t="shared" si="5"/>
        <v>$G$7</v>
      </c>
      <c r="I42">
        <v>7</v>
      </c>
      <c r="J42">
        <v>4</v>
      </c>
      <c r="K42" t="s">
        <v>610</v>
      </c>
      <c r="L42" t="s">
        <v>818</v>
      </c>
      <c r="M42">
        <f t="shared" si="6"/>
        <v>17</v>
      </c>
      <c r="N42">
        <f t="shared" si="0"/>
        <v>255.13014010147057</v>
      </c>
    </row>
    <row r="43" spans="1:16" x14ac:dyDescent="0.25">
      <c r="A43" t="s">
        <v>679</v>
      </c>
      <c r="C43">
        <f t="shared" ca="1" si="2"/>
        <v>79</v>
      </c>
      <c r="D43" t="str">
        <f t="shared" ca="1" si="3"/>
        <v>$A$80</v>
      </c>
      <c r="E43" t="str">
        <f t="shared" ca="1" si="4"/>
        <v>Лиринталия из Сарухана</v>
      </c>
      <c r="F43" t="str">
        <f t="shared" si="5"/>
        <v>$G$8</v>
      </c>
      <c r="I43">
        <v>8</v>
      </c>
      <c r="J43">
        <v>4</v>
      </c>
      <c r="K43" t="s">
        <v>610</v>
      </c>
      <c r="L43" t="s">
        <v>819</v>
      </c>
      <c r="M43">
        <f t="shared" si="6"/>
        <v>16</v>
      </c>
      <c r="N43">
        <f t="shared" si="0"/>
        <v>270.42571204999996</v>
      </c>
    </row>
    <row r="44" spans="1:16" x14ac:dyDescent="0.25">
      <c r="A44" t="s">
        <v>680</v>
      </c>
      <c r="C44">
        <f t="shared" ca="1" si="2"/>
        <v>55</v>
      </c>
      <c r="D44" t="str">
        <f t="shared" ca="1" si="3"/>
        <v>$A$56</v>
      </c>
      <c r="E44" t="str">
        <f t="shared" ca="1" si="4"/>
        <v>Фейлура из Лорена</v>
      </c>
      <c r="F44" t="str">
        <f t="shared" si="5"/>
        <v>$G$9</v>
      </c>
      <c r="I44">
        <v>9</v>
      </c>
      <c r="J44">
        <v>4</v>
      </c>
      <c r="K44" t="s">
        <v>610</v>
      </c>
      <c r="L44" t="s">
        <v>808</v>
      </c>
      <c r="M44">
        <f t="shared" si="6"/>
        <v>15</v>
      </c>
      <c r="N44">
        <f t="shared" si="0"/>
        <v>287.76069359166661</v>
      </c>
    </row>
    <row r="45" spans="1:16" x14ac:dyDescent="0.25">
      <c r="A45" t="s">
        <v>681</v>
      </c>
      <c r="C45">
        <f t="shared" ca="1" si="2"/>
        <v>13</v>
      </c>
      <c r="D45" t="str">
        <f t="shared" ca="1" si="3"/>
        <v>$A$14</v>
      </c>
      <c r="E45" t="str">
        <f t="shared" ca="1" si="4"/>
        <v>Илиориан из Самардейла</v>
      </c>
      <c r="F45" t="str">
        <f t="shared" si="5"/>
        <v>$G$10</v>
      </c>
      <c r="I45">
        <v>10</v>
      </c>
      <c r="J45">
        <v>4</v>
      </c>
      <c r="K45" t="s">
        <v>610</v>
      </c>
      <c r="L45" t="s">
        <v>820</v>
      </c>
      <c r="M45">
        <f t="shared" si="6"/>
        <v>14</v>
      </c>
      <c r="N45">
        <f t="shared" si="0"/>
        <v>307.57210106785703</v>
      </c>
    </row>
    <row r="46" spans="1:16" x14ac:dyDescent="0.25">
      <c r="A46" t="s">
        <v>682</v>
      </c>
      <c r="C46">
        <f t="shared" ca="1" si="2"/>
        <v>8</v>
      </c>
      <c r="D46" t="str">
        <f t="shared" ca="1" si="3"/>
        <v>$A$9</v>
      </c>
      <c r="E46" t="str">
        <f t="shared" ca="1" si="4"/>
        <v>Эллисар из Гвадекуры</v>
      </c>
      <c r="F46" t="str">
        <f t="shared" si="5"/>
        <v>$G$11</v>
      </c>
      <c r="I46">
        <v>11</v>
      </c>
      <c r="J46">
        <v>4</v>
      </c>
      <c r="K46" t="s">
        <v>610</v>
      </c>
      <c r="L46" t="s">
        <v>821</v>
      </c>
      <c r="M46">
        <f t="shared" si="6"/>
        <v>13</v>
      </c>
      <c r="N46">
        <f t="shared" si="0"/>
        <v>330.43141738653839</v>
      </c>
    </row>
    <row r="47" spans="1:16" x14ac:dyDescent="0.25">
      <c r="A47" t="s">
        <v>683</v>
      </c>
      <c r="C47">
        <f t="shared" ca="1" si="2"/>
        <v>13</v>
      </c>
      <c r="D47" t="str">
        <f t="shared" ca="1" si="3"/>
        <v>$A$14</v>
      </c>
      <c r="E47" t="str">
        <f t="shared" ca="1" si="4"/>
        <v>Илиориан из Ранджар-ара</v>
      </c>
      <c r="F47" t="str">
        <f t="shared" si="5"/>
        <v>$G$12</v>
      </c>
      <c r="I47">
        <v>12</v>
      </c>
      <c r="J47">
        <v>4</v>
      </c>
      <c r="K47" t="s">
        <v>610</v>
      </c>
      <c r="L47" t="s">
        <v>822</v>
      </c>
      <c r="M47">
        <f t="shared" si="6"/>
        <v>12</v>
      </c>
      <c r="N47">
        <f t="shared" si="0"/>
        <v>357.10061975833327</v>
      </c>
    </row>
    <row r="48" spans="1:16" x14ac:dyDescent="0.25">
      <c r="A48" t="s">
        <v>684</v>
      </c>
      <c r="C48">
        <f t="shared" ca="1" si="2"/>
        <v>51</v>
      </c>
      <c r="D48" t="str">
        <f t="shared" ca="1" si="3"/>
        <v>$A$52</v>
      </c>
      <c r="E48" t="str">
        <f t="shared" ca="1" si="4"/>
        <v>Ардантир из Садата</v>
      </c>
      <c r="F48" t="str">
        <f t="shared" si="5"/>
        <v>$G$13</v>
      </c>
      <c r="I48">
        <v>13</v>
      </c>
      <c r="J48">
        <v>4</v>
      </c>
      <c r="K48" t="s">
        <v>610</v>
      </c>
      <c r="L48" t="s">
        <v>823</v>
      </c>
      <c r="M48">
        <f t="shared" si="6"/>
        <v>11</v>
      </c>
      <c r="N48">
        <f t="shared" si="0"/>
        <v>388.61876801590904</v>
      </c>
    </row>
    <row r="49" spans="1:16" x14ac:dyDescent="0.25">
      <c r="A49" t="s">
        <v>685</v>
      </c>
      <c r="C49">
        <f t="shared" ca="1" si="2"/>
        <v>43</v>
      </c>
      <c r="D49" t="str">
        <f t="shared" ca="1" si="3"/>
        <v>$A$44</v>
      </c>
      <c r="E49" t="str">
        <f t="shared" ca="1" si="4"/>
        <v>Эларион из Столицы</v>
      </c>
      <c r="F49" t="str">
        <f t="shared" si="5"/>
        <v>$G$14</v>
      </c>
      <c r="I49">
        <v>14</v>
      </c>
      <c r="J49">
        <v>4</v>
      </c>
      <c r="K49" t="s">
        <v>610</v>
      </c>
      <c r="L49" t="s">
        <v>824</v>
      </c>
      <c r="M49">
        <f t="shared" si="6"/>
        <v>10</v>
      </c>
      <c r="N49">
        <f t="shared" si="0"/>
        <v>426.44054592499992</v>
      </c>
    </row>
    <row r="50" spans="1:16" x14ac:dyDescent="0.25">
      <c r="A50" t="s">
        <v>686</v>
      </c>
      <c r="C50">
        <f t="shared" ca="1" si="2"/>
        <v>35</v>
      </c>
      <c r="D50" t="str">
        <f t="shared" ca="1" si="3"/>
        <v>$A$36</v>
      </c>
      <c r="E50" t="str">
        <f t="shared" ca="1" si="4"/>
        <v>Эландил из Люг-о-дана</v>
      </c>
      <c r="F50" t="str">
        <f t="shared" si="5"/>
        <v>$G$3</v>
      </c>
      <c r="I50">
        <v>3</v>
      </c>
      <c r="J50">
        <v>6</v>
      </c>
      <c r="K50" t="s">
        <v>975</v>
      </c>
      <c r="L50" t="s">
        <v>825</v>
      </c>
      <c r="M50">
        <f t="shared" si="6"/>
        <v>23</v>
      </c>
      <c r="N50">
        <f t="shared" si="0"/>
        <v>281.73113479456515</v>
      </c>
      <c r="O50" t="s">
        <v>611</v>
      </c>
      <c r="P50">
        <f>SUM(N50:N61)/12</f>
        <v>381.93168045540341</v>
      </c>
    </row>
    <row r="51" spans="1:16" x14ac:dyDescent="0.25">
      <c r="A51" t="s">
        <v>687</v>
      </c>
      <c r="C51">
        <f t="shared" ca="1" si="2"/>
        <v>75</v>
      </c>
      <c r="D51" t="str">
        <f t="shared" ca="1" si="3"/>
        <v>$A$76</v>
      </c>
      <c r="E51" t="str">
        <f t="shared" ca="1" si="4"/>
        <v>Солиндор из Шихона</v>
      </c>
      <c r="F51" t="str">
        <f t="shared" si="5"/>
        <v>$G$4</v>
      </c>
      <c r="I51">
        <v>4</v>
      </c>
      <c r="J51">
        <v>6</v>
      </c>
      <c r="K51" t="s">
        <v>975</v>
      </c>
      <c r="L51" t="s">
        <v>826</v>
      </c>
      <c r="M51">
        <f t="shared" si="6"/>
        <v>22</v>
      </c>
      <c r="N51">
        <f t="shared" si="0"/>
        <v>294.06432324318172</v>
      </c>
    </row>
    <row r="52" spans="1:16" x14ac:dyDescent="0.25">
      <c r="A52" t="s">
        <v>688</v>
      </c>
      <c r="C52">
        <f t="shared" ca="1" si="2"/>
        <v>3</v>
      </c>
      <c r="D52" t="str">
        <f t="shared" ca="1" si="3"/>
        <v>$A$4</v>
      </c>
      <c r="E52" t="str">
        <f t="shared" ca="1" si="4"/>
        <v>Лириндель из Готуна</v>
      </c>
      <c r="F52" t="str">
        <f t="shared" si="5"/>
        <v>$G$5</v>
      </c>
      <c r="I52">
        <v>5</v>
      </c>
      <c r="J52">
        <v>6</v>
      </c>
      <c r="K52" t="s">
        <v>975</v>
      </c>
      <c r="L52" t="s">
        <v>827</v>
      </c>
      <c r="M52">
        <f t="shared" si="6"/>
        <v>21</v>
      </c>
      <c r="N52">
        <f t="shared" si="0"/>
        <v>307.57210106785703</v>
      </c>
    </row>
    <row r="53" spans="1:16" x14ac:dyDescent="0.25">
      <c r="A53" t="s">
        <v>689</v>
      </c>
      <c r="C53">
        <f t="shared" ca="1" si="2"/>
        <v>60</v>
      </c>
      <c r="D53" t="str">
        <f t="shared" ca="1" si="3"/>
        <v>$A$61</v>
      </c>
      <c r="E53" t="str">
        <f t="shared" ca="1" si="4"/>
        <v>Элианор из Фидваго</v>
      </c>
      <c r="F53" t="str">
        <f t="shared" si="5"/>
        <v>$G$6</v>
      </c>
      <c r="I53">
        <v>6</v>
      </c>
      <c r="J53">
        <v>6</v>
      </c>
      <c r="K53" t="s">
        <v>975</v>
      </c>
      <c r="L53" t="s">
        <v>828</v>
      </c>
      <c r="M53">
        <f t="shared" si="6"/>
        <v>20</v>
      </c>
      <c r="N53">
        <f t="shared" si="0"/>
        <v>322.43065667499991</v>
      </c>
    </row>
    <row r="54" spans="1:16" x14ac:dyDescent="0.25">
      <c r="A54" t="s">
        <v>690</v>
      </c>
      <c r="C54">
        <f t="shared" ca="1" si="2"/>
        <v>69</v>
      </c>
      <c r="D54" t="str">
        <f t="shared" ca="1" si="3"/>
        <v>$A$70</v>
      </c>
      <c r="E54" t="str">
        <f t="shared" ca="1" si="4"/>
        <v>Эльсара из Дарутана</v>
      </c>
      <c r="F54" t="str">
        <f t="shared" si="5"/>
        <v>$G$7</v>
      </c>
      <c r="I54">
        <v>7</v>
      </c>
      <c r="J54">
        <v>6</v>
      </c>
      <c r="K54" t="s">
        <v>975</v>
      </c>
      <c r="L54" t="s">
        <v>829</v>
      </c>
      <c r="M54">
        <f t="shared" si="6"/>
        <v>19</v>
      </c>
      <c r="N54">
        <f t="shared" si="0"/>
        <v>338.85327076710513</v>
      </c>
    </row>
    <row r="55" spans="1:16" x14ac:dyDescent="0.25">
      <c r="A55" t="s">
        <v>691</v>
      </c>
      <c r="C55">
        <f t="shared" ca="1" si="2"/>
        <v>83</v>
      </c>
      <c r="D55" t="str">
        <f t="shared" ca="1" si="3"/>
        <v>$A$84</v>
      </c>
      <c r="E55" t="str">
        <f t="shared" ca="1" si="4"/>
        <v>Эмбриан из Сарухана</v>
      </c>
      <c r="F55" t="str">
        <f t="shared" si="5"/>
        <v>$G$8</v>
      </c>
      <c r="I55">
        <v>8</v>
      </c>
      <c r="J55">
        <v>6</v>
      </c>
      <c r="K55" t="s">
        <v>975</v>
      </c>
      <c r="L55" t="s">
        <v>830</v>
      </c>
      <c r="M55">
        <f t="shared" si="6"/>
        <v>18</v>
      </c>
      <c r="N55">
        <f t="shared" si="0"/>
        <v>357.10061975833327</v>
      </c>
    </row>
    <row r="56" spans="1:16" x14ac:dyDescent="0.25">
      <c r="A56" t="s">
        <v>692</v>
      </c>
      <c r="C56">
        <f t="shared" ca="1" si="2"/>
        <v>36</v>
      </c>
      <c r="D56" t="str">
        <f t="shared" ca="1" si="3"/>
        <v>$A$37</v>
      </c>
      <c r="E56" t="str">
        <f t="shared" ca="1" si="4"/>
        <v>Алиандра из Лорена</v>
      </c>
      <c r="F56" t="str">
        <f t="shared" si="5"/>
        <v>$G$9</v>
      </c>
      <c r="I56">
        <v>9</v>
      </c>
      <c r="J56">
        <v>6</v>
      </c>
      <c r="K56" t="s">
        <v>975</v>
      </c>
      <c r="L56" t="s">
        <v>754</v>
      </c>
      <c r="M56">
        <f t="shared" si="6"/>
        <v>17</v>
      </c>
      <c r="N56">
        <f t="shared" si="0"/>
        <v>377.49471568970586</v>
      </c>
    </row>
    <row r="57" spans="1:16" x14ac:dyDescent="0.25">
      <c r="A57" t="s">
        <v>693</v>
      </c>
      <c r="C57">
        <f t="shared" ca="1" si="2"/>
        <v>67</v>
      </c>
      <c r="D57" t="str">
        <f t="shared" ca="1" si="3"/>
        <v>$A$68</v>
      </c>
      <c r="E57" t="str">
        <f t="shared" ca="1" si="4"/>
        <v>Телестра из Самардейла</v>
      </c>
      <c r="F57" t="str">
        <f t="shared" si="5"/>
        <v>$G$10</v>
      </c>
      <c r="I57">
        <v>10</v>
      </c>
      <c r="J57">
        <v>6</v>
      </c>
      <c r="K57" t="s">
        <v>975</v>
      </c>
      <c r="L57" t="s">
        <v>831</v>
      </c>
      <c r="M57">
        <f t="shared" si="6"/>
        <v>16</v>
      </c>
      <c r="N57">
        <f t="shared" si="0"/>
        <v>400.43807361249992</v>
      </c>
    </row>
    <row r="58" spans="1:16" x14ac:dyDescent="0.25">
      <c r="A58" t="s">
        <v>694</v>
      </c>
      <c r="C58">
        <f t="shared" ca="1" si="2"/>
        <v>60</v>
      </c>
      <c r="D58" t="str">
        <f t="shared" ca="1" si="3"/>
        <v>$A$61</v>
      </c>
      <c r="E58" t="str">
        <f t="shared" ca="1" si="4"/>
        <v>Элианор из Гвадекуры</v>
      </c>
      <c r="F58" t="str">
        <f t="shared" si="5"/>
        <v>$G$11</v>
      </c>
      <c r="I58">
        <v>11</v>
      </c>
      <c r="J58">
        <v>6</v>
      </c>
      <c r="K58" t="s">
        <v>975</v>
      </c>
      <c r="L58" t="s">
        <v>832</v>
      </c>
      <c r="M58">
        <f t="shared" si="6"/>
        <v>15</v>
      </c>
      <c r="N58">
        <f t="shared" si="0"/>
        <v>426.44054592499992</v>
      </c>
    </row>
    <row r="59" spans="1:16" x14ac:dyDescent="0.25">
      <c r="A59" t="s">
        <v>695</v>
      </c>
      <c r="C59">
        <f t="shared" ca="1" si="2"/>
        <v>82</v>
      </c>
      <c r="D59" t="str">
        <f t="shared" ca="1" si="3"/>
        <v>$A$83</v>
      </c>
      <c r="E59" t="str">
        <f t="shared" ca="1" si="4"/>
        <v>Альтиран из Ранджар-ара</v>
      </c>
      <c r="F59" t="str">
        <f t="shared" si="5"/>
        <v>$G$12</v>
      </c>
      <c r="I59">
        <v>12</v>
      </c>
      <c r="J59">
        <v>6</v>
      </c>
      <c r="K59" t="s">
        <v>975</v>
      </c>
      <c r="L59" t="s">
        <v>833</v>
      </c>
      <c r="M59">
        <f t="shared" si="6"/>
        <v>14</v>
      </c>
      <c r="N59">
        <f t="shared" si="0"/>
        <v>456.15765713928556</v>
      </c>
    </row>
    <row r="60" spans="1:16" x14ac:dyDescent="0.25">
      <c r="A60" t="s">
        <v>696</v>
      </c>
      <c r="C60">
        <f t="shared" ca="1" si="2"/>
        <v>27</v>
      </c>
      <c r="D60" t="str">
        <f t="shared" ca="1" si="3"/>
        <v>$A$28</v>
      </c>
      <c r="E60" t="str">
        <f t="shared" ca="1" si="4"/>
        <v>Иссиэль из Садата</v>
      </c>
      <c r="F60" t="str">
        <f t="shared" si="5"/>
        <v>$G$13</v>
      </c>
      <c r="I60">
        <v>13</v>
      </c>
      <c r="J60">
        <v>6</v>
      </c>
      <c r="K60" t="s">
        <v>975</v>
      </c>
      <c r="L60" t="s">
        <v>750</v>
      </c>
      <c r="M60">
        <f t="shared" si="6"/>
        <v>13</v>
      </c>
      <c r="N60">
        <f t="shared" si="0"/>
        <v>490.44663161730756</v>
      </c>
    </row>
    <row r="61" spans="1:16" x14ac:dyDescent="0.25">
      <c r="A61" t="s">
        <v>697</v>
      </c>
      <c r="C61">
        <f t="shared" ca="1" si="2"/>
        <v>41</v>
      </c>
      <c r="D61" t="str">
        <f t="shared" ca="1" si="3"/>
        <v>$A$42</v>
      </c>
      <c r="E61" t="str">
        <f t="shared" ca="1" si="4"/>
        <v>Теландрис из Столицы</v>
      </c>
      <c r="F61" t="str">
        <f t="shared" si="5"/>
        <v>$G$14</v>
      </c>
      <c r="I61">
        <v>14</v>
      </c>
      <c r="J61">
        <v>6</v>
      </c>
      <c r="K61" t="s">
        <v>975</v>
      </c>
      <c r="L61" t="s">
        <v>834</v>
      </c>
      <c r="M61">
        <f t="shared" si="6"/>
        <v>12</v>
      </c>
      <c r="N61">
        <f t="shared" si="0"/>
        <v>530.45043517499994</v>
      </c>
    </row>
    <row r="62" spans="1:16" x14ac:dyDescent="0.25">
      <c r="A62" t="s">
        <v>698</v>
      </c>
      <c r="C62">
        <f t="shared" ca="1" si="2"/>
        <v>22</v>
      </c>
      <c r="D62" t="str">
        <f t="shared" ca="1" si="3"/>
        <v>$A$23</v>
      </c>
      <c r="E62" t="str">
        <f t="shared" ca="1" si="4"/>
        <v>Эльмарин из Люг-о-дана</v>
      </c>
      <c r="F62" t="str">
        <f t="shared" si="5"/>
        <v>$G$3</v>
      </c>
      <c r="I62">
        <v>3</v>
      </c>
      <c r="J62">
        <v>9</v>
      </c>
      <c r="K62" t="s">
        <v>976</v>
      </c>
      <c r="L62" t="s">
        <v>835</v>
      </c>
      <c r="M62">
        <f t="shared" si="6"/>
        <v>26</v>
      </c>
      <c r="N62">
        <f t="shared" si="0"/>
        <v>370.43522094423065</v>
      </c>
      <c r="O62" t="s">
        <v>612</v>
      </c>
      <c r="P62">
        <f>SUM(N62:N73)/12</f>
        <v>480.67446640992534</v>
      </c>
    </row>
    <row r="63" spans="1:16" x14ac:dyDescent="0.25">
      <c r="A63" t="s">
        <v>699</v>
      </c>
      <c r="C63">
        <f t="shared" ca="1" si="2"/>
        <v>28</v>
      </c>
      <c r="D63" t="str">
        <f t="shared" ca="1" si="3"/>
        <v>$A$29</v>
      </c>
      <c r="E63" t="str">
        <f t="shared" ca="1" si="4"/>
        <v>Арвандор из Шихона</v>
      </c>
      <c r="F63" t="str">
        <f t="shared" si="5"/>
        <v>$G$4</v>
      </c>
      <c r="I63">
        <v>4</v>
      </c>
      <c r="J63">
        <v>9</v>
      </c>
      <c r="K63" t="s">
        <v>976</v>
      </c>
      <c r="L63" t="s">
        <v>836</v>
      </c>
      <c r="M63">
        <f t="shared" si="6"/>
        <v>25</v>
      </c>
      <c r="N63">
        <f t="shared" si="0"/>
        <v>384.8365902249999</v>
      </c>
    </row>
    <row r="64" spans="1:16" x14ac:dyDescent="0.25">
      <c r="A64" t="s">
        <v>700</v>
      </c>
      <c r="C64">
        <f t="shared" ca="1" si="2"/>
        <v>26</v>
      </c>
      <c r="D64" t="str">
        <f t="shared" ca="1" si="3"/>
        <v>$A$27</v>
      </c>
      <c r="E64" t="str">
        <f t="shared" ca="1" si="4"/>
        <v>Дрейкор из Готуна</v>
      </c>
      <c r="F64" t="str">
        <f t="shared" si="5"/>
        <v>$G$5</v>
      </c>
      <c r="I64">
        <v>5</v>
      </c>
      <c r="J64">
        <v>9</v>
      </c>
      <c r="K64" t="s">
        <v>976</v>
      </c>
      <c r="L64" t="s">
        <v>837</v>
      </c>
      <c r="M64">
        <f t="shared" si="6"/>
        <v>24</v>
      </c>
      <c r="N64">
        <f t="shared" si="0"/>
        <v>400.43807361249992</v>
      </c>
    </row>
    <row r="65" spans="1:16" x14ac:dyDescent="0.25">
      <c r="A65" t="s">
        <v>701</v>
      </c>
      <c r="C65">
        <f t="shared" ca="1" si="2"/>
        <v>89</v>
      </c>
      <c r="D65" t="str">
        <f t="shared" ca="1" si="3"/>
        <v>$A$90</v>
      </c>
      <c r="E65" t="str">
        <f t="shared" ca="1" si="4"/>
        <v>Элориан из Фидваго</v>
      </c>
      <c r="F65" t="str">
        <f t="shared" si="5"/>
        <v>$G$6</v>
      </c>
      <c r="I65">
        <v>6</v>
      </c>
      <c r="J65">
        <v>9</v>
      </c>
      <c r="K65" t="s">
        <v>976</v>
      </c>
      <c r="L65" t="s">
        <v>758</v>
      </c>
      <c r="M65">
        <f t="shared" si="6"/>
        <v>23</v>
      </c>
      <c r="N65">
        <f t="shared" si="0"/>
        <v>417.39620772934774</v>
      </c>
    </row>
    <row r="66" spans="1:16" x14ac:dyDescent="0.25">
      <c r="A66" t="s">
        <v>702</v>
      </c>
      <c r="C66">
        <f t="shared" ca="1" si="2"/>
        <v>92</v>
      </c>
      <c r="D66" t="str">
        <f t="shared" ca="1" si="3"/>
        <v>$A$93</v>
      </c>
      <c r="E66" t="str">
        <f t="shared" ca="1" si="4"/>
        <v>Тарантис из Дарутана</v>
      </c>
      <c r="F66" t="str">
        <f t="shared" ref="F66:F129" si="12">ADDRESS(I66,7)</f>
        <v>$G$7</v>
      </c>
      <c r="I66">
        <v>7</v>
      </c>
      <c r="J66">
        <v>9</v>
      </c>
      <c r="K66" t="s">
        <v>976</v>
      </c>
      <c r="L66" t="s">
        <v>838</v>
      </c>
      <c r="M66">
        <f t="shared" ref="M66:M129" si="13">20-I66+J66</f>
        <v>22</v>
      </c>
      <c r="N66">
        <f t="shared" ref="N66:N129" si="14">(J66/M66*$A$2)*100+$A$2</f>
        <v>435.89599040227267</v>
      </c>
    </row>
    <row r="67" spans="1:16" x14ac:dyDescent="0.25">
      <c r="A67" t="s">
        <v>703</v>
      </c>
      <c r="C67">
        <f t="shared" ref="C67:C130" ca="1" si="15">RANDBETWEEN(2,102)</f>
        <v>64</v>
      </c>
      <c r="D67" t="str">
        <f t="shared" ref="D67:D130" ca="1" si="16">ADDRESS(C67+1,1)</f>
        <v>$A$65</v>
      </c>
      <c r="E67" t="str">
        <f t="shared" ref="E67:E130" ca="1" si="17">INDIRECT(D67)&amp;" из "&amp;INDIRECT(F67)</f>
        <v>Элариэль из Сарухана</v>
      </c>
      <c r="F67" t="str">
        <f t="shared" si="12"/>
        <v>$G$8</v>
      </c>
      <c r="I67">
        <v>8</v>
      </c>
      <c r="J67">
        <v>9</v>
      </c>
      <c r="K67" t="s">
        <v>976</v>
      </c>
      <c r="L67" t="s">
        <v>839</v>
      </c>
      <c r="M67">
        <f t="shared" si="13"/>
        <v>21</v>
      </c>
      <c r="N67">
        <f t="shared" si="14"/>
        <v>456.15765713928556</v>
      </c>
    </row>
    <row r="68" spans="1:16" x14ac:dyDescent="0.25">
      <c r="A68" t="s">
        <v>704</v>
      </c>
      <c r="C68">
        <f t="shared" ca="1" si="15"/>
        <v>51</v>
      </c>
      <c r="D68" t="str">
        <f t="shared" ca="1" si="16"/>
        <v>$A$52</v>
      </c>
      <c r="E68" t="str">
        <f t="shared" ca="1" si="17"/>
        <v>Ардантир из Лорена</v>
      </c>
      <c r="F68" t="str">
        <f t="shared" si="12"/>
        <v>$G$9</v>
      </c>
      <c r="I68">
        <v>9</v>
      </c>
      <c r="J68">
        <v>9</v>
      </c>
      <c r="K68" t="s">
        <v>976</v>
      </c>
      <c r="L68" t="s">
        <v>770</v>
      </c>
      <c r="M68">
        <f t="shared" si="13"/>
        <v>20</v>
      </c>
      <c r="N68">
        <f t="shared" si="14"/>
        <v>478.44549054999993</v>
      </c>
    </row>
    <row r="69" spans="1:16" x14ac:dyDescent="0.25">
      <c r="A69" t="s">
        <v>705</v>
      </c>
      <c r="C69">
        <f t="shared" ca="1" si="15"/>
        <v>93</v>
      </c>
      <c r="D69" t="str">
        <f t="shared" ca="1" si="16"/>
        <v>$A$94</v>
      </c>
      <c r="E69" t="str">
        <f t="shared" ca="1" si="17"/>
        <v>Филиан из Самардейла</v>
      </c>
      <c r="F69" t="str">
        <f t="shared" si="12"/>
        <v>$G$10</v>
      </c>
      <c r="I69">
        <v>10</v>
      </c>
      <c r="J69">
        <v>9</v>
      </c>
      <c r="K69" t="s">
        <v>976</v>
      </c>
      <c r="L69" t="s">
        <v>765</v>
      </c>
      <c r="M69">
        <f t="shared" si="13"/>
        <v>19</v>
      </c>
      <c r="N69">
        <f t="shared" si="14"/>
        <v>503.07941168815779</v>
      </c>
    </row>
    <row r="70" spans="1:16" x14ac:dyDescent="0.25">
      <c r="A70" t="s">
        <v>706</v>
      </c>
      <c r="C70">
        <f t="shared" ca="1" si="15"/>
        <v>9</v>
      </c>
      <c r="D70" t="str">
        <f t="shared" ca="1" si="16"/>
        <v>$A$10</v>
      </c>
      <c r="E70" t="str">
        <f t="shared" ca="1" si="17"/>
        <v>Тиандор из Гвадекуры</v>
      </c>
      <c r="F70" t="str">
        <f t="shared" si="12"/>
        <v>$G$11</v>
      </c>
      <c r="I70">
        <v>11</v>
      </c>
      <c r="J70">
        <v>9</v>
      </c>
      <c r="K70" t="s">
        <v>976</v>
      </c>
      <c r="L70" t="s">
        <v>840</v>
      </c>
      <c r="M70">
        <f t="shared" si="13"/>
        <v>18</v>
      </c>
      <c r="N70">
        <f t="shared" si="14"/>
        <v>530.45043517499994</v>
      </c>
    </row>
    <row r="71" spans="1:16" x14ac:dyDescent="0.25">
      <c r="A71" t="s">
        <v>707</v>
      </c>
      <c r="C71">
        <f t="shared" ca="1" si="15"/>
        <v>80</v>
      </c>
      <c r="D71" t="str">
        <f t="shared" ca="1" si="16"/>
        <v>$A$81</v>
      </c>
      <c r="E71" t="str">
        <f t="shared" ca="1" si="17"/>
        <v>Тирасил из Ранджар-ара</v>
      </c>
      <c r="F71" t="str">
        <f t="shared" si="12"/>
        <v>$G$12</v>
      </c>
      <c r="I71">
        <v>12</v>
      </c>
      <c r="J71">
        <v>9</v>
      </c>
      <c r="K71" t="s">
        <v>976</v>
      </c>
      <c r="L71" t="s">
        <v>841</v>
      </c>
      <c r="M71">
        <f t="shared" si="13"/>
        <v>17</v>
      </c>
      <c r="N71">
        <f t="shared" si="14"/>
        <v>561.04157907205865</v>
      </c>
    </row>
    <row r="72" spans="1:16" x14ac:dyDescent="0.25">
      <c r="A72" t="s">
        <v>708</v>
      </c>
      <c r="C72">
        <f t="shared" ca="1" si="15"/>
        <v>8</v>
      </c>
      <c r="D72" t="str">
        <f t="shared" ca="1" si="16"/>
        <v>$A$9</v>
      </c>
      <c r="E72" t="str">
        <f t="shared" ca="1" si="17"/>
        <v>Эллисар из Садата</v>
      </c>
      <c r="F72" t="str">
        <f t="shared" si="12"/>
        <v>$G$13</v>
      </c>
      <c r="I72">
        <v>13</v>
      </c>
      <c r="J72">
        <v>9</v>
      </c>
      <c r="K72" t="s">
        <v>976</v>
      </c>
      <c r="L72" t="s">
        <v>842</v>
      </c>
      <c r="M72">
        <f t="shared" si="13"/>
        <v>16</v>
      </c>
      <c r="N72">
        <f t="shared" si="14"/>
        <v>595.45661595624983</v>
      </c>
    </row>
    <row r="73" spans="1:16" x14ac:dyDescent="0.25">
      <c r="A73" t="s">
        <v>709</v>
      </c>
      <c r="C73">
        <f t="shared" ca="1" si="15"/>
        <v>77</v>
      </c>
      <c r="D73" t="str">
        <f t="shared" ca="1" si="16"/>
        <v>$A$78</v>
      </c>
      <c r="E73" t="str">
        <f t="shared" ca="1" si="17"/>
        <v>Арданна из Столицы</v>
      </c>
      <c r="F73" t="str">
        <f t="shared" si="12"/>
        <v>$G$14</v>
      </c>
      <c r="I73">
        <v>14</v>
      </c>
      <c r="J73">
        <v>9</v>
      </c>
      <c r="K73" t="s">
        <v>976</v>
      </c>
      <c r="L73" t="s">
        <v>784</v>
      </c>
      <c r="M73">
        <f t="shared" si="13"/>
        <v>15</v>
      </c>
      <c r="N73">
        <f t="shared" si="14"/>
        <v>634.46032442499984</v>
      </c>
    </row>
    <row r="74" spans="1:16" x14ac:dyDescent="0.25">
      <c r="A74" t="s">
        <v>710</v>
      </c>
      <c r="C74">
        <f t="shared" ca="1" si="15"/>
        <v>5</v>
      </c>
      <c r="D74" t="str">
        <f t="shared" ca="1" si="16"/>
        <v>$A$6</v>
      </c>
      <c r="E74" t="str">
        <f t="shared" ca="1" si="17"/>
        <v>Галадрон из Люг-о-дана</v>
      </c>
      <c r="F74" t="str">
        <f t="shared" si="12"/>
        <v>$G$3</v>
      </c>
      <c r="I74">
        <v>3</v>
      </c>
      <c r="J74">
        <v>1</v>
      </c>
      <c r="K74" t="s">
        <v>613</v>
      </c>
      <c r="L74" t="s">
        <v>771</v>
      </c>
      <c r="M74">
        <f t="shared" si="13"/>
        <v>18</v>
      </c>
      <c r="N74">
        <f t="shared" si="14"/>
        <v>68.18426073055555</v>
      </c>
      <c r="O74" t="s">
        <v>606</v>
      </c>
      <c r="P74">
        <f>SUM(N74:N85)/12</f>
        <v>100.98563514789907</v>
      </c>
    </row>
    <row r="75" spans="1:16" x14ac:dyDescent="0.25">
      <c r="A75" t="s">
        <v>711</v>
      </c>
      <c r="C75">
        <f t="shared" ca="1" si="15"/>
        <v>86</v>
      </c>
      <c r="D75" t="str">
        <f t="shared" ca="1" si="16"/>
        <v>$A$87</v>
      </c>
      <c r="E75" t="str">
        <f t="shared" ca="1" si="17"/>
        <v>Таэлин из Шихона</v>
      </c>
      <c r="F75" t="str">
        <f t="shared" si="12"/>
        <v>$G$4</v>
      </c>
      <c r="I75">
        <v>4</v>
      </c>
      <c r="J75">
        <v>1</v>
      </c>
      <c r="K75" t="s">
        <v>613</v>
      </c>
      <c r="L75" t="s">
        <v>779</v>
      </c>
      <c r="M75">
        <f t="shared" si="13"/>
        <v>17</v>
      </c>
      <c r="N75">
        <f t="shared" si="14"/>
        <v>71.583276719117634</v>
      </c>
    </row>
    <row r="76" spans="1:16" x14ac:dyDescent="0.25">
      <c r="A76" t="s">
        <v>712</v>
      </c>
      <c r="C76">
        <f t="shared" ca="1" si="15"/>
        <v>55</v>
      </c>
      <c r="D76" t="str">
        <f t="shared" ca="1" si="16"/>
        <v>$A$56</v>
      </c>
      <c r="E76" t="str">
        <f t="shared" ca="1" si="17"/>
        <v>Фейлура из Готуна</v>
      </c>
      <c r="F76" t="str">
        <f t="shared" si="12"/>
        <v>$G$5</v>
      </c>
      <c r="I76">
        <v>5</v>
      </c>
      <c r="J76">
        <v>1</v>
      </c>
      <c r="K76" t="s">
        <v>613</v>
      </c>
      <c r="L76" t="s">
        <v>843</v>
      </c>
      <c r="M76">
        <f t="shared" si="13"/>
        <v>16</v>
      </c>
      <c r="N76">
        <f t="shared" si="14"/>
        <v>75.407169706249988</v>
      </c>
    </row>
    <row r="77" spans="1:16" x14ac:dyDescent="0.25">
      <c r="A77" t="s">
        <v>713</v>
      </c>
      <c r="C77">
        <f t="shared" ca="1" si="15"/>
        <v>27</v>
      </c>
      <c r="D77" t="str">
        <f t="shared" ca="1" si="16"/>
        <v>$A$28</v>
      </c>
      <c r="E77" t="str">
        <f t="shared" ca="1" si="17"/>
        <v>Иссиэль из Фидваго</v>
      </c>
      <c r="F77" t="str">
        <f t="shared" si="12"/>
        <v>$G$6</v>
      </c>
      <c r="I77">
        <v>6</v>
      </c>
      <c r="J77">
        <v>1</v>
      </c>
      <c r="K77" t="s">
        <v>613</v>
      </c>
      <c r="L77" t="s">
        <v>844</v>
      </c>
      <c r="M77">
        <f t="shared" si="13"/>
        <v>15</v>
      </c>
      <c r="N77">
        <f t="shared" si="14"/>
        <v>79.74091509166665</v>
      </c>
    </row>
    <row r="78" spans="1:16" x14ac:dyDescent="0.25">
      <c r="A78" t="s">
        <v>714</v>
      </c>
      <c r="C78">
        <f t="shared" ca="1" si="15"/>
        <v>14</v>
      </c>
      <c r="D78" t="str">
        <f t="shared" ca="1" si="16"/>
        <v>$A$15</v>
      </c>
      <c r="E78" t="str">
        <f t="shared" ca="1" si="17"/>
        <v>Сианора из Дарутана</v>
      </c>
      <c r="F78" t="str">
        <f t="shared" si="12"/>
        <v>$G$7</v>
      </c>
      <c r="I78">
        <v>7</v>
      </c>
      <c r="J78">
        <v>1</v>
      </c>
      <c r="K78" t="s">
        <v>613</v>
      </c>
      <c r="L78" t="s">
        <v>845</v>
      </c>
      <c r="M78">
        <f t="shared" si="13"/>
        <v>14</v>
      </c>
      <c r="N78">
        <f t="shared" si="14"/>
        <v>84.693766960714257</v>
      </c>
    </row>
    <row r="79" spans="1:16" x14ac:dyDescent="0.25">
      <c r="A79" t="s">
        <v>715</v>
      </c>
      <c r="C79">
        <f t="shared" ca="1" si="15"/>
        <v>88</v>
      </c>
      <c r="D79" t="str">
        <f t="shared" ca="1" si="16"/>
        <v>$A$89</v>
      </c>
      <c r="E79" t="str">
        <f t="shared" ca="1" si="17"/>
        <v>Армидор из Сарухана</v>
      </c>
      <c r="F79" t="str">
        <f t="shared" si="12"/>
        <v>$G$8</v>
      </c>
      <c r="I79">
        <v>8</v>
      </c>
      <c r="J79">
        <v>1</v>
      </c>
      <c r="K79" t="s">
        <v>613</v>
      </c>
      <c r="L79" t="s">
        <v>846</v>
      </c>
      <c r="M79">
        <f t="shared" si="13"/>
        <v>13</v>
      </c>
      <c r="N79">
        <f t="shared" si="14"/>
        <v>90.408596040384595</v>
      </c>
    </row>
    <row r="80" spans="1:16" x14ac:dyDescent="0.25">
      <c r="A80" t="s">
        <v>716</v>
      </c>
      <c r="C80">
        <f t="shared" ca="1" si="15"/>
        <v>40</v>
      </c>
      <c r="D80" t="str">
        <f t="shared" ca="1" si="16"/>
        <v>$A$41</v>
      </c>
      <c r="E80" t="str">
        <f t="shared" ca="1" si="17"/>
        <v>Сирэлион из Лорена</v>
      </c>
      <c r="F80" t="str">
        <f t="shared" si="12"/>
        <v>$G$9</v>
      </c>
      <c r="I80">
        <v>9</v>
      </c>
      <c r="J80">
        <v>1</v>
      </c>
      <c r="K80" t="s">
        <v>613</v>
      </c>
      <c r="L80" t="s">
        <v>847</v>
      </c>
      <c r="M80">
        <f t="shared" si="13"/>
        <v>12</v>
      </c>
      <c r="N80">
        <f t="shared" si="14"/>
        <v>97.075896633333315</v>
      </c>
    </row>
    <row r="81" spans="1:16" x14ac:dyDescent="0.25">
      <c r="A81" t="s">
        <v>717</v>
      </c>
      <c r="C81">
        <f t="shared" ca="1" si="15"/>
        <v>95</v>
      </c>
      <c r="D81" t="str">
        <f t="shared" ca="1" si="16"/>
        <v>$A$96</v>
      </c>
      <c r="E81" t="str">
        <f t="shared" ca="1" si="17"/>
        <v>Элиссара из Самардейла</v>
      </c>
      <c r="F81" t="str">
        <f t="shared" si="12"/>
        <v>$G$10</v>
      </c>
      <c r="I81">
        <v>10</v>
      </c>
      <c r="J81">
        <v>1</v>
      </c>
      <c r="K81" t="s">
        <v>613</v>
      </c>
      <c r="L81" t="s">
        <v>848</v>
      </c>
      <c r="M81">
        <f t="shared" si="13"/>
        <v>11</v>
      </c>
      <c r="N81">
        <f t="shared" si="14"/>
        <v>104.95543369772726</v>
      </c>
    </row>
    <row r="82" spans="1:16" x14ac:dyDescent="0.25">
      <c r="A82" t="s">
        <v>718</v>
      </c>
      <c r="C82">
        <f t="shared" ca="1" si="15"/>
        <v>38</v>
      </c>
      <c r="D82" t="str">
        <f t="shared" ca="1" si="16"/>
        <v>$A$39</v>
      </c>
      <c r="E82" t="str">
        <f t="shared" ca="1" si="17"/>
        <v>Фэрэлия из Гвадекуры</v>
      </c>
      <c r="F82" t="str">
        <f t="shared" si="12"/>
        <v>$G$11</v>
      </c>
      <c r="I82">
        <v>11</v>
      </c>
      <c r="J82">
        <v>1</v>
      </c>
      <c r="K82" t="s">
        <v>613</v>
      </c>
      <c r="L82" t="s">
        <v>849</v>
      </c>
      <c r="M82">
        <f t="shared" si="13"/>
        <v>10</v>
      </c>
      <c r="N82">
        <f t="shared" si="14"/>
        <v>114.41087817499998</v>
      </c>
    </row>
    <row r="83" spans="1:16" x14ac:dyDescent="0.25">
      <c r="A83" t="s">
        <v>719</v>
      </c>
      <c r="C83">
        <f t="shared" ca="1" si="15"/>
        <v>80</v>
      </c>
      <c r="D83" t="str">
        <f t="shared" ca="1" si="16"/>
        <v>$A$81</v>
      </c>
      <c r="E83" t="str">
        <f t="shared" ca="1" si="17"/>
        <v>Тирасил из Ранджар-ара</v>
      </c>
      <c r="F83" t="str">
        <f t="shared" si="12"/>
        <v>$G$12</v>
      </c>
      <c r="I83">
        <v>12</v>
      </c>
      <c r="J83">
        <v>1</v>
      </c>
      <c r="K83" t="s">
        <v>613</v>
      </c>
      <c r="L83" t="s">
        <v>778</v>
      </c>
      <c r="M83">
        <f t="shared" si="13"/>
        <v>9</v>
      </c>
      <c r="N83">
        <f t="shared" si="14"/>
        <v>125.96753253611109</v>
      </c>
    </row>
    <row r="84" spans="1:16" x14ac:dyDescent="0.25">
      <c r="A84" t="s">
        <v>720</v>
      </c>
      <c r="C84">
        <f t="shared" ca="1" si="15"/>
        <v>95</v>
      </c>
      <c r="D84" t="str">
        <f t="shared" ca="1" si="16"/>
        <v>$A$96</v>
      </c>
      <c r="E84" t="str">
        <f t="shared" ca="1" si="17"/>
        <v>Элиссара из Садата</v>
      </c>
      <c r="F84" t="str">
        <f t="shared" si="12"/>
        <v>$G$13</v>
      </c>
      <c r="I84">
        <v>13</v>
      </c>
      <c r="J84">
        <v>1</v>
      </c>
      <c r="K84" t="s">
        <v>613</v>
      </c>
      <c r="L84" t="s">
        <v>850</v>
      </c>
      <c r="M84">
        <f t="shared" si="13"/>
        <v>8</v>
      </c>
      <c r="N84">
        <f t="shared" si="14"/>
        <v>140.4133504875</v>
      </c>
    </row>
    <row r="85" spans="1:16" x14ac:dyDescent="0.25">
      <c r="A85" t="s">
        <v>721</v>
      </c>
      <c r="C85">
        <f t="shared" ca="1" si="15"/>
        <v>7</v>
      </c>
      <c r="D85" t="str">
        <f t="shared" ca="1" si="16"/>
        <v>$A$8</v>
      </c>
      <c r="E85" t="str">
        <f t="shared" ca="1" si="17"/>
        <v>Фиора из Столицы</v>
      </c>
      <c r="F85" t="str">
        <f t="shared" si="12"/>
        <v>$G$14</v>
      </c>
      <c r="I85">
        <v>14</v>
      </c>
      <c r="J85">
        <v>1</v>
      </c>
      <c r="K85" t="s">
        <v>613</v>
      </c>
      <c r="L85" t="s">
        <v>851</v>
      </c>
      <c r="M85">
        <f t="shared" si="13"/>
        <v>7</v>
      </c>
      <c r="N85">
        <f t="shared" si="14"/>
        <v>158.98654499642853</v>
      </c>
    </row>
    <row r="86" spans="1:16" x14ac:dyDescent="0.25">
      <c r="A86" t="s">
        <v>722</v>
      </c>
      <c r="C86">
        <f t="shared" ca="1" si="15"/>
        <v>25</v>
      </c>
      <c r="D86" t="str">
        <f t="shared" ca="1" si="16"/>
        <v>$A$26</v>
      </c>
      <c r="E86" t="str">
        <f t="shared" ca="1" si="17"/>
        <v>Элестрия из Люг-о-дана</v>
      </c>
      <c r="F86" t="str">
        <f t="shared" si="12"/>
        <v>$G$3</v>
      </c>
      <c r="I86">
        <v>3</v>
      </c>
      <c r="J86">
        <v>4</v>
      </c>
      <c r="K86" t="s">
        <v>614</v>
      </c>
      <c r="L86" t="s">
        <v>852</v>
      </c>
      <c r="M86">
        <f t="shared" si="13"/>
        <v>21</v>
      </c>
      <c r="N86">
        <f t="shared" si="14"/>
        <v>208.51506368690474</v>
      </c>
      <c r="O86" t="s">
        <v>615</v>
      </c>
      <c r="P86">
        <f>SUM(N86:N97)/12</f>
        <v>293.44325683130319</v>
      </c>
    </row>
    <row r="87" spans="1:16" x14ac:dyDescent="0.25">
      <c r="A87" t="s">
        <v>723</v>
      </c>
      <c r="C87">
        <f t="shared" ca="1" si="15"/>
        <v>71</v>
      </c>
      <c r="D87" t="str">
        <f t="shared" ca="1" si="16"/>
        <v>$A$72</v>
      </c>
      <c r="E87" t="str">
        <f t="shared" ca="1" si="17"/>
        <v>Сирентис из Шихона</v>
      </c>
      <c r="F87" t="str">
        <f t="shared" si="12"/>
        <v>$G$4</v>
      </c>
      <c r="I87">
        <v>4</v>
      </c>
      <c r="J87">
        <v>4</v>
      </c>
      <c r="K87" t="s">
        <v>614</v>
      </c>
      <c r="L87" t="s">
        <v>853</v>
      </c>
      <c r="M87">
        <f t="shared" si="13"/>
        <v>20</v>
      </c>
      <c r="N87">
        <f t="shared" si="14"/>
        <v>218.42076742499998</v>
      </c>
    </row>
    <row r="88" spans="1:16" x14ac:dyDescent="0.25">
      <c r="A88" t="s">
        <v>724</v>
      </c>
      <c r="C88">
        <f t="shared" ca="1" si="15"/>
        <v>15</v>
      </c>
      <c r="D88" t="str">
        <f t="shared" ca="1" si="16"/>
        <v>$A$16</v>
      </c>
      <c r="E88" t="str">
        <f t="shared" ca="1" si="17"/>
        <v>Аркантус из Готуна</v>
      </c>
      <c r="F88" t="str">
        <f t="shared" si="12"/>
        <v>$G$5</v>
      </c>
      <c r="I88">
        <v>5</v>
      </c>
      <c r="J88">
        <v>4</v>
      </c>
      <c r="K88" t="s">
        <v>614</v>
      </c>
      <c r="L88" t="s">
        <v>854</v>
      </c>
      <c r="M88">
        <f t="shared" si="13"/>
        <v>19</v>
      </c>
      <c r="N88">
        <f t="shared" si="14"/>
        <v>229.36917681973679</v>
      </c>
    </row>
    <row r="89" spans="1:16" x14ac:dyDescent="0.25">
      <c r="A89" t="s">
        <v>725</v>
      </c>
      <c r="C89">
        <f t="shared" ca="1" si="15"/>
        <v>37</v>
      </c>
      <c r="D89" t="str">
        <f t="shared" ca="1" si="16"/>
        <v>$A$38</v>
      </c>
      <c r="E89" t="str">
        <f t="shared" ca="1" si="17"/>
        <v>Зефирос из Фидваго</v>
      </c>
      <c r="F89" t="str">
        <f t="shared" si="12"/>
        <v>$G$6</v>
      </c>
      <c r="I89">
        <v>6</v>
      </c>
      <c r="J89">
        <v>4</v>
      </c>
      <c r="K89" t="s">
        <v>614</v>
      </c>
      <c r="L89" t="s">
        <v>756</v>
      </c>
      <c r="M89">
        <f t="shared" si="13"/>
        <v>18</v>
      </c>
      <c r="N89">
        <f t="shared" si="14"/>
        <v>241.53407614722221</v>
      </c>
    </row>
    <row r="90" spans="1:16" x14ac:dyDescent="0.25">
      <c r="A90" t="s">
        <v>726</v>
      </c>
      <c r="C90">
        <f t="shared" ca="1" si="15"/>
        <v>24</v>
      </c>
      <c r="D90" t="str">
        <f t="shared" ca="1" si="16"/>
        <v>$A$25</v>
      </c>
      <c r="E90" t="str">
        <f t="shared" ca="1" si="17"/>
        <v>Галендор из Дарутана</v>
      </c>
      <c r="F90" t="str">
        <f t="shared" si="12"/>
        <v>$G$7</v>
      </c>
      <c r="I90">
        <v>7</v>
      </c>
      <c r="J90">
        <v>4</v>
      </c>
      <c r="K90" t="s">
        <v>614</v>
      </c>
      <c r="L90" t="s">
        <v>855</v>
      </c>
      <c r="M90">
        <f t="shared" si="13"/>
        <v>17</v>
      </c>
      <c r="N90">
        <f t="shared" si="14"/>
        <v>255.13014010147057</v>
      </c>
    </row>
    <row r="91" spans="1:16" x14ac:dyDescent="0.25">
      <c r="A91" t="s">
        <v>727</v>
      </c>
      <c r="C91">
        <f t="shared" ca="1" si="15"/>
        <v>19</v>
      </c>
      <c r="D91" t="str">
        <f t="shared" ca="1" si="16"/>
        <v>$A$20</v>
      </c>
      <c r="E91" t="str">
        <f t="shared" ca="1" si="17"/>
        <v>Кирантель из Сарухана</v>
      </c>
      <c r="F91" t="str">
        <f t="shared" si="12"/>
        <v>$G$8</v>
      </c>
      <c r="I91">
        <v>8</v>
      </c>
      <c r="J91">
        <v>4</v>
      </c>
      <c r="K91" t="s">
        <v>614</v>
      </c>
      <c r="L91" t="s">
        <v>856</v>
      </c>
      <c r="M91">
        <f t="shared" si="13"/>
        <v>16</v>
      </c>
      <c r="N91">
        <f t="shared" si="14"/>
        <v>270.42571204999996</v>
      </c>
    </row>
    <row r="92" spans="1:16" x14ac:dyDescent="0.25">
      <c r="A92" t="s">
        <v>728</v>
      </c>
      <c r="C92">
        <f t="shared" ca="1" si="15"/>
        <v>32</v>
      </c>
      <c r="D92" t="str">
        <f t="shared" ca="1" si="16"/>
        <v>$A$33</v>
      </c>
      <c r="E92" t="str">
        <f t="shared" ca="1" si="17"/>
        <v>Лиландрия из Лорена</v>
      </c>
      <c r="F92" t="str">
        <f t="shared" si="12"/>
        <v>$G$9</v>
      </c>
      <c r="I92">
        <v>9</v>
      </c>
      <c r="J92">
        <v>4</v>
      </c>
      <c r="K92" t="s">
        <v>614</v>
      </c>
      <c r="L92" t="s">
        <v>857</v>
      </c>
      <c r="M92">
        <f t="shared" si="13"/>
        <v>15</v>
      </c>
      <c r="N92">
        <f t="shared" si="14"/>
        <v>287.76069359166661</v>
      </c>
    </row>
    <row r="93" spans="1:16" x14ac:dyDescent="0.25">
      <c r="A93" t="s">
        <v>729</v>
      </c>
      <c r="C93">
        <f t="shared" ca="1" si="15"/>
        <v>3</v>
      </c>
      <c r="D93" t="str">
        <f t="shared" ca="1" si="16"/>
        <v>$A$4</v>
      </c>
      <c r="E93" t="str">
        <f t="shared" ca="1" si="17"/>
        <v>Лириндель из Самардейла</v>
      </c>
      <c r="F93" t="str">
        <f t="shared" si="12"/>
        <v>$G$10</v>
      </c>
      <c r="I93">
        <v>10</v>
      </c>
      <c r="J93">
        <v>4</v>
      </c>
      <c r="K93" t="s">
        <v>614</v>
      </c>
      <c r="L93" t="s">
        <v>831</v>
      </c>
      <c r="M93">
        <f t="shared" si="13"/>
        <v>14</v>
      </c>
      <c r="N93">
        <f t="shared" si="14"/>
        <v>307.57210106785703</v>
      </c>
    </row>
    <row r="94" spans="1:16" x14ac:dyDescent="0.25">
      <c r="A94" t="s">
        <v>730</v>
      </c>
      <c r="C94">
        <f t="shared" ca="1" si="15"/>
        <v>2</v>
      </c>
      <c r="D94" t="str">
        <f t="shared" ca="1" si="16"/>
        <v>$A$3</v>
      </c>
      <c r="E94" t="str">
        <f t="shared" ca="1" si="17"/>
        <v>Эльдриан из Гвадекуры</v>
      </c>
      <c r="F94" t="str">
        <f t="shared" si="12"/>
        <v>$G$11</v>
      </c>
      <c r="I94">
        <v>11</v>
      </c>
      <c r="J94">
        <v>4</v>
      </c>
      <c r="K94" t="s">
        <v>614</v>
      </c>
      <c r="L94" t="s">
        <v>858</v>
      </c>
      <c r="M94">
        <f t="shared" si="13"/>
        <v>13</v>
      </c>
      <c r="N94">
        <f t="shared" si="14"/>
        <v>330.43141738653839</v>
      </c>
    </row>
    <row r="95" spans="1:16" x14ac:dyDescent="0.25">
      <c r="A95" t="s">
        <v>731</v>
      </c>
      <c r="C95">
        <f t="shared" ca="1" si="15"/>
        <v>51</v>
      </c>
      <c r="D95" t="str">
        <f t="shared" ca="1" si="16"/>
        <v>$A$52</v>
      </c>
      <c r="E95" t="str">
        <f t="shared" ca="1" si="17"/>
        <v>Ардантир из Ранджар-ара</v>
      </c>
      <c r="F95" t="str">
        <f t="shared" si="12"/>
        <v>$G$12</v>
      </c>
      <c r="I95">
        <v>12</v>
      </c>
      <c r="J95">
        <v>4</v>
      </c>
      <c r="K95" t="s">
        <v>614</v>
      </c>
      <c r="L95" t="s">
        <v>752</v>
      </c>
      <c r="M95">
        <f t="shared" si="13"/>
        <v>12</v>
      </c>
      <c r="N95">
        <f t="shared" si="14"/>
        <v>357.10061975833327</v>
      </c>
    </row>
    <row r="96" spans="1:16" x14ac:dyDescent="0.25">
      <c r="A96" t="s">
        <v>732</v>
      </c>
      <c r="C96">
        <f t="shared" ca="1" si="15"/>
        <v>74</v>
      </c>
      <c r="D96" t="str">
        <f t="shared" ca="1" si="16"/>
        <v>$A$75</v>
      </c>
      <c r="E96" t="str">
        <f t="shared" ca="1" si="17"/>
        <v>Исира из Садата</v>
      </c>
      <c r="F96" t="str">
        <f t="shared" si="12"/>
        <v>$G$13</v>
      </c>
      <c r="I96">
        <v>13</v>
      </c>
      <c r="J96">
        <v>4</v>
      </c>
      <c r="K96" t="s">
        <v>614</v>
      </c>
      <c r="L96" t="s">
        <v>759</v>
      </c>
      <c r="M96">
        <f t="shared" si="13"/>
        <v>11</v>
      </c>
      <c r="N96">
        <f t="shared" si="14"/>
        <v>388.61876801590904</v>
      </c>
    </row>
    <row r="97" spans="1:16" x14ac:dyDescent="0.25">
      <c r="A97" t="s">
        <v>733</v>
      </c>
      <c r="C97">
        <f t="shared" ca="1" si="15"/>
        <v>93</v>
      </c>
      <c r="D97" t="str">
        <f t="shared" ca="1" si="16"/>
        <v>$A$94</v>
      </c>
      <c r="E97" t="str">
        <f t="shared" ca="1" si="17"/>
        <v>Филиан из Столицы</v>
      </c>
      <c r="F97" t="str">
        <f t="shared" si="12"/>
        <v>$G$14</v>
      </c>
      <c r="I97">
        <v>14</v>
      </c>
      <c r="J97">
        <v>4</v>
      </c>
      <c r="K97" t="s">
        <v>614</v>
      </c>
      <c r="L97" t="s">
        <v>859</v>
      </c>
      <c r="M97">
        <f t="shared" si="13"/>
        <v>10</v>
      </c>
      <c r="N97">
        <f t="shared" si="14"/>
        <v>426.44054592499992</v>
      </c>
    </row>
    <row r="98" spans="1:16" x14ac:dyDescent="0.25">
      <c r="A98" t="s">
        <v>734</v>
      </c>
      <c r="C98">
        <f t="shared" ca="1" si="15"/>
        <v>101</v>
      </c>
      <c r="D98" t="str">
        <f t="shared" ca="1" si="16"/>
        <v>$A$102</v>
      </c>
      <c r="E98" t="str">
        <f t="shared" ca="1" si="17"/>
        <v>Эсмиральда из Люг-о-дана</v>
      </c>
      <c r="F98" t="str">
        <f t="shared" si="12"/>
        <v>$G$3</v>
      </c>
      <c r="I98">
        <v>3</v>
      </c>
      <c r="J98">
        <v>6</v>
      </c>
      <c r="K98" t="s">
        <v>616</v>
      </c>
      <c r="L98" t="s">
        <v>860</v>
      </c>
      <c r="M98">
        <f t="shared" si="13"/>
        <v>23</v>
      </c>
      <c r="N98">
        <f t="shared" si="14"/>
        <v>281.73113479456515</v>
      </c>
      <c r="O98" t="s">
        <v>617</v>
      </c>
      <c r="P98">
        <f>SUM(N98:N109)/12</f>
        <v>381.93168045540341</v>
      </c>
    </row>
    <row r="99" spans="1:16" x14ac:dyDescent="0.25">
      <c r="A99" t="s">
        <v>735</v>
      </c>
      <c r="C99">
        <f t="shared" ca="1" si="15"/>
        <v>38</v>
      </c>
      <c r="D99" t="str">
        <f t="shared" ca="1" si="16"/>
        <v>$A$39</v>
      </c>
      <c r="E99" t="str">
        <f t="shared" ca="1" si="17"/>
        <v>Фэрэлия из Шихона</v>
      </c>
      <c r="F99" t="str">
        <f t="shared" si="12"/>
        <v>$G$4</v>
      </c>
      <c r="I99">
        <v>4</v>
      </c>
      <c r="J99">
        <v>6</v>
      </c>
      <c r="K99" t="s">
        <v>616</v>
      </c>
      <c r="L99" t="s">
        <v>861</v>
      </c>
      <c r="M99">
        <f t="shared" si="13"/>
        <v>22</v>
      </c>
      <c r="N99">
        <f t="shared" si="14"/>
        <v>294.06432324318172</v>
      </c>
    </row>
    <row r="100" spans="1:16" x14ac:dyDescent="0.25">
      <c r="A100" t="s">
        <v>1013</v>
      </c>
      <c r="C100">
        <f t="shared" ca="1" si="15"/>
        <v>48</v>
      </c>
      <c r="D100" t="str">
        <f t="shared" ca="1" si="16"/>
        <v>$A$49</v>
      </c>
      <c r="E100" t="str">
        <f t="shared" ca="1" si="17"/>
        <v>Эриния из Готуна</v>
      </c>
      <c r="F100" t="str">
        <f t="shared" si="12"/>
        <v>$G$5</v>
      </c>
      <c r="I100">
        <v>5</v>
      </c>
      <c r="J100">
        <v>6</v>
      </c>
      <c r="K100" t="s">
        <v>616</v>
      </c>
      <c r="L100" t="s">
        <v>816</v>
      </c>
      <c r="M100">
        <f t="shared" si="13"/>
        <v>21</v>
      </c>
      <c r="N100">
        <f t="shared" si="14"/>
        <v>307.57210106785703</v>
      </c>
    </row>
    <row r="101" spans="1:16" x14ac:dyDescent="0.25">
      <c r="A101" t="s">
        <v>1012</v>
      </c>
      <c r="C101">
        <f t="shared" ca="1" si="15"/>
        <v>81</v>
      </c>
      <c r="D101" t="str">
        <f t="shared" ca="1" si="16"/>
        <v>$A$82</v>
      </c>
      <c r="E101" t="str">
        <f t="shared" ca="1" si="17"/>
        <v>Фиорелла из Фидваго</v>
      </c>
      <c r="F101" t="str">
        <f t="shared" si="12"/>
        <v>$G$6</v>
      </c>
      <c r="I101">
        <v>6</v>
      </c>
      <c r="J101">
        <v>6</v>
      </c>
      <c r="K101" t="s">
        <v>616</v>
      </c>
      <c r="L101" t="s">
        <v>862</v>
      </c>
      <c r="M101">
        <f t="shared" si="13"/>
        <v>20</v>
      </c>
      <c r="N101">
        <f t="shared" si="14"/>
        <v>322.43065667499991</v>
      </c>
    </row>
    <row r="102" spans="1:16" x14ac:dyDescent="0.25">
      <c r="A102" t="s">
        <v>1011</v>
      </c>
      <c r="C102">
        <f t="shared" ca="1" si="15"/>
        <v>95</v>
      </c>
      <c r="D102" t="str">
        <f t="shared" ca="1" si="16"/>
        <v>$A$96</v>
      </c>
      <c r="E102" t="str">
        <f t="shared" ca="1" si="17"/>
        <v>Элиссара из Дарутана</v>
      </c>
      <c r="F102" t="str">
        <f t="shared" si="12"/>
        <v>$G$7</v>
      </c>
      <c r="I102">
        <v>7</v>
      </c>
      <c r="J102">
        <v>6</v>
      </c>
      <c r="K102" t="s">
        <v>616</v>
      </c>
      <c r="L102" t="s">
        <v>863</v>
      </c>
      <c r="M102">
        <f t="shared" si="13"/>
        <v>19</v>
      </c>
      <c r="N102">
        <f t="shared" si="14"/>
        <v>338.85327076710513</v>
      </c>
    </row>
    <row r="103" spans="1:16" x14ac:dyDescent="0.25">
      <c r="A103" t="s">
        <v>1010</v>
      </c>
      <c r="C103">
        <f t="shared" ca="1" si="15"/>
        <v>97</v>
      </c>
      <c r="D103" t="str">
        <f t="shared" ca="1" si="16"/>
        <v>$A$98</v>
      </c>
      <c r="E103" t="str">
        <f t="shared" ca="1" si="17"/>
        <v>Сирель из Сарухана</v>
      </c>
      <c r="F103" t="str">
        <f t="shared" si="12"/>
        <v>$G$8</v>
      </c>
      <c r="I103">
        <v>8</v>
      </c>
      <c r="J103">
        <v>6</v>
      </c>
      <c r="K103" t="s">
        <v>616</v>
      </c>
      <c r="L103" t="s">
        <v>777</v>
      </c>
      <c r="M103">
        <f t="shared" si="13"/>
        <v>18</v>
      </c>
      <c r="N103">
        <f t="shared" si="14"/>
        <v>357.10061975833327</v>
      </c>
    </row>
    <row r="104" spans="1:16" x14ac:dyDescent="0.25">
      <c r="C104">
        <f t="shared" ca="1" si="15"/>
        <v>10</v>
      </c>
      <c r="D104" t="str">
        <f t="shared" ca="1" si="16"/>
        <v>$A$11</v>
      </c>
      <c r="E104" t="str">
        <f t="shared" ca="1" si="17"/>
        <v>Зафира из Лорена</v>
      </c>
      <c r="F104" t="str">
        <f t="shared" si="12"/>
        <v>$G$9</v>
      </c>
      <c r="I104">
        <v>9</v>
      </c>
      <c r="J104">
        <v>6</v>
      </c>
      <c r="K104" t="s">
        <v>616</v>
      </c>
      <c r="L104" t="s">
        <v>773</v>
      </c>
      <c r="M104">
        <f t="shared" si="13"/>
        <v>17</v>
      </c>
      <c r="N104">
        <f t="shared" si="14"/>
        <v>377.49471568970586</v>
      </c>
    </row>
    <row r="105" spans="1:16" x14ac:dyDescent="0.25">
      <c r="C105">
        <f t="shared" ca="1" si="15"/>
        <v>7</v>
      </c>
      <c r="D105" t="str">
        <f t="shared" ca="1" si="16"/>
        <v>$A$8</v>
      </c>
      <c r="E105" t="str">
        <f t="shared" ca="1" si="17"/>
        <v>Фиора из Самардейла</v>
      </c>
      <c r="F105" t="str">
        <f t="shared" si="12"/>
        <v>$G$10</v>
      </c>
      <c r="I105">
        <v>10</v>
      </c>
      <c r="J105">
        <v>6</v>
      </c>
      <c r="K105" t="s">
        <v>616</v>
      </c>
      <c r="L105" t="s">
        <v>864</v>
      </c>
      <c r="M105">
        <f t="shared" si="13"/>
        <v>16</v>
      </c>
      <c r="N105">
        <f t="shared" si="14"/>
        <v>400.43807361249992</v>
      </c>
    </row>
    <row r="106" spans="1:16" x14ac:dyDescent="0.25">
      <c r="C106">
        <f t="shared" ca="1" si="15"/>
        <v>54</v>
      </c>
      <c r="D106" t="str">
        <f t="shared" ca="1" si="16"/>
        <v>$A$55</v>
      </c>
      <c r="E106" t="str">
        <f t="shared" ca="1" si="17"/>
        <v>Тирандор из Гвадекуры</v>
      </c>
      <c r="F106" t="str">
        <f t="shared" si="12"/>
        <v>$G$11</v>
      </c>
      <c r="I106">
        <v>11</v>
      </c>
      <c r="J106">
        <v>6</v>
      </c>
      <c r="K106" t="s">
        <v>616</v>
      </c>
      <c r="L106" t="s">
        <v>865</v>
      </c>
      <c r="M106">
        <f t="shared" si="13"/>
        <v>15</v>
      </c>
      <c r="N106">
        <f t="shared" si="14"/>
        <v>426.44054592499992</v>
      </c>
    </row>
    <row r="107" spans="1:16" x14ac:dyDescent="0.25">
      <c r="C107">
        <f t="shared" ca="1" si="15"/>
        <v>16</v>
      </c>
      <c r="D107" t="str">
        <f t="shared" ca="1" si="16"/>
        <v>$A$17</v>
      </c>
      <c r="E107" t="str">
        <f t="shared" ca="1" si="17"/>
        <v>Лорандир из Ранджар-ара</v>
      </c>
      <c r="F107" t="str">
        <f t="shared" si="12"/>
        <v>$G$12</v>
      </c>
      <c r="I107">
        <v>12</v>
      </c>
      <c r="J107">
        <v>6</v>
      </c>
      <c r="K107" t="s">
        <v>616</v>
      </c>
      <c r="L107" t="s">
        <v>866</v>
      </c>
      <c r="M107">
        <f t="shared" si="13"/>
        <v>14</v>
      </c>
      <c r="N107">
        <f t="shared" si="14"/>
        <v>456.15765713928556</v>
      </c>
    </row>
    <row r="108" spans="1:16" x14ac:dyDescent="0.25">
      <c r="C108">
        <f t="shared" ca="1" si="15"/>
        <v>63</v>
      </c>
      <c r="D108" t="str">
        <f t="shared" ca="1" si="16"/>
        <v>$A$64</v>
      </c>
      <c r="E108" t="str">
        <f t="shared" ca="1" si="17"/>
        <v>Фарантус из Садата</v>
      </c>
      <c r="F108" t="str">
        <f t="shared" si="12"/>
        <v>$G$13</v>
      </c>
      <c r="I108">
        <v>13</v>
      </c>
      <c r="J108">
        <v>6</v>
      </c>
      <c r="K108" t="s">
        <v>616</v>
      </c>
      <c r="L108" t="s">
        <v>867</v>
      </c>
      <c r="M108">
        <f t="shared" si="13"/>
        <v>13</v>
      </c>
      <c r="N108">
        <f t="shared" si="14"/>
        <v>490.44663161730756</v>
      </c>
    </row>
    <row r="109" spans="1:16" x14ac:dyDescent="0.25">
      <c r="C109">
        <f t="shared" ca="1" si="15"/>
        <v>50</v>
      </c>
      <c r="D109" t="str">
        <f t="shared" ca="1" si="16"/>
        <v>$A$51</v>
      </c>
      <c r="E109" t="str">
        <f t="shared" ca="1" si="17"/>
        <v>Силиндра из Столицы</v>
      </c>
      <c r="F109" t="str">
        <f t="shared" si="12"/>
        <v>$G$14</v>
      </c>
      <c r="I109">
        <v>14</v>
      </c>
      <c r="J109">
        <v>6</v>
      </c>
      <c r="K109" t="s">
        <v>616</v>
      </c>
      <c r="L109" t="s">
        <v>868</v>
      </c>
      <c r="M109">
        <f t="shared" si="13"/>
        <v>12</v>
      </c>
      <c r="N109">
        <f t="shared" si="14"/>
        <v>530.45043517499994</v>
      </c>
    </row>
    <row r="110" spans="1:16" x14ac:dyDescent="0.25">
      <c r="C110">
        <f t="shared" ca="1" si="15"/>
        <v>44</v>
      </c>
      <c r="D110" t="str">
        <f t="shared" ca="1" si="16"/>
        <v>$A$45</v>
      </c>
      <c r="E110" t="str">
        <f t="shared" ca="1" si="17"/>
        <v>Иллириан из Люг-о-дана</v>
      </c>
      <c r="F110" t="str">
        <f t="shared" si="12"/>
        <v>$G$3</v>
      </c>
      <c r="I110">
        <v>3</v>
      </c>
      <c r="J110">
        <v>5</v>
      </c>
      <c r="K110" t="s">
        <v>618</v>
      </c>
      <c r="L110" t="s">
        <v>869</v>
      </c>
      <c r="M110">
        <f t="shared" si="13"/>
        <v>22</v>
      </c>
      <c r="N110">
        <f t="shared" si="14"/>
        <v>246.78710085681817</v>
      </c>
      <c r="O110" t="s">
        <v>619</v>
      </c>
      <c r="P110">
        <f>SUM(N110:N121)/12</f>
        <v>340.56521261469715</v>
      </c>
    </row>
    <row r="111" spans="1:16" x14ac:dyDescent="0.25">
      <c r="C111">
        <f t="shared" ca="1" si="15"/>
        <v>63</v>
      </c>
      <c r="D111" t="str">
        <f t="shared" ca="1" si="16"/>
        <v>$A$64</v>
      </c>
      <c r="E111" t="str">
        <f t="shared" ca="1" si="17"/>
        <v>Фарантус из Шихона</v>
      </c>
      <c r="F111" t="str">
        <f t="shared" si="12"/>
        <v>$G$4</v>
      </c>
      <c r="I111">
        <v>4</v>
      </c>
      <c r="J111">
        <v>5</v>
      </c>
      <c r="K111" t="s">
        <v>618</v>
      </c>
      <c r="L111" t="s">
        <v>870</v>
      </c>
      <c r="M111">
        <f t="shared" si="13"/>
        <v>21</v>
      </c>
      <c r="N111">
        <f t="shared" si="14"/>
        <v>258.04358237738086</v>
      </c>
    </row>
    <row r="112" spans="1:16" x14ac:dyDescent="0.25">
      <c r="C112">
        <f t="shared" ca="1" si="15"/>
        <v>91</v>
      </c>
      <c r="D112" t="str">
        <f t="shared" ca="1" si="16"/>
        <v>$A$92</v>
      </c>
      <c r="E112" t="str">
        <f t="shared" ca="1" si="17"/>
        <v>Сиресса из Готуна</v>
      </c>
      <c r="F112" t="str">
        <f t="shared" si="12"/>
        <v>$G$5</v>
      </c>
      <c r="I112">
        <v>5</v>
      </c>
      <c r="J112">
        <v>5</v>
      </c>
      <c r="K112" t="s">
        <v>618</v>
      </c>
      <c r="L112" t="s">
        <v>871</v>
      </c>
      <c r="M112">
        <f t="shared" si="13"/>
        <v>20</v>
      </c>
      <c r="N112">
        <f t="shared" si="14"/>
        <v>270.42571204999996</v>
      </c>
    </row>
    <row r="113" spans="3:16" x14ac:dyDescent="0.25">
      <c r="C113">
        <f t="shared" ca="1" si="15"/>
        <v>99</v>
      </c>
      <c r="D113" t="str">
        <f t="shared" ca="1" si="16"/>
        <v>$A$100</v>
      </c>
      <c r="E113" t="str">
        <f t="shared" ca="1" si="17"/>
        <v>Танара из Фидваго</v>
      </c>
      <c r="F113" t="str">
        <f t="shared" si="12"/>
        <v>$G$6</v>
      </c>
      <c r="I113">
        <v>6</v>
      </c>
      <c r="J113">
        <v>5</v>
      </c>
      <c r="K113" t="s">
        <v>618</v>
      </c>
      <c r="L113" t="s">
        <v>769</v>
      </c>
      <c r="M113">
        <f t="shared" si="13"/>
        <v>19</v>
      </c>
      <c r="N113">
        <f t="shared" si="14"/>
        <v>284.111223793421</v>
      </c>
    </row>
    <row r="114" spans="3:16" x14ac:dyDescent="0.25">
      <c r="C114">
        <f t="shared" ca="1" si="15"/>
        <v>78</v>
      </c>
      <c r="D114" t="str">
        <f t="shared" ca="1" si="16"/>
        <v>$A$79</v>
      </c>
      <c r="E114" t="str">
        <f t="shared" ca="1" si="17"/>
        <v>Эльрион из Дарутана</v>
      </c>
      <c r="F114" t="str">
        <f t="shared" si="12"/>
        <v>$G$7</v>
      </c>
      <c r="I114">
        <v>7</v>
      </c>
      <c r="J114">
        <v>5</v>
      </c>
      <c r="K114" t="s">
        <v>618</v>
      </c>
      <c r="L114" t="s">
        <v>747</v>
      </c>
      <c r="M114">
        <f t="shared" si="13"/>
        <v>18</v>
      </c>
      <c r="N114">
        <f t="shared" si="14"/>
        <v>299.31734795277771</v>
      </c>
    </row>
    <row r="115" spans="3:16" x14ac:dyDescent="0.25">
      <c r="C115">
        <f t="shared" ca="1" si="15"/>
        <v>57</v>
      </c>
      <c r="D115" t="str">
        <f t="shared" ca="1" si="16"/>
        <v>$A$58</v>
      </c>
      <c r="E115" t="str">
        <f t="shared" ca="1" si="17"/>
        <v>Эмелиан из Сарухана</v>
      </c>
      <c r="F115" t="str">
        <f t="shared" si="12"/>
        <v>$G$8</v>
      </c>
      <c r="I115">
        <v>8</v>
      </c>
      <c r="J115">
        <v>5</v>
      </c>
      <c r="K115" t="s">
        <v>618</v>
      </c>
      <c r="L115" t="s">
        <v>872</v>
      </c>
      <c r="M115">
        <f t="shared" si="13"/>
        <v>17</v>
      </c>
      <c r="N115">
        <f t="shared" si="14"/>
        <v>316.31242789558814</v>
      </c>
    </row>
    <row r="116" spans="3:16" x14ac:dyDescent="0.25">
      <c r="C116">
        <f t="shared" ca="1" si="15"/>
        <v>101</v>
      </c>
      <c r="D116" t="str">
        <f t="shared" ca="1" si="16"/>
        <v>$A$102</v>
      </c>
      <c r="E116" t="str">
        <f t="shared" ca="1" si="17"/>
        <v>Эсмиральда из Лорена</v>
      </c>
      <c r="F116" t="str">
        <f t="shared" si="12"/>
        <v>$G$9</v>
      </c>
      <c r="I116">
        <v>9</v>
      </c>
      <c r="J116">
        <v>5</v>
      </c>
      <c r="K116" t="s">
        <v>618</v>
      </c>
      <c r="L116" t="s">
        <v>873</v>
      </c>
      <c r="M116">
        <f t="shared" si="13"/>
        <v>16</v>
      </c>
      <c r="N116">
        <f t="shared" si="14"/>
        <v>335.43189283124991</v>
      </c>
    </row>
    <row r="117" spans="3:16" x14ac:dyDescent="0.25">
      <c r="C117">
        <f t="shared" ca="1" si="15"/>
        <v>99</v>
      </c>
      <c r="D117" t="str">
        <f t="shared" ca="1" si="16"/>
        <v>$A$100</v>
      </c>
      <c r="E117" t="str">
        <f t="shared" ca="1" si="17"/>
        <v>Танара из Самардейла</v>
      </c>
      <c r="F117" t="str">
        <f t="shared" si="12"/>
        <v>$G$10</v>
      </c>
      <c r="I117">
        <v>10</v>
      </c>
      <c r="J117">
        <v>5</v>
      </c>
      <c r="K117" t="s">
        <v>618</v>
      </c>
      <c r="L117" t="s">
        <v>874</v>
      </c>
      <c r="M117">
        <f t="shared" si="13"/>
        <v>15</v>
      </c>
      <c r="N117">
        <f t="shared" si="14"/>
        <v>357.10061975833327</v>
      </c>
    </row>
    <row r="118" spans="3:16" x14ac:dyDescent="0.25">
      <c r="C118">
        <f t="shared" ca="1" si="15"/>
        <v>22</v>
      </c>
      <c r="D118" t="str">
        <f t="shared" ca="1" si="16"/>
        <v>$A$23</v>
      </c>
      <c r="E118" t="str">
        <f t="shared" ca="1" si="17"/>
        <v>Эльмарин из Гвадекуры</v>
      </c>
      <c r="F118" t="str">
        <f t="shared" si="12"/>
        <v>$G$11</v>
      </c>
      <c r="I118">
        <v>11</v>
      </c>
      <c r="J118">
        <v>5</v>
      </c>
      <c r="K118" t="s">
        <v>618</v>
      </c>
      <c r="L118" t="s">
        <v>875</v>
      </c>
      <c r="M118">
        <f t="shared" si="13"/>
        <v>14</v>
      </c>
      <c r="N118">
        <f t="shared" si="14"/>
        <v>381.86487910357135</v>
      </c>
    </row>
    <row r="119" spans="3:16" x14ac:dyDescent="0.25">
      <c r="C119">
        <f t="shared" ca="1" si="15"/>
        <v>49</v>
      </c>
      <c r="D119" t="str">
        <f t="shared" ca="1" si="16"/>
        <v>$A$50</v>
      </c>
      <c r="E119" t="str">
        <f t="shared" ca="1" si="17"/>
        <v>Иллирон из Ранджар-ара</v>
      </c>
      <c r="F119" t="str">
        <f t="shared" si="12"/>
        <v>$G$12</v>
      </c>
      <c r="I119">
        <v>12</v>
      </c>
      <c r="J119">
        <v>5</v>
      </c>
      <c r="K119" t="s">
        <v>618</v>
      </c>
      <c r="L119" t="s">
        <v>833</v>
      </c>
      <c r="M119">
        <f t="shared" si="13"/>
        <v>13</v>
      </c>
      <c r="N119">
        <f t="shared" si="14"/>
        <v>410.43902450192297</v>
      </c>
    </row>
    <row r="120" spans="3:16" x14ac:dyDescent="0.25">
      <c r="C120">
        <f t="shared" ca="1" si="15"/>
        <v>97</v>
      </c>
      <c r="D120" t="str">
        <f t="shared" ca="1" si="16"/>
        <v>$A$98</v>
      </c>
      <c r="E120" t="str">
        <f t="shared" ca="1" si="17"/>
        <v>Сирель из Садата</v>
      </c>
      <c r="F120" t="str">
        <f t="shared" si="12"/>
        <v>$G$13</v>
      </c>
      <c r="I120">
        <v>13</v>
      </c>
      <c r="J120">
        <v>5</v>
      </c>
      <c r="K120" t="s">
        <v>618</v>
      </c>
      <c r="L120" t="s">
        <v>876</v>
      </c>
      <c r="M120">
        <f t="shared" si="13"/>
        <v>12</v>
      </c>
      <c r="N120">
        <f t="shared" si="14"/>
        <v>443.77552746666657</v>
      </c>
    </row>
    <row r="121" spans="3:16" x14ac:dyDescent="0.25">
      <c r="C121">
        <f t="shared" ca="1" si="15"/>
        <v>44</v>
      </c>
      <c r="D121" t="str">
        <f t="shared" ca="1" si="16"/>
        <v>$A$45</v>
      </c>
      <c r="E121" t="str">
        <f t="shared" ca="1" si="17"/>
        <v>Иллириан из Столицы</v>
      </c>
      <c r="F121" t="str">
        <f t="shared" si="12"/>
        <v>$G$14</v>
      </c>
      <c r="I121">
        <v>14</v>
      </c>
      <c r="J121">
        <v>5</v>
      </c>
      <c r="K121" t="s">
        <v>618</v>
      </c>
      <c r="L121" t="s">
        <v>877</v>
      </c>
      <c r="M121">
        <f t="shared" si="13"/>
        <v>11</v>
      </c>
      <c r="N121">
        <f t="shared" si="14"/>
        <v>483.17321278863631</v>
      </c>
    </row>
    <row r="122" spans="3:16" x14ac:dyDescent="0.25">
      <c r="C122">
        <f t="shared" ca="1" si="15"/>
        <v>90</v>
      </c>
      <c r="D122" t="str">
        <f t="shared" ca="1" si="16"/>
        <v>$A$91</v>
      </c>
      <c r="E122" t="str">
        <f t="shared" ca="1" si="17"/>
        <v>Иландрия из Люг-о-дана</v>
      </c>
      <c r="F122" t="str">
        <f t="shared" si="12"/>
        <v>$G$3</v>
      </c>
      <c r="I122">
        <v>3</v>
      </c>
      <c r="J122">
        <v>7</v>
      </c>
      <c r="K122" t="s">
        <v>620</v>
      </c>
      <c r="L122" t="s">
        <v>878</v>
      </c>
      <c r="M122">
        <f t="shared" si="13"/>
        <v>24</v>
      </c>
      <c r="N122">
        <f t="shared" si="14"/>
        <v>313.76316590416661</v>
      </c>
      <c r="O122" t="s">
        <v>621</v>
      </c>
      <c r="P122">
        <f>SUM(N122:N133)/12</f>
        <v>418.57328096220675</v>
      </c>
    </row>
    <row r="123" spans="3:16" x14ac:dyDescent="0.25">
      <c r="C123">
        <f t="shared" ca="1" si="15"/>
        <v>49</v>
      </c>
      <c r="D123" t="str">
        <f t="shared" ca="1" si="16"/>
        <v>$A$50</v>
      </c>
      <c r="E123" t="str">
        <f t="shared" ca="1" si="17"/>
        <v>Иллирон из Шихона</v>
      </c>
      <c r="F123" t="str">
        <f t="shared" si="12"/>
        <v>$G$4</v>
      </c>
      <c r="I123">
        <v>4</v>
      </c>
      <c r="J123">
        <v>7</v>
      </c>
      <c r="K123" t="s">
        <v>620</v>
      </c>
      <c r="L123" t="s">
        <v>879</v>
      </c>
      <c r="M123">
        <f t="shared" si="13"/>
        <v>23</v>
      </c>
      <c r="N123">
        <f t="shared" si="14"/>
        <v>326.95282577282603</v>
      </c>
    </row>
    <row r="124" spans="3:16" x14ac:dyDescent="0.25">
      <c r="C124">
        <f t="shared" ca="1" si="15"/>
        <v>9</v>
      </c>
      <c r="D124" t="str">
        <f t="shared" ca="1" si="16"/>
        <v>$A$10</v>
      </c>
      <c r="E124" t="str">
        <f t="shared" ca="1" si="17"/>
        <v>Тиандор из Готуна</v>
      </c>
      <c r="F124" t="str">
        <f t="shared" si="12"/>
        <v>$G$5</v>
      </c>
      <c r="I124">
        <v>5</v>
      </c>
      <c r="J124">
        <v>7</v>
      </c>
      <c r="K124" t="s">
        <v>620</v>
      </c>
      <c r="L124" t="s">
        <v>880</v>
      </c>
      <c r="M124">
        <f t="shared" si="13"/>
        <v>22</v>
      </c>
      <c r="N124">
        <f t="shared" si="14"/>
        <v>341.34154562954541</v>
      </c>
    </row>
    <row r="125" spans="3:16" x14ac:dyDescent="0.25">
      <c r="C125">
        <f t="shared" ca="1" si="15"/>
        <v>92</v>
      </c>
      <c r="D125" t="str">
        <f t="shared" ca="1" si="16"/>
        <v>$A$93</v>
      </c>
      <c r="E125" t="str">
        <f t="shared" ca="1" si="17"/>
        <v>Тарантис из Фидваго</v>
      </c>
      <c r="F125" t="str">
        <f t="shared" si="12"/>
        <v>$G$6</v>
      </c>
      <c r="I125">
        <v>6</v>
      </c>
      <c r="J125">
        <v>7</v>
      </c>
      <c r="K125" t="s">
        <v>620</v>
      </c>
      <c r="L125" t="s">
        <v>881</v>
      </c>
      <c r="M125">
        <f t="shared" si="13"/>
        <v>21</v>
      </c>
      <c r="N125">
        <f t="shared" si="14"/>
        <v>357.10061975833327</v>
      </c>
    </row>
    <row r="126" spans="3:16" x14ac:dyDescent="0.25">
      <c r="C126">
        <f t="shared" ca="1" si="15"/>
        <v>58</v>
      </c>
      <c r="D126" t="str">
        <f t="shared" ca="1" si="16"/>
        <v>$A$59</v>
      </c>
      <c r="E126" t="str">
        <f t="shared" ca="1" si="17"/>
        <v>Исиэль из Дарутана</v>
      </c>
      <c r="F126" t="str">
        <f t="shared" si="12"/>
        <v>$G$7</v>
      </c>
      <c r="I126">
        <v>7</v>
      </c>
      <c r="J126">
        <v>7</v>
      </c>
      <c r="K126" t="s">
        <v>620</v>
      </c>
      <c r="L126" t="s">
        <v>882</v>
      </c>
      <c r="M126">
        <f t="shared" si="13"/>
        <v>20</v>
      </c>
      <c r="N126">
        <f t="shared" si="14"/>
        <v>374.43560129999992</v>
      </c>
    </row>
    <row r="127" spans="3:16" x14ac:dyDescent="0.25">
      <c r="C127">
        <f t="shared" ca="1" si="15"/>
        <v>85</v>
      </c>
      <c r="D127" t="str">
        <f t="shared" ca="1" si="16"/>
        <v>$A$86</v>
      </c>
      <c r="E127" t="str">
        <f t="shared" ca="1" si="17"/>
        <v>Сиранда из Сарухана</v>
      </c>
      <c r="F127" t="str">
        <f t="shared" si="12"/>
        <v>$G$8</v>
      </c>
      <c r="I127">
        <v>8</v>
      </c>
      <c r="J127">
        <v>7</v>
      </c>
      <c r="K127" t="s">
        <v>620</v>
      </c>
      <c r="L127" t="s">
        <v>883</v>
      </c>
      <c r="M127">
        <f t="shared" si="13"/>
        <v>19</v>
      </c>
      <c r="N127">
        <f t="shared" si="14"/>
        <v>393.59531774078937</v>
      </c>
    </row>
    <row r="128" spans="3:16" x14ac:dyDescent="0.25">
      <c r="C128">
        <f t="shared" ca="1" si="15"/>
        <v>67</v>
      </c>
      <c r="D128" t="str">
        <f t="shared" ca="1" si="16"/>
        <v>$A$68</v>
      </c>
      <c r="E128" t="str">
        <f t="shared" ca="1" si="17"/>
        <v>Телестра из Лорена</v>
      </c>
      <c r="F128" t="str">
        <f t="shared" si="12"/>
        <v>$G$9</v>
      </c>
      <c r="I128">
        <v>9</v>
      </c>
      <c r="J128">
        <v>7</v>
      </c>
      <c r="K128" t="s">
        <v>620</v>
      </c>
      <c r="L128" t="s">
        <v>884</v>
      </c>
      <c r="M128">
        <f t="shared" si="13"/>
        <v>18</v>
      </c>
      <c r="N128">
        <f t="shared" si="14"/>
        <v>414.88389156388882</v>
      </c>
    </row>
    <row r="129" spans="3:16" x14ac:dyDescent="0.25">
      <c r="C129">
        <f t="shared" ca="1" si="15"/>
        <v>91</v>
      </c>
      <c r="D129" t="str">
        <f t="shared" ca="1" si="16"/>
        <v>$A$92</v>
      </c>
      <c r="E129" t="str">
        <f t="shared" ca="1" si="17"/>
        <v>Сиресса из Самардейла</v>
      </c>
      <c r="F129" t="str">
        <f t="shared" si="12"/>
        <v>$G$10</v>
      </c>
      <c r="I129">
        <v>10</v>
      </c>
      <c r="J129">
        <v>7</v>
      </c>
      <c r="K129" t="s">
        <v>620</v>
      </c>
      <c r="L129" t="s">
        <v>885</v>
      </c>
      <c r="M129">
        <f t="shared" si="13"/>
        <v>17</v>
      </c>
      <c r="N129">
        <f t="shared" si="14"/>
        <v>438.67700348382346</v>
      </c>
    </row>
    <row r="130" spans="3:16" x14ac:dyDescent="0.25">
      <c r="C130">
        <f t="shared" ca="1" si="15"/>
        <v>34</v>
      </c>
      <c r="D130" t="str">
        <f t="shared" ca="1" si="16"/>
        <v>$A$35</v>
      </c>
      <c r="E130" t="str">
        <f t="shared" ca="1" si="17"/>
        <v>Сиренна из Гвадекуры</v>
      </c>
      <c r="F130" t="str">
        <f t="shared" ref="F130:F193" si="18">ADDRESS(I130,7)</f>
        <v>$G$11</v>
      </c>
      <c r="I130">
        <v>11</v>
      </c>
      <c r="J130">
        <v>7</v>
      </c>
      <c r="K130" t="s">
        <v>620</v>
      </c>
      <c r="L130" t="s">
        <v>886</v>
      </c>
      <c r="M130">
        <f t="shared" ref="M130:M193" si="19">20-I130+J130</f>
        <v>16</v>
      </c>
      <c r="N130">
        <f t="shared" ref="N130:N193" si="20">(J130/M130*$A$2)*100+$A$2</f>
        <v>465.44425439374993</v>
      </c>
    </row>
    <row r="131" spans="3:16" x14ac:dyDescent="0.25">
      <c r="C131">
        <f t="shared" ref="C131:C194" ca="1" si="21">RANDBETWEEN(2,102)</f>
        <v>70</v>
      </c>
      <c r="D131" t="str">
        <f t="shared" ref="D131:D194" ca="1" si="22">ADDRESS(C131+1,1)</f>
        <v>$A$71</v>
      </c>
      <c r="E131" t="str">
        <f t="shared" ref="E131:E194" ca="1" si="23">INDIRECT(D131)&amp;" из "&amp;INDIRECT(F131)</f>
        <v>Иллуминар из Ранджар-ара</v>
      </c>
      <c r="F131" t="str">
        <f t="shared" si="18"/>
        <v>$G$12</v>
      </c>
      <c r="I131">
        <v>12</v>
      </c>
      <c r="J131">
        <v>7</v>
      </c>
      <c r="K131" t="s">
        <v>620</v>
      </c>
      <c r="L131" t="s">
        <v>753</v>
      </c>
      <c r="M131">
        <f t="shared" si="19"/>
        <v>15</v>
      </c>
      <c r="N131">
        <f t="shared" si="20"/>
        <v>495.78047209166658</v>
      </c>
    </row>
    <row r="132" spans="3:16" x14ac:dyDescent="0.25">
      <c r="C132">
        <f t="shared" ca="1" si="21"/>
        <v>31</v>
      </c>
      <c r="D132" t="str">
        <f t="shared" ca="1" si="22"/>
        <v>$A$32</v>
      </c>
      <c r="E132" t="str">
        <f t="shared" ca="1" si="23"/>
        <v>Фейлиндор из Садата</v>
      </c>
      <c r="F132" t="str">
        <f t="shared" si="18"/>
        <v>$G$13</v>
      </c>
      <c r="I132">
        <v>13</v>
      </c>
      <c r="J132">
        <v>7</v>
      </c>
      <c r="K132" t="s">
        <v>620</v>
      </c>
      <c r="L132" t="s">
        <v>887</v>
      </c>
      <c r="M132">
        <f t="shared" si="19"/>
        <v>14</v>
      </c>
      <c r="N132">
        <f t="shared" si="20"/>
        <v>530.45043517499994</v>
      </c>
    </row>
    <row r="133" spans="3:16" x14ac:dyDescent="0.25">
      <c r="C133">
        <f t="shared" ca="1" si="21"/>
        <v>56</v>
      </c>
      <c r="D133" t="str">
        <f t="shared" ca="1" si="22"/>
        <v>$A$57</v>
      </c>
      <c r="E133" t="str">
        <f t="shared" ca="1" si="23"/>
        <v>Арвос из Столицы</v>
      </c>
      <c r="F133" t="str">
        <f t="shared" si="18"/>
        <v>$G$14</v>
      </c>
      <c r="I133">
        <v>14</v>
      </c>
      <c r="J133">
        <v>7</v>
      </c>
      <c r="K133" t="s">
        <v>620</v>
      </c>
      <c r="L133" t="s">
        <v>775</v>
      </c>
      <c r="M133">
        <f t="shared" si="19"/>
        <v>13</v>
      </c>
      <c r="N133">
        <f t="shared" si="20"/>
        <v>570.45423873269215</v>
      </c>
    </row>
    <row r="134" spans="3:16" x14ac:dyDescent="0.25">
      <c r="C134">
        <f t="shared" ca="1" si="21"/>
        <v>10</v>
      </c>
      <c r="D134" t="str">
        <f t="shared" ca="1" si="22"/>
        <v>$A$11</v>
      </c>
      <c r="E134" t="str">
        <f t="shared" ca="1" si="23"/>
        <v>Зафира из Люг-о-дана</v>
      </c>
      <c r="F134" t="str">
        <f t="shared" si="18"/>
        <v>$G$3</v>
      </c>
      <c r="I134">
        <v>3</v>
      </c>
      <c r="J134">
        <v>10</v>
      </c>
      <c r="K134" t="s">
        <v>622</v>
      </c>
      <c r="L134" t="s">
        <v>888</v>
      </c>
      <c r="M134">
        <f t="shared" si="19"/>
        <v>27</v>
      </c>
      <c r="N134">
        <f t="shared" si="20"/>
        <v>395.62280096203693</v>
      </c>
      <c r="O134" t="s">
        <v>623</v>
      </c>
      <c r="P134">
        <f>SUM(N134:N145)/12</f>
        <v>507.24562088355896</v>
      </c>
    </row>
    <row r="135" spans="3:16" x14ac:dyDescent="0.25">
      <c r="C135">
        <f t="shared" ca="1" si="21"/>
        <v>61</v>
      </c>
      <c r="D135" t="str">
        <f t="shared" ca="1" si="22"/>
        <v>$A$62</v>
      </c>
      <c r="E135" t="str">
        <f t="shared" ca="1" si="23"/>
        <v>Арэлис из Шихона</v>
      </c>
      <c r="F135" t="str">
        <f t="shared" si="18"/>
        <v>$G$4</v>
      </c>
      <c r="I135">
        <v>4</v>
      </c>
      <c r="J135">
        <v>10</v>
      </c>
      <c r="K135" t="s">
        <v>622</v>
      </c>
      <c r="L135" t="s">
        <v>889</v>
      </c>
      <c r="M135">
        <f t="shared" si="19"/>
        <v>26</v>
      </c>
      <c r="N135">
        <f t="shared" si="20"/>
        <v>410.43902450192297</v>
      </c>
    </row>
    <row r="136" spans="3:16" x14ac:dyDescent="0.25">
      <c r="C136">
        <f t="shared" ca="1" si="21"/>
        <v>4</v>
      </c>
      <c r="D136" t="str">
        <f t="shared" ca="1" si="22"/>
        <v>$A$5</v>
      </c>
      <c r="E136" t="str">
        <f t="shared" ca="1" si="23"/>
        <v>Сильвания из Готуна</v>
      </c>
      <c r="F136" t="str">
        <f t="shared" si="18"/>
        <v>$G$5</v>
      </c>
      <c r="I136">
        <v>5</v>
      </c>
      <c r="J136">
        <v>10</v>
      </c>
      <c r="K136" t="s">
        <v>622</v>
      </c>
      <c r="L136" t="s">
        <v>890</v>
      </c>
      <c r="M136">
        <f t="shared" si="19"/>
        <v>25</v>
      </c>
      <c r="N136">
        <f t="shared" si="20"/>
        <v>426.44054592499992</v>
      </c>
    </row>
    <row r="137" spans="3:16" x14ac:dyDescent="0.25">
      <c r="C137">
        <f t="shared" ca="1" si="21"/>
        <v>102</v>
      </c>
      <c r="D137" t="str">
        <f t="shared" ca="1" si="22"/>
        <v>$A$103</v>
      </c>
      <c r="E137" t="str">
        <f t="shared" ca="1" si="23"/>
        <v>Таланиэль из Фидваго</v>
      </c>
      <c r="F137" t="str">
        <f t="shared" si="18"/>
        <v>$G$6</v>
      </c>
      <c r="I137">
        <v>6</v>
      </c>
      <c r="J137">
        <v>10</v>
      </c>
      <c r="K137" t="s">
        <v>622</v>
      </c>
      <c r="L137" t="s">
        <v>760</v>
      </c>
      <c r="M137">
        <f t="shared" si="19"/>
        <v>24</v>
      </c>
      <c r="N137">
        <f t="shared" si="20"/>
        <v>443.77552746666657</v>
      </c>
    </row>
    <row r="138" spans="3:16" x14ac:dyDescent="0.25">
      <c r="C138">
        <f t="shared" ca="1" si="21"/>
        <v>98</v>
      </c>
      <c r="D138" t="str">
        <f t="shared" ca="1" si="22"/>
        <v>$A$99</v>
      </c>
      <c r="E138" t="str">
        <f t="shared" ca="1" si="23"/>
        <v>Элиндор из Дарутана</v>
      </c>
      <c r="F138" t="str">
        <f t="shared" si="18"/>
        <v>$G$7</v>
      </c>
      <c r="I138">
        <v>7</v>
      </c>
      <c r="J138">
        <v>10</v>
      </c>
      <c r="K138" t="s">
        <v>622</v>
      </c>
      <c r="L138" t="s">
        <v>767</v>
      </c>
      <c r="M138">
        <f t="shared" si="19"/>
        <v>23</v>
      </c>
      <c r="N138">
        <f t="shared" si="20"/>
        <v>462.61789870760856</v>
      </c>
    </row>
    <row r="139" spans="3:16" x14ac:dyDescent="0.25">
      <c r="C139">
        <f t="shared" ca="1" si="21"/>
        <v>76</v>
      </c>
      <c r="D139" t="str">
        <f t="shared" ca="1" si="22"/>
        <v>$A$77</v>
      </c>
      <c r="E139" t="str">
        <f t="shared" ca="1" si="23"/>
        <v>Фиалара из Сарухана</v>
      </c>
      <c r="F139" t="str">
        <f t="shared" si="18"/>
        <v>$G$8</v>
      </c>
      <c r="I139">
        <v>8</v>
      </c>
      <c r="J139">
        <v>10</v>
      </c>
      <c r="K139" t="s">
        <v>622</v>
      </c>
      <c r="L139" t="s">
        <v>891</v>
      </c>
      <c r="M139">
        <f t="shared" si="19"/>
        <v>22</v>
      </c>
      <c r="N139">
        <f t="shared" si="20"/>
        <v>483.17321278863631</v>
      </c>
    </row>
    <row r="140" spans="3:16" x14ac:dyDescent="0.25">
      <c r="C140">
        <f t="shared" ca="1" si="21"/>
        <v>93</v>
      </c>
      <c r="D140" t="str">
        <f t="shared" ca="1" si="22"/>
        <v>$A$94</v>
      </c>
      <c r="E140" t="str">
        <f t="shared" ca="1" si="23"/>
        <v>Филиан из Лорена</v>
      </c>
      <c r="F140" t="str">
        <f t="shared" si="18"/>
        <v>$G$9</v>
      </c>
      <c r="I140">
        <v>9</v>
      </c>
      <c r="J140">
        <v>10</v>
      </c>
      <c r="K140" t="s">
        <v>622</v>
      </c>
      <c r="L140" t="s">
        <v>770</v>
      </c>
      <c r="M140">
        <f t="shared" si="19"/>
        <v>21</v>
      </c>
      <c r="N140">
        <f t="shared" si="20"/>
        <v>505.68617582976174</v>
      </c>
    </row>
    <row r="141" spans="3:16" x14ac:dyDescent="0.25">
      <c r="C141">
        <f t="shared" ca="1" si="21"/>
        <v>44</v>
      </c>
      <c r="D141" t="str">
        <f t="shared" ca="1" si="22"/>
        <v>$A$45</v>
      </c>
      <c r="E141" t="str">
        <f t="shared" ca="1" si="23"/>
        <v>Иллириан из Самардейла</v>
      </c>
      <c r="F141" t="str">
        <f t="shared" si="18"/>
        <v>$G$10</v>
      </c>
      <c r="I141">
        <v>10</v>
      </c>
      <c r="J141">
        <v>10</v>
      </c>
      <c r="K141" t="s">
        <v>622</v>
      </c>
      <c r="L141" t="s">
        <v>892</v>
      </c>
      <c r="M141">
        <f t="shared" si="19"/>
        <v>20</v>
      </c>
      <c r="N141">
        <f t="shared" si="20"/>
        <v>530.45043517499994</v>
      </c>
    </row>
    <row r="142" spans="3:16" x14ac:dyDescent="0.25">
      <c r="C142">
        <f t="shared" ca="1" si="21"/>
        <v>39</v>
      </c>
      <c r="D142" t="str">
        <f t="shared" ca="1" si="22"/>
        <v>$A$40</v>
      </c>
      <c r="E142" t="str">
        <f t="shared" ca="1" si="23"/>
        <v>Эринтар из Гвадекуры</v>
      </c>
      <c r="F142" t="str">
        <f t="shared" si="18"/>
        <v>$G$11</v>
      </c>
      <c r="I142">
        <v>11</v>
      </c>
      <c r="J142">
        <v>10</v>
      </c>
      <c r="K142" t="s">
        <v>622</v>
      </c>
      <c r="L142" t="s">
        <v>893</v>
      </c>
      <c r="M142">
        <f t="shared" si="19"/>
        <v>19</v>
      </c>
      <c r="N142">
        <f t="shared" si="20"/>
        <v>557.82145866184203</v>
      </c>
    </row>
    <row r="143" spans="3:16" x14ac:dyDescent="0.25">
      <c r="C143">
        <f t="shared" ca="1" si="21"/>
        <v>77</v>
      </c>
      <c r="D143" t="str">
        <f t="shared" ca="1" si="22"/>
        <v>$A$78</v>
      </c>
      <c r="E143" t="str">
        <f t="shared" ca="1" si="23"/>
        <v>Арданна из Ранджар-ара</v>
      </c>
      <c r="F143" t="str">
        <f t="shared" si="18"/>
        <v>$G$12</v>
      </c>
      <c r="I143">
        <v>12</v>
      </c>
      <c r="J143">
        <v>10</v>
      </c>
      <c r="K143" t="s">
        <v>622</v>
      </c>
      <c r="L143" t="s">
        <v>894</v>
      </c>
      <c r="M143">
        <f t="shared" si="19"/>
        <v>18</v>
      </c>
      <c r="N143">
        <f t="shared" si="20"/>
        <v>588.23370698055544</v>
      </c>
    </row>
    <row r="144" spans="3:16" x14ac:dyDescent="0.25">
      <c r="C144">
        <f t="shared" ca="1" si="21"/>
        <v>71</v>
      </c>
      <c r="D144" t="str">
        <f t="shared" ca="1" si="22"/>
        <v>$A$72</v>
      </c>
      <c r="E144" t="str">
        <f t="shared" ca="1" si="23"/>
        <v>Сирентис из Садата</v>
      </c>
      <c r="F144" t="str">
        <f t="shared" si="18"/>
        <v>$G$13</v>
      </c>
      <c r="I144">
        <v>13</v>
      </c>
      <c r="J144">
        <v>10</v>
      </c>
      <c r="K144" t="s">
        <v>622</v>
      </c>
      <c r="L144" t="s">
        <v>895</v>
      </c>
      <c r="M144">
        <f t="shared" si="19"/>
        <v>17</v>
      </c>
      <c r="N144">
        <f t="shared" si="20"/>
        <v>622.22386686617631</v>
      </c>
    </row>
    <row r="145" spans="3:16" x14ac:dyDescent="0.25">
      <c r="C145">
        <f t="shared" ca="1" si="21"/>
        <v>75</v>
      </c>
      <c r="D145" t="str">
        <f t="shared" ca="1" si="22"/>
        <v>$A$76</v>
      </c>
      <c r="E145" t="str">
        <f t="shared" ca="1" si="23"/>
        <v>Солиндор из Столицы</v>
      </c>
      <c r="F145" t="str">
        <f t="shared" si="18"/>
        <v>$G$14</v>
      </c>
      <c r="I145">
        <v>14</v>
      </c>
      <c r="J145">
        <v>10</v>
      </c>
      <c r="K145" t="s">
        <v>622</v>
      </c>
      <c r="L145" t="s">
        <v>896</v>
      </c>
      <c r="M145">
        <f t="shared" si="19"/>
        <v>16</v>
      </c>
      <c r="N145">
        <f t="shared" si="20"/>
        <v>660.46279673749984</v>
      </c>
    </row>
    <row r="146" spans="3:16" x14ac:dyDescent="0.25">
      <c r="C146">
        <f t="shared" ca="1" si="21"/>
        <v>7</v>
      </c>
      <c r="D146" t="str">
        <f t="shared" ca="1" si="22"/>
        <v>$A$8</v>
      </c>
      <c r="E146" t="str">
        <f t="shared" ca="1" si="23"/>
        <v>Фиора из Люг-о-дана</v>
      </c>
      <c r="F146" t="str">
        <f t="shared" si="18"/>
        <v>$G$3</v>
      </c>
      <c r="I146">
        <v>3</v>
      </c>
      <c r="J146">
        <v>8</v>
      </c>
      <c r="K146" t="s">
        <v>624</v>
      </c>
      <c r="L146" t="s">
        <v>897</v>
      </c>
      <c r="M146">
        <f t="shared" si="19"/>
        <v>25</v>
      </c>
      <c r="N146">
        <f t="shared" si="20"/>
        <v>343.23263452499992</v>
      </c>
      <c r="O146" t="s">
        <v>619</v>
      </c>
      <c r="P146">
        <f>SUM(N146:N157)/12</f>
        <v>451.28117411917037</v>
      </c>
    </row>
    <row r="147" spans="3:16" x14ac:dyDescent="0.25">
      <c r="C147">
        <f t="shared" ca="1" si="21"/>
        <v>38</v>
      </c>
      <c r="D147" t="str">
        <f t="shared" ca="1" si="22"/>
        <v>$A$39</v>
      </c>
      <c r="E147" t="str">
        <f t="shared" ca="1" si="23"/>
        <v>Фэрэлия из Шихона</v>
      </c>
      <c r="F147" t="str">
        <f t="shared" si="18"/>
        <v>$G$4</v>
      </c>
      <c r="I147">
        <v>4</v>
      </c>
      <c r="J147">
        <v>8</v>
      </c>
      <c r="K147" t="s">
        <v>624</v>
      </c>
      <c r="L147" t="s">
        <v>898</v>
      </c>
      <c r="M147">
        <f t="shared" si="19"/>
        <v>24</v>
      </c>
      <c r="N147">
        <f t="shared" si="20"/>
        <v>357.10061975833327</v>
      </c>
    </row>
    <row r="148" spans="3:16" x14ac:dyDescent="0.25">
      <c r="C148">
        <f t="shared" ca="1" si="21"/>
        <v>4</v>
      </c>
      <c r="D148" t="str">
        <f t="shared" ca="1" si="22"/>
        <v>$A$5</v>
      </c>
      <c r="E148" t="str">
        <f t="shared" ca="1" si="23"/>
        <v>Сильвания из Готуна</v>
      </c>
      <c r="F148" t="str">
        <f t="shared" si="18"/>
        <v>$G$5</v>
      </c>
      <c r="I148">
        <v>5</v>
      </c>
      <c r="J148">
        <v>8</v>
      </c>
      <c r="K148" t="s">
        <v>624</v>
      </c>
      <c r="L148" t="s">
        <v>746</v>
      </c>
      <c r="M148">
        <f t="shared" si="19"/>
        <v>23</v>
      </c>
      <c r="N148">
        <f t="shared" si="20"/>
        <v>372.17451675108686</v>
      </c>
    </row>
    <row r="149" spans="3:16" x14ac:dyDescent="0.25">
      <c r="C149">
        <f t="shared" ca="1" si="21"/>
        <v>82</v>
      </c>
      <c r="D149" t="str">
        <f t="shared" ca="1" si="22"/>
        <v>$A$83</v>
      </c>
      <c r="E149" t="str">
        <f t="shared" ca="1" si="23"/>
        <v>Альтиран из Фидваго</v>
      </c>
      <c r="F149" t="str">
        <f t="shared" si="18"/>
        <v>$G$6</v>
      </c>
      <c r="I149">
        <v>6</v>
      </c>
      <c r="J149">
        <v>8</v>
      </c>
      <c r="K149" t="s">
        <v>624</v>
      </c>
      <c r="L149" t="s">
        <v>749</v>
      </c>
      <c r="M149">
        <f t="shared" si="19"/>
        <v>22</v>
      </c>
      <c r="N149">
        <f t="shared" si="20"/>
        <v>388.61876801590904</v>
      </c>
    </row>
    <row r="150" spans="3:16" x14ac:dyDescent="0.25">
      <c r="C150">
        <f t="shared" ca="1" si="21"/>
        <v>48</v>
      </c>
      <c r="D150" t="str">
        <f t="shared" ca="1" si="22"/>
        <v>$A$49</v>
      </c>
      <c r="E150" t="str">
        <f t="shared" ca="1" si="23"/>
        <v>Эриния из Дарутана</v>
      </c>
      <c r="F150" t="str">
        <f t="shared" si="18"/>
        <v>$G$7</v>
      </c>
      <c r="I150">
        <v>7</v>
      </c>
      <c r="J150">
        <v>8</v>
      </c>
      <c r="K150" t="s">
        <v>624</v>
      </c>
      <c r="L150" t="s">
        <v>899</v>
      </c>
      <c r="M150">
        <f t="shared" si="19"/>
        <v>21</v>
      </c>
      <c r="N150">
        <f t="shared" si="20"/>
        <v>406.62913844880944</v>
      </c>
    </row>
    <row r="151" spans="3:16" x14ac:dyDescent="0.25">
      <c r="C151">
        <f t="shared" ca="1" si="21"/>
        <v>20</v>
      </c>
      <c r="D151" t="str">
        <f t="shared" ca="1" si="22"/>
        <v>$A$21</v>
      </c>
      <c r="E151" t="str">
        <f t="shared" ca="1" si="23"/>
        <v>Таурелор из Сарухана</v>
      </c>
      <c r="F151" t="str">
        <f t="shared" si="18"/>
        <v>$G$8</v>
      </c>
      <c r="I151">
        <v>8</v>
      </c>
      <c r="J151">
        <v>8</v>
      </c>
      <c r="K151" t="s">
        <v>624</v>
      </c>
      <c r="L151" t="s">
        <v>900</v>
      </c>
      <c r="M151">
        <f t="shared" si="19"/>
        <v>20</v>
      </c>
      <c r="N151">
        <f t="shared" si="20"/>
        <v>426.44054592499992</v>
      </c>
    </row>
    <row r="152" spans="3:16" x14ac:dyDescent="0.25">
      <c r="C152">
        <f t="shared" ca="1" si="21"/>
        <v>90</v>
      </c>
      <c r="D152" t="str">
        <f t="shared" ca="1" si="22"/>
        <v>$A$91</v>
      </c>
      <c r="E152" t="str">
        <f t="shared" ca="1" si="23"/>
        <v>Иландрия из Лорена</v>
      </c>
      <c r="F152" t="str">
        <f t="shared" si="18"/>
        <v>$G$9</v>
      </c>
      <c r="I152">
        <v>9</v>
      </c>
      <c r="J152">
        <v>8</v>
      </c>
      <c r="K152" t="s">
        <v>624</v>
      </c>
      <c r="L152" t="s">
        <v>901</v>
      </c>
      <c r="M152">
        <f t="shared" si="19"/>
        <v>19</v>
      </c>
      <c r="N152">
        <f t="shared" si="20"/>
        <v>448.33736471447355</v>
      </c>
    </row>
    <row r="153" spans="3:16" x14ac:dyDescent="0.25">
      <c r="C153">
        <f t="shared" ca="1" si="21"/>
        <v>23</v>
      </c>
      <c r="D153" t="str">
        <f t="shared" ca="1" si="22"/>
        <v>$A$24</v>
      </c>
      <c r="E153" t="str">
        <f t="shared" ca="1" si="23"/>
        <v>Ариадель из Самардейла</v>
      </c>
      <c r="F153" t="str">
        <f t="shared" si="18"/>
        <v>$G$10</v>
      </c>
      <c r="I153">
        <v>10</v>
      </c>
      <c r="J153">
        <v>8</v>
      </c>
      <c r="K153" t="s">
        <v>624</v>
      </c>
      <c r="L153" t="s">
        <v>765</v>
      </c>
      <c r="M153">
        <f t="shared" si="19"/>
        <v>18</v>
      </c>
      <c r="N153">
        <f t="shared" si="20"/>
        <v>472.66716336944438</v>
      </c>
    </row>
    <row r="154" spans="3:16" x14ac:dyDescent="0.25">
      <c r="C154">
        <f t="shared" ca="1" si="21"/>
        <v>37</v>
      </c>
      <c r="D154" t="str">
        <f t="shared" ca="1" si="22"/>
        <v>$A$38</v>
      </c>
      <c r="E154" t="str">
        <f t="shared" ca="1" si="23"/>
        <v>Зефирос из Гвадекуры</v>
      </c>
      <c r="F154" t="str">
        <f t="shared" si="18"/>
        <v>$G$11</v>
      </c>
      <c r="I154">
        <v>11</v>
      </c>
      <c r="J154">
        <v>8</v>
      </c>
      <c r="K154" t="s">
        <v>624</v>
      </c>
      <c r="L154" t="s">
        <v>902</v>
      </c>
      <c r="M154">
        <f t="shared" si="19"/>
        <v>17</v>
      </c>
      <c r="N154">
        <f t="shared" si="20"/>
        <v>499.85929127794111</v>
      </c>
    </row>
    <row r="155" spans="3:16" x14ac:dyDescent="0.25">
      <c r="C155">
        <f t="shared" ca="1" si="21"/>
        <v>56</v>
      </c>
      <c r="D155" t="str">
        <f t="shared" ca="1" si="22"/>
        <v>$A$57</v>
      </c>
      <c r="E155" t="str">
        <f t="shared" ca="1" si="23"/>
        <v>Арвос из Ранджар-ара</v>
      </c>
      <c r="F155" t="str">
        <f t="shared" si="18"/>
        <v>$G$12</v>
      </c>
      <c r="I155">
        <v>12</v>
      </c>
      <c r="J155">
        <v>8</v>
      </c>
      <c r="K155" t="s">
        <v>624</v>
      </c>
      <c r="L155" t="s">
        <v>811</v>
      </c>
      <c r="M155">
        <f t="shared" si="19"/>
        <v>16</v>
      </c>
      <c r="N155">
        <f t="shared" si="20"/>
        <v>530.45043517499994</v>
      </c>
    </row>
    <row r="156" spans="3:16" x14ac:dyDescent="0.25">
      <c r="C156">
        <f t="shared" ca="1" si="21"/>
        <v>44</v>
      </c>
      <c r="D156" t="str">
        <f t="shared" ca="1" si="22"/>
        <v>$A$45</v>
      </c>
      <c r="E156" t="str">
        <f t="shared" ca="1" si="23"/>
        <v>Иллириан из Садата</v>
      </c>
      <c r="F156" t="str">
        <f t="shared" si="18"/>
        <v>$G$13</v>
      </c>
      <c r="I156">
        <v>13</v>
      </c>
      <c r="J156">
        <v>8</v>
      </c>
      <c r="K156" t="s">
        <v>624</v>
      </c>
      <c r="L156" t="s">
        <v>903</v>
      </c>
      <c r="M156">
        <f t="shared" si="19"/>
        <v>15</v>
      </c>
      <c r="N156">
        <f t="shared" si="20"/>
        <v>565.12039825833324</v>
      </c>
    </row>
    <row r="157" spans="3:16" x14ac:dyDescent="0.25">
      <c r="C157">
        <f t="shared" ca="1" si="21"/>
        <v>43</v>
      </c>
      <c r="D157" t="str">
        <f t="shared" ca="1" si="22"/>
        <v>$A$44</v>
      </c>
      <c r="E157" t="str">
        <f t="shared" ca="1" si="23"/>
        <v>Эларион из Столицы</v>
      </c>
      <c r="F157" t="str">
        <f t="shared" si="18"/>
        <v>$G$14</v>
      </c>
      <c r="I157">
        <v>14</v>
      </c>
      <c r="J157">
        <v>8</v>
      </c>
      <c r="K157" t="s">
        <v>624</v>
      </c>
      <c r="L157" t="s">
        <v>904</v>
      </c>
      <c r="M157">
        <f t="shared" si="19"/>
        <v>14</v>
      </c>
      <c r="N157">
        <f t="shared" si="20"/>
        <v>604.74321321071409</v>
      </c>
    </row>
    <row r="158" spans="3:16" x14ac:dyDescent="0.25">
      <c r="C158">
        <f t="shared" ca="1" si="21"/>
        <v>88</v>
      </c>
      <c r="D158" t="str">
        <f t="shared" ca="1" si="22"/>
        <v>$A$89</v>
      </c>
      <c r="E158" t="str">
        <f t="shared" ca="1" si="23"/>
        <v>Армидор из Люг-о-дана</v>
      </c>
      <c r="F158" t="str">
        <f t="shared" si="18"/>
        <v>$G$3</v>
      </c>
      <c r="I158">
        <v>3</v>
      </c>
      <c r="J158">
        <v>12</v>
      </c>
      <c r="K158" t="s">
        <v>625</v>
      </c>
      <c r="L158" t="s">
        <v>905</v>
      </c>
      <c r="M158">
        <f t="shared" si="19"/>
        <v>29</v>
      </c>
      <c r="N158">
        <f t="shared" si="20"/>
        <v>440.78673754568956</v>
      </c>
      <c r="O158" t="s">
        <v>627</v>
      </c>
      <c r="P158">
        <f>SUM(N158:N169)/12</f>
        <v>553.43794676948426</v>
      </c>
    </row>
    <row r="159" spans="3:16" x14ac:dyDescent="0.25">
      <c r="C159">
        <f t="shared" ca="1" si="21"/>
        <v>2</v>
      </c>
      <c r="D159" t="str">
        <f t="shared" ca="1" si="22"/>
        <v>$A$3</v>
      </c>
      <c r="E159" t="str">
        <f t="shared" ca="1" si="23"/>
        <v>Эльдриан из Шихона</v>
      </c>
      <c r="F159" t="str">
        <f t="shared" si="18"/>
        <v>$G$4</v>
      </c>
      <c r="I159">
        <v>4</v>
      </c>
      <c r="J159">
        <v>12</v>
      </c>
      <c r="K159" t="s">
        <v>625</v>
      </c>
      <c r="L159" t="s">
        <v>836</v>
      </c>
      <c r="M159">
        <f t="shared" si="19"/>
        <v>28</v>
      </c>
      <c r="N159">
        <f t="shared" si="20"/>
        <v>456.15765713928556</v>
      </c>
    </row>
    <row r="160" spans="3:16" x14ac:dyDescent="0.25">
      <c r="C160">
        <f t="shared" ca="1" si="21"/>
        <v>4</v>
      </c>
      <c r="D160" t="str">
        <f t="shared" ca="1" si="22"/>
        <v>$A$5</v>
      </c>
      <c r="E160" t="str">
        <f t="shared" ca="1" si="23"/>
        <v>Сильвания из Готуна</v>
      </c>
      <c r="F160" t="str">
        <f t="shared" si="18"/>
        <v>$G$5</v>
      </c>
      <c r="I160">
        <v>5</v>
      </c>
      <c r="J160">
        <v>12</v>
      </c>
      <c r="K160" t="s">
        <v>625</v>
      </c>
      <c r="L160" t="s">
        <v>906</v>
      </c>
      <c r="M160">
        <f t="shared" si="19"/>
        <v>27</v>
      </c>
      <c r="N160">
        <f t="shared" si="20"/>
        <v>472.66716336944438</v>
      </c>
    </row>
    <row r="161" spans="3:16" x14ac:dyDescent="0.25">
      <c r="C161">
        <f t="shared" ca="1" si="21"/>
        <v>11</v>
      </c>
      <c r="D161" t="str">
        <f t="shared" ca="1" si="22"/>
        <v>$A$12</v>
      </c>
      <c r="E161" t="str">
        <f t="shared" ca="1" si="23"/>
        <v>Леонардис из Фидваго</v>
      </c>
      <c r="F161" t="str">
        <f t="shared" si="18"/>
        <v>$G$6</v>
      </c>
      <c r="I161">
        <v>6</v>
      </c>
      <c r="J161">
        <v>12</v>
      </c>
      <c r="K161" t="s">
        <v>625</v>
      </c>
      <c r="L161" t="s">
        <v>907</v>
      </c>
      <c r="M161">
        <f t="shared" si="19"/>
        <v>26</v>
      </c>
      <c r="N161">
        <f t="shared" si="20"/>
        <v>490.44663161730756</v>
      </c>
    </row>
    <row r="162" spans="3:16" x14ac:dyDescent="0.25">
      <c r="C162">
        <f t="shared" ca="1" si="21"/>
        <v>3</v>
      </c>
      <c r="D162" t="str">
        <f t="shared" ca="1" si="22"/>
        <v>$A$4</v>
      </c>
      <c r="E162" t="str">
        <f t="shared" ca="1" si="23"/>
        <v>Лириндель из Дарутана</v>
      </c>
      <c r="F162" t="str">
        <f t="shared" si="18"/>
        <v>$G$7</v>
      </c>
      <c r="I162">
        <v>7</v>
      </c>
      <c r="J162">
        <v>12</v>
      </c>
      <c r="K162" t="s">
        <v>625</v>
      </c>
      <c r="L162" t="s">
        <v>899</v>
      </c>
      <c r="M162">
        <f t="shared" si="19"/>
        <v>25</v>
      </c>
      <c r="N162">
        <f t="shared" si="20"/>
        <v>509.64845732499992</v>
      </c>
    </row>
    <row r="163" spans="3:16" x14ac:dyDescent="0.25">
      <c r="C163">
        <f t="shared" ca="1" si="21"/>
        <v>88</v>
      </c>
      <c r="D163" t="str">
        <f t="shared" ca="1" si="22"/>
        <v>$A$89</v>
      </c>
      <c r="E163" t="str">
        <f t="shared" ca="1" si="23"/>
        <v>Армидор из Сарухана</v>
      </c>
      <c r="F163" t="str">
        <f t="shared" si="18"/>
        <v>$G$8</v>
      </c>
      <c r="I163">
        <v>8</v>
      </c>
      <c r="J163">
        <v>12</v>
      </c>
      <c r="K163" t="s">
        <v>625</v>
      </c>
      <c r="L163" t="s">
        <v>788</v>
      </c>
      <c r="M163">
        <f t="shared" si="19"/>
        <v>24</v>
      </c>
      <c r="N163">
        <f t="shared" si="20"/>
        <v>530.45043517499994</v>
      </c>
    </row>
    <row r="164" spans="3:16" x14ac:dyDescent="0.25">
      <c r="C164">
        <f t="shared" ca="1" si="21"/>
        <v>49</v>
      </c>
      <c r="D164" t="str">
        <f t="shared" ca="1" si="22"/>
        <v>$A$50</v>
      </c>
      <c r="E164" t="str">
        <f t="shared" ca="1" si="23"/>
        <v>Иллирон из Лорена</v>
      </c>
      <c r="F164" t="str">
        <f t="shared" si="18"/>
        <v>$G$9</v>
      </c>
      <c r="I164">
        <v>9</v>
      </c>
      <c r="J164">
        <v>12</v>
      </c>
      <c r="K164" t="s">
        <v>625</v>
      </c>
      <c r="L164" t="s">
        <v>908</v>
      </c>
      <c r="M164">
        <f t="shared" si="19"/>
        <v>23</v>
      </c>
      <c r="N164">
        <f t="shared" si="20"/>
        <v>553.06128066413032</v>
      </c>
    </row>
    <row r="165" spans="3:16" x14ac:dyDescent="0.25">
      <c r="C165">
        <f t="shared" ca="1" si="21"/>
        <v>100</v>
      </c>
      <c r="D165" t="str">
        <f t="shared" ca="1" si="22"/>
        <v>$A$101</v>
      </c>
      <c r="E165" t="str">
        <f t="shared" ca="1" si="23"/>
        <v>Карл из Самардейла</v>
      </c>
      <c r="F165" t="str">
        <f t="shared" si="18"/>
        <v>$G$10</v>
      </c>
      <c r="I165">
        <v>10</v>
      </c>
      <c r="J165">
        <v>12</v>
      </c>
      <c r="K165" t="s">
        <v>625</v>
      </c>
      <c r="L165" t="s">
        <v>797</v>
      </c>
      <c r="M165">
        <f t="shared" si="19"/>
        <v>22</v>
      </c>
      <c r="N165">
        <f t="shared" si="20"/>
        <v>577.72765756136346</v>
      </c>
    </row>
    <row r="166" spans="3:16" x14ac:dyDescent="0.25">
      <c r="C166">
        <f t="shared" ca="1" si="21"/>
        <v>23</v>
      </c>
      <c r="D166" t="str">
        <f t="shared" ca="1" si="22"/>
        <v>$A$24</v>
      </c>
      <c r="E166" t="str">
        <f t="shared" ca="1" si="23"/>
        <v>Ариадель из Гвадекуры</v>
      </c>
      <c r="F166" t="str">
        <f t="shared" si="18"/>
        <v>$G$11</v>
      </c>
      <c r="I166">
        <v>11</v>
      </c>
      <c r="J166">
        <v>12</v>
      </c>
      <c r="K166" t="s">
        <v>625</v>
      </c>
      <c r="L166" t="s">
        <v>909</v>
      </c>
      <c r="M166">
        <f t="shared" si="19"/>
        <v>21</v>
      </c>
      <c r="N166">
        <f t="shared" si="20"/>
        <v>604.74321321071409</v>
      </c>
    </row>
    <row r="167" spans="3:16" x14ac:dyDescent="0.25">
      <c r="C167">
        <f t="shared" ca="1" si="21"/>
        <v>94</v>
      </c>
      <c r="D167" t="str">
        <f t="shared" ca="1" si="22"/>
        <v>$A$95</v>
      </c>
      <c r="E167" t="str">
        <f t="shared" ca="1" si="23"/>
        <v>Арелиос из Ранджар-ара</v>
      </c>
      <c r="F167" t="str">
        <f t="shared" si="18"/>
        <v>$G$12</v>
      </c>
      <c r="I167">
        <v>12</v>
      </c>
      <c r="J167">
        <v>12</v>
      </c>
      <c r="K167" t="s">
        <v>625</v>
      </c>
      <c r="L167" t="s">
        <v>910</v>
      </c>
      <c r="M167">
        <f t="shared" si="19"/>
        <v>20</v>
      </c>
      <c r="N167">
        <f t="shared" si="20"/>
        <v>634.46032442499984</v>
      </c>
    </row>
    <row r="168" spans="3:16" x14ac:dyDescent="0.25">
      <c r="C168">
        <f t="shared" ca="1" si="21"/>
        <v>56</v>
      </c>
      <c r="D168" t="str">
        <f t="shared" ca="1" si="22"/>
        <v>$A$57</v>
      </c>
      <c r="E168" t="str">
        <f t="shared" ca="1" si="23"/>
        <v>Арвос из Садата</v>
      </c>
      <c r="F168" t="str">
        <f t="shared" si="18"/>
        <v>$G$13</v>
      </c>
      <c r="I168">
        <v>13</v>
      </c>
      <c r="J168">
        <v>12</v>
      </c>
      <c r="K168" t="s">
        <v>625</v>
      </c>
      <c r="L168" t="s">
        <v>800</v>
      </c>
      <c r="M168">
        <f t="shared" si="19"/>
        <v>19</v>
      </c>
      <c r="N168">
        <f t="shared" si="20"/>
        <v>667.30555260921028</v>
      </c>
    </row>
    <row r="169" spans="3:16" x14ac:dyDescent="0.25">
      <c r="C169">
        <f t="shared" ca="1" si="21"/>
        <v>17</v>
      </c>
      <c r="D169" t="str">
        <f t="shared" ca="1" si="22"/>
        <v>$A$18</v>
      </c>
      <c r="E169" t="str">
        <f t="shared" ca="1" si="23"/>
        <v>Эмбриос из Столицы</v>
      </c>
      <c r="F169" t="str">
        <f t="shared" si="18"/>
        <v>$G$14</v>
      </c>
      <c r="I169">
        <v>14</v>
      </c>
      <c r="J169">
        <v>12</v>
      </c>
      <c r="K169" t="s">
        <v>625</v>
      </c>
      <c r="L169" t="s">
        <v>911</v>
      </c>
      <c r="M169">
        <f t="shared" si="19"/>
        <v>18</v>
      </c>
      <c r="N169">
        <f t="shared" si="20"/>
        <v>703.80025059166655</v>
      </c>
    </row>
    <row r="170" spans="3:16" x14ac:dyDescent="0.25">
      <c r="C170">
        <f t="shared" ca="1" si="21"/>
        <v>55</v>
      </c>
      <c r="D170" t="str">
        <f t="shared" ca="1" si="22"/>
        <v>$A$56</v>
      </c>
      <c r="E170" t="str">
        <f t="shared" ca="1" si="23"/>
        <v>Фейлура из Люг-о-дана</v>
      </c>
      <c r="F170" t="str">
        <f t="shared" si="18"/>
        <v>$G$3</v>
      </c>
      <c r="I170">
        <v>3</v>
      </c>
      <c r="J170">
        <v>14</v>
      </c>
      <c r="K170" t="s">
        <v>626</v>
      </c>
      <c r="L170" t="s">
        <v>912</v>
      </c>
      <c r="M170">
        <f t="shared" si="19"/>
        <v>31</v>
      </c>
      <c r="N170">
        <f t="shared" si="20"/>
        <v>480.12306940887089</v>
      </c>
      <c r="O170" t="s">
        <v>628</v>
      </c>
      <c r="P170">
        <f>SUM(N170:N181)/12</f>
        <v>592.25636480533024</v>
      </c>
    </row>
    <row r="171" spans="3:16" x14ac:dyDescent="0.25">
      <c r="C171">
        <f t="shared" ca="1" si="21"/>
        <v>2</v>
      </c>
      <c r="D171" t="str">
        <f t="shared" ca="1" si="22"/>
        <v>$A$3</v>
      </c>
      <c r="E171" t="str">
        <f t="shared" ca="1" si="23"/>
        <v>Эльдриан из Шихона</v>
      </c>
      <c r="F171" t="str">
        <f t="shared" si="18"/>
        <v>$G$4</v>
      </c>
      <c r="I171">
        <v>4</v>
      </c>
      <c r="J171">
        <v>14</v>
      </c>
      <c r="K171" t="s">
        <v>626</v>
      </c>
      <c r="L171" t="s">
        <v>913</v>
      </c>
      <c r="M171">
        <f t="shared" si="19"/>
        <v>30</v>
      </c>
      <c r="N171">
        <f t="shared" si="20"/>
        <v>495.78047209166658</v>
      </c>
    </row>
    <row r="172" spans="3:16" x14ac:dyDescent="0.25">
      <c r="C172">
        <f t="shared" ca="1" si="21"/>
        <v>80</v>
      </c>
      <c r="D172" t="str">
        <f t="shared" ca="1" si="22"/>
        <v>$A$81</v>
      </c>
      <c r="E172" t="str">
        <f t="shared" ca="1" si="23"/>
        <v>Тирасил из Готуна</v>
      </c>
      <c r="F172" t="str">
        <f t="shared" si="18"/>
        <v>$G$5</v>
      </c>
      <c r="I172">
        <v>5</v>
      </c>
      <c r="J172">
        <v>14</v>
      </c>
      <c r="K172" t="s">
        <v>626</v>
      </c>
      <c r="L172" t="s">
        <v>755</v>
      </c>
      <c r="M172">
        <f t="shared" si="19"/>
        <v>29</v>
      </c>
      <c r="N172">
        <f t="shared" si="20"/>
        <v>512.51769564913786</v>
      </c>
    </row>
    <row r="173" spans="3:16" x14ac:dyDescent="0.25">
      <c r="C173">
        <f t="shared" ca="1" si="21"/>
        <v>54</v>
      </c>
      <c r="D173" t="str">
        <f t="shared" ca="1" si="22"/>
        <v>$A$55</v>
      </c>
      <c r="E173" t="str">
        <f t="shared" ca="1" si="23"/>
        <v>Тирандор из Фидваго</v>
      </c>
      <c r="F173" t="str">
        <f t="shared" si="18"/>
        <v>$G$6</v>
      </c>
      <c r="I173">
        <v>6</v>
      </c>
      <c r="J173">
        <v>14</v>
      </c>
      <c r="K173" t="s">
        <v>626</v>
      </c>
      <c r="L173" t="s">
        <v>780</v>
      </c>
      <c r="M173">
        <f t="shared" si="19"/>
        <v>28</v>
      </c>
      <c r="N173">
        <f t="shared" si="20"/>
        <v>530.45043517499994</v>
      </c>
    </row>
    <row r="174" spans="3:16" x14ac:dyDescent="0.25">
      <c r="C174">
        <f t="shared" ca="1" si="21"/>
        <v>95</v>
      </c>
      <c r="D174" t="str">
        <f t="shared" ca="1" si="22"/>
        <v>$A$96</v>
      </c>
      <c r="E174" t="str">
        <f t="shared" ca="1" si="23"/>
        <v>Элиссара из Дарутана</v>
      </c>
      <c r="F174" t="str">
        <f t="shared" si="18"/>
        <v>$G$7</v>
      </c>
      <c r="I174">
        <v>7</v>
      </c>
      <c r="J174">
        <v>14</v>
      </c>
      <c r="K174" t="s">
        <v>626</v>
      </c>
      <c r="L174" t="s">
        <v>772</v>
      </c>
      <c r="M174">
        <f t="shared" si="19"/>
        <v>27</v>
      </c>
      <c r="N174">
        <f t="shared" si="20"/>
        <v>549.71152577685166</v>
      </c>
    </row>
    <row r="175" spans="3:16" x14ac:dyDescent="0.25">
      <c r="C175">
        <f t="shared" ca="1" si="21"/>
        <v>66</v>
      </c>
      <c r="D175" t="str">
        <f t="shared" ca="1" si="22"/>
        <v>$A$67</v>
      </c>
      <c r="E175" t="str">
        <f t="shared" ca="1" si="23"/>
        <v>Зирона из Сарухана</v>
      </c>
      <c r="F175" t="str">
        <f t="shared" si="18"/>
        <v>$G$8</v>
      </c>
      <c r="I175">
        <v>8</v>
      </c>
      <c r="J175">
        <v>14</v>
      </c>
      <c r="K175" t="s">
        <v>626</v>
      </c>
      <c r="L175" t="s">
        <v>914</v>
      </c>
      <c r="M175">
        <f t="shared" si="19"/>
        <v>26</v>
      </c>
      <c r="N175">
        <f t="shared" si="20"/>
        <v>570.45423873269215</v>
      </c>
    </row>
    <row r="176" spans="3:16" x14ac:dyDescent="0.25">
      <c r="C176">
        <f t="shared" ca="1" si="21"/>
        <v>30</v>
      </c>
      <c r="D176" t="str">
        <f t="shared" ca="1" si="22"/>
        <v>$A$31</v>
      </c>
      <c r="E176" t="str">
        <f t="shared" ca="1" si="23"/>
        <v>Ториндор из Лорена</v>
      </c>
      <c r="F176" t="str">
        <f t="shared" si="18"/>
        <v>$G$9</v>
      </c>
      <c r="I176">
        <v>9</v>
      </c>
      <c r="J176">
        <v>14</v>
      </c>
      <c r="K176" t="s">
        <v>626</v>
      </c>
      <c r="L176" t="s">
        <v>915</v>
      </c>
      <c r="M176">
        <f t="shared" si="19"/>
        <v>25</v>
      </c>
      <c r="N176">
        <f t="shared" si="20"/>
        <v>592.85636872499992</v>
      </c>
    </row>
    <row r="177" spans="3:16" x14ac:dyDescent="0.25">
      <c r="C177">
        <f t="shared" ca="1" si="21"/>
        <v>43</v>
      </c>
      <c r="D177" t="str">
        <f t="shared" ca="1" si="22"/>
        <v>$A$44</v>
      </c>
      <c r="E177" t="str">
        <f t="shared" ca="1" si="23"/>
        <v>Эларион из Самардейла</v>
      </c>
      <c r="F177" t="str">
        <f t="shared" si="18"/>
        <v>$G$10</v>
      </c>
      <c r="I177">
        <v>10</v>
      </c>
      <c r="J177">
        <v>14</v>
      </c>
      <c r="K177" t="s">
        <v>626</v>
      </c>
      <c r="L177" t="s">
        <v>916</v>
      </c>
      <c r="M177">
        <f t="shared" si="19"/>
        <v>24</v>
      </c>
      <c r="N177">
        <f t="shared" si="20"/>
        <v>617.12534288333325</v>
      </c>
    </row>
    <row r="178" spans="3:16" x14ac:dyDescent="0.25">
      <c r="C178">
        <f t="shared" ca="1" si="21"/>
        <v>25</v>
      </c>
      <c r="D178" t="str">
        <f t="shared" ca="1" si="22"/>
        <v>$A$26</v>
      </c>
      <c r="E178" t="str">
        <f t="shared" ca="1" si="23"/>
        <v>Элестрия из Гвадекуры</v>
      </c>
      <c r="F178" t="str">
        <f t="shared" si="18"/>
        <v>$G$11</v>
      </c>
      <c r="I178">
        <v>11</v>
      </c>
      <c r="J178">
        <v>14</v>
      </c>
      <c r="K178" t="s">
        <v>626</v>
      </c>
      <c r="L178" t="s">
        <v>917</v>
      </c>
      <c r="M178">
        <f t="shared" si="19"/>
        <v>23</v>
      </c>
      <c r="N178">
        <f t="shared" si="20"/>
        <v>643.50466262065208</v>
      </c>
    </row>
    <row r="179" spans="3:16" x14ac:dyDescent="0.25">
      <c r="C179">
        <f t="shared" ca="1" si="21"/>
        <v>54</v>
      </c>
      <c r="D179" t="str">
        <f t="shared" ca="1" si="22"/>
        <v>$A$55</v>
      </c>
      <c r="E179" t="str">
        <f t="shared" ca="1" si="23"/>
        <v>Тирандор из Ранджар-ара</v>
      </c>
      <c r="F179" t="str">
        <f t="shared" si="18"/>
        <v>$G$12</v>
      </c>
      <c r="I179">
        <v>12</v>
      </c>
      <c r="J179">
        <v>14</v>
      </c>
      <c r="K179" t="s">
        <v>626</v>
      </c>
      <c r="L179" t="s">
        <v>918</v>
      </c>
      <c r="M179">
        <f t="shared" si="19"/>
        <v>22</v>
      </c>
      <c r="N179">
        <f t="shared" si="20"/>
        <v>672.28210233409084</v>
      </c>
    </row>
    <row r="180" spans="3:16" x14ac:dyDescent="0.25">
      <c r="C180">
        <f t="shared" ca="1" si="21"/>
        <v>36</v>
      </c>
      <c r="D180" t="str">
        <f t="shared" ca="1" si="22"/>
        <v>$A$37</v>
      </c>
      <c r="E180" t="str">
        <f t="shared" ca="1" si="23"/>
        <v>Алиандра из Садата</v>
      </c>
      <c r="F180" t="str">
        <f t="shared" si="18"/>
        <v>$G$13</v>
      </c>
      <c r="I180">
        <v>13</v>
      </c>
      <c r="J180">
        <v>14</v>
      </c>
      <c r="K180" t="s">
        <v>626</v>
      </c>
      <c r="L180" t="s">
        <v>800</v>
      </c>
      <c r="M180">
        <f t="shared" si="19"/>
        <v>21</v>
      </c>
      <c r="N180">
        <f t="shared" si="20"/>
        <v>703.80025059166655</v>
      </c>
    </row>
    <row r="181" spans="3:16" x14ac:dyDescent="0.25">
      <c r="C181">
        <f t="shared" ca="1" si="21"/>
        <v>38</v>
      </c>
      <c r="D181" t="str">
        <f t="shared" ca="1" si="22"/>
        <v>$A$39</v>
      </c>
      <c r="E181" t="str">
        <f t="shared" ca="1" si="23"/>
        <v>Фэрэлия из Столицы</v>
      </c>
      <c r="F181" t="str">
        <f t="shared" si="18"/>
        <v>$G$14</v>
      </c>
      <c r="I181">
        <v>14</v>
      </c>
      <c r="J181">
        <v>14</v>
      </c>
      <c r="K181" t="s">
        <v>626</v>
      </c>
      <c r="L181" t="s">
        <v>919</v>
      </c>
      <c r="M181">
        <f t="shared" si="19"/>
        <v>20</v>
      </c>
      <c r="N181">
        <f t="shared" si="20"/>
        <v>738.47021367499985</v>
      </c>
    </row>
    <row r="182" spans="3:16" x14ac:dyDescent="0.25">
      <c r="C182">
        <f t="shared" ca="1" si="21"/>
        <v>8</v>
      </c>
      <c r="D182" t="str">
        <f t="shared" ca="1" si="22"/>
        <v>$A$9</v>
      </c>
      <c r="E182" t="str">
        <f t="shared" ca="1" si="23"/>
        <v>Эллисар из Люг-о-дана</v>
      </c>
      <c r="F182" t="str">
        <f t="shared" si="18"/>
        <v>$G$3</v>
      </c>
      <c r="I182">
        <v>3</v>
      </c>
      <c r="J182">
        <v>8</v>
      </c>
      <c r="K182" t="s">
        <v>629</v>
      </c>
      <c r="L182" t="s">
        <v>920</v>
      </c>
      <c r="M182">
        <f t="shared" si="19"/>
        <v>25</v>
      </c>
      <c r="N182">
        <f t="shared" si="20"/>
        <v>343.23263452499992</v>
      </c>
      <c r="O182" t="s">
        <v>619</v>
      </c>
      <c r="P182">
        <f>SUM(N182:N193)/12</f>
        <v>451.28117411917037</v>
      </c>
    </row>
    <row r="183" spans="3:16" x14ac:dyDescent="0.25">
      <c r="C183">
        <f t="shared" ca="1" si="21"/>
        <v>57</v>
      </c>
      <c r="D183" t="str">
        <f t="shared" ca="1" si="22"/>
        <v>$A$58</v>
      </c>
      <c r="E183" t="str">
        <f t="shared" ca="1" si="23"/>
        <v>Эмелиан из Шихона</v>
      </c>
      <c r="F183" t="str">
        <f t="shared" si="18"/>
        <v>$G$4</v>
      </c>
      <c r="I183">
        <v>4</v>
      </c>
      <c r="J183">
        <v>8</v>
      </c>
      <c r="K183" t="s">
        <v>629</v>
      </c>
      <c r="L183" t="s">
        <v>921</v>
      </c>
      <c r="M183">
        <f t="shared" si="19"/>
        <v>24</v>
      </c>
      <c r="N183">
        <f t="shared" si="20"/>
        <v>357.10061975833327</v>
      </c>
    </row>
    <row r="184" spans="3:16" x14ac:dyDescent="0.25">
      <c r="C184">
        <f t="shared" ca="1" si="21"/>
        <v>102</v>
      </c>
      <c r="D184" t="str">
        <f t="shared" ca="1" si="22"/>
        <v>$A$103</v>
      </c>
      <c r="E184" t="str">
        <f t="shared" ca="1" si="23"/>
        <v>Таланиэль из Готуна</v>
      </c>
      <c r="F184" t="str">
        <f t="shared" si="18"/>
        <v>$G$5</v>
      </c>
      <c r="I184">
        <v>5</v>
      </c>
      <c r="J184">
        <v>8</v>
      </c>
      <c r="K184" t="s">
        <v>629</v>
      </c>
      <c r="L184" t="s">
        <v>922</v>
      </c>
      <c r="M184">
        <f t="shared" si="19"/>
        <v>23</v>
      </c>
      <c r="N184">
        <f t="shared" si="20"/>
        <v>372.17451675108686</v>
      </c>
    </row>
    <row r="185" spans="3:16" x14ac:dyDescent="0.25">
      <c r="C185">
        <f t="shared" ca="1" si="21"/>
        <v>102</v>
      </c>
      <c r="D185" t="str">
        <f t="shared" ca="1" si="22"/>
        <v>$A$103</v>
      </c>
      <c r="E185" t="str">
        <f t="shared" ca="1" si="23"/>
        <v>Таланиэль из Фидваго</v>
      </c>
      <c r="F185" t="str">
        <f t="shared" si="18"/>
        <v>$G$6</v>
      </c>
      <c r="I185">
        <v>6</v>
      </c>
      <c r="J185">
        <v>8</v>
      </c>
      <c r="K185" t="s">
        <v>629</v>
      </c>
      <c r="L185" t="s">
        <v>923</v>
      </c>
      <c r="M185">
        <f t="shared" si="19"/>
        <v>22</v>
      </c>
      <c r="N185">
        <f t="shared" si="20"/>
        <v>388.61876801590904</v>
      </c>
    </row>
    <row r="186" spans="3:16" x14ac:dyDescent="0.25">
      <c r="C186">
        <f t="shared" ca="1" si="21"/>
        <v>2</v>
      </c>
      <c r="D186" t="str">
        <f t="shared" ca="1" si="22"/>
        <v>$A$3</v>
      </c>
      <c r="E186" t="str">
        <f t="shared" ca="1" si="23"/>
        <v>Эльдриан из Дарутана</v>
      </c>
      <c r="F186" t="str">
        <f t="shared" si="18"/>
        <v>$G$7</v>
      </c>
      <c r="I186">
        <v>7</v>
      </c>
      <c r="J186">
        <v>8</v>
      </c>
      <c r="K186" t="s">
        <v>629</v>
      </c>
      <c r="L186" t="s">
        <v>924</v>
      </c>
      <c r="M186">
        <f t="shared" si="19"/>
        <v>21</v>
      </c>
      <c r="N186">
        <f t="shared" si="20"/>
        <v>406.62913844880944</v>
      </c>
    </row>
    <row r="187" spans="3:16" x14ac:dyDescent="0.25">
      <c r="C187">
        <f t="shared" ca="1" si="21"/>
        <v>79</v>
      </c>
      <c r="D187" t="str">
        <f t="shared" ca="1" si="22"/>
        <v>$A$80</v>
      </c>
      <c r="E187" t="str">
        <f t="shared" ca="1" si="23"/>
        <v>Лиринталия из Сарухана</v>
      </c>
      <c r="F187" t="str">
        <f t="shared" si="18"/>
        <v>$G$8</v>
      </c>
      <c r="I187">
        <v>8</v>
      </c>
      <c r="J187">
        <v>8</v>
      </c>
      <c r="K187" t="s">
        <v>629</v>
      </c>
      <c r="L187" t="s">
        <v>795</v>
      </c>
      <c r="M187">
        <f t="shared" si="19"/>
        <v>20</v>
      </c>
      <c r="N187">
        <f t="shared" si="20"/>
        <v>426.44054592499992</v>
      </c>
    </row>
    <row r="188" spans="3:16" x14ac:dyDescent="0.25">
      <c r="C188">
        <f t="shared" ca="1" si="21"/>
        <v>7</v>
      </c>
      <c r="D188" t="str">
        <f t="shared" ca="1" si="22"/>
        <v>$A$8</v>
      </c>
      <c r="E188" t="str">
        <f t="shared" ca="1" si="23"/>
        <v>Фиора из Лорена</v>
      </c>
      <c r="F188" t="str">
        <f t="shared" si="18"/>
        <v>$G$9</v>
      </c>
      <c r="I188">
        <v>9</v>
      </c>
      <c r="J188">
        <v>8</v>
      </c>
      <c r="K188" t="s">
        <v>629</v>
      </c>
      <c r="L188" t="s">
        <v>925</v>
      </c>
      <c r="M188">
        <f t="shared" si="19"/>
        <v>19</v>
      </c>
      <c r="N188">
        <f t="shared" si="20"/>
        <v>448.33736471447355</v>
      </c>
    </row>
    <row r="189" spans="3:16" x14ac:dyDescent="0.25">
      <c r="C189">
        <f t="shared" ca="1" si="21"/>
        <v>48</v>
      </c>
      <c r="D189" t="str">
        <f t="shared" ca="1" si="22"/>
        <v>$A$49</v>
      </c>
      <c r="E189" t="str">
        <f t="shared" ca="1" si="23"/>
        <v>Эриния из Самардейла</v>
      </c>
      <c r="F189" t="str">
        <f t="shared" si="18"/>
        <v>$G$10</v>
      </c>
      <c r="I189">
        <v>10</v>
      </c>
      <c r="J189">
        <v>8</v>
      </c>
      <c r="K189" t="s">
        <v>629</v>
      </c>
      <c r="L189" t="s">
        <v>809</v>
      </c>
      <c r="M189">
        <f t="shared" si="19"/>
        <v>18</v>
      </c>
      <c r="N189">
        <f t="shared" si="20"/>
        <v>472.66716336944438</v>
      </c>
    </row>
    <row r="190" spans="3:16" x14ac:dyDescent="0.25">
      <c r="C190">
        <f t="shared" ca="1" si="21"/>
        <v>42</v>
      </c>
      <c r="D190" t="str">
        <f t="shared" ca="1" si="22"/>
        <v>$A$43</v>
      </c>
      <c r="E190" t="str">
        <f t="shared" ca="1" si="23"/>
        <v>Араниас из Гвадекуры</v>
      </c>
      <c r="F190" t="str">
        <f t="shared" si="18"/>
        <v>$G$11</v>
      </c>
      <c r="I190">
        <v>11</v>
      </c>
      <c r="J190">
        <v>8</v>
      </c>
      <c r="K190" t="s">
        <v>629</v>
      </c>
      <c r="L190" t="s">
        <v>926</v>
      </c>
      <c r="M190">
        <f t="shared" si="19"/>
        <v>17</v>
      </c>
      <c r="N190">
        <f t="shared" si="20"/>
        <v>499.85929127794111</v>
      </c>
    </row>
    <row r="191" spans="3:16" x14ac:dyDescent="0.25">
      <c r="C191">
        <f t="shared" ca="1" si="21"/>
        <v>42</v>
      </c>
      <c r="D191" t="str">
        <f t="shared" ca="1" si="22"/>
        <v>$A$43</v>
      </c>
      <c r="E191" t="str">
        <f t="shared" ca="1" si="23"/>
        <v>Араниас из Ранджар-ара</v>
      </c>
      <c r="F191" t="str">
        <f t="shared" si="18"/>
        <v>$G$12</v>
      </c>
      <c r="I191">
        <v>12</v>
      </c>
      <c r="J191">
        <v>8</v>
      </c>
      <c r="K191" t="s">
        <v>629</v>
      </c>
      <c r="L191" t="s">
        <v>927</v>
      </c>
      <c r="M191">
        <f t="shared" si="19"/>
        <v>16</v>
      </c>
      <c r="N191">
        <f t="shared" si="20"/>
        <v>530.45043517499994</v>
      </c>
    </row>
    <row r="192" spans="3:16" x14ac:dyDescent="0.25">
      <c r="C192">
        <f t="shared" ca="1" si="21"/>
        <v>44</v>
      </c>
      <c r="D192" t="str">
        <f t="shared" ca="1" si="22"/>
        <v>$A$45</v>
      </c>
      <c r="E192" t="str">
        <f t="shared" ca="1" si="23"/>
        <v>Иллириан из Садата</v>
      </c>
      <c r="F192" t="str">
        <f t="shared" si="18"/>
        <v>$G$13</v>
      </c>
      <c r="I192">
        <v>13</v>
      </c>
      <c r="J192">
        <v>8</v>
      </c>
      <c r="K192" t="s">
        <v>629</v>
      </c>
      <c r="L192" t="s">
        <v>928</v>
      </c>
      <c r="M192">
        <f t="shared" si="19"/>
        <v>15</v>
      </c>
      <c r="N192">
        <f t="shared" si="20"/>
        <v>565.12039825833324</v>
      </c>
    </row>
    <row r="193" spans="3:16" x14ac:dyDescent="0.25">
      <c r="C193">
        <f t="shared" ca="1" si="21"/>
        <v>94</v>
      </c>
      <c r="D193" t="str">
        <f t="shared" ca="1" si="22"/>
        <v>$A$95</v>
      </c>
      <c r="E193" t="str">
        <f t="shared" ca="1" si="23"/>
        <v>Арелиос из Столицы</v>
      </c>
      <c r="F193" t="str">
        <f t="shared" si="18"/>
        <v>$G$14</v>
      </c>
      <c r="I193">
        <v>14</v>
      </c>
      <c r="J193">
        <v>8</v>
      </c>
      <c r="K193" t="s">
        <v>629</v>
      </c>
      <c r="L193" t="s">
        <v>929</v>
      </c>
      <c r="M193">
        <f t="shared" si="19"/>
        <v>14</v>
      </c>
      <c r="N193">
        <f t="shared" si="20"/>
        <v>604.74321321071409</v>
      </c>
    </row>
    <row r="194" spans="3:16" x14ac:dyDescent="0.25">
      <c r="C194">
        <f t="shared" ca="1" si="21"/>
        <v>50</v>
      </c>
      <c r="D194" t="str">
        <f t="shared" ca="1" si="22"/>
        <v>$A$51</v>
      </c>
      <c r="E194" t="str">
        <f t="shared" ca="1" si="23"/>
        <v>Силиндра из Люг-о-дана</v>
      </c>
      <c r="F194" t="str">
        <f t="shared" ref="F194:F253" si="24">ADDRESS(I194,7)</f>
        <v>$G$3</v>
      </c>
      <c r="I194">
        <v>3</v>
      </c>
      <c r="J194">
        <v>12</v>
      </c>
      <c r="K194" t="s">
        <v>630</v>
      </c>
      <c r="L194" t="s">
        <v>762</v>
      </c>
      <c r="M194">
        <f t="shared" ref="M194:M253" si="25">20-I194+J194</f>
        <v>29</v>
      </c>
      <c r="N194">
        <f t="shared" ref="N194:N253" si="26">(J194/M194*$A$2)*100+$A$2</f>
        <v>440.78673754568956</v>
      </c>
      <c r="O194" t="s">
        <v>632</v>
      </c>
      <c r="P194">
        <f>SUM(N194:N205)/12</f>
        <v>553.43794676948426</v>
      </c>
    </row>
    <row r="195" spans="3:16" x14ac:dyDescent="0.25">
      <c r="C195">
        <f t="shared" ref="C195:C253" ca="1" si="27">RANDBETWEEN(2,102)</f>
        <v>89</v>
      </c>
      <c r="D195" t="str">
        <f t="shared" ref="D195:D253" ca="1" si="28">ADDRESS(C195+1,1)</f>
        <v>$A$90</v>
      </c>
      <c r="E195" t="str">
        <f t="shared" ref="E195:E252" ca="1" si="29">INDIRECT(D195)&amp;" из "&amp;INDIRECT(F195)</f>
        <v>Элориан из Шихона</v>
      </c>
      <c r="F195" t="str">
        <f t="shared" si="24"/>
        <v>$G$4</v>
      </c>
      <c r="I195">
        <v>4</v>
      </c>
      <c r="J195">
        <v>12</v>
      </c>
      <c r="K195" t="s">
        <v>630</v>
      </c>
      <c r="L195" t="s">
        <v>930</v>
      </c>
      <c r="M195">
        <f t="shared" si="25"/>
        <v>28</v>
      </c>
      <c r="N195">
        <f t="shared" si="26"/>
        <v>456.15765713928556</v>
      </c>
    </row>
    <row r="196" spans="3:16" x14ac:dyDescent="0.25">
      <c r="C196">
        <f t="shared" ca="1" si="27"/>
        <v>35</v>
      </c>
      <c r="D196" t="str">
        <f t="shared" ca="1" si="28"/>
        <v>$A$36</v>
      </c>
      <c r="E196" t="str">
        <f t="shared" ca="1" si="29"/>
        <v>Эландил из Готуна</v>
      </c>
      <c r="F196" t="str">
        <f t="shared" si="24"/>
        <v>$G$5</v>
      </c>
      <c r="I196">
        <v>5</v>
      </c>
      <c r="J196">
        <v>12</v>
      </c>
      <c r="K196" t="s">
        <v>630</v>
      </c>
      <c r="L196" t="s">
        <v>880</v>
      </c>
      <c r="M196">
        <f t="shared" si="25"/>
        <v>27</v>
      </c>
      <c r="N196">
        <f t="shared" si="26"/>
        <v>472.66716336944438</v>
      </c>
    </row>
    <row r="197" spans="3:16" x14ac:dyDescent="0.25">
      <c r="C197">
        <f t="shared" ca="1" si="27"/>
        <v>51</v>
      </c>
      <c r="D197" t="str">
        <f t="shared" ca="1" si="28"/>
        <v>$A$52</v>
      </c>
      <c r="E197" t="str">
        <f t="shared" ca="1" si="29"/>
        <v>Ардантир из Фидваго</v>
      </c>
      <c r="F197" t="str">
        <f t="shared" si="24"/>
        <v>$G$6</v>
      </c>
      <c r="I197">
        <v>6</v>
      </c>
      <c r="J197">
        <v>12</v>
      </c>
      <c r="K197" t="s">
        <v>630</v>
      </c>
      <c r="L197" t="s">
        <v>751</v>
      </c>
      <c r="M197">
        <f t="shared" si="25"/>
        <v>26</v>
      </c>
      <c r="N197">
        <f t="shared" si="26"/>
        <v>490.44663161730756</v>
      </c>
    </row>
    <row r="198" spans="3:16" x14ac:dyDescent="0.25">
      <c r="C198">
        <f t="shared" ca="1" si="27"/>
        <v>7</v>
      </c>
      <c r="D198" t="str">
        <f t="shared" ca="1" si="28"/>
        <v>$A$8</v>
      </c>
      <c r="E198" t="str">
        <f t="shared" ca="1" si="29"/>
        <v>Фиора из Дарутана</v>
      </c>
      <c r="F198" t="str">
        <f t="shared" si="24"/>
        <v>$G$7</v>
      </c>
      <c r="I198">
        <v>7</v>
      </c>
      <c r="J198">
        <v>12</v>
      </c>
      <c r="K198" t="s">
        <v>630</v>
      </c>
      <c r="L198" t="s">
        <v>931</v>
      </c>
      <c r="M198">
        <f t="shared" si="25"/>
        <v>25</v>
      </c>
      <c r="N198">
        <f t="shared" si="26"/>
        <v>509.64845732499992</v>
      </c>
    </row>
    <row r="199" spans="3:16" x14ac:dyDescent="0.25">
      <c r="C199">
        <f t="shared" ca="1" si="27"/>
        <v>68</v>
      </c>
      <c r="D199" t="str">
        <f t="shared" ca="1" si="28"/>
        <v>$A$69</v>
      </c>
      <c r="E199" t="str">
        <f t="shared" ca="1" si="29"/>
        <v>Финдорил из Сарухана</v>
      </c>
      <c r="F199" t="str">
        <f t="shared" si="24"/>
        <v>$G$8</v>
      </c>
      <c r="I199">
        <v>8</v>
      </c>
      <c r="J199">
        <v>12</v>
      </c>
      <c r="K199" t="s">
        <v>630</v>
      </c>
      <c r="L199" t="s">
        <v>932</v>
      </c>
      <c r="M199">
        <f t="shared" si="25"/>
        <v>24</v>
      </c>
      <c r="N199">
        <f t="shared" si="26"/>
        <v>530.45043517499994</v>
      </c>
    </row>
    <row r="200" spans="3:16" x14ac:dyDescent="0.25">
      <c r="C200">
        <f t="shared" ca="1" si="27"/>
        <v>28</v>
      </c>
      <c r="D200" t="str">
        <f t="shared" ca="1" si="28"/>
        <v>$A$29</v>
      </c>
      <c r="E200" t="str">
        <f t="shared" ca="1" si="29"/>
        <v>Арвандор из Лорена</v>
      </c>
      <c r="F200" t="str">
        <f t="shared" si="24"/>
        <v>$G$9</v>
      </c>
      <c r="I200">
        <v>9</v>
      </c>
      <c r="J200">
        <v>12</v>
      </c>
      <c r="K200" t="s">
        <v>630</v>
      </c>
      <c r="L200" t="s">
        <v>933</v>
      </c>
      <c r="M200">
        <f t="shared" si="25"/>
        <v>23</v>
      </c>
      <c r="N200">
        <f t="shared" si="26"/>
        <v>553.06128066413032</v>
      </c>
    </row>
    <row r="201" spans="3:16" x14ac:dyDescent="0.25">
      <c r="C201">
        <f t="shared" ca="1" si="27"/>
        <v>14</v>
      </c>
      <c r="D201" t="str">
        <f t="shared" ca="1" si="28"/>
        <v>$A$15</v>
      </c>
      <c r="E201" t="str">
        <f ca="1">INDIRECT(D201)&amp;" из "&amp;INDIRECT(F201)</f>
        <v>Сианора из Самардейла</v>
      </c>
      <c r="F201" t="str">
        <f t="shared" si="24"/>
        <v>$G$10</v>
      </c>
      <c r="I201">
        <v>10</v>
      </c>
      <c r="J201">
        <v>12</v>
      </c>
      <c r="K201" t="s">
        <v>630</v>
      </c>
      <c r="L201" t="s">
        <v>934</v>
      </c>
      <c r="M201">
        <f t="shared" si="25"/>
        <v>22</v>
      </c>
      <c r="N201">
        <f t="shared" si="26"/>
        <v>577.72765756136346</v>
      </c>
    </row>
    <row r="202" spans="3:16" x14ac:dyDescent="0.25">
      <c r="C202">
        <f t="shared" ca="1" si="27"/>
        <v>45</v>
      </c>
      <c r="D202" t="str">
        <f t="shared" ca="1" si="28"/>
        <v>$A$46</v>
      </c>
      <c r="E202" t="str">
        <f t="shared" ca="1" si="29"/>
        <v>Лорелия из Гвадекуры</v>
      </c>
      <c r="F202" t="str">
        <f t="shared" si="24"/>
        <v>$G$11</v>
      </c>
      <c r="I202">
        <v>11</v>
      </c>
      <c r="J202">
        <v>12</v>
      </c>
      <c r="K202" t="s">
        <v>630</v>
      </c>
      <c r="L202" t="s">
        <v>935</v>
      </c>
      <c r="M202">
        <f t="shared" si="25"/>
        <v>21</v>
      </c>
      <c r="N202">
        <f t="shared" si="26"/>
        <v>604.74321321071409</v>
      </c>
    </row>
    <row r="203" spans="3:16" x14ac:dyDescent="0.25">
      <c r="C203">
        <f t="shared" ca="1" si="27"/>
        <v>43</v>
      </c>
      <c r="D203" t="str">
        <f t="shared" ca="1" si="28"/>
        <v>$A$44</v>
      </c>
      <c r="E203" t="str">
        <f t="shared" ca="1" si="29"/>
        <v>Эларион из Ранджар-ара</v>
      </c>
      <c r="F203" t="str">
        <f t="shared" si="24"/>
        <v>$G$12</v>
      </c>
      <c r="I203">
        <v>12</v>
      </c>
      <c r="J203">
        <v>12</v>
      </c>
      <c r="K203" t="s">
        <v>630</v>
      </c>
      <c r="L203" t="s">
        <v>753</v>
      </c>
      <c r="M203">
        <f t="shared" si="25"/>
        <v>20</v>
      </c>
      <c r="N203">
        <f t="shared" si="26"/>
        <v>634.46032442499984</v>
      </c>
    </row>
    <row r="204" spans="3:16" x14ac:dyDescent="0.25">
      <c r="C204">
        <f t="shared" ca="1" si="27"/>
        <v>43</v>
      </c>
      <c r="D204" t="str">
        <f t="shared" ca="1" si="28"/>
        <v>$A$44</v>
      </c>
      <c r="E204" t="str">
        <f t="shared" ca="1" si="29"/>
        <v>Эларион из Садата</v>
      </c>
      <c r="F204" t="str">
        <f t="shared" si="24"/>
        <v>$G$13</v>
      </c>
      <c r="I204">
        <v>13</v>
      </c>
      <c r="J204">
        <v>12</v>
      </c>
      <c r="K204" t="s">
        <v>630</v>
      </c>
      <c r="L204" t="s">
        <v>936</v>
      </c>
      <c r="M204">
        <f t="shared" si="25"/>
        <v>19</v>
      </c>
      <c r="N204">
        <f t="shared" si="26"/>
        <v>667.30555260921028</v>
      </c>
    </row>
    <row r="205" spans="3:16" x14ac:dyDescent="0.25">
      <c r="C205">
        <f t="shared" ca="1" si="27"/>
        <v>41</v>
      </c>
      <c r="D205" t="str">
        <f t="shared" ca="1" si="28"/>
        <v>$A$42</v>
      </c>
      <c r="E205" t="str">
        <f t="shared" ca="1" si="29"/>
        <v>Теландрис из Столицы</v>
      </c>
      <c r="F205" t="str">
        <f t="shared" si="24"/>
        <v>$G$14</v>
      </c>
      <c r="I205">
        <v>14</v>
      </c>
      <c r="J205">
        <v>12</v>
      </c>
      <c r="K205" t="s">
        <v>630</v>
      </c>
      <c r="L205" t="s">
        <v>937</v>
      </c>
      <c r="M205">
        <f t="shared" si="25"/>
        <v>18</v>
      </c>
      <c r="N205">
        <f t="shared" si="26"/>
        <v>703.80025059166655</v>
      </c>
    </row>
    <row r="206" spans="3:16" x14ac:dyDescent="0.25">
      <c r="C206">
        <f t="shared" ca="1" si="27"/>
        <v>12</v>
      </c>
      <c r="D206" t="str">
        <f t="shared" ca="1" si="28"/>
        <v>$A$13</v>
      </c>
      <c r="E206" t="str">
        <f t="shared" ca="1" si="29"/>
        <v>Аэллесар из Люг-о-дана</v>
      </c>
      <c r="F206" t="str">
        <f t="shared" si="24"/>
        <v>$G$3</v>
      </c>
      <c r="I206">
        <v>3</v>
      </c>
      <c r="J206">
        <v>14</v>
      </c>
      <c r="K206" t="s">
        <v>631</v>
      </c>
      <c r="L206" t="s">
        <v>938</v>
      </c>
      <c r="M206">
        <f t="shared" si="25"/>
        <v>31</v>
      </c>
      <c r="N206">
        <f t="shared" si="26"/>
        <v>480.12306940887089</v>
      </c>
      <c r="O206" t="s">
        <v>633</v>
      </c>
      <c r="P206">
        <f>SUM(N206:N217)/12</f>
        <v>592.25636480533024</v>
      </c>
    </row>
    <row r="207" spans="3:16" x14ac:dyDescent="0.25">
      <c r="C207">
        <f t="shared" ca="1" si="27"/>
        <v>3</v>
      </c>
      <c r="D207" t="str">
        <f t="shared" ca="1" si="28"/>
        <v>$A$4</v>
      </c>
      <c r="E207" t="str">
        <f t="shared" ca="1" si="29"/>
        <v>Лириндель из Шихона</v>
      </c>
      <c r="F207" t="str">
        <f t="shared" si="24"/>
        <v>$G$4</v>
      </c>
      <c r="I207">
        <v>4</v>
      </c>
      <c r="J207">
        <v>14</v>
      </c>
      <c r="K207" t="s">
        <v>631</v>
      </c>
      <c r="L207" t="s">
        <v>815</v>
      </c>
      <c r="M207">
        <f t="shared" si="25"/>
        <v>30</v>
      </c>
      <c r="N207">
        <f t="shared" si="26"/>
        <v>495.78047209166658</v>
      </c>
    </row>
    <row r="208" spans="3:16" x14ac:dyDescent="0.25">
      <c r="C208">
        <f t="shared" ca="1" si="27"/>
        <v>100</v>
      </c>
      <c r="D208" t="str">
        <f t="shared" ca="1" si="28"/>
        <v>$A$101</v>
      </c>
      <c r="E208" t="str">
        <f t="shared" ca="1" si="29"/>
        <v>Карл из Готуна</v>
      </c>
      <c r="F208" t="str">
        <f t="shared" si="24"/>
        <v>$G$5</v>
      </c>
      <c r="I208">
        <v>5</v>
      </c>
      <c r="J208">
        <v>14</v>
      </c>
      <c r="K208" t="s">
        <v>631</v>
      </c>
      <c r="L208" t="s">
        <v>776</v>
      </c>
      <c r="M208">
        <f t="shared" si="25"/>
        <v>29</v>
      </c>
      <c r="N208">
        <f t="shared" si="26"/>
        <v>512.51769564913786</v>
      </c>
    </row>
    <row r="209" spans="3:16" x14ac:dyDescent="0.25">
      <c r="C209">
        <f t="shared" ca="1" si="27"/>
        <v>66</v>
      </c>
      <c r="D209" t="str">
        <f t="shared" ca="1" si="28"/>
        <v>$A$67</v>
      </c>
      <c r="E209" t="str">
        <f t="shared" ca="1" si="29"/>
        <v>Зирона из Фидваго</v>
      </c>
      <c r="F209" t="str">
        <f t="shared" si="24"/>
        <v>$G$6</v>
      </c>
      <c r="I209">
        <v>6</v>
      </c>
      <c r="J209">
        <v>14</v>
      </c>
      <c r="K209" t="s">
        <v>631</v>
      </c>
      <c r="L209" t="s">
        <v>939</v>
      </c>
      <c r="M209">
        <f t="shared" si="25"/>
        <v>28</v>
      </c>
      <c r="N209">
        <f t="shared" si="26"/>
        <v>530.45043517499994</v>
      </c>
    </row>
    <row r="210" spans="3:16" x14ac:dyDescent="0.25">
      <c r="C210">
        <f t="shared" ca="1" si="27"/>
        <v>11</v>
      </c>
      <c r="D210" t="str">
        <f t="shared" ca="1" si="28"/>
        <v>$A$12</v>
      </c>
      <c r="E210" t="str">
        <f t="shared" ca="1" si="29"/>
        <v>Леонардис из Дарутана</v>
      </c>
      <c r="F210" t="str">
        <f t="shared" si="24"/>
        <v>$G$7</v>
      </c>
      <c r="I210">
        <v>7</v>
      </c>
      <c r="J210">
        <v>14</v>
      </c>
      <c r="K210" t="s">
        <v>631</v>
      </c>
      <c r="L210" t="s">
        <v>940</v>
      </c>
      <c r="M210">
        <f t="shared" si="25"/>
        <v>27</v>
      </c>
      <c r="N210">
        <f t="shared" si="26"/>
        <v>549.71152577685166</v>
      </c>
    </row>
    <row r="211" spans="3:16" x14ac:dyDescent="0.25">
      <c r="C211">
        <f t="shared" ca="1" si="27"/>
        <v>40</v>
      </c>
      <c r="D211" t="str">
        <f t="shared" ca="1" si="28"/>
        <v>$A$41</v>
      </c>
      <c r="E211" t="str">
        <f t="shared" ca="1" si="29"/>
        <v>Сирэлион из Сарухана</v>
      </c>
      <c r="F211" t="str">
        <f t="shared" si="24"/>
        <v>$G$8</v>
      </c>
      <c r="I211">
        <v>8</v>
      </c>
      <c r="J211">
        <v>14</v>
      </c>
      <c r="K211" t="s">
        <v>631</v>
      </c>
      <c r="L211" t="s">
        <v>941</v>
      </c>
      <c r="M211">
        <f t="shared" si="25"/>
        <v>26</v>
      </c>
      <c r="N211">
        <f t="shared" si="26"/>
        <v>570.45423873269215</v>
      </c>
    </row>
    <row r="212" spans="3:16" x14ac:dyDescent="0.25">
      <c r="C212">
        <f t="shared" ca="1" si="27"/>
        <v>57</v>
      </c>
      <c r="D212" t="str">
        <f t="shared" ca="1" si="28"/>
        <v>$A$58</v>
      </c>
      <c r="E212" t="str">
        <f t="shared" ca="1" si="29"/>
        <v>Эмелиан из Лорена</v>
      </c>
      <c r="F212" t="str">
        <f t="shared" si="24"/>
        <v>$G$9</v>
      </c>
      <c r="I212">
        <v>9</v>
      </c>
      <c r="J212">
        <v>14</v>
      </c>
      <c r="K212" t="s">
        <v>631</v>
      </c>
      <c r="L212" t="s">
        <v>942</v>
      </c>
      <c r="M212">
        <f t="shared" si="25"/>
        <v>25</v>
      </c>
      <c r="N212">
        <f t="shared" si="26"/>
        <v>592.85636872499992</v>
      </c>
    </row>
    <row r="213" spans="3:16" x14ac:dyDescent="0.25">
      <c r="C213">
        <f t="shared" ca="1" si="27"/>
        <v>77</v>
      </c>
      <c r="D213" t="str">
        <f t="shared" ca="1" si="28"/>
        <v>$A$78</v>
      </c>
      <c r="E213" t="str">
        <f t="shared" ca="1" si="29"/>
        <v>Арданна из Самардейла</v>
      </c>
      <c r="F213" t="str">
        <f t="shared" si="24"/>
        <v>$G$10</v>
      </c>
      <c r="I213">
        <v>10</v>
      </c>
      <c r="J213">
        <v>14</v>
      </c>
      <c r="K213" t="s">
        <v>631</v>
      </c>
      <c r="L213" t="s">
        <v>943</v>
      </c>
      <c r="M213">
        <f t="shared" si="25"/>
        <v>24</v>
      </c>
      <c r="N213">
        <f t="shared" si="26"/>
        <v>617.12534288333325</v>
      </c>
    </row>
    <row r="214" spans="3:16" x14ac:dyDescent="0.25">
      <c r="C214">
        <f t="shared" ca="1" si="27"/>
        <v>86</v>
      </c>
      <c r="D214" t="str">
        <f t="shared" ca="1" si="28"/>
        <v>$A$87</v>
      </c>
      <c r="E214" t="str">
        <f t="shared" ca="1" si="29"/>
        <v>Таэлин из Гвадекуры</v>
      </c>
      <c r="F214" t="str">
        <f t="shared" si="24"/>
        <v>$G$11</v>
      </c>
      <c r="I214">
        <v>11</v>
      </c>
      <c r="J214">
        <v>14</v>
      </c>
      <c r="K214" t="s">
        <v>631</v>
      </c>
      <c r="L214" t="s">
        <v>944</v>
      </c>
      <c r="M214">
        <f t="shared" si="25"/>
        <v>23</v>
      </c>
      <c r="N214">
        <f t="shared" si="26"/>
        <v>643.50466262065208</v>
      </c>
    </row>
    <row r="215" spans="3:16" x14ac:dyDescent="0.25">
      <c r="C215">
        <f t="shared" ca="1" si="27"/>
        <v>65</v>
      </c>
      <c r="D215" t="str">
        <f t="shared" ca="1" si="28"/>
        <v>$A$66</v>
      </c>
      <c r="E215" t="str">
        <f t="shared" ca="1" si="29"/>
        <v>Алэрион из Ранджар-ара</v>
      </c>
      <c r="F215" t="str">
        <f t="shared" si="24"/>
        <v>$G$12</v>
      </c>
      <c r="I215">
        <v>12</v>
      </c>
      <c r="J215">
        <v>14</v>
      </c>
      <c r="K215" t="s">
        <v>631</v>
      </c>
      <c r="L215" t="s">
        <v>748</v>
      </c>
      <c r="M215">
        <f t="shared" si="25"/>
        <v>22</v>
      </c>
      <c r="N215">
        <f t="shared" si="26"/>
        <v>672.28210233409084</v>
      </c>
    </row>
    <row r="216" spans="3:16" x14ac:dyDescent="0.25">
      <c r="C216">
        <f t="shared" ca="1" si="27"/>
        <v>47</v>
      </c>
      <c r="D216" t="str">
        <f t="shared" ca="1" si="28"/>
        <v>$A$48</v>
      </c>
      <c r="E216" t="str">
        <f t="shared" ca="1" si="29"/>
        <v>Аресса из Садата</v>
      </c>
      <c r="F216" t="str">
        <f t="shared" si="24"/>
        <v>$G$13</v>
      </c>
      <c r="I216">
        <v>13</v>
      </c>
      <c r="J216">
        <v>14</v>
      </c>
      <c r="K216" t="s">
        <v>631</v>
      </c>
      <c r="L216" t="s">
        <v>945</v>
      </c>
      <c r="M216">
        <f t="shared" si="25"/>
        <v>21</v>
      </c>
      <c r="N216">
        <f t="shared" si="26"/>
        <v>703.80025059166655</v>
      </c>
    </row>
    <row r="217" spans="3:16" x14ac:dyDescent="0.25">
      <c r="C217">
        <f t="shared" ca="1" si="27"/>
        <v>81</v>
      </c>
      <c r="D217" t="str">
        <f t="shared" ca="1" si="28"/>
        <v>$A$82</v>
      </c>
      <c r="E217" t="str">
        <f t="shared" ca="1" si="29"/>
        <v>Фиорелла из Столицы</v>
      </c>
      <c r="F217" t="str">
        <f t="shared" si="24"/>
        <v>$G$14</v>
      </c>
      <c r="I217">
        <v>14</v>
      </c>
      <c r="J217">
        <v>14</v>
      </c>
      <c r="K217" t="s">
        <v>631</v>
      </c>
      <c r="L217" t="s">
        <v>784</v>
      </c>
      <c r="M217">
        <f t="shared" si="25"/>
        <v>20</v>
      </c>
      <c r="N217">
        <f t="shared" si="26"/>
        <v>738.47021367499985</v>
      </c>
    </row>
    <row r="218" spans="3:16" x14ac:dyDescent="0.25">
      <c r="C218">
        <f t="shared" ca="1" si="27"/>
        <v>16</v>
      </c>
      <c r="D218" t="str">
        <f t="shared" ca="1" si="28"/>
        <v>$A$17</v>
      </c>
      <c r="E218" t="str">
        <f t="shared" ca="1" si="29"/>
        <v>Лорандир из Люг-о-дана</v>
      </c>
      <c r="F218" t="str">
        <f t="shared" si="24"/>
        <v>$G$3</v>
      </c>
      <c r="I218">
        <v>3</v>
      </c>
      <c r="J218">
        <v>5</v>
      </c>
      <c r="K218" t="s">
        <v>634</v>
      </c>
      <c r="L218" t="s">
        <v>888</v>
      </c>
      <c r="M218">
        <f t="shared" si="25"/>
        <v>22</v>
      </c>
      <c r="N218">
        <f t="shared" si="26"/>
        <v>246.78710085681817</v>
      </c>
      <c r="O218" t="s">
        <v>619</v>
      </c>
      <c r="P218">
        <f>SUM(N218:N229)/12</f>
        <v>340.56521261469715</v>
      </c>
    </row>
    <row r="219" spans="3:16" x14ac:dyDescent="0.25">
      <c r="C219">
        <f t="shared" ca="1" si="27"/>
        <v>5</v>
      </c>
      <c r="D219" t="str">
        <f t="shared" ca="1" si="28"/>
        <v>$A$6</v>
      </c>
      <c r="E219" t="str">
        <f t="shared" ca="1" si="29"/>
        <v>Галадрон из Шихона</v>
      </c>
      <c r="F219" t="str">
        <f t="shared" si="24"/>
        <v>$G$4</v>
      </c>
      <c r="I219">
        <v>4</v>
      </c>
      <c r="J219">
        <v>5</v>
      </c>
      <c r="K219" t="s">
        <v>634</v>
      </c>
      <c r="L219" t="s">
        <v>946</v>
      </c>
      <c r="M219">
        <f t="shared" si="25"/>
        <v>21</v>
      </c>
      <c r="N219">
        <f t="shared" si="26"/>
        <v>258.04358237738086</v>
      </c>
    </row>
    <row r="220" spans="3:16" x14ac:dyDescent="0.25">
      <c r="C220">
        <f t="shared" ca="1" si="27"/>
        <v>77</v>
      </c>
      <c r="D220" t="str">
        <f t="shared" ca="1" si="28"/>
        <v>$A$78</v>
      </c>
      <c r="E220" t="str">
        <f t="shared" ca="1" si="29"/>
        <v>Арданна из Готуна</v>
      </c>
      <c r="F220" t="str">
        <f t="shared" si="24"/>
        <v>$G$5</v>
      </c>
      <c r="I220">
        <v>5</v>
      </c>
      <c r="J220">
        <v>5</v>
      </c>
      <c r="K220" t="s">
        <v>634</v>
      </c>
      <c r="L220" t="s">
        <v>947</v>
      </c>
      <c r="M220">
        <f t="shared" si="25"/>
        <v>20</v>
      </c>
      <c r="N220">
        <f t="shared" si="26"/>
        <v>270.42571204999996</v>
      </c>
    </row>
    <row r="221" spans="3:16" x14ac:dyDescent="0.25">
      <c r="C221">
        <f t="shared" ca="1" si="27"/>
        <v>17</v>
      </c>
      <c r="D221" t="str">
        <f t="shared" ca="1" si="28"/>
        <v>$A$18</v>
      </c>
      <c r="E221" t="str">
        <f t="shared" ca="1" si="29"/>
        <v>Эмбриос из Фидваго</v>
      </c>
      <c r="F221" t="str">
        <f t="shared" si="24"/>
        <v>$G$6</v>
      </c>
      <c r="I221">
        <v>6</v>
      </c>
      <c r="J221">
        <v>5</v>
      </c>
      <c r="K221" t="s">
        <v>634</v>
      </c>
      <c r="L221" t="s">
        <v>948</v>
      </c>
      <c r="M221">
        <f t="shared" si="25"/>
        <v>19</v>
      </c>
      <c r="N221">
        <f t="shared" si="26"/>
        <v>284.111223793421</v>
      </c>
    </row>
    <row r="222" spans="3:16" x14ac:dyDescent="0.25">
      <c r="C222">
        <f t="shared" ca="1" si="27"/>
        <v>41</v>
      </c>
      <c r="D222" t="str">
        <f t="shared" ca="1" si="28"/>
        <v>$A$42</v>
      </c>
      <c r="E222" t="str">
        <f t="shared" ca="1" si="29"/>
        <v>Теландрис из Дарутана</v>
      </c>
      <c r="F222" t="str">
        <f t="shared" si="24"/>
        <v>$G$7</v>
      </c>
      <c r="I222">
        <v>7</v>
      </c>
      <c r="J222">
        <v>5</v>
      </c>
      <c r="K222" t="s">
        <v>634</v>
      </c>
      <c r="L222" t="s">
        <v>949</v>
      </c>
      <c r="M222">
        <f t="shared" si="25"/>
        <v>18</v>
      </c>
      <c r="N222">
        <f t="shared" si="26"/>
        <v>299.31734795277771</v>
      </c>
    </row>
    <row r="223" spans="3:16" x14ac:dyDescent="0.25">
      <c r="C223">
        <f t="shared" ca="1" si="27"/>
        <v>99</v>
      </c>
      <c r="D223" t="str">
        <f t="shared" ca="1" si="28"/>
        <v>$A$100</v>
      </c>
      <c r="E223" t="str">
        <f t="shared" ca="1" si="29"/>
        <v>Танара из Сарухана</v>
      </c>
      <c r="F223" t="str">
        <f t="shared" si="24"/>
        <v>$G$8</v>
      </c>
      <c r="I223">
        <v>8</v>
      </c>
      <c r="J223">
        <v>5</v>
      </c>
      <c r="K223" t="s">
        <v>634</v>
      </c>
      <c r="L223" t="s">
        <v>950</v>
      </c>
      <c r="M223">
        <f t="shared" si="25"/>
        <v>17</v>
      </c>
      <c r="N223">
        <f t="shared" si="26"/>
        <v>316.31242789558814</v>
      </c>
    </row>
    <row r="224" spans="3:16" x14ac:dyDescent="0.25">
      <c r="C224">
        <f t="shared" ca="1" si="27"/>
        <v>35</v>
      </c>
      <c r="D224" t="str">
        <f t="shared" ca="1" si="28"/>
        <v>$A$36</v>
      </c>
      <c r="E224" t="str">
        <f t="shared" ca="1" si="29"/>
        <v>Эландил из Лорена</v>
      </c>
      <c r="F224" t="str">
        <f t="shared" si="24"/>
        <v>$G$9</v>
      </c>
      <c r="I224">
        <v>9</v>
      </c>
      <c r="J224">
        <v>5</v>
      </c>
      <c r="K224" t="s">
        <v>634</v>
      </c>
      <c r="L224" t="s">
        <v>951</v>
      </c>
      <c r="M224">
        <f t="shared" si="25"/>
        <v>16</v>
      </c>
      <c r="N224">
        <f t="shared" si="26"/>
        <v>335.43189283124991</v>
      </c>
    </row>
    <row r="225" spans="3:16" x14ac:dyDescent="0.25">
      <c r="C225">
        <f t="shared" ca="1" si="27"/>
        <v>37</v>
      </c>
      <c r="D225" t="str">
        <f t="shared" ca="1" si="28"/>
        <v>$A$38</v>
      </c>
      <c r="E225" t="str">
        <f t="shared" ca="1" si="29"/>
        <v>Зефирос из Самардейла</v>
      </c>
      <c r="F225" t="str">
        <f t="shared" si="24"/>
        <v>$G$10</v>
      </c>
      <c r="I225">
        <v>10</v>
      </c>
      <c r="J225">
        <v>5</v>
      </c>
      <c r="K225" t="s">
        <v>634</v>
      </c>
      <c r="L225" t="s">
        <v>952</v>
      </c>
      <c r="M225">
        <f t="shared" si="25"/>
        <v>15</v>
      </c>
      <c r="N225">
        <f t="shared" si="26"/>
        <v>357.10061975833327</v>
      </c>
    </row>
    <row r="226" spans="3:16" x14ac:dyDescent="0.25">
      <c r="C226">
        <f t="shared" ca="1" si="27"/>
        <v>48</v>
      </c>
      <c r="D226" t="str">
        <f t="shared" ca="1" si="28"/>
        <v>$A$49</v>
      </c>
      <c r="E226" t="str">
        <f t="shared" ca="1" si="29"/>
        <v>Эриния из Гвадекуры</v>
      </c>
      <c r="F226" t="str">
        <f t="shared" si="24"/>
        <v>$G$11</v>
      </c>
      <c r="I226">
        <v>11</v>
      </c>
      <c r="J226">
        <v>5</v>
      </c>
      <c r="K226" t="s">
        <v>634</v>
      </c>
      <c r="L226" t="s">
        <v>953</v>
      </c>
      <c r="M226">
        <f t="shared" si="25"/>
        <v>14</v>
      </c>
      <c r="N226">
        <f t="shared" si="26"/>
        <v>381.86487910357135</v>
      </c>
    </row>
    <row r="227" spans="3:16" x14ac:dyDescent="0.25">
      <c r="C227">
        <f t="shared" ca="1" si="27"/>
        <v>65</v>
      </c>
      <c r="D227" t="str">
        <f t="shared" ca="1" si="28"/>
        <v>$A$66</v>
      </c>
      <c r="E227" t="str">
        <f t="shared" ca="1" si="29"/>
        <v>Алэрион из Ранджар-ара</v>
      </c>
      <c r="F227" t="str">
        <f t="shared" si="24"/>
        <v>$G$12</v>
      </c>
      <c r="I227">
        <v>12</v>
      </c>
      <c r="J227">
        <v>5</v>
      </c>
      <c r="K227" t="s">
        <v>634</v>
      </c>
      <c r="L227" t="s">
        <v>778</v>
      </c>
      <c r="M227">
        <f t="shared" si="25"/>
        <v>13</v>
      </c>
      <c r="N227">
        <f t="shared" si="26"/>
        <v>410.43902450192297</v>
      </c>
    </row>
    <row r="228" spans="3:16" x14ac:dyDescent="0.25">
      <c r="C228">
        <f t="shared" ca="1" si="27"/>
        <v>82</v>
      </c>
      <c r="D228" t="str">
        <f t="shared" ca="1" si="28"/>
        <v>$A$83</v>
      </c>
      <c r="E228" t="str">
        <f t="shared" ca="1" si="29"/>
        <v>Альтиран из Садата</v>
      </c>
      <c r="F228" t="str">
        <f t="shared" si="24"/>
        <v>$G$13</v>
      </c>
      <c r="I228">
        <v>13</v>
      </c>
      <c r="J228">
        <v>5</v>
      </c>
      <c r="K228" t="s">
        <v>634</v>
      </c>
      <c r="L228" t="s">
        <v>954</v>
      </c>
      <c r="M228">
        <f t="shared" si="25"/>
        <v>12</v>
      </c>
      <c r="N228">
        <f t="shared" si="26"/>
        <v>443.77552746666657</v>
      </c>
    </row>
    <row r="229" spans="3:16" x14ac:dyDescent="0.25">
      <c r="C229">
        <f t="shared" ca="1" si="27"/>
        <v>12</v>
      </c>
      <c r="D229" t="str">
        <f t="shared" ca="1" si="28"/>
        <v>$A$13</v>
      </c>
      <c r="E229" t="str">
        <f t="shared" ca="1" si="29"/>
        <v>Аэллесар из Столицы</v>
      </c>
      <c r="F229" t="str">
        <f t="shared" si="24"/>
        <v>$G$14</v>
      </c>
      <c r="I229">
        <v>14</v>
      </c>
      <c r="J229">
        <v>5</v>
      </c>
      <c r="K229" t="s">
        <v>634</v>
      </c>
      <c r="L229" t="s">
        <v>955</v>
      </c>
      <c r="M229">
        <f t="shared" si="25"/>
        <v>11</v>
      </c>
      <c r="N229">
        <f t="shared" si="26"/>
        <v>483.17321278863631</v>
      </c>
    </row>
    <row r="230" spans="3:16" x14ac:dyDescent="0.25">
      <c r="C230">
        <f t="shared" ca="1" si="27"/>
        <v>60</v>
      </c>
      <c r="D230" t="str">
        <f t="shared" ca="1" si="28"/>
        <v>$A$61</v>
      </c>
      <c r="E230" t="str">
        <f t="shared" ca="1" si="29"/>
        <v>Элианор из Люг-о-дана</v>
      </c>
      <c r="F230" t="str">
        <f t="shared" si="24"/>
        <v>$G$3</v>
      </c>
      <c r="I230">
        <v>3</v>
      </c>
      <c r="J230">
        <v>7</v>
      </c>
      <c r="K230" t="s">
        <v>635</v>
      </c>
      <c r="L230" t="s">
        <v>956</v>
      </c>
      <c r="M230">
        <f t="shared" si="25"/>
        <v>24</v>
      </c>
      <c r="N230">
        <f t="shared" si="26"/>
        <v>313.76316590416661</v>
      </c>
      <c r="O230" t="s">
        <v>637</v>
      </c>
      <c r="P230">
        <f>SUM(N230:N241)/12</f>
        <v>418.57328096220675</v>
      </c>
    </row>
    <row r="231" spans="3:16" x14ac:dyDescent="0.25">
      <c r="C231">
        <f t="shared" ca="1" si="27"/>
        <v>65</v>
      </c>
      <c r="D231" t="str">
        <f t="shared" ca="1" si="28"/>
        <v>$A$66</v>
      </c>
      <c r="E231" t="str">
        <f t="shared" ca="1" si="29"/>
        <v>Алэрион из Шихона</v>
      </c>
      <c r="F231" t="str">
        <f t="shared" si="24"/>
        <v>$G$4</v>
      </c>
      <c r="I231">
        <v>4</v>
      </c>
      <c r="J231">
        <v>7</v>
      </c>
      <c r="K231" t="s">
        <v>635</v>
      </c>
      <c r="L231" t="s">
        <v>957</v>
      </c>
      <c r="M231">
        <f t="shared" si="25"/>
        <v>23</v>
      </c>
      <c r="N231">
        <f t="shared" si="26"/>
        <v>326.95282577282603</v>
      </c>
    </row>
    <row r="232" spans="3:16" x14ac:dyDescent="0.25">
      <c r="C232">
        <f t="shared" ca="1" si="27"/>
        <v>45</v>
      </c>
      <c r="D232" t="str">
        <f t="shared" ca="1" si="28"/>
        <v>$A$46</v>
      </c>
      <c r="E232" t="str">
        <f t="shared" ca="1" si="29"/>
        <v>Лорелия из Готуна</v>
      </c>
      <c r="F232" t="str">
        <f t="shared" si="24"/>
        <v>$G$5</v>
      </c>
      <c r="I232">
        <v>5</v>
      </c>
      <c r="J232">
        <v>7</v>
      </c>
      <c r="K232" t="s">
        <v>635</v>
      </c>
      <c r="L232" t="s">
        <v>958</v>
      </c>
      <c r="M232">
        <f t="shared" si="25"/>
        <v>22</v>
      </c>
      <c r="N232">
        <f t="shared" si="26"/>
        <v>341.34154562954541</v>
      </c>
    </row>
    <row r="233" spans="3:16" x14ac:dyDescent="0.25">
      <c r="C233">
        <f t="shared" ca="1" si="27"/>
        <v>24</v>
      </c>
      <c r="D233" t="str">
        <f t="shared" ca="1" si="28"/>
        <v>$A$25</v>
      </c>
      <c r="E233" t="str">
        <f t="shared" ca="1" si="29"/>
        <v>Галендор из Фидваго</v>
      </c>
      <c r="F233" t="str">
        <f t="shared" si="24"/>
        <v>$G$6</v>
      </c>
      <c r="I233">
        <v>6</v>
      </c>
      <c r="J233">
        <v>7</v>
      </c>
      <c r="K233" t="s">
        <v>635</v>
      </c>
      <c r="L233" t="s">
        <v>959</v>
      </c>
      <c r="M233">
        <f t="shared" si="25"/>
        <v>21</v>
      </c>
      <c r="N233">
        <f t="shared" si="26"/>
        <v>357.10061975833327</v>
      </c>
    </row>
    <row r="234" spans="3:16" x14ac:dyDescent="0.25">
      <c r="C234">
        <f t="shared" ca="1" si="27"/>
        <v>49</v>
      </c>
      <c r="D234" t="str">
        <f t="shared" ca="1" si="28"/>
        <v>$A$50</v>
      </c>
      <c r="E234" t="str">
        <f t="shared" ca="1" si="29"/>
        <v>Иллирон из Дарутана</v>
      </c>
      <c r="F234" t="str">
        <f t="shared" si="24"/>
        <v>$G$7</v>
      </c>
      <c r="I234">
        <v>7</v>
      </c>
      <c r="J234">
        <v>7</v>
      </c>
      <c r="K234" t="s">
        <v>635</v>
      </c>
      <c r="L234" t="s">
        <v>960</v>
      </c>
      <c r="M234">
        <f t="shared" si="25"/>
        <v>20</v>
      </c>
      <c r="N234">
        <f t="shared" si="26"/>
        <v>374.43560129999992</v>
      </c>
    </row>
    <row r="235" spans="3:16" x14ac:dyDescent="0.25">
      <c r="C235">
        <f t="shared" ca="1" si="27"/>
        <v>28</v>
      </c>
      <c r="D235" t="str">
        <f t="shared" ca="1" si="28"/>
        <v>$A$29</v>
      </c>
      <c r="E235" t="str">
        <f t="shared" ca="1" si="29"/>
        <v>Арвандор из Сарухана</v>
      </c>
      <c r="F235" t="str">
        <f t="shared" si="24"/>
        <v>$G$8</v>
      </c>
      <c r="I235">
        <v>8</v>
      </c>
      <c r="J235">
        <v>7</v>
      </c>
      <c r="K235" t="s">
        <v>635</v>
      </c>
      <c r="L235" t="s">
        <v>961</v>
      </c>
      <c r="M235">
        <f t="shared" si="25"/>
        <v>19</v>
      </c>
      <c r="N235">
        <f t="shared" si="26"/>
        <v>393.59531774078937</v>
      </c>
    </row>
    <row r="236" spans="3:16" x14ac:dyDescent="0.25">
      <c r="C236">
        <f t="shared" ca="1" si="27"/>
        <v>99</v>
      </c>
      <c r="D236" t="str">
        <f t="shared" ca="1" si="28"/>
        <v>$A$100</v>
      </c>
      <c r="E236" t="str">
        <f t="shared" ca="1" si="29"/>
        <v>Танара из Лорена</v>
      </c>
      <c r="F236" t="str">
        <f t="shared" si="24"/>
        <v>$G$9</v>
      </c>
      <c r="I236">
        <v>9</v>
      </c>
      <c r="J236">
        <v>7</v>
      </c>
      <c r="K236" t="s">
        <v>635</v>
      </c>
      <c r="L236" t="s">
        <v>783</v>
      </c>
      <c r="M236">
        <f t="shared" si="25"/>
        <v>18</v>
      </c>
      <c r="N236">
        <f t="shared" si="26"/>
        <v>414.88389156388882</v>
      </c>
    </row>
    <row r="237" spans="3:16" x14ac:dyDescent="0.25">
      <c r="C237">
        <f t="shared" ca="1" si="27"/>
        <v>60</v>
      </c>
      <c r="D237" t="str">
        <f t="shared" ca="1" si="28"/>
        <v>$A$61</v>
      </c>
      <c r="E237" t="str">
        <f t="shared" ca="1" si="29"/>
        <v>Элианор из Самардейла</v>
      </c>
      <c r="F237" t="str">
        <f t="shared" si="24"/>
        <v>$G$10</v>
      </c>
      <c r="I237">
        <v>10</v>
      </c>
      <c r="J237">
        <v>7</v>
      </c>
      <c r="K237" t="s">
        <v>635</v>
      </c>
      <c r="L237" t="s">
        <v>962</v>
      </c>
      <c r="M237">
        <f t="shared" si="25"/>
        <v>17</v>
      </c>
      <c r="N237">
        <f t="shared" si="26"/>
        <v>438.67700348382346</v>
      </c>
    </row>
    <row r="238" spans="3:16" x14ac:dyDescent="0.25">
      <c r="C238">
        <f t="shared" ca="1" si="27"/>
        <v>67</v>
      </c>
      <c r="D238" t="str">
        <f t="shared" ca="1" si="28"/>
        <v>$A$68</v>
      </c>
      <c r="E238" t="str">
        <f t="shared" ca="1" si="29"/>
        <v>Телестра из Гвадекуры</v>
      </c>
      <c r="F238" t="str">
        <f t="shared" si="24"/>
        <v>$G$11</v>
      </c>
      <c r="I238">
        <v>11</v>
      </c>
      <c r="J238">
        <v>7</v>
      </c>
      <c r="K238" t="s">
        <v>635</v>
      </c>
      <c r="L238" t="s">
        <v>963</v>
      </c>
      <c r="M238">
        <f t="shared" si="25"/>
        <v>16</v>
      </c>
      <c r="N238">
        <f t="shared" si="26"/>
        <v>465.44425439374993</v>
      </c>
    </row>
    <row r="239" spans="3:16" x14ac:dyDescent="0.25">
      <c r="C239">
        <f t="shared" ca="1" si="27"/>
        <v>4</v>
      </c>
      <c r="D239" t="str">
        <f t="shared" ca="1" si="28"/>
        <v>$A$5</v>
      </c>
      <c r="E239" t="str">
        <f t="shared" ca="1" si="29"/>
        <v>Сильвания из Ранджар-ара</v>
      </c>
      <c r="F239" t="str">
        <f t="shared" si="24"/>
        <v>$G$12</v>
      </c>
      <c r="I239">
        <v>12</v>
      </c>
      <c r="J239">
        <v>7</v>
      </c>
      <c r="K239" t="s">
        <v>635</v>
      </c>
      <c r="L239" t="s">
        <v>761</v>
      </c>
      <c r="M239">
        <f t="shared" si="25"/>
        <v>15</v>
      </c>
      <c r="N239">
        <f t="shared" si="26"/>
        <v>495.78047209166658</v>
      </c>
    </row>
    <row r="240" spans="3:16" x14ac:dyDescent="0.25">
      <c r="C240">
        <f t="shared" ca="1" si="27"/>
        <v>14</v>
      </c>
      <c r="D240" t="str">
        <f t="shared" ca="1" si="28"/>
        <v>$A$15</v>
      </c>
      <c r="E240" t="str">
        <f t="shared" ca="1" si="29"/>
        <v>Сианора из Садата</v>
      </c>
      <c r="F240" t="str">
        <f t="shared" si="24"/>
        <v>$G$13</v>
      </c>
      <c r="I240">
        <v>13</v>
      </c>
      <c r="J240">
        <v>7</v>
      </c>
      <c r="K240" t="s">
        <v>635</v>
      </c>
      <c r="L240" t="s">
        <v>766</v>
      </c>
      <c r="M240">
        <f t="shared" si="25"/>
        <v>14</v>
      </c>
      <c r="N240">
        <f t="shared" si="26"/>
        <v>530.45043517499994</v>
      </c>
    </row>
    <row r="241" spans="3:16" x14ac:dyDescent="0.25">
      <c r="C241">
        <f t="shared" ca="1" si="27"/>
        <v>57</v>
      </c>
      <c r="D241" t="str">
        <f t="shared" ca="1" si="28"/>
        <v>$A$58</v>
      </c>
      <c r="E241" t="str">
        <f t="shared" ca="1" si="29"/>
        <v>Эмелиан из Столицы</v>
      </c>
      <c r="F241" t="str">
        <f t="shared" si="24"/>
        <v>$G$14</v>
      </c>
      <c r="I241">
        <v>14</v>
      </c>
      <c r="J241">
        <v>7</v>
      </c>
      <c r="K241" t="s">
        <v>635</v>
      </c>
      <c r="L241" t="s">
        <v>964</v>
      </c>
      <c r="M241">
        <f t="shared" si="25"/>
        <v>13</v>
      </c>
      <c r="N241">
        <f t="shared" si="26"/>
        <v>570.45423873269215</v>
      </c>
    </row>
    <row r="242" spans="3:16" x14ac:dyDescent="0.25">
      <c r="C242">
        <f t="shared" ca="1" si="27"/>
        <v>25</v>
      </c>
      <c r="D242" t="str">
        <f t="shared" ca="1" si="28"/>
        <v>$A$26</v>
      </c>
      <c r="E242" t="str">
        <f t="shared" ca="1" si="29"/>
        <v>Элестрия из Люг-о-дана</v>
      </c>
      <c r="F242" t="str">
        <f t="shared" si="24"/>
        <v>$G$3</v>
      </c>
      <c r="I242">
        <v>3</v>
      </c>
      <c r="J242">
        <v>9</v>
      </c>
      <c r="K242" t="s">
        <v>636</v>
      </c>
      <c r="L242" t="s">
        <v>905</v>
      </c>
      <c r="M242">
        <f t="shared" si="25"/>
        <v>26</v>
      </c>
      <c r="N242">
        <f t="shared" si="26"/>
        <v>370.43522094423065</v>
      </c>
      <c r="O242" t="s">
        <v>638</v>
      </c>
      <c r="P242">
        <f>SUM(N242:N253)/12</f>
        <v>480.67446640992534</v>
      </c>
    </row>
    <row r="243" spans="3:16" x14ac:dyDescent="0.25">
      <c r="C243">
        <f t="shared" ca="1" si="27"/>
        <v>85</v>
      </c>
      <c r="D243" t="str">
        <f t="shared" ca="1" si="28"/>
        <v>$A$86</v>
      </c>
      <c r="E243" t="str">
        <f t="shared" ca="1" si="29"/>
        <v>Сиранда из Шихона</v>
      </c>
      <c r="F243" t="str">
        <f t="shared" si="24"/>
        <v>$G$4</v>
      </c>
      <c r="I243">
        <v>4</v>
      </c>
      <c r="J243">
        <v>9</v>
      </c>
      <c r="K243" t="s">
        <v>636</v>
      </c>
      <c r="L243" t="s">
        <v>965</v>
      </c>
      <c r="M243">
        <f t="shared" si="25"/>
        <v>25</v>
      </c>
      <c r="N243">
        <f t="shared" si="26"/>
        <v>384.8365902249999</v>
      </c>
    </row>
    <row r="244" spans="3:16" x14ac:dyDescent="0.25">
      <c r="C244">
        <f t="shared" ca="1" si="27"/>
        <v>31</v>
      </c>
      <c r="D244" t="str">
        <f t="shared" ca="1" si="28"/>
        <v>$A$32</v>
      </c>
      <c r="E244" t="str">
        <f t="shared" ca="1" si="29"/>
        <v>Фейлиндор из Готуна</v>
      </c>
      <c r="F244" t="str">
        <f t="shared" si="24"/>
        <v>$G$5</v>
      </c>
      <c r="I244">
        <v>5</v>
      </c>
      <c r="J244">
        <v>9</v>
      </c>
      <c r="K244" t="s">
        <v>636</v>
      </c>
      <c r="L244" t="s">
        <v>966</v>
      </c>
      <c r="M244">
        <f t="shared" si="25"/>
        <v>24</v>
      </c>
      <c r="N244">
        <f t="shared" si="26"/>
        <v>400.43807361249992</v>
      </c>
    </row>
    <row r="245" spans="3:16" x14ac:dyDescent="0.25">
      <c r="C245">
        <f t="shared" ca="1" si="27"/>
        <v>17</v>
      </c>
      <c r="D245" t="str">
        <f t="shared" ca="1" si="28"/>
        <v>$A$18</v>
      </c>
      <c r="E245" t="str">
        <f t="shared" ca="1" si="29"/>
        <v>Эмбриос из Фидваго</v>
      </c>
      <c r="F245" t="str">
        <f t="shared" si="24"/>
        <v>$G$6</v>
      </c>
      <c r="I245">
        <v>6</v>
      </c>
      <c r="J245">
        <v>9</v>
      </c>
      <c r="K245" t="s">
        <v>636</v>
      </c>
      <c r="L245" t="s">
        <v>967</v>
      </c>
      <c r="M245">
        <f t="shared" si="25"/>
        <v>23</v>
      </c>
      <c r="N245">
        <f t="shared" si="26"/>
        <v>417.39620772934774</v>
      </c>
    </row>
    <row r="246" spans="3:16" x14ac:dyDescent="0.25">
      <c r="C246">
        <f t="shared" ca="1" si="27"/>
        <v>3</v>
      </c>
      <c r="D246" t="str">
        <f t="shared" ca="1" si="28"/>
        <v>$A$4</v>
      </c>
      <c r="E246" t="str">
        <f t="shared" ca="1" si="29"/>
        <v>Лириндель из Дарутана</v>
      </c>
      <c r="F246" t="str">
        <f t="shared" si="24"/>
        <v>$G$7</v>
      </c>
      <c r="I246">
        <v>7</v>
      </c>
      <c r="J246">
        <v>9</v>
      </c>
      <c r="K246" t="s">
        <v>636</v>
      </c>
      <c r="L246" t="s">
        <v>968</v>
      </c>
      <c r="M246">
        <f t="shared" si="25"/>
        <v>22</v>
      </c>
      <c r="N246">
        <f t="shared" si="26"/>
        <v>435.89599040227267</v>
      </c>
    </row>
    <row r="247" spans="3:16" x14ac:dyDescent="0.25">
      <c r="C247">
        <f t="shared" ca="1" si="27"/>
        <v>12</v>
      </c>
      <c r="D247" t="str">
        <f t="shared" ca="1" si="28"/>
        <v>$A$13</v>
      </c>
      <c r="E247" t="str">
        <f t="shared" ca="1" si="29"/>
        <v>Аэллесар из Сарухана</v>
      </c>
      <c r="F247" t="str">
        <f t="shared" si="24"/>
        <v>$G$8</v>
      </c>
      <c r="I247">
        <v>8</v>
      </c>
      <c r="J247">
        <v>9</v>
      </c>
      <c r="K247" t="s">
        <v>636</v>
      </c>
      <c r="L247" t="s">
        <v>969</v>
      </c>
      <c r="M247">
        <f t="shared" si="25"/>
        <v>21</v>
      </c>
      <c r="N247">
        <f t="shared" si="26"/>
        <v>456.15765713928556</v>
      </c>
    </row>
    <row r="248" spans="3:16" x14ac:dyDescent="0.25">
      <c r="C248">
        <f t="shared" ca="1" si="27"/>
        <v>80</v>
      </c>
      <c r="D248" t="str">
        <f t="shared" ca="1" si="28"/>
        <v>$A$81</v>
      </c>
      <c r="E248" t="str">
        <f t="shared" ca="1" si="29"/>
        <v>Тирасил из Лорена</v>
      </c>
      <c r="F248" t="str">
        <f t="shared" si="24"/>
        <v>$G$9</v>
      </c>
      <c r="I248">
        <v>9</v>
      </c>
      <c r="J248">
        <v>9</v>
      </c>
      <c r="K248" t="s">
        <v>636</v>
      </c>
      <c r="L248" t="s">
        <v>970</v>
      </c>
      <c r="M248">
        <f t="shared" si="25"/>
        <v>20</v>
      </c>
      <c r="N248">
        <f t="shared" si="26"/>
        <v>478.44549054999993</v>
      </c>
    </row>
    <row r="249" spans="3:16" x14ac:dyDescent="0.25">
      <c r="C249">
        <f t="shared" ca="1" si="27"/>
        <v>10</v>
      </c>
      <c r="D249" t="str">
        <f t="shared" ca="1" si="28"/>
        <v>$A$11</v>
      </c>
      <c r="E249" t="str">
        <f t="shared" ca="1" si="29"/>
        <v>Зафира из Самардейла</v>
      </c>
      <c r="F249" t="str">
        <f t="shared" si="24"/>
        <v>$G$10</v>
      </c>
      <c r="I249">
        <v>10</v>
      </c>
      <c r="J249">
        <v>9</v>
      </c>
      <c r="K249" t="s">
        <v>636</v>
      </c>
      <c r="L249" t="s">
        <v>885</v>
      </c>
      <c r="M249">
        <f t="shared" si="25"/>
        <v>19</v>
      </c>
      <c r="N249">
        <f t="shared" si="26"/>
        <v>503.07941168815779</v>
      </c>
    </row>
    <row r="250" spans="3:16" x14ac:dyDescent="0.25">
      <c r="C250">
        <f t="shared" ca="1" si="27"/>
        <v>51</v>
      </c>
      <c r="D250" t="str">
        <f t="shared" ca="1" si="28"/>
        <v>$A$52</v>
      </c>
      <c r="E250" t="str">
        <f t="shared" ca="1" si="29"/>
        <v>Ардантир из Гвадекуры</v>
      </c>
      <c r="F250" t="str">
        <f t="shared" si="24"/>
        <v>$G$11</v>
      </c>
      <c r="I250">
        <v>11</v>
      </c>
      <c r="J250">
        <v>9</v>
      </c>
      <c r="K250" t="s">
        <v>636</v>
      </c>
      <c r="L250" t="s">
        <v>971</v>
      </c>
      <c r="M250">
        <f t="shared" si="25"/>
        <v>18</v>
      </c>
      <c r="N250">
        <f t="shared" si="26"/>
        <v>530.45043517499994</v>
      </c>
    </row>
    <row r="251" spans="3:16" x14ac:dyDescent="0.25">
      <c r="C251">
        <f t="shared" ca="1" si="27"/>
        <v>95</v>
      </c>
      <c r="D251" t="str">
        <f t="shared" ca="1" si="28"/>
        <v>$A$96</v>
      </c>
      <c r="E251" t="str">
        <f t="shared" ca="1" si="29"/>
        <v>Элиссара из Ранджар-ара</v>
      </c>
      <c r="F251" t="str">
        <f t="shared" si="24"/>
        <v>$G$12</v>
      </c>
      <c r="I251">
        <v>12</v>
      </c>
      <c r="J251">
        <v>9</v>
      </c>
      <c r="K251" t="s">
        <v>636</v>
      </c>
      <c r="L251" t="s">
        <v>768</v>
      </c>
      <c r="M251">
        <f t="shared" si="25"/>
        <v>17</v>
      </c>
      <c r="N251">
        <f t="shared" si="26"/>
        <v>561.04157907205865</v>
      </c>
    </row>
    <row r="252" spans="3:16" x14ac:dyDescent="0.25">
      <c r="C252">
        <f t="shared" ca="1" si="27"/>
        <v>69</v>
      </c>
      <c r="D252" t="str">
        <f t="shared" ca="1" si="28"/>
        <v>$A$70</v>
      </c>
      <c r="E252" t="str">
        <f t="shared" ca="1" si="29"/>
        <v>Эльсара из Садата</v>
      </c>
      <c r="F252" t="str">
        <f t="shared" si="24"/>
        <v>$G$13</v>
      </c>
      <c r="I252">
        <v>13</v>
      </c>
      <c r="J252">
        <v>9</v>
      </c>
      <c r="K252" t="s">
        <v>636</v>
      </c>
      <c r="L252" t="s">
        <v>972</v>
      </c>
      <c r="M252">
        <f t="shared" si="25"/>
        <v>16</v>
      </c>
      <c r="N252">
        <f t="shared" si="26"/>
        <v>595.45661595624983</v>
      </c>
    </row>
    <row r="253" spans="3:16" x14ac:dyDescent="0.25">
      <c r="C253">
        <f t="shared" ca="1" si="27"/>
        <v>14</v>
      </c>
      <c r="D253" t="str">
        <f t="shared" ca="1" si="28"/>
        <v>$A$15</v>
      </c>
      <c r="E253" t="str">
        <f ca="1">INDIRECT(D253)&amp;" из "&amp;INDIRECT(F253)</f>
        <v>Сианора из Столицы</v>
      </c>
      <c r="F253" t="str">
        <f t="shared" si="24"/>
        <v>$G$14</v>
      </c>
      <c r="I253">
        <v>14</v>
      </c>
      <c r="J253">
        <v>9</v>
      </c>
      <c r="K253" t="s">
        <v>636</v>
      </c>
      <c r="L253" t="s">
        <v>973</v>
      </c>
      <c r="M253">
        <f t="shared" si="25"/>
        <v>15</v>
      </c>
      <c r="N253">
        <f t="shared" si="26"/>
        <v>634.46032442499984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6"/>
  <sheetViews>
    <sheetView tabSelected="1" zoomScale="70" zoomScaleNormal="70" workbookViewId="0">
      <selection activeCell="R8" sqref="R8"/>
    </sheetView>
  </sheetViews>
  <sheetFormatPr defaultRowHeight="15" x14ac:dyDescent="0.25"/>
  <cols>
    <col min="1" max="1" width="27.5703125" customWidth="1"/>
    <col min="14" max="14" width="10.28515625" bestFit="1" customWidth="1"/>
    <col min="20" max="20" width="41" customWidth="1"/>
    <col min="21" max="21" width="13.7109375" customWidth="1"/>
    <col min="22" max="22" width="12.85546875" customWidth="1"/>
    <col min="24" max="24" width="11.85546875" customWidth="1"/>
    <col min="25" max="27" width="12.28515625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P1" t="s">
        <v>434</v>
      </c>
      <c r="U1" t="s">
        <v>436</v>
      </c>
    </row>
    <row r="2" spans="1:25" x14ac:dyDescent="0.25">
      <c r="B2" t="s">
        <v>418</v>
      </c>
      <c r="C2" t="s">
        <v>419</v>
      </c>
      <c r="D2" t="s">
        <v>431</v>
      </c>
      <c r="E2" t="s">
        <v>420</v>
      </c>
      <c r="F2" t="s">
        <v>421</v>
      </c>
      <c r="G2" t="s">
        <v>422</v>
      </c>
      <c r="H2" t="s">
        <v>423</v>
      </c>
      <c r="I2" t="s">
        <v>424</v>
      </c>
      <c r="J2" t="s">
        <v>443</v>
      </c>
      <c r="K2" t="s">
        <v>444</v>
      </c>
      <c r="L2" t="s">
        <v>445</v>
      </c>
      <c r="M2" t="s">
        <v>446</v>
      </c>
      <c r="N2" t="s">
        <v>5</v>
      </c>
      <c r="P2" t="s">
        <v>435</v>
      </c>
      <c r="U2" t="s">
        <v>418</v>
      </c>
      <c r="W2" s="10"/>
      <c r="X2" s="10"/>
      <c r="Y2" s="10"/>
    </row>
    <row r="3" spans="1:25" x14ac:dyDescent="0.25">
      <c r="B3" t="s">
        <v>419</v>
      </c>
      <c r="C3" s="5">
        <v>0</v>
      </c>
      <c r="D3">
        <f>C4</f>
        <v>220</v>
      </c>
      <c r="E3">
        <f>C5</f>
        <v>300</v>
      </c>
      <c r="F3">
        <f>C6</f>
        <v>780</v>
      </c>
      <c r="G3">
        <f>C7</f>
        <v>200</v>
      </c>
      <c r="H3">
        <f>C8</f>
        <v>420</v>
      </c>
      <c r="I3">
        <f>C9</f>
        <v>620</v>
      </c>
      <c r="J3" s="12">
        <f>C10</f>
        <v>80</v>
      </c>
      <c r="K3">
        <f>C11</f>
        <v>680</v>
      </c>
      <c r="L3">
        <f>C12</f>
        <v>840</v>
      </c>
      <c r="M3">
        <f>C13</f>
        <v>960</v>
      </c>
      <c r="N3">
        <f>C14</f>
        <v>680</v>
      </c>
      <c r="T3">
        <v>3</v>
      </c>
      <c r="U3" t="s">
        <v>419</v>
      </c>
      <c r="W3" s="10"/>
      <c r="X3" s="10"/>
      <c r="Y3" s="10"/>
    </row>
    <row r="4" spans="1:25" x14ac:dyDescent="0.25">
      <c r="A4" t="s">
        <v>432</v>
      </c>
      <c r="B4" t="s">
        <v>431</v>
      </c>
      <c r="C4">
        <v>220</v>
      </c>
      <c r="D4" s="5">
        <v>0</v>
      </c>
      <c r="E4">
        <f>D5</f>
        <v>440</v>
      </c>
      <c r="F4">
        <f>D6</f>
        <v>940</v>
      </c>
      <c r="G4">
        <f>D7</f>
        <v>380</v>
      </c>
      <c r="H4">
        <f>D8</f>
        <v>640</v>
      </c>
      <c r="I4">
        <f>D9</f>
        <v>900</v>
      </c>
      <c r="J4" s="12">
        <f>D10</f>
        <v>300</v>
      </c>
      <c r="K4">
        <f>D11</f>
        <v>900</v>
      </c>
      <c r="L4">
        <f>D12</f>
        <v>1060</v>
      </c>
      <c r="M4">
        <f>D13</f>
        <v>1180</v>
      </c>
      <c r="N4">
        <f>D14</f>
        <v>900</v>
      </c>
      <c r="T4">
        <v>4</v>
      </c>
      <c r="U4" t="s">
        <v>431</v>
      </c>
      <c r="W4" s="10"/>
      <c r="X4" s="10"/>
      <c r="Y4" s="10"/>
    </row>
    <row r="5" spans="1:25" x14ac:dyDescent="0.25">
      <c r="A5" t="s">
        <v>427</v>
      </c>
      <c r="B5" t="s">
        <v>420</v>
      </c>
      <c r="C5">
        <v>300</v>
      </c>
      <c r="D5">
        <v>440</v>
      </c>
      <c r="E5" s="5">
        <v>0</v>
      </c>
      <c r="F5">
        <f>E6</f>
        <v>660</v>
      </c>
      <c r="G5">
        <f>E7</f>
        <v>580</v>
      </c>
      <c r="H5">
        <f>E8</f>
        <v>500</v>
      </c>
      <c r="I5">
        <f>E9</f>
        <v>620</v>
      </c>
      <c r="J5" s="12">
        <f>E10</f>
        <v>380</v>
      </c>
      <c r="K5">
        <f>E11</f>
        <v>980</v>
      </c>
      <c r="L5">
        <f>E12</f>
        <v>1140</v>
      </c>
      <c r="M5">
        <f>E13</f>
        <v>1260</v>
      </c>
      <c r="N5">
        <f>E14</f>
        <v>980</v>
      </c>
      <c r="T5">
        <v>5</v>
      </c>
      <c r="U5" t="s">
        <v>420</v>
      </c>
      <c r="W5" s="10"/>
      <c r="X5" s="10"/>
      <c r="Y5" s="10"/>
    </row>
    <row r="6" spans="1:25" x14ac:dyDescent="0.25">
      <c r="A6" t="s">
        <v>136</v>
      </c>
      <c r="B6" t="s">
        <v>421</v>
      </c>
      <c r="C6">
        <v>780</v>
      </c>
      <c r="D6">
        <v>940</v>
      </c>
      <c r="E6">
        <v>660</v>
      </c>
      <c r="F6" s="5">
        <v>0</v>
      </c>
      <c r="G6">
        <f>F7</f>
        <v>1060</v>
      </c>
      <c r="H6">
        <f>F8</f>
        <v>920</v>
      </c>
      <c r="I6">
        <f>F9</f>
        <v>860</v>
      </c>
      <c r="J6" s="12">
        <f>F10</f>
        <v>860</v>
      </c>
      <c r="K6">
        <f>F11</f>
        <v>1460</v>
      </c>
      <c r="L6">
        <f>F12</f>
        <v>1620</v>
      </c>
      <c r="M6">
        <f>F13</f>
        <v>1740</v>
      </c>
      <c r="N6">
        <f>F14</f>
        <v>1460</v>
      </c>
      <c r="T6">
        <v>6</v>
      </c>
      <c r="U6" t="s">
        <v>421</v>
      </c>
      <c r="W6" s="10"/>
      <c r="X6" s="10"/>
      <c r="Y6" s="10"/>
    </row>
    <row r="7" spans="1:25" x14ac:dyDescent="0.25">
      <c r="A7" t="s">
        <v>425</v>
      </c>
      <c r="B7" t="s">
        <v>422</v>
      </c>
      <c r="C7">
        <v>200</v>
      </c>
      <c r="D7">
        <v>380</v>
      </c>
      <c r="E7">
        <v>580</v>
      </c>
      <c r="F7">
        <v>1060</v>
      </c>
      <c r="G7" s="5">
        <v>0</v>
      </c>
      <c r="H7">
        <f>G8</f>
        <v>420</v>
      </c>
      <c r="I7">
        <f>G9</f>
        <v>640</v>
      </c>
      <c r="J7" s="12">
        <f>G10</f>
        <v>280</v>
      </c>
      <c r="K7">
        <f>G11</f>
        <v>880</v>
      </c>
      <c r="L7">
        <f>G12</f>
        <v>1040</v>
      </c>
      <c r="M7">
        <f>G13</f>
        <v>1160</v>
      </c>
      <c r="N7">
        <f>G14</f>
        <v>880</v>
      </c>
      <c r="T7">
        <v>7</v>
      </c>
      <c r="U7" t="s">
        <v>422</v>
      </c>
      <c r="W7" s="10"/>
      <c r="X7" s="10"/>
      <c r="Y7" s="10"/>
    </row>
    <row r="8" spans="1:25" x14ac:dyDescent="0.25">
      <c r="A8" t="s">
        <v>430</v>
      </c>
      <c r="B8" t="s">
        <v>423</v>
      </c>
      <c r="C8">
        <v>420</v>
      </c>
      <c r="D8">
        <v>640</v>
      </c>
      <c r="E8">
        <v>500</v>
      </c>
      <c r="F8">
        <v>920</v>
      </c>
      <c r="G8">
        <v>420</v>
      </c>
      <c r="H8" s="5">
        <v>0</v>
      </c>
      <c r="I8">
        <f>H9</f>
        <v>360</v>
      </c>
      <c r="J8" s="12">
        <f>H10</f>
        <v>500</v>
      </c>
      <c r="K8">
        <f>H11</f>
        <v>1100</v>
      </c>
      <c r="L8">
        <f>H12</f>
        <v>1260</v>
      </c>
      <c r="M8">
        <f>H13</f>
        <v>1380</v>
      </c>
      <c r="N8">
        <f>H14</f>
        <v>1100</v>
      </c>
      <c r="T8">
        <v>8</v>
      </c>
      <c r="U8" t="s">
        <v>423</v>
      </c>
      <c r="W8" s="10"/>
      <c r="X8" s="10"/>
      <c r="Y8" s="10"/>
    </row>
    <row r="9" spans="1:25" x14ac:dyDescent="0.25">
      <c r="A9" t="s">
        <v>426</v>
      </c>
      <c r="B9" t="s">
        <v>424</v>
      </c>
      <c r="C9">
        <v>620</v>
      </c>
      <c r="D9">
        <v>900</v>
      </c>
      <c r="E9">
        <v>620</v>
      </c>
      <c r="F9">
        <v>860</v>
      </c>
      <c r="G9">
        <v>640</v>
      </c>
      <c r="H9">
        <v>360</v>
      </c>
      <c r="I9" s="5">
        <v>0</v>
      </c>
      <c r="J9" s="12">
        <f>I10</f>
        <v>700</v>
      </c>
      <c r="K9">
        <f>I11</f>
        <v>1300</v>
      </c>
      <c r="L9">
        <f>I12</f>
        <v>1460</v>
      </c>
      <c r="M9">
        <f>I13</f>
        <v>1580</v>
      </c>
      <c r="N9">
        <f>I14</f>
        <v>1300</v>
      </c>
      <c r="T9">
        <v>9</v>
      </c>
      <c r="U9" t="s">
        <v>424</v>
      </c>
      <c r="W9" s="10"/>
      <c r="X9" s="10"/>
    </row>
    <row r="10" spans="1:25" x14ac:dyDescent="0.25">
      <c r="A10" t="s">
        <v>1106</v>
      </c>
      <c r="B10" t="s">
        <v>443</v>
      </c>
      <c r="C10" s="11">
        <f>C3+80</f>
        <v>80</v>
      </c>
      <c r="D10" s="11">
        <f t="shared" ref="D10:I10" si="0">D3+80</f>
        <v>300</v>
      </c>
      <c r="E10" s="11">
        <f t="shared" si="0"/>
        <v>380</v>
      </c>
      <c r="F10" s="11">
        <f t="shared" si="0"/>
        <v>860</v>
      </c>
      <c r="G10" s="11">
        <f t="shared" si="0"/>
        <v>280</v>
      </c>
      <c r="H10" s="11">
        <f t="shared" si="0"/>
        <v>500</v>
      </c>
      <c r="I10" s="11">
        <f t="shared" si="0"/>
        <v>700</v>
      </c>
      <c r="J10" s="5">
        <v>0</v>
      </c>
      <c r="K10" s="13">
        <f>J11</f>
        <v>800</v>
      </c>
      <c r="L10">
        <f>J12</f>
        <v>880</v>
      </c>
      <c r="M10">
        <f>J13</f>
        <v>1000</v>
      </c>
      <c r="N10">
        <f>J14</f>
        <v>760</v>
      </c>
      <c r="T10">
        <v>10</v>
      </c>
      <c r="U10" t="s">
        <v>443</v>
      </c>
    </row>
    <row r="11" spans="1:25" x14ac:dyDescent="0.25">
      <c r="A11" t="s">
        <v>449</v>
      </c>
      <c r="B11" t="s">
        <v>444</v>
      </c>
      <c r="C11">
        <f>C3+680</f>
        <v>680</v>
      </c>
      <c r="D11">
        <f t="shared" ref="D11:I11" si="1">D3+680</f>
        <v>900</v>
      </c>
      <c r="E11">
        <f t="shared" si="1"/>
        <v>980</v>
      </c>
      <c r="F11">
        <f t="shared" si="1"/>
        <v>1460</v>
      </c>
      <c r="G11">
        <f t="shared" si="1"/>
        <v>880</v>
      </c>
      <c r="H11">
        <f t="shared" si="1"/>
        <v>1100</v>
      </c>
      <c r="I11">
        <f t="shared" si="1"/>
        <v>1300</v>
      </c>
      <c r="J11">
        <v>800</v>
      </c>
      <c r="K11" s="5">
        <v>0</v>
      </c>
      <c r="L11">
        <f>K12</f>
        <v>600</v>
      </c>
      <c r="M11">
        <f>K13</f>
        <v>1260</v>
      </c>
      <c r="N11">
        <f>K14</f>
        <v>880</v>
      </c>
      <c r="T11">
        <v>11</v>
      </c>
      <c r="U11" t="s">
        <v>444</v>
      </c>
    </row>
    <row r="12" spans="1:25" x14ac:dyDescent="0.25">
      <c r="A12" t="s">
        <v>450</v>
      </c>
      <c r="B12" t="s">
        <v>445</v>
      </c>
      <c r="C12">
        <f>C3+840</f>
        <v>840</v>
      </c>
      <c r="D12">
        <f t="shared" ref="D12:I12" si="2">D3+840</f>
        <v>1060</v>
      </c>
      <c r="E12">
        <f t="shared" si="2"/>
        <v>1140</v>
      </c>
      <c r="F12">
        <f t="shared" si="2"/>
        <v>1620</v>
      </c>
      <c r="G12">
        <f t="shared" si="2"/>
        <v>1040</v>
      </c>
      <c r="H12">
        <f t="shared" si="2"/>
        <v>1260</v>
      </c>
      <c r="I12">
        <f t="shared" si="2"/>
        <v>1460</v>
      </c>
      <c r="J12">
        <v>880</v>
      </c>
      <c r="K12">
        <v>600</v>
      </c>
      <c r="L12" s="5">
        <v>0</v>
      </c>
      <c r="M12">
        <f>L13</f>
        <v>700</v>
      </c>
      <c r="N12">
        <f>L14</f>
        <v>400</v>
      </c>
      <c r="T12">
        <v>12</v>
      </c>
      <c r="U12" t="s">
        <v>445</v>
      </c>
    </row>
    <row r="13" spans="1:25" x14ac:dyDescent="0.25">
      <c r="A13" t="s">
        <v>451</v>
      </c>
      <c r="B13" t="s">
        <v>446</v>
      </c>
      <c r="C13">
        <f>C3+960</f>
        <v>960</v>
      </c>
      <c r="D13">
        <f t="shared" ref="D13:I13" si="3">D3+960</f>
        <v>1180</v>
      </c>
      <c r="E13">
        <f t="shared" si="3"/>
        <v>1260</v>
      </c>
      <c r="F13">
        <f t="shared" si="3"/>
        <v>1740</v>
      </c>
      <c r="G13">
        <f t="shared" si="3"/>
        <v>1160</v>
      </c>
      <c r="H13">
        <f t="shared" si="3"/>
        <v>1380</v>
      </c>
      <c r="I13">
        <f t="shared" si="3"/>
        <v>1580</v>
      </c>
      <c r="J13">
        <v>1000</v>
      </c>
      <c r="K13">
        <v>1260</v>
      </c>
      <c r="L13">
        <v>700</v>
      </c>
      <c r="M13" s="5">
        <v>0</v>
      </c>
      <c r="N13">
        <f>M14</f>
        <v>880</v>
      </c>
      <c r="T13">
        <v>13</v>
      </c>
      <c r="U13" t="s">
        <v>446</v>
      </c>
    </row>
    <row r="14" spans="1:25" x14ac:dyDescent="0.25">
      <c r="A14" t="s">
        <v>1107</v>
      </c>
      <c r="B14" t="s">
        <v>5</v>
      </c>
      <c r="C14">
        <f>C3+680</f>
        <v>680</v>
      </c>
      <c r="D14">
        <f t="shared" ref="D14:I14" si="4">D3+680</f>
        <v>900</v>
      </c>
      <c r="E14">
        <f t="shared" si="4"/>
        <v>980</v>
      </c>
      <c r="F14">
        <f t="shared" si="4"/>
        <v>1460</v>
      </c>
      <c r="G14">
        <f t="shared" si="4"/>
        <v>880</v>
      </c>
      <c r="H14">
        <f t="shared" si="4"/>
        <v>1100</v>
      </c>
      <c r="I14">
        <f t="shared" si="4"/>
        <v>1300</v>
      </c>
      <c r="J14">
        <v>760</v>
      </c>
      <c r="K14">
        <v>880</v>
      </c>
      <c r="L14">
        <v>400</v>
      </c>
      <c r="M14">
        <v>880</v>
      </c>
      <c r="N14" s="5">
        <v>0</v>
      </c>
      <c r="T14">
        <v>14</v>
      </c>
      <c r="U14" t="s">
        <v>5</v>
      </c>
    </row>
    <row r="15" spans="1:25" x14ac:dyDescent="0.25">
      <c r="U15" t="s">
        <v>440</v>
      </c>
    </row>
    <row r="16" spans="1:25" x14ac:dyDescent="0.25">
      <c r="A16" t="s">
        <v>437</v>
      </c>
      <c r="B16" s="1">
        <v>14</v>
      </c>
      <c r="C16" t="s">
        <v>483</v>
      </c>
    </row>
    <row r="17" spans="1:24" x14ac:dyDescent="0.25">
      <c r="B17" t="s">
        <v>400</v>
      </c>
      <c r="C17" t="s">
        <v>441</v>
      </c>
      <c r="D17" t="s">
        <v>438</v>
      </c>
      <c r="E17" t="s">
        <v>439</v>
      </c>
      <c r="F17" t="s">
        <v>433</v>
      </c>
      <c r="G17" t="s">
        <v>411</v>
      </c>
      <c r="H17" t="s">
        <v>402</v>
      </c>
      <c r="I17" t="s">
        <v>414</v>
      </c>
      <c r="J17" t="s">
        <v>401</v>
      </c>
      <c r="K17" t="s">
        <v>397</v>
      </c>
      <c r="L17" t="s">
        <v>398</v>
      </c>
      <c r="M17" t="s">
        <v>442</v>
      </c>
      <c r="N17" t="s">
        <v>399</v>
      </c>
      <c r="O17" t="s">
        <v>410</v>
      </c>
      <c r="U17" t="s">
        <v>452</v>
      </c>
    </row>
    <row r="18" spans="1:24" x14ac:dyDescent="0.25">
      <c r="A18" s="1" t="s">
        <v>124</v>
      </c>
      <c r="T18" s="1" t="s">
        <v>124</v>
      </c>
      <c r="U18" t="s">
        <v>447</v>
      </c>
      <c r="V18" t="s">
        <v>448</v>
      </c>
      <c r="W18" t="s">
        <v>506</v>
      </c>
      <c r="X18" s="10"/>
    </row>
    <row r="19" spans="1:24" x14ac:dyDescent="0.25">
      <c r="A19" s="3" t="str">
        <f>'Модель v2 базовая'!A4</f>
        <v>Древесина</v>
      </c>
      <c r="B19">
        <f>'Модель v2 базовая'!I4</f>
        <v>1.1392499999999999</v>
      </c>
      <c r="C19">
        <v>5</v>
      </c>
      <c r="D19">
        <f>$B$16</f>
        <v>14</v>
      </c>
      <c r="E19" t="str">
        <f xml:space="preserve"> ADDRESS(C19,D19)</f>
        <v>$N$5</v>
      </c>
      <c r="F19">
        <f ca="1">INDIRECT(E19)</f>
        <v>980</v>
      </c>
      <c r="G19">
        <f ca="1">F19/320</f>
        <v>3.0625</v>
      </c>
      <c r="H19">
        <f>'Модель v2 базовая'!$G$87</f>
        <v>2500</v>
      </c>
      <c r="I19">
        <f ca="1">(H19/30)*G19</f>
        <v>255.20833333333331</v>
      </c>
      <c r="J19">
        <v>2000</v>
      </c>
      <c r="K19">
        <f>'Модель v2 базовая'!$E$87</f>
        <v>8.3333333333333339</v>
      </c>
      <c r="L19">
        <v>0.7</v>
      </c>
      <c r="M19">
        <f t="shared" ref="M19:M20" si="5">IF(OR(AND(D19&gt;9,C19&lt;=9),AND(D19&lt;9,C19&gt;=9)),10,0)</f>
        <v>10</v>
      </c>
      <c r="N19">
        <f ca="1">IF(G19=0, B19*J19, B19*J19+(B19*J19*L19)+I19+K19)</f>
        <v>4136.991666666665</v>
      </c>
      <c r="O19">
        <f t="shared" ref="O19:O53" ca="1" si="6">N19/J19</f>
        <v>2.0684958333333325</v>
      </c>
      <c r="T19" s="3" t="str">
        <f>A19</f>
        <v>Древесина</v>
      </c>
      <c r="U19" s="9">
        <f t="shared" ref="U19:U53" si="7">B19</f>
        <v>1.1392499999999999</v>
      </c>
      <c r="V19" s="9">
        <f t="shared" ref="V19:V53" ca="1" si="8">O19</f>
        <v>2.0684958333333325</v>
      </c>
      <c r="W19">
        <f>B19*2.5</f>
        <v>2.8481249999999996</v>
      </c>
      <c r="X19" s="10"/>
    </row>
    <row r="20" spans="1:24" x14ac:dyDescent="0.25">
      <c r="A20" s="3" t="str">
        <f>'Модель v2 базовая'!A5</f>
        <v>Камень</v>
      </c>
      <c r="B20">
        <f>'Модель v2 базовая'!I5</f>
        <v>1.32</v>
      </c>
      <c r="C20">
        <v>7</v>
      </c>
      <c r="D20">
        <f t="shared" ref="D20:D112" si="9">$B$16</f>
        <v>14</v>
      </c>
      <c r="E20" t="str">
        <f t="shared" ref="E20:E40" si="10" xml:space="preserve"> ADDRESS(C20,D20)</f>
        <v>$N$7</v>
      </c>
      <c r="F20">
        <f t="shared" ref="F20:F53" ca="1" si="11">INDIRECT(E20)</f>
        <v>880</v>
      </c>
      <c r="G20">
        <f t="shared" ref="G20:G53" ca="1" si="12">F20/320</f>
        <v>2.75</v>
      </c>
      <c r="H20">
        <f>'Модель v2 базовая'!$G$87</f>
        <v>2500</v>
      </c>
      <c r="I20">
        <f t="shared" ref="I20:I53" ca="1" si="13">H20/30*G20</f>
        <v>229.16666666666666</v>
      </c>
      <c r="J20">
        <v>2000</v>
      </c>
      <c r="K20">
        <f>'Модель v2 базовая'!$E$87</f>
        <v>8.3333333333333339</v>
      </c>
      <c r="L20">
        <v>0.7</v>
      </c>
      <c r="M20">
        <f t="shared" si="5"/>
        <v>10</v>
      </c>
      <c r="N20">
        <f t="shared" ref="N20:N53" ca="1" si="14">IF(G20=0, B20*J20, B20*J20+(B20*J20*L20)+I20+K20)</f>
        <v>4725.5</v>
      </c>
      <c r="O20">
        <f t="shared" ca="1" si="6"/>
        <v>2.3627500000000001</v>
      </c>
      <c r="T20" s="3" t="str">
        <f t="shared" ref="T20:T72" si="15">A20</f>
        <v>Камень</v>
      </c>
      <c r="U20" s="9">
        <f t="shared" si="7"/>
        <v>1.32</v>
      </c>
      <c r="V20" s="9">
        <f t="shared" ca="1" si="8"/>
        <v>2.3627500000000001</v>
      </c>
      <c r="W20">
        <f t="shared" ref="W20:W53" si="16">B20*2.5</f>
        <v>3.3000000000000003</v>
      </c>
      <c r="X20" s="10"/>
    </row>
    <row r="21" spans="1:24" x14ac:dyDescent="0.25">
      <c r="A21" s="3" t="str">
        <f>'Модель v2 базовая'!A6</f>
        <v>Уголь</v>
      </c>
      <c r="B21">
        <f>'Модель v2 базовая'!I6</f>
        <v>1.32</v>
      </c>
      <c r="C21">
        <v>9</v>
      </c>
      <c r="D21">
        <f t="shared" si="9"/>
        <v>14</v>
      </c>
      <c r="E21" t="str">
        <f t="shared" si="10"/>
        <v>$N$9</v>
      </c>
      <c r="F21">
        <f t="shared" ca="1" si="11"/>
        <v>1300</v>
      </c>
      <c r="G21">
        <f t="shared" ca="1" si="12"/>
        <v>4.0625</v>
      </c>
      <c r="H21">
        <f>'Модель v2 базовая'!$G$87</f>
        <v>2500</v>
      </c>
      <c r="I21">
        <f t="shared" ca="1" si="13"/>
        <v>338.54166666666663</v>
      </c>
      <c r="J21">
        <v>2000</v>
      </c>
      <c r="K21">
        <f>'Модель v2 базовая'!$E$87</f>
        <v>8.3333333333333339</v>
      </c>
      <c r="L21">
        <v>0.7</v>
      </c>
      <c r="M21">
        <f>IF(OR(AND(D21&gt;9,C21&lt;=9),AND(D21&lt;9,C21&gt;=9)),10,0)</f>
        <v>10</v>
      </c>
      <c r="N21">
        <f t="shared" ca="1" si="14"/>
        <v>4834.875</v>
      </c>
      <c r="O21">
        <f t="shared" ca="1" si="6"/>
        <v>2.4174375000000001</v>
      </c>
      <c r="T21" s="3" t="str">
        <f t="shared" si="15"/>
        <v>Уголь</v>
      </c>
      <c r="U21" s="9">
        <f t="shared" si="7"/>
        <v>1.32</v>
      </c>
      <c r="V21" s="9">
        <f t="shared" ca="1" si="8"/>
        <v>2.4174375000000001</v>
      </c>
      <c r="W21">
        <f t="shared" si="16"/>
        <v>3.3000000000000003</v>
      </c>
      <c r="X21" s="10"/>
    </row>
    <row r="22" spans="1:24" x14ac:dyDescent="0.25">
      <c r="A22" s="3" t="str">
        <f>'Модель v2 базовая'!A7</f>
        <v>Железная руда</v>
      </c>
      <c r="B22">
        <f>'Модель v2 базовая'!I7</f>
        <v>1.34375</v>
      </c>
      <c r="C22">
        <v>9</v>
      </c>
      <c r="D22">
        <f t="shared" si="9"/>
        <v>14</v>
      </c>
      <c r="E22" t="str">
        <f t="shared" si="10"/>
        <v>$N$9</v>
      </c>
      <c r="F22">
        <f t="shared" ca="1" si="11"/>
        <v>1300</v>
      </c>
      <c r="G22">
        <f t="shared" ca="1" si="12"/>
        <v>4.0625</v>
      </c>
      <c r="H22">
        <f>'Модель v2 базовая'!$G$87</f>
        <v>2500</v>
      </c>
      <c r="I22">
        <f t="shared" ca="1" si="13"/>
        <v>338.54166666666663</v>
      </c>
      <c r="J22">
        <v>2000</v>
      </c>
      <c r="K22">
        <f>'Модель v2 базовая'!$E$87</f>
        <v>8.3333333333333339</v>
      </c>
      <c r="L22">
        <v>0.7</v>
      </c>
      <c r="M22">
        <f t="shared" ref="M22:M85" si="17">IF(OR(AND(D22&gt;9,C22&lt;=9),AND(D22&lt;9,C22&gt;=9)),10,0)</f>
        <v>10</v>
      </c>
      <c r="N22">
        <f t="shared" ca="1" si="14"/>
        <v>4915.625</v>
      </c>
      <c r="O22">
        <f t="shared" ca="1" si="6"/>
        <v>2.4578125000000002</v>
      </c>
      <c r="T22" s="3" t="str">
        <f t="shared" si="15"/>
        <v>Железная руда</v>
      </c>
      <c r="U22" s="9">
        <f t="shared" si="7"/>
        <v>1.34375</v>
      </c>
      <c r="V22" s="9">
        <f t="shared" ca="1" si="8"/>
        <v>2.4578125000000002</v>
      </c>
      <c r="W22">
        <f t="shared" si="16"/>
        <v>3.359375</v>
      </c>
      <c r="X22" s="10"/>
    </row>
    <row r="23" spans="1:24" x14ac:dyDescent="0.25">
      <c r="A23" s="3" t="str">
        <f>'Модель v2 базовая'!A8</f>
        <v>Редкая руда(мифрил и т.д.)</v>
      </c>
      <c r="B23">
        <f>'Модель v2 базовая'!I8</f>
        <v>7.9</v>
      </c>
      <c r="C23">
        <v>9</v>
      </c>
      <c r="D23">
        <f t="shared" si="9"/>
        <v>14</v>
      </c>
      <c r="E23" t="str">
        <f t="shared" si="10"/>
        <v>$N$9</v>
      </c>
      <c r="F23">
        <f t="shared" ca="1" si="11"/>
        <v>1300</v>
      </c>
      <c r="G23">
        <f t="shared" ca="1" si="12"/>
        <v>4.0625</v>
      </c>
      <c r="H23">
        <f>'Модель v2 базовая'!$G$87</f>
        <v>2500</v>
      </c>
      <c r="I23">
        <f t="shared" ca="1" si="13"/>
        <v>338.54166666666663</v>
      </c>
      <c r="J23">
        <v>2000</v>
      </c>
      <c r="K23">
        <f>'Модель v2 базовая'!$E$87</f>
        <v>8.3333333333333339</v>
      </c>
      <c r="L23">
        <v>0.7</v>
      </c>
      <c r="M23">
        <f t="shared" si="17"/>
        <v>10</v>
      </c>
      <c r="N23">
        <f t="shared" ca="1" si="14"/>
        <v>27206.875</v>
      </c>
      <c r="O23">
        <f t="shared" ca="1" si="6"/>
        <v>13.6034375</v>
      </c>
      <c r="T23" s="3" t="str">
        <f t="shared" si="15"/>
        <v>Редкая руда(мифрил и т.д.)</v>
      </c>
      <c r="U23" s="9">
        <f t="shared" si="7"/>
        <v>7.9</v>
      </c>
      <c r="V23" s="9">
        <f t="shared" ca="1" si="8"/>
        <v>13.6034375</v>
      </c>
      <c r="W23">
        <f t="shared" si="16"/>
        <v>19.75</v>
      </c>
      <c r="X23" s="10"/>
    </row>
    <row r="24" spans="1:24" x14ac:dyDescent="0.25">
      <c r="A24" s="3" t="str">
        <f>'Модель v2 базовая'!A9</f>
        <v>Легендарная руда (адамант)</v>
      </c>
      <c r="B24">
        <f>'Модель v2 базовая'!I9</f>
        <v>25.75</v>
      </c>
      <c r="C24">
        <v>9</v>
      </c>
      <c r="D24">
        <f t="shared" si="9"/>
        <v>14</v>
      </c>
      <c r="E24" t="str">
        <f t="shared" si="10"/>
        <v>$N$9</v>
      </c>
      <c r="F24">
        <f t="shared" ca="1" si="11"/>
        <v>1300</v>
      </c>
      <c r="G24">
        <f t="shared" ca="1" si="12"/>
        <v>4.0625</v>
      </c>
      <c r="H24">
        <f>'Модель v2 базовая'!$G$87</f>
        <v>2500</v>
      </c>
      <c r="I24">
        <f t="shared" ca="1" si="13"/>
        <v>338.54166666666663</v>
      </c>
      <c r="J24">
        <v>2000</v>
      </c>
      <c r="K24">
        <f>'Модель v2 базовая'!$E$87</f>
        <v>8.3333333333333339</v>
      </c>
      <c r="L24">
        <v>0.7</v>
      </c>
      <c r="M24">
        <f t="shared" si="17"/>
        <v>10</v>
      </c>
      <c r="N24">
        <f t="shared" ca="1" si="14"/>
        <v>87896.875</v>
      </c>
      <c r="O24">
        <f t="shared" ca="1" si="6"/>
        <v>43.948437499999997</v>
      </c>
      <c r="T24" s="3" t="str">
        <f t="shared" si="15"/>
        <v>Легендарная руда (адамант)</v>
      </c>
      <c r="U24" s="9">
        <f t="shared" si="7"/>
        <v>25.75</v>
      </c>
      <c r="V24" s="9">
        <f t="shared" ca="1" si="8"/>
        <v>43.948437499999997</v>
      </c>
      <c r="W24">
        <f t="shared" si="16"/>
        <v>64.375</v>
      </c>
      <c r="X24" s="10"/>
    </row>
    <row r="25" spans="1:24" x14ac:dyDescent="0.25">
      <c r="A25" s="3" t="str">
        <f>'Модель v2 базовая'!A10</f>
        <v>Пщеница</v>
      </c>
      <c r="B25">
        <f>'Модель v2 базовая'!I10</f>
        <v>1.1729999999999998</v>
      </c>
      <c r="C25">
        <v>5</v>
      </c>
      <c r="D25">
        <f t="shared" si="9"/>
        <v>14</v>
      </c>
      <c r="E25" t="str">
        <f t="shared" si="10"/>
        <v>$N$5</v>
      </c>
      <c r="F25">
        <f t="shared" ca="1" si="11"/>
        <v>980</v>
      </c>
      <c r="G25">
        <f t="shared" ca="1" si="12"/>
        <v>3.0625</v>
      </c>
      <c r="H25">
        <f>'Модель v2 базовая'!$G$87</f>
        <v>2500</v>
      </c>
      <c r="I25">
        <f t="shared" ca="1" si="13"/>
        <v>255.20833333333331</v>
      </c>
      <c r="J25">
        <v>2000</v>
      </c>
      <c r="K25">
        <f>'Модель v2 базовая'!$E$87</f>
        <v>8.3333333333333339</v>
      </c>
      <c r="L25">
        <v>0.7</v>
      </c>
      <c r="M25">
        <f t="shared" si="17"/>
        <v>10</v>
      </c>
      <c r="N25">
        <f t="shared" ca="1" si="14"/>
        <v>4251.741666666665</v>
      </c>
      <c r="O25">
        <f t="shared" ca="1" si="6"/>
        <v>2.1258708333333325</v>
      </c>
      <c r="T25" s="3" t="str">
        <f t="shared" si="15"/>
        <v>Пщеница</v>
      </c>
      <c r="U25" s="9">
        <f t="shared" si="7"/>
        <v>1.1729999999999998</v>
      </c>
      <c r="V25" s="9">
        <f t="shared" ca="1" si="8"/>
        <v>2.1258708333333325</v>
      </c>
      <c r="W25">
        <f t="shared" si="16"/>
        <v>2.9324999999999997</v>
      </c>
      <c r="X25" s="10"/>
    </row>
    <row r="26" spans="1:24" x14ac:dyDescent="0.25">
      <c r="A26" s="3" t="str">
        <f>'Модель v2 базовая'!A11</f>
        <v>Мясо</v>
      </c>
      <c r="B26">
        <f>'Модель v2 базовая'!I11</f>
        <v>1.2075</v>
      </c>
      <c r="C26">
        <v>4</v>
      </c>
      <c r="D26">
        <f t="shared" si="9"/>
        <v>14</v>
      </c>
      <c r="E26" t="str">
        <f t="shared" si="10"/>
        <v>$N$4</v>
      </c>
      <c r="F26">
        <f t="shared" ca="1" si="11"/>
        <v>900</v>
      </c>
      <c r="G26">
        <f t="shared" ca="1" si="12"/>
        <v>2.8125</v>
      </c>
      <c r="H26">
        <f>'Модель v2 базовая'!$G$87</f>
        <v>2500</v>
      </c>
      <c r="I26">
        <f t="shared" ca="1" si="13"/>
        <v>234.375</v>
      </c>
      <c r="J26">
        <v>2000</v>
      </c>
      <c r="K26">
        <f>'Модель v2 базовая'!$E$87</f>
        <v>8.3333333333333339</v>
      </c>
      <c r="L26">
        <v>0.7</v>
      </c>
      <c r="M26">
        <f t="shared" si="17"/>
        <v>10</v>
      </c>
      <c r="N26">
        <f t="shared" ca="1" si="14"/>
        <v>4348.208333333333</v>
      </c>
      <c r="O26">
        <f t="shared" ca="1" si="6"/>
        <v>2.1741041666666665</v>
      </c>
      <c r="T26" s="3" t="str">
        <f t="shared" si="15"/>
        <v>Мясо</v>
      </c>
      <c r="U26" s="9">
        <f t="shared" si="7"/>
        <v>1.2075</v>
      </c>
      <c r="V26" s="9">
        <f t="shared" ca="1" si="8"/>
        <v>2.1741041666666665</v>
      </c>
      <c r="W26">
        <f t="shared" si="16"/>
        <v>3.0187499999999998</v>
      </c>
      <c r="X26" s="10"/>
    </row>
    <row r="27" spans="1:24" x14ac:dyDescent="0.25">
      <c r="A27" s="3" t="str">
        <f>'Модель v2 базовая'!A12</f>
        <v>Кожа</v>
      </c>
      <c r="B27">
        <f>'Модель v2 базовая'!I12</f>
        <v>1.1392499999999999</v>
      </c>
      <c r="C27">
        <v>4</v>
      </c>
      <c r="D27">
        <f t="shared" si="9"/>
        <v>14</v>
      </c>
      <c r="E27" t="str">
        <f t="shared" si="10"/>
        <v>$N$4</v>
      </c>
      <c r="F27">
        <f t="shared" ca="1" si="11"/>
        <v>900</v>
      </c>
      <c r="G27">
        <f t="shared" ca="1" si="12"/>
        <v>2.8125</v>
      </c>
      <c r="H27">
        <f>'Модель v2 базовая'!$G$87</f>
        <v>2500</v>
      </c>
      <c r="I27">
        <f t="shared" ca="1" si="13"/>
        <v>234.375</v>
      </c>
      <c r="J27">
        <v>2000</v>
      </c>
      <c r="K27">
        <f>'Модель v2 базовая'!$E$87</f>
        <v>8.3333333333333339</v>
      </c>
      <c r="L27">
        <v>0.7</v>
      </c>
      <c r="M27">
        <f t="shared" si="17"/>
        <v>10</v>
      </c>
      <c r="N27">
        <f t="shared" ca="1" si="14"/>
        <v>4116.1583333333319</v>
      </c>
      <c r="O27">
        <f t="shared" ca="1" si="6"/>
        <v>2.058079166666666</v>
      </c>
      <c r="T27" s="3" t="str">
        <f t="shared" si="15"/>
        <v>Кожа</v>
      </c>
      <c r="U27" s="9">
        <f t="shared" si="7"/>
        <v>1.1392499999999999</v>
      </c>
      <c r="V27" s="9">
        <f t="shared" ca="1" si="8"/>
        <v>2.058079166666666</v>
      </c>
      <c r="W27">
        <f t="shared" si="16"/>
        <v>2.8481249999999996</v>
      </c>
      <c r="X27" s="10"/>
    </row>
    <row r="28" spans="1:24" x14ac:dyDescent="0.25">
      <c r="A28" s="3" t="str">
        <f>'Модель v2 базовая'!A13</f>
        <v>Шерсть</v>
      </c>
      <c r="B28">
        <f>'Модель v2 базовая'!I13</f>
        <v>1.1067</v>
      </c>
      <c r="C28">
        <v>4</v>
      </c>
      <c r="D28">
        <f t="shared" si="9"/>
        <v>14</v>
      </c>
      <c r="E28" t="str">
        <f t="shared" si="10"/>
        <v>$N$4</v>
      </c>
      <c r="F28">
        <f t="shared" ca="1" si="11"/>
        <v>900</v>
      </c>
      <c r="G28">
        <f t="shared" ca="1" si="12"/>
        <v>2.8125</v>
      </c>
      <c r="H28">
        <f>'Модель v2 базовая'!$G$87</f>
        <v>2500</v>
      </c>
      <c r="I28">
        <f t="shared" ca="1" si="13"/>
        <v>234.375</v>
      </c>
      <c r="J28">
        <v>2000</v>
      </c>
      <c r="K28">
        <f>'Модель v2 базовая'!$E$87</f>
        <v>8.3333333333333339</v>
      </c>
      <c r="L28">
        <v>0.7</v>
      </c>
      <c r="M28">
        <f t="shared" si="17"/>
        <v>10</v>
      </c>
      <c r="N28">
        <f t="shared" ca="1" si="14"/>
        <v>4005.4883333333332</v>
      </c>
      <c r="O28">
        <f t="shared" ca="1" si="6"/>
        <v>2.0027441666666665</v>
      </c>
      <c r="T28" s="3" t="str">
        <f t="shared" si="15"/>
        <v>Шерсть</v>
      </c>
      <c r="U28" s="9">
        <f t="shared" si="7"/>
        <v>1.1067</v>
      </c>
      <c r="V28" s="9">
        <f t="shared" ca="1" si="8"/>
        <v>2.0027441666666665</v>
      </c>
      <c r="W28">
        <f t="shared" si="16"/>
        <v>2.76675</v>
      </c>
      <c r="X28" s="10"/>
    </row>
    <row r="29" spans="1:24" x14ac:dyDescent="0.25">
      <c r="A29" s="3" t="str">
        <f>'Модель v2 базовая'!A14</f>
        <v>Лен</v>
      </c>
      <c r="B29">
        <f>'Модель v2 базовая'!I14</f>
        <v>1.1729999999999998</v>
      </c>
      <c r="C29">
        <v>8</v>
      </c>
      <c r="D29">
        <f t="shared" si="9"/>
        <v>14</v>
      </c>
      <c r="E29" t="str">
        <f t="shared" si="10"/>
        <v>$N$8</v>
      </c>
      <c r="F29">
        <f t="shared" ca="1" si="11"/>
        <v>1100</v>
      </c>
      <c r="G29">
        <f t="shared" ca="1" si="12"/>
        <v>3.4375</v>
      </c>
      <c r="H29">
        <f>'Модель v2 базовая'!$G$87</f>
        <v>2500</v>
      </c>
      <c r="I29">
        <f t="shared" ca="1" si="13"/>
        <v>286.45833333333331</v>
      </c>
      <c r="J29">
        <v>2000</v>
      </c>
      <c r="K29">
        <f>'Модель v2 базовая'!$E$87</f>
        <v>8.3333333333333339</v>
      </c>
      <c r="L29">
        <v>0.7</v>
      </c>
      <c r="M29">
        <f t="shared" si="17"/>
        <v>10</v>
      </c>
      <c r="N29">
        <f t="shared" ca="1" si="14"/>
        <v>4282.991666666665</v>
      </c>
      <c r="O29">
        <f t="shared" ca="1" si="6"/>
        <v>2.1414958333333325</v>
      </c>
      <c r="T29" s="3" t="str">
        <f t="shared" si="15"/>
        <v>Лен</v>
      </c>
      <c r="U29" s="9">
        <f t="shared" si="7"/>
        <v>1.1729999999999998</v>
      </c>
      <c r="V29" s="9">
        <f t="shared" ca="1" si="8"/>
        <v>2.1414958333333325</v>
      </c>
      <c r="W29">
        <f t="shared" si="16"/>
        <v>2.9324999999999997</v>
      </c>
      <c r="X29" s="10"/>
    </row>
    <row r="30" spans="1:24" x14ac:dyDescent="0.25">
      <c r="A30" s="3" t="str">
        <f>'Модель v2 базовая'!A15</f>
        <v>Вода</v>
      </c>
      <c r="B30">
        <f>'Модель v2 базовая'!I15</f>
        <v>1.2825</v>
      </c>
      <c r="C30">
        <v>5</v>
      </c>
      <c r="D30">
        <f t="shared" si="9"/>
        <v>14</v>
      </c>
      <c r="E30" t="str">
        <f t="shared" si="10"/>
        <v>$N$5</v>
      </c>
      <c r="F30">
        <f t="shared" ca="1" si="11"/>
        <v>980</v>
      </c>
      <c r="G30">
        <f t="shared" ca="1" si="12"/>
        <v>3.0625</v>
      </c>
      <c r="H30">
        <f>'Модель v2 базовая'!$G$87</f>
        <v>2500</v>
      </c>
      <c r="I30">
        <f t="shared" ca="1" si="13"/>
        <v>255.20833333333331</v>
      </c>
      <c r="J30">
        <v>2000</v>
      </c>
      <c r="K30">
        <f>'Модель v2 базовая'!$E$87</f>
        <v>8.3333333333333339</v>
      </c>
      <c r="L30">
        <v>0.7</v>
      </c>
      <c r="M30">
        <f t="shared" si="17"/>
        <v>10</v>
      </c>
      <c r="N30">
        <f t="shared" ca="1" si="14"/>
        <v>4624.0416666666661</v>
      </c>
      <c r="O30">
        <f t="shared" ca="1" si="6"/>
        <v>2.312020833333333</v>
      </c>
      <c r="T30" s="3" t="str">
        <f t="shared" si="15"/>
        <v>Вода</v>
      </c>
      <c r="U30" s="9">
        <f t="shared" si="7"/>
        <v>1.2825</v>
      </c>
      <c r="V30" s="9">
        <f t="shared" ca="1" si="8"/>
        <v>2.312020833333333</v>
      </c>
      <c r="W30">
        <f t="shared" si="16"/>
        <v>3.2062499999999998</v>
      </c>
      <c r="X30" s="10"/>
    </row>
    <row r="31" spans="1:24" x14ac:dyDescent="0.25">
      <c r="A31" s="3" t="str">
        <f>'Модель v2 базовая'!A16</f>
        <v>Золотая руда</v>
      </c>
      <c r="B31">
        <f>'Модель v2 базовая'!I16</f>
        <v>1.3362499999999999</v>
      </c>
      <c r="C31">
        <v>9</v>
      </c>
      <c r="D31">
        <f t="shared" si="9"/>
        <v>14</v>
      </c>
      <c r="E31" t="str">
        <f t="shared" si="10"/>
        <v>$N$9</v>
      </c>
      <c r="F31">
        <f t="shared" ca="1" si="11"/>
        <v>1300</v>
      </c>
      <c r="G31">
        <f t="shared" ca="1" si="12"/>
        <v>4.0625</v>
      </c>
      <c r="H31">
        <f>'Модель v2 базовая'!$G$87</f>
        <v>2500</v>
      </c>
      <c r="I31">
        <f t="shared" ca="1" si="13"/>
        <v>338.54166666666663</v>
      </c>
      <c r="J31">
        <v>2000</v>
      </c>
      <c r="K31">
        <f>'Модель v2 базовая'!$E$87</f>
        <v>8.3333333333333339</v>
      </c>
      <c r="L31">
        <v>0.7</v>
      </c>
      <c r="M31">
        <f t="shared" si="17"/>
        <v>10</v>
      </c>
      <c r="N31">
        <f t="shared" ca="1" si="14"/>
        <v>4890.125</v>
      </c>
      <c r="O31">
        <f t="shared" ca="1" si="6"/>
        <v>2.4450625000000001</v>
      </c>
      <c r="T31" s="3" t="str">
        <f t="shared" si="15"/>
        <v>Золотая руда</v>
      </c>
      <c r="U31" s="9">
        <f t="shared" si="7"/>
        <v>1.3362499999999999</v>
      </c>
      <c r="V31" s="9">
        <f t="shared" ca="1" si="8"/>
        <v>2.4450625000000001</v>
      </c>
      <c r="W31">
        <f t="shared" si="16"/>
        <v>3.3406249999999997</v>
      </c>
      <c r="X31" s="10"/>
    </row>
    <row r="32" spans="1:24" x14ac:dyDescent="0.25">
      <c r="A32" s="3" t="str">
        <f>'Модель v2 базовая'!A17</f>
        <v>Лекарственные травы</v>
      </c>
      <c r="B32">
        <f>'Модель v2 базовая'!I17</f>
        <v>1.14975</v>
      </c>
      <c r="C32">
        <v>8</v>
      </c>
      <c r="D32">
        <f t="shared" si="9"/>
        <v>14</v>
      </c>
      <c r="E32" t="str">
        <f t="shared" si="10"/>
        <v>$N$8</v>
      </c>
      <c r="F32">
        <f t="shared" ca="1" si="11"/>
        <v>1100</v>
      </c>
      <c r="G32">
        <f t="shared" ca="1" si="12"/>
        <v>3.4375</v>
      </c>
      <c r="H32">
        <f>'Модель v2 базовая'!$G$87</f>
        <v>2500</v>
      </c>
      <c r="I32">
        <f t="shared" ca="1" si="13"/>
        <v>286.45833333333331</v>
      </c>
      <c r="J32">
        <v>2000</v>
      </c>
      <c r="K32">
        <f>'Модель v2 базовая'!$E$87</f>
        <v>8.3333333333333339</v>
      </c>
      <c r="L32">
        <v>0.7</v>
      </c>
      <c r="M32">
        <f t="shared" si="17"/>
        <v>10</v>
      </c>
      <c r="N32">
        <f t="shared" ca="1" si="14"/>
        <v>4203.9416666666657</v>
      </c>
      <c r="O32">
        <f t="shared" ca="1" si="6"/>
        <v>2.1019708333333327</v>
      </c>
      <c r="T32" s="3" t="str">
        <f t="shared" si="15"/>
        <v>Лекарственные травы</v>
      </c>
      <c r="U32" s="9">
        <f t="shared" si="7"/>
        <v>1.14975</v>
      </c>
      <c r="V32" s="9">
        <f t="shared" ca="1" si="8"/>
        <v>2.1019708333333327</v>
      </c>
      <c r="W32">
        <f t="shared" si="16"/>
        <v>2.8743750000000001</v>
      </c>
      <c r="X32" s="10"/>
    </row>
    <row r="33" spans="1:24" x14ac:dyDescent="0.25">
      <c r="A33" s="3" t="str">
        <f>'Модель v2 базовая'!A18</f>
        <v>Специи</v>
      </c>
      <c r="B33">
        <f>'Модель v2 базовая'!I18</f>
        <v>1.2284999999999999</v>
      </c>
      <c r="C33">
        <v>8</v>
      </c>
      <c r="D33">
        <f t="shared" si="9"/>
        <v>14</v>
      </c>
      <c r="E33" t="str">
        <f t="shared" si="10"/>
        <v>$N$8</v>
      </c>
      <c r="F33">
        <f t="shared" ca="1" si="11"/>
        <v>1100</v>
      </c>
      <c r="G33">
        <f t="shared" ca="1" si="12"/>
        <v>3.4375</v>
      </c>
      <c r="H33">
        <f>'Модель v2 базовая'!$G$87</f>
        <v>2500</v>
      </c>
      <c r="I33">
        <f t="shared" ca="1" si="13"/>
        <v>286.45833333333331</v>
      </c>
      <c r="J33">
        <v>2000</v>
      </c>
      <c r="K33">
        <f>'Модель v2 базовая'!$E$87</f>
        <v>8.3333333333333339</v>
      </c>
      <c r="L33">
        <v>0.7</v>
      </c>
      <c r="M33">
        <f t="shared" si="17"/>
        <v>10</v>
      </c>
      <c r="N33">
        <f t="shared" ca="1" si="14"/>
        <v>4471.6916666666657</v>
      </c>
      <c r="O33">
        <f t="shared" ca="1" si="6"/>
        <v>2.2358458333333329</v>
      </c>
      <c r="T33" s="3" t="str">
        <f t="shared" si="15"/>
        <v>Специи</v>
      </c>
      <c r="U33" s="9">
        <f t="shared" si="7"/>
        <v>1.2284999999999999</v>
      </c>
      <c r="V33" s="9">
        <f t="shared" ca="1" si="8"/>
        <v>2.2358458333333329</v>
      </c>
      <c r="W33">
        <f t="shared" si="16"/>
        <v>3.07125</v>
      </c>
      <c r="X33" s="10"/>
    </row>
    <row r="34" spans="1:24" x14ac:dyDescent="0.25">
      <c r="A34" s="3" t="str">
        <f>'Модель v2 базовая'!A19</f>
        <v>Песок</v>
      </c>
      <c r="B34">
        <f>'Модель v2 базовая'!I19</f>
        <v>1.1088</v>
      </c>
      <c r="C34">
        <v>7</v>
      </c>
      <c r="D34">
        <f t="shared" si="9"/>
        <v>14</v>
      </c>
      <c r="E34" t="str">
        <f t="shared" si="10"/>
        <v>$N$7</v>
      </c>
      <c r="F34">
        <f t="shared" ca="1" si="11"/>
        <v>880</v>
      </c>
      <c r="G34">
        <f t="shared" ca="1" si="12"/>
        <v>2.75</v>
      </c>
      <c r="H34">
        <f>'Модель v2 базовая'!$G$87</f>
        <v>2500</v>
      </c>
      <c r="I34">
        <f t="shared" ca="1" si="13"/>
        <v>229.16666666666666</v>
      </c>
      <c r="J34">
        <v>2000</v>
      </c>
      <c r="K34">
        <f>'Модель v2 базовая'!$E$87</f>
        <v>8.3333333333333339</v>
      </c>
      <c r="L34">
        <v>0.7</v>
      </c>
      <c r="M34">
        <f t="shared" si="17"/>
        <v>10</v>
      </c>
      <c r="N34">
        <f t="shared" ca="1" si="14"/>
        <v>4007.42</v>
      </c>
      <c r="O34">
        <f t="shared" ca="1" si="6"/>
        <v>2.0037099999999999</v>
      </c>
      <c r="T34" s="3" t="str">
        <f t="shared" si="15"/>
        <v>Песок</v>
      </c>
      <c r="U34" s="9">
        <f t="shared" si="7"/>
        <v>1.1088</v>
      </c>
      <c r="V34" s="9">
        <f t="shared" ca="1" si="8"/>
        <v>2.0037099999999999</v>
      </c>
      <c r="W34">
        <f t="shared" si="16"/>
        <v>2.7720000000000002</v>
      </c>
      <c r="X34" s="10"/>
    </row>
    <row r="35" spans="1:24" x14ac:dyDescent="0.25">
      <c r="A35" s="3" t="str">
        <f>'Модель v2 базовая'!A20</f>
        <v>Воск</v>
      </c>
      <c r="B35">
        <f>'Модель v2 базовая'!I20</f>
        <v>1.0485599999999999</v>
      </c>
      <c r="C35">
        <v>5</v>
      </c>
      <c r="D35">
        <f t="shared" si="9"/>
        <v>14</v>
      </c>
      <c r="E35" t="str">
        <f t="shared" si="10"/>
        <v>$N$5</v>
      </c>
      <c r="F35">
        <f t="shared" ca="1" si="11"/>
        <v>980</v>
      </c>
      <c r="G35">
        <f t="shared" ca="1" si="12"/>
        <v>3.0625</v>
      </c>
      <c r="H35">
        <f>'Модель v2 базовая'!$G$87</f>
        <v>2500</v>
      </c>
      <c r="I35">
        <f t="shared" ca="1" si="13"/>
        <v>255.20833333333331</v>
      </c>
      <c r="J35">
        <v>2000</v>
      </c>
      <c r="K35">
        <f>'Модель v2 базовая'!$E$87</f>
        <v>8.3333333333333339</v>
      </c>
      <c r="L35">
        <v>0.7</v>
      </c>
      <c r="M35">
        <f t="shared" si="17"/>
        <v>10</v>
      </c>
      <c r="N35">
        <f t="shared" ca="1" si="14"/>
        <v>3828.6456666666668</v>
      </c>
      <c r="O35">
        <f t="shared" ca="1" si="6"/>
        <v>1.9143228333333333</v>
      </c>
      <c r="T35" s="3" t="str">
        <f t="shared" si="15"/>
        <v>Воск</v>
      </c>
      <c r="U35" s="9">
        <f t="shared" si="7"/>
        <v>1.0485599999999999</v>
      </c>
      <c r="V35" s="9">
        <f t="shared" ca="1" si="8"/>
        <v>1.9143228333333333</v>
      </c>
      <c r="W35">
        <f t="shared" si="16"/>
        <v>2.6214</v>
      </c>
      <c r="X35" s="10"/>
    </row>
    <row r="36" spans="1:24" x14ac:dyDescent="0.25">
      <c r="A36" s="3" t="str">
        <f>'Модель v2 базовая'!A21</f>
        <v>Мед</v>
      </c>
      <c r="B36">
        <f>'Модель v2 базовая'!I21</f>
        <v>1.7442000000000002</v>
      </c>
      <c r="C36">
        <v>5</v>
      </c>
      <c r="D36">
        <f t="shared" si="9"/>
        <v>14</v>
      </c>
      <c r="E36" t="str">
        <f t="shared" si="10"/>
        <v>$N$5</v>
      </c>
      <c r="F36">
        <f t="shared" ca="1" si="11"/>
        <v>980</v>
      </c>
      <c r="G36">
        <f t="shared" ca="1" si="12"/>
        <v>3.0625</v>
      </c>
      <c r="H36">
        <f>'Модель v2 базовая'!$G$87</f>
        <v>2500</v>
      </c>
      <c r="I36">
        <f t="shared" ca="1" si="13"/>
        <v>255.20833333333331</v>
      </c>
      <c r="J36">
        <v>2000</v>
      </c>
      <c r="K36">
        <f>'Модель v2 базовая'!$E$87</f>
        <v>8.3333333333333339</v>
      </c>
      <c r="L36">
        <v>0.7</v>
      </c>
      <c r="M36">
        <f t="shared" si="17"/>
        <v>10</v>
      </c>
      <c r="N36">
        <f t="shared" ca="1" si="14"/>
        <v>6193.8216666666667</v>
      </c>
      <c r="O36">
        <f t="shared" ca="1" si="6"/>
        <v>3.0969108333333333</v>
      </c>
      <c r="T36" s="3" t="str">
        <f t="shared" si="15"/>
        <v>Мед</v>
      </c>
      <c r="U36" s="9">
        <f t="shared" si="7"/>
        <v>1.7442000000000002</v>
      </c>
      <c r="V36" s="9">
        <f t="shared" ca="1" si="8"/>
        <v>3.0969108333333333</v>
      </c>
      <c r="W36">
        <f t="shared" si="16"/>
        <v>4.3605</v>
      </c>
      <c r="X36" s="10"/>
    </row>
    <row r="37" spans="1:24" x14ac:dyDescent="0.25">
      <c r="A37" s="3" t="str">
        <f>'Модель v2 базовая'!A22</f>
        <v>Перья</v>
      </c>
      <c r="B37">
        <f>'Модель v2 базовая'!I22</f>
        <v>1.2075</v>
      </c>
      <c r="C37">
        <v>4</v>
      </c>
      <c r="D37">
        <f t="shared" si="9"/>
        <v>14</v>
      </c>
      <c r="E37" t="str">
        <f t="shared" si="10"/>
        <v>$N$4</v>
      </c>
      <c r="F37">
        <f t="shared" ca="1" si="11"/>
        <v>900</v>
      </c>
      <c r="G37">
        <f t="shared" ca="1" si="12"/>
        <v>2.8125</v>
      </c>
      <c r="H37">
        <f>'Модель v2 базовая'!$G$87</f>
        <v>2500</v>
      </c>
      <c r="I37">
        <f t="shared" ca="1" si="13"/>
        <v>234.375</v>
      </c>
      <c r="J37">
        <v>2000</v>
      </c>
      <c r="K37">
        <f>'Модель v2 базовая'!$E$87</f>
        <v>8.3333333333333339</v>
      </c>
      <c r="L37">
        <v>0.7</v>
      </c>
      <c r="M37">
        <f t="shared" si="17"/>
        <v>10</v>
      </c>
      <c r="N37">
        <f t="shared" ca="1" si="14"/>
        <v>4348.208333333333</v>
      </c>
      <c r="O37">
        <f t="shared" ca="1" si="6"/>
        <v>2.1741041666666665</v>
      </c>
      <c r="T37" s="3" t="str">
        <f t="shared" si="15"/>
        <v>Перья</v>
      </c>
      <c r="U37" s="9">
        <f t="shared" si="7"/>
        <v>1.2075</v>
      </c>
      <c r="V37" s="9">
        <f t="shared" ca="1" si="8"/>
        <v>2.1741041666666665</v>
      </c>
      <c r="W37">
        <f t="shared" si="16"/>
        <v>3.0187499999999998</v>
      </c>
      <c r="X37" s="10"/>
    </row>
    <row r="38" spans="1:24" x14ac:dyDescent="0.25">
      <c r="A38" s="3" t="str">
        <f>'Модель v2 базовая'!A23</f>
        <v>Яйца</v>
      </c>
      <c r="B38">
        <f>'Модель v2 базовая'!I23</f>
        <v>1.0329999999999999</v>
      </c>
      <c r="C38">
        <v>4</v>
      </c>
      <c r="D38">
        <f t="shared" si="9"/>
        <v>14</v>
      </c>
      <c r="E38" t="str">
        <f t="shared" si="10"/>
        <v>$N$4</v>
      </c>
      <c r="F38">
        <f t="shared" ca="1" si="11"/>
        <v>900</v>
      </c>
      <c r="G38">
        <f t="shared" ca="1" si="12"/>
        <v>2.8125</v>
      </c>
      <c r="H38">
        <f>'Модель v2 базовая'!$G$87</f>
        <v>2500</v>
      </c>
      <c r="I38">
        <f t="shared" ca="1" si="13"/>
        <v>234.375</v>
      </c>
      <c r="J38">
        <v>2000</v>
      </c>
      <c r="K38">
        <f>'Модель v2 базовая'!$E$87</f>
        <v>8.3333333333333339</v>
      </c>
      <c r="L38">
        <v>0.7</v>
      </c>
      <c r="M38">
        <f t="shared" si="17"/>
        <v>10</v>
      </c>
      <c r="N38">
        <f t="shared" ca="1" si="14"/>
        <v>3754.9083333333333</v>
      </c>
      <c r="O38">
        <f t="shared" ca="1" si="6"/>
        <v>1.8774541666666666</v>
      </c>
      <c r="T38" s="3" t="str">
        <f t="shared" si="15"/>
        <v>Яйца</v>
      </c>
      <c r="U38" s="9">
        <f t="shared" si="7"/>
        <v>1.0329999999999999</v>
      </c>
      <c r="V38" s="9">
        <f t="shared" ca="1" si="8"/>
        <v>1.8774541666666666</v>
      </c>
      <c r="W38">
        <f t="shared" si="16"/>
        <v>2.5824999999999996</v>
      </c>
      <c r="X38" s="10"/>
    </row>
    <row r="39" spans="1:24" x14ac:dyDescent="0.25">
      <c r="A39" s="3" t="str">
        <f>'Модель v2 базовая'!A24</f>
        <v>Шелк</v>
      </c>
      <c r="B39">
        <f>'Модель v2 базовая'!I24</f>
        <v>1.45</v>
      </c>
      <c r="C39">
        <v>4</v>
      </c>
      <c r="D39">
        <f t="shared" si="9"/>
        <v>14</v>
      </c>
      <c r="E39" t="str">
        <f t="shared" si="10"/>
        <v>$N$4</v>
      </c>
      <c r="F39">
        <f t="shared" ca="1" si="11"/>
        <v>900</v>
      </c>
      <c r="G39">
        <f t="shared" ca="1" si="12"/>
        <v>2.8125</v>
      </c>
      <c r="H39">
        <f>'Модель v2 базовая'!$G$87</f>
        <v>2500</v>
      </c>
      <c r="I39">
        <f t="shared" ca="1" si="13"/>
        <v>234.375</v>
      </c>
      <c r="J39">
        <v>2000</v>
      </c>
      <c r="K39">
        <f>'Модель v2 базовая'!$E$87</f>
        <v>8.3333333333333339</v>
      </c>
      <c r="L39">
        <v>0.7</v>
      </c>
      <c r="M39">
        <f t="shared" si="17"/>
        <v>10</v>
      </c>
      <c r="N39">
        <f t="shared" ca="1" si="14"/>
        <v>5172.708333333333</v>
      </c>
      <c r="O39">
        <f t="shared" ca="1" si="6"/>
        <v>2.5863541666666667</v>
      </c>
      <c r="T39" s="3" t="str">
        <f t="shared" si="15"/>
        <v>Шелк</v>
      </c>
      <c r="U39" s="9">
        <f t="shared" si="7"/>
        <v>1.45</v>
      </c>
      <c r="V39" s="9">
        <f t="shared" ca="1" si="8"/>
        <v>2.5863541666666667</v>
      </c>
      <c r="W39">
        <f t="shared" si="16"/>
        <v>3.625</v>
      </c>
      <c r="X39" s="10"/>
    </row>
    <row r="40" spans="1:24" x14ac:dyDescent="0.25">
      <c r="A40" s="3" t="str">
        <f>'Модель v2 базовая'!A30</f>
        <v>КМ0</v>
      </c>
      <c r="B40">
        <f>'Модель v2 базовая'!I30</f>
        <v>300</v>
      </c>
      <c r="C40">
        <v>6</v>
      </c>
      <c r="D40">
        <f t="shared" si="9"/>
        <v>14</v>
      </c>
      <c r="E40" t="str">
        <f t="shared" si="10"/>
        <v>$N$6</v>
      </c>
      <c r="F40">
        <f t="shared" ca="1" si="11"/>
        <v>1460</v>
      </c>
      <c r="G40">
        <f t="shared" ca="1" si="12"/>
        <v>4.5625</v>
      </c>
      <c r="H40">
        <f>'Модель v2 базовая'!$G$84</f>
        <v>500</v>
      </c>
      <c r="I40">
        <f t="shared" ca="1" si="13"/>
        <v>76.041666666666671</v>
      </c>
      <c r="J40">
        <v>10</v>
      </c>
      <c r="K40">
        <f>'Модель v2 базовая'!$E$85</f>
        <v>2.5</v>
      </c>
      <c r="L40">
        <v>2</v>
      </c>
      <c r="M40">
        <f t="shared" si="17"/>
        <v>10</v>
      </c>
      <c r="N40">
        <f t="shared" ca="1" si="14"/>
        <v>9078.5416666666661</v>
      </c>
      <c r="O40">
        <f t="shared" ca="1" si="6"/>
        <v>907.85416666666663</v>
      </c>
      <c r="T40" s="3" t="str">
        <f t="shared" si="15"/>
        <v>КМ0</v>
      </c>
      <c r="U40" s="9">
        <f t="shared" si="7"/>
        <v>300</v>
      </c>
      <c r="V40" s="9">
        <f t="shared" ca="1" si="8"/>
        <v>907.85416666666663</v>
      </c>
      <c r="W40">
        <f t="shared" si="16"/>
        <v>750</v>
      </c>
      <c r="X40" s="10"/>
    </row>
    <row r="41" spans="1:24" x14ac:dyDescent="0.25">
      <c r="A41" s="3" t="str">
        <f>'Модель v2 базовая'!A31</f>
        <v>КМ1</v>
      </c>
      <c r="B41">
        <f>'Модель v2 базовая'!I31</f>
        <v>600</v>
      </c>
      <c r="C41">
        <v>6</v>
      </c>
      <c r="D41">
        <f t="shared" si="9"/>
        <v>14</v>
      </c>
      <c r="E41" t="str">
        <f t="shared" ref="E41:E53" si="18" xml:space="preserve"> ADDRESS(C41,D41)</f>
        <v>$N$6</v>
      </c>
      <c r="F41">
        <f t="shared" ca="1" si="11"/>
        <v>1460</v>
      </c>
      <c r="G41">
        <f t="shared" ca="1" si="12"/>
        <v>4.5625</v>
      </c>
      <c r="H41">
        <f>'Модель v2 базовая'!$G$84</f>
        <v>500</v>
      </c>
      <c r="I41">
        <f t="shared" ca="1" si="13"/>
        <v>76.041666666666671</v>
      </c>
      <c r="J41">
        <v>10</v>
      </c>
      <c r="K41">
        <f>'Модель v2 базовая'!$E$85</f>
        <v>2.5</v>
      </c>
      <c r="L41">
        <v>2</v>
      </c>
      <c r="M41">
        <f t="shared" si="17"/>
        <v>10</v>
      </c>
      <c r="N41">
        <f t="shared" ca="1" si="14"/>
        <v>18078.541666666668</v>
      </c>
      <c r="O41">
        <f t="shared" ca="1" si="6"/>
        <v>1807.8541666666667</v>
      </c>
      <c r="T41" s="3" t="str">
        <f t="shared" si="15"/>
        <v>КМ1</v>
      </c>
      <c r="U41" s="9">
        <f t="shared" si="7"/>
        <v>600</v>
      </c>
      <c r="V41" s="9">
        <f t="shared" ca="1" si="8"/>
        <v>1807.8541666666667</v>
      </c>
      <c r="W41">
        <f t="shared" si="16"/>
        <v>1500</v>
      </c>
      <c r="X41" s="10"/>
    </row>
    <row r="42" spans="1:24" x14ac:dyDescent="0.25">
      <c r="A42" s="3" t="str">
        <f>'Модель v2 базовая'!A32</f>
        <v>КМ2</v>
      </c>
      <c r="B42">
        <f>'Модель v2 базовая'!I32</f>
        <v>1200</v>
      </c>
      <c r="C42">
        <v>6</v>
      </c>
      <c r="D42">
        <f t="shared" si="9"/>
        <v>14</v>
      </c>
      <c r="E42" t="str">
        <f t="shared" si="18"/>
        <v>$N$6</v>
      </c>
      <c r="F42">
        <f t="shared" ca="1" si="11"/>
        <v>1460</v>
      </c>
      <c r="G42">
        <f t="shared" ca="1" si="12"/>
        <v>4.5625</v>
      </c>
      <c r="H42">
        <f>'Модель v2 базовая'!$G$84</f>
        <v>500</v>
      </c>
      <c r="I42">
        <f t="shared" ca="1" si="13"/>
        <v>76.041666666666671</v>
      </c>
      <c r="J42">
        <v>10</v>
      </c>
      <c r="K42">
        <f>'Модель v2 базовая'!$E$85</f>
        <v>2.5</v>
      </c>
      <c r="L42">
        <v>2</v>
      </c>
      <c r="M42">
        <f t="shared" si="17"/>
        <v>10</v>
      </c>
      <c r="N42">
        <f t="shared" ca="1" si="14"/>
        <v>36078.541666666664</v>
      </c>
      <c r="O42">
        <f t="shared" ca="1" si="6"/>
        <v>3607.8541666666665</v>
      </c>
      <c r="T42" s="3" t="str">
        <f t="shared" si="15"/>
        <v>КМ2</v>
      </c>
      <c r="U42" s="9">
        <f t="shared" si="7"/>
        <v>1200</v>
      </c>
      <c r="V42" s="9">
        <f t="shared" ca="1" si="8"/>
        <v>3607.8541666666665</v>
      </c>
      <c r="W42">
        <f t="shared" si="16"/>
        <v>3000</v>
      </c>
      <c r="X42" s="10"/>
    </row>
    <row r="43" spans="1:24" x14ac:dyDescent="0.25">
      <c r="A43" s="3" t="str">
        <f>'Модель v2 базовая'!A33</f>
        <v>КМ3</v>
      </c>
      <c r="B43">
        <f>'Модель v2 базовая'!I33</f>
        <v>2400</v>
      </c>
      <c r="C43">
        <v>6</v>
      </c>
      <c r="D43">
        <f t="shared" si="9"/>
        <v>14</v>
      </c>
      <c r="E43" t="str">
        <f t="shared" si="18"/>
        <v>$N$6</v>
      </c>
      <c r="F43">
        <f t="shared" ca="1" si="11"/>
        <v>1460</v>
      </c>
      <c r="G43">
        <f t="shared" ca="1" si="12"/>
        <v>4.5625</v>
      </c>
      <c r="H43">
        <f>'Модель v2 базовая'!$G$84</f>
        <v>500</v>
      </c>
      <c r="I43">
        <f t="shared" ca="1" si="13"/>
        <v>76.041666666666671</v>
      </c>
      <c r="J43">
        <v>10</v>
      </c>
      <c r="K43">
        <f>'Модель v2 базовая'!$E$85</f>
        <v>2.5</v>
      </c>
      <c r="L43">
        <v>2</v>
      </c>
      <c r="M43">
        <f t="shared" si="17"/>
        <v>10</v>
      </c>
      <c r="N43">
        <f t="shared" ca="1" si="14"/>
        <v>72078.541666666672</v>
      </c>
      <c r="O43">
        <f t="shared" ca="1" si="6"/>
        <v>7207.854166666667</v>
      </c>
      <c r="T43" s="3" t="str">
        <f t="shared" si="15"/>
        <v>КМ3</v>
      </c>
      <c r="U43" s="9">
        <f t="shared" si="7"/>
        <v>2400</v>
      </c>
      <c r="V43" s="9">
        <f t="shared" ca="1" si="8"/>
        <v>7207.854166666667</v>
      </c>
      <c r="W43">
        <f t="shared" si="16"/>
        <v>6000</v>
      </c>
      <c r="X43" s="10"/>
    </row>
    <row r="44" spans="1:24" x14ac:dyDescent="0.25">
      <c r="A44" s="3" t="str">
        <f>'Модель v2 базовая'!A34</f>
        <v>КМ4</v>
      </c>
      <c r="B44">
        <f>'Модель v2 базовая'!I34</f>
        <v>4800</v>
      </c>
      <c r="C44">
        <v>6</v>
      </c>
      <c r="D44">
        <f t="shared" si="9"/>
        <v>14</v>
      </c>
      <c r="E44" t="str">
        <f t="shared" si="18"/>
        <v>$N$6</v>
      </c>
      <c r="F44">
        <f t="shared" ca="1" si="11"/>
        <v>1460</v>
      </c>
      <c r="G44">
        <f t="shared" ca="1" si="12"/>
        <v>4.5625</v>
      </c>
      <c r="H44">
        <f>'Модель v2 базовая'!$G$84</f>
        <v>500</v>
      </c>
      <c r="I44">
        <f t="shared" ca="1" si="13"/>
        <v>76.041666666666671</v>
      </c>
      <c r="J44">
        <v>10</v>
      </c>
      <c r="K44">
        <f>'Модель v2 базовая'!$E$85</f>
        <v>2.5</v>
      </c>
      <c r="L44">
        <v>2</v>
      </c>
      <c r="M44">
        <f t="shared" si="17"/>
        <v>10</v>
      </c>
      <c r="N44">
        <f t="shared" ca="1" si="14"/>
        <v>144078.54166666666</v>
      </c>
      <c r="O44">
        <f t="shared" ca="1" si="6"/>
        <v>14407.854166666666</v>
      </c>
      <c r="T44" s="3" t="str">
        <f t="shared" si="15"/>
        <v>КМ4</v>
      </c>
      <c r="U44" s="9">
        <f t="shared" si="7"/>
        <v>4800</v>
      </c>
      <c r="V44" s="9">
        <f t="shared" ca="1" si="8"/>
        <v>14407.854166666666</v>
      </c>
      <c r="W44">
        <f t="shared" si="16"/>
        <v>12000</v>
      </c>
      <c r="X44" s="10"/>
    </row>
    <row r="45" spans="1:24" x14ac:dyDescent="0.25">
      <c r="A45" s="3" t="str">
        <f>'Модель v2 базовая'!A35</f>
        <v>КМ5</v>
      </c>
      <c r="B45">
        <f>'Модель v2 базовая'!I35</f>
        <v>9600</v>
      </c>
      <c r="C45">
        <v>6</v>
      </c>
      <c r="D45">
        <f t="shared" si="9"/>
        <v>14</v>
      </c>
      <c r="E45" t="str">
        <f t="shared" si="18"/>
        <v>$N$6</v>
      </c>
      <c r="F45">
        <f t="shared" ca="1" si="11"/>
        <v>1460</v>
      </c>
      <c r="G45">
        <f t="shared" ca="1" si="12"/>
        <v>4.5625</v>
      </c>
      <c r="H45">
        <f>'Модель v2 базовая'!$G$84</f>
        <v>500</v>
      </c>
      <c r="I45">
        <f t="shared" ca="1" si="13"/>
        <v>76.041666666666671</v>
      </c>
      <c r="J45">
        <v>10</v>
      </c>
      <c r="K45">
        <f>'Модель v2 базовая'!$E$85</f>
        <v>2.5</v>
      </c>
      <c r="L45">
        <v>2</v>
      </c>
      <c r="M45">
        <f t="shared" si="17"/>
        <v>10</v>
      </c>
      <c r="N45">
        <f t="shared" ca="1" si="14"/>
        <v>288078.54166666669</v>
      </c>
      <c r="O45">
        <f t="shared" ca="1" si="6"/>
        <v>28807.854166666668</v>
      </c>
      <c r="T45" s="3" t="str">
        <f t="shared" si="15"/>
        <v>КМ5</v>
      </c>
      <c r="U45" s="9">
        <f t="shared" si="7"/>
        <v>9600</v>
      </c>
      <c r="V45" s="9">
        <f t="shared" ca="1" si="8"/>
        <v>28807.854166666668</v>
      </c>
      <c r="W45">
        <f t="shared" si="16"/>
        <v>24000</v>
      </c>
      <c r="X45" s="10"/>
    </row>
    <row r="46" spans="1:24" x14ac:dyDescent="0.25">
      <c r="A46" s="3" t="str">
        <f>'Модель v2 базовая'!A36</f>
        <v>КМ6</v>
      </c>
      <c r="B46">
        <f>'Модель v2 базовая'!I36</f>
        <v>19200</v>
      </c>
      <c r="C46">
        <v>6</v>
      </c>
      <c r="D46">
        <f t="shared" si="9"/>
        <v>14</v>
      </c>
      <c r="E46" t="str">
        <f t="shared" si="18"/>
        <v>$N$6</v>
      </c>
      <c r="F46">
        <f t="shared" ca="1" si="11"/>
        <v>1460</v>
      </c>
      <c r="G46">
        <f t="shared" ca="1" si="12"/>
        <v>4.5625</v>
      </c>
      <c r="H46">
        <f>'Модель v2 базовая'!$G$84</f>
        <v>500</v>
      </c>
      <c r="I46">
        <f t="shared" ca="1" si="13"/>
        <v>76.041666666666671</v>
      </c>
      <c r="J46">
        <v>10</v>
      </c>
      <c r="K46">
        <f>'Модель v2 базовая'!$E$85</f>
        <v>2.5</v>
      </c>
      <c r="L46">
        <v>2</v>
      </c>
      <c r="M46">
        <f t="shared" si="17"/>
        <v>10</v>
      </c>
      <c r="N46">
        <f t="shared" ca="1" si="14"/>
        <v>576078.54166666663</v>
      </c>
      <c r="O46">
        <f t="shared" ca="1" si="6"/>
        <v>57607.854166666664</v>
      </c>
      <c r="T46" s="3" t="str">
        <f t="shared" si="15"/>
        <v>КМ6</v>
      </c>
      <c r="U46" s="9">
        <f t="shared" si="7"/>
        <v>19200</v>
      </c>
      <c r="V46" s="9">
        <f t="shared" ca="1" si="8"/>
        <v>57607.854166666664</v>
      </c>
      <c r="W46">
        <f t="shared" si="16"/>
        <v>48000</v>
      </c>
      <c r="X46" s="10"/>
    </row>
    <row r="47" spans="1:24" x14ac:dyDescent="0.25">
      <c r="A47" s="3" t="str">
        <f>'Модель v2 базовая'!A37</f>
        <v>КМ7</v>
      </c>
      <c r="B47">
        <f>'Модель v2 базовая'!I37</f>
        <v>38400</v>
      </c>
      <c r="C47">
        <v>6</v>
      </c>
      <c r="D47">
        <f t="shared" si="9"/>
        <v>14</v>
      </c>
      <c r="E47" t="str">
        <f t="shared" si="18"/>
        <v>$N$6</v>
      </c>
      <c r="F47">
        <f t="shared" ca="1" si="11"/>
        <v>1460</v>
      </c>
      <c r="G47">
        <f t="shared" ca="1" si="12"/>
        <v>4.5625</v>
      </c>
      <c r="H47">
        <f>'Модель v2 базовая'!$G$84</f>
        <v>500</v>
      </c>
      <c r="I47">
        <f t="shared" ca="1" si="13"/>
        <v>76.041666666666671</v>
      </c>
      <c r="J47">
        <v>10</v>
      </c>
      <c r="K47">
        <f>'Модель v2 базовая'!$E$85</f>
        <v>2.5</v>
      </c>
      <c r="L47">
        <v>2</v>
      </c>
      <c r="M47">
        <f t="shared" si="17"/>
        <v>10</v>
      </c>
      <c r="N47">
        <f t="shared" ca="1" si="14"/>
        <v>1152078.5416666667</v>
      </c>
      <c r="O47">
        <f t="shared" ca="1" si="6"/>
        <v>115207.85416666667</v>
      </c>
      <c r="T47" s="3" t="str">
        <f t="shared" si="15"/>
        <v>КМ7</v>
      </c>
      <c r="U47" s="9">
        <f t="shared" si="7"/>
        <v>38400</v>
      </c>
      <c r="V47" s="9">
        <f t="shared" ca="1" si="8"/>
        <v>115207.85416666667</v>
      </c>
      <c r="W47">
        <f t="shared" si="16"/>
        <v>96000</v>
      </c>
      <c r="X47" s="10"/>
    </row>
    <row r="48" spans="1:24" x14ac:dyDescent="0.25">
      <c r="A48" s="3" t="str">
        <f>'Модель v2 базовая'!A38</f>
        <v>КМ8</v>
      </c>
      <c r="B48">
        <f>'Модель v2 базовая'!I38</f>
        <v>76800</v>
      </c>
      <c r="C48">
        <v>6</v>
      </c>
      <c r="D48">
        <f t="shared" si="9"/>
        <v>14</v>
      </c>
      <c r="E48" t="str">
        <f t="shared" si="18"/>
        <v>$N$6</v>
      </c>
      <c r="F48">
        <f t="shared" ca="1" si="11"/>
        <v>1460</v>
      </c>
      <c r="G48">
        <f t="shared" ca="1" si="12"/>
        <v>4.5625</v>
      </c>
      <c r="H48">
        <f>'Модель v2 базовая'!$G$84</f>
        <v>500</v>
      </c>
      <c r="I48">
        <f t="shared" ca="1" si="13"/>
        <v>76.041666666666671</v>
      </c>
      <c r="J48">
        <v>10</v>
      </c>
      <c r="K48">
        <f>'Модель v2 базовая'!$E$85</f>
        <v>2.5</v>
      </c>
      <c r="L48">
        <v>2</v>
      </c>
      <c r="M48">
        <f t="shared" si="17"/>
        <v>10</v>
      </c>
      <c r="N48">
        <f t="shared" ca="1" si="14"/>
        <v>2304078.5416666665</v>
      </c>
      <c r="O48">
        <f t="shared" ca="1" si="6"/>
        <v>230407.85416666666</v>
      </c>
      <c r="T48" s="3" t="str">
        <f t="shared" si="15"/>
        <v>КМ8</v>
      </c>
      <c r="U48" s="9">
        <f t="shared" si="7"/>
        <v>76800</v>
      </c>
      <c r="V48" s="9">
        <f t="shared" ca="1" si="8"/>
        <v>230407.85416666666</v>
      </c>
      <c r="W48">
        <f t="shared" si="16"/>
        <v>192000</v>
      </c>
      <c r="X48" s="10"/>
    </row>
    <row r="49" spans="1:24" x14ac:dyDescent="0.25">
      <c r="A49" s="3" t="str">
        <f>'Модель v2 базовая'!A39</f>
        <v>КМ9</v>
      </c>
      <c r="B49">
        <f>'Модель v2 базовая'!I39</f>
        <v>153600</v>
      </c>
      <c r="C49">
        <v>6</v>
      </c>
      <c r="D49">
        <f t="shared" si="9"/>
        <v>14</v>
      </c>
      <c r="E49" t="str">
        <f t="shared" si="18"/>
        <v>$N$6</v>
      </c>
      <c r="F49">
        <f t="shared" ca="1" si="11"/>
        <v>1460</v>
      </c>
      <c r="G49">
        <f t="shared" ca="1" si="12"/>
        <v>4.5625</v>
      </c>
      <c r="H49">
        <f>'Модель v2 базовая'!$G$84</f>
        <v>500</v>
      </c>
      <c r="I49">
        <f t="shared" ca="1" si="13"/>
        <v>76.041666666666671</v>
      </c>
      <c r="J49">
        <v>10</v>
      </c>
      <c r="K49">
        <f>'Модель v2 базовая'!$E$85</f>
        <v>2.5</v>
      </c>
      <c r="L49">
        <v>2</v>
      </c>
      <c r="M49">
        <f t="shared" si="17"/>
        <v>10</v>
      </c>
      <c r="N49">
        <f t="shared" ca="1" si="14"/>
        <v>4608078.541666667</v>
      </c>
      <c r="O49">
        <f t="shared" ca="1" si="6"/>
        <v>460807.85416666669</v>
      </c>
      <c r="T49" s="3" t="str">
        <f t="shared" si="15"/>
        <v>КМ9</v>
      </c>
      <c r="U49" s="9">
        <f t="shared" si="7"/>
        <v>153600</v>
      </c>
      <c r="V49" s="9">
        <f t="shared" ca="1" si="8"/>
        <v>460807.85416666669</v>
      </c>
      <c r="W49">
        <f t="shared" si="16"/>
        <v>384000</v>
      </c>
      <c r="X49" s="10"/>
    </row>
    <row r="50" spans="1:24" x14ac:dyDescent="0.25">
      <c r="A50" s="3" t="str">
        <f>'Модель v2 базовая'!A40</f>
        <v>КЧ</v>
      </c>
      <c r="B50">
        <f>'Модель v2 базовая'!I40</f>
        <v>1500</v>
      </c>
      <c r="C50">
        <v>6</v>
      </c>
      <c r="D50">
        <f t="shared" si="9"/>
        <v>14</v>
      </c>
      <c r="E50" t="str">
        <f t="shared" si="18"/>
        <v>$N$6</v>
      </c>
      <c r="F50">
        <f t="shared" ca="1" si="11"/>
        <v>1460</v>
      </c>
      <c r="G50">
        <f t="shared" ca="1" si="12"/>
        <v>4.5625</v>
      </c>
      <c r="H50">
        <f>'Модель v2 базовая'!$G$84</f>
        <v>500</v>
      </c>
      <c r="I50">
        <f t="shared" ca="1" si="13"/>
        <v>76.041666666666671</v>
      </c>
      <c r="J50">
        <v>10</v>
      </c>
      <c r="K50">
        <f>'Модель v2 базовая'!$E$85</f>
        <v>2.5</v>
      </c>
      <c r="L50">
        <v>2</v>
      </c>
      <c r="M50">
        <f t="shared" si="17"/>
        <v>10</v>
      </c>
      <c r="N50">
        <f t="shared" ca="1" si="14"/>
        <v>45078.541666666664</v>
      </c>
      <c r="O50">
        <f t="shared" ca="1" si="6"/>
        <v>4507.8541666666661</v>
      </c>
      <c r="T50" s="3" t="str">
        <f t="shared" si="15"/>
        <v>КЧ</v>
      </c>
      <c r="U50" s="9">
        <f t="shared" si="7"/>
        <v>1500</v>
      </c>
      <c r="V50" s="9">
        <f t="shared" ca="1" si="8"/>
        <v>4507.8541666666661</v>
      </c>
      <c r="W50">
        <f t="shared" si="16"/>
        <v>3750</v>
      </c>
      <c r="X50" s="10"/>
    </row>
    <row r="51" spans="1:24" x14ac:dyDescent="0.25">
      <c r="A51" s="3" t="str">
        <f>'Модель v2 базовая'!A41</f>
        <v>КУ</v>
      </c>
      <c r="B51">
        <f>'Модель v2 базовая'!I41</f>
        <v>1500</v>
      </c>
      <c r="C51">
        <v>6</v>
      </c>
      <c r="D51">
        <f t="shared" si="9"/>
        <v>14</v>
      </c>
      <c r="E51" t="str">
        <f t="shared" si="18"/>
        <v>$N$6</v>
      </c>
      <c r="F51">
        <f t="shared" ca="1" si="11"/>
        <v>1460</v>
      </c>
      <c r="G51">
        <f t="shared" ca="1" si="12"/>
        <v>4.5625</v>
      </c>
      <c r="H51">
        <f>'Модель v2 базовая'!$G$84</f>
        <v>500</v>
      </c>
      <c r="I51">
        <f t="shared" ca="1" si="13"/>
        <v>76.041666666666671</v>
      </c>
      <c r="J51">
        <v>10</v>
      </c>
      <c r="K51">
        <f>'Модель v2 базовая'!$E$85</f>
        <v>2.5</v>
      </c>
      <c r="L51">
        <v>2</v>
      </c>
      <c r="M51">
        <f t="shared" si="17"/>
        <v>10</v>
      </c>
      <c r="N51">
        <f t="shared" ca="1" si="14"/>
        <v>45078.541666666664</v>
      </c>
      <c r="O51">
        <f t="shared" ca="1" si="6"/>
        <v>4507.8541666666661</v>
      </c>
      <c r="T51" s="3" t="str">
        <f t="shared" si="15"/>
        <v>КУ</v>
      </c>
      <c r="U51" s="9">
        <f t="shared" si="7"/>
        <v>1500</v>
      </c>
      <c r="V51" s="9">
        <f t="shared" ca="1" si="8"/>
        <v>4507.8541666666661</v>
      </c>
      <c r="W51">
        <f t="shared" si="16"/>
        <v>3750</v>
      </c>
      <c r="X51" s="10"/>
    </row>
    <row r="52" spans="1:24" x14ac:dyDescent="0.25">
      <c r="A52" s="3" t="str">
        <f>'Модель v2 базовая'!A42</f>
        <v>КН</v>
      </c>
      <c r="B52">
        <f>'Модель v2 базовая'!I42</f>
        <v>1500</v>
      </c>
      <c r="C52">
        <v>6</v>
      </c>
      <c r="D52">
        <f t="shared" si="9"/>
        <v>14</v>
      </c>
      <c r="E52" t="str">
        <f t="shared" si="18"/>
        <v>$N$6</v>
      </c>
      <c r="F52">
        <f t="shared" ca="1" si="11"/>
        <v>1460</v>
      </c>
      <c r="G52">
        <f t="shared" ca="1" si="12"/>
        <v>4.5625</v>
      </c>
      <c r="H52">
        <f>'Модель v2 базовая'!$G$84</f>
        <v>500</v>
      </c>
      <c r="I52">
        <f t="shared" ca="1" si="13"/>
        <v>76.041666666666671</v>
      </c>
      <c r="J52">
        <v>10</v>
      </c>
      <c r="K52">
        <f>'Модель v2 базовая'!$E$85</f>
        <v>2.5</v>
      </c>
      <c r="L52">
        <v>2</v>
      </c>
      <c r="M52">
        <f t="shared" si="17"/>
        <v>10</v>
      </c>
      <c r="N52">
        <f t="shared" ca="1" si="14"/>
        <v>45078.541666666664</v>
      </c>
      <c r="O52">
        <f t="shared" ca="1" si="6"/>
        <v>4507.8541666666661</v>
      </c>
      <c r="T52" s="3" t="str">
        <f t="shared" si="15"/>
        <v>КН</v>
      </c>
      <c r="U52" s="9">
        <f t="shared" si="7"/>
        <v>1500</v>
      </c>
      <c r="V52" s="9">
        <f t="shared" ca="1" si="8"/>
        <v>4507.8541666666661</v>
      </c>
      <c r="W52">
        <f t="shared" si="16"/>
        <v>3750</v>
      </c>
      <c r="X52" s="10"/>
    </row>
    <row r="53" spans="1:24" x14ac:dyDescent="0.25">
      <c r="A53" s="3" t="str">
        <f>'Модель v2 базовая'!A43</f>
        <v>КС1</v>
      </c>
      <c r="B53">
        <f>'Модель v2 базовая'!I43</f>
        <v>852.59056866209903</v>
      </c>
      <c r="C53">
        <v>6</v>
      </c>
      <c r="D53">
        <f t="shared" si="9"/>
        <v>14</v>
      </c>
      <c r="E53" t="str">
        <f t="shared" si="18"/>
        <v>$N$6</v>
      </c>
      <c r="F53">
        <f t="shared" ca="1" si="11"/>
        <v>1460</v>
      </c>
      <c r="G53">
        <f t="shared" ca="1" si="12"/>
        <v>4.5625</v>
      </c>
      <c r="H53">
        <f>'Модель v2 базовая'!$G$84</f>
        <v>500</v>
      </c>
      <c r="I53">
        <f t="shared" ca="1" si="13"/>
        <v>76.041666666666671</v>
      </c>
      <c r="J53">
        <v>10</v>
      </c>
      <c r="K53">
        <f>'Модель v2 базовая'!$E$85</f>
        <v>2.5</v>
      </c>
      <c r="L53">
        <v>2</v>
      </c>
      <c r="M53">
        <f t="shared" si="17"/>
        <v>10</v>
      </c>
      <c r="N53">
        <f t="shared" ca="1" si="14"/>
        <v>25656.258726529639</v>
      </c>
      <c r="O53">
        <f t="shared" ca="1" si="6"/>
        <v>2565.6258726529641</v>
      </c>
      <c r="T53" s="3" t="str">
        <f t="shared" si="15"/>
        <v>КС1</v>
      </c>
      <c r="U53" s="9">
        <f t="shared" si="7"/>
        <v>852.59056866209903</v>
      </c>
      <c r="V53" s="9">
        <f t="shared" ca="1" si="8"/>
        <v>2565.6258726529641</v>
      </c>
      <c r="W53">
        <f t="shared" si="16"/>
        <v>2131.4764216552476</v>
      </c>
      <c r="X53" s="10"/>
    </row>
    <row r="54" spans="1:24" x14ac:dyDescent="0.25">
      <c r="A54" s="3" t="str">
        <f>'Модель v2 базовая'!A44</f>
        <v>КС2</v>
      </c>
      <c r="B54">
        <f>'Модель v2 базовая'!I44</f>
        <v>1215.1394208885743</v>
      </c>
      <c r="C54">
        <v>6</v>
      </c>
      <c r="D54">
        <f t="shared" si="9"/>
        <v>14</v>
      </c>
      <c r="E54" t="str">
        <f t="shared" ref="E54:E72" si="19" xml:space="preserve"> ADDRESS(C54,D54)</f>
        <v>$N$6</v>
      </c>
      <c r="F54">
        <f t="shared" ref="F54:F72" ca="1" si="20">INDIRECT(E54)</f>
        <v>1460</v>
      </c>
      <c r="G54">
        <f t="shared" ref="G54:G72" ca="1" si="21">F54/320</f>
        <v>4.5625</v>
      </c>
      <c r="H54">
        <f>'Модель v2 базовая'!$G$84</f>
        <v>500</v>
      </c>
      <c r="I54">
        <f t="shared" ref="I54:I72" ca="1" si="22">H54/30*G54</f>
        <v>76.041666666666671</v>
      </c>
      <c r="J54">
        <v>10</v>
      </c>
      <c r="K54">
        <f>'Модель v2 базовая'!$E$85</f>
        <v>2.5</v>
      </c>
      <c r="L54">
        <v>2</v>
      </c>
      <c r="M54">
        <f t="shared" si="17"/>
        <v>10</v>
      </c>
      <c r="N54">
        <f t="shared" ref="N54:N72" ca="1" si="23">IF(G54=0, B54*J54, B54*J54+(B54*J54*L54)+I54+K54)</f>
        <v>36532.724293323889</v>
      </c>
      <c r="O54">
        <f t="shared" ref="O54:O72" ca="1" si="24">N54/J54</f>
        <v>3653.272429332389</v>
      </c>
      <c r="T54" s="3" t="str">
        <f t="shared" si="15"/>
        <v>КС2</v>
      </c>
      <c r="U54" s="9">
        <f t="shared" ref="U54:U72" si="25">B54</f>
        <v>1215.1394208885743</v>
      </c>
      <c r="V54" s="9">
        <f t="shared" ref="V54:V72" ca="1" si="26">O54</f>
        <v>3653.272429332389</v>
      </c>
      <c r="W54">
        <f t="shared" ref="W54:W72" si="27">B54*2.5</f>
        <v>3037.8485522214355</v>
      </c>
      <c r="X54" s="10"/>
    </row>
    <row r="55" spans="1:24" x14ac:dyDescent="0.25">
      <c r="A55" s="3" t="str">
        <f>'Модель v2 базовая'!A45</f>
        <v>КС3</v>
      </c>
      <c r="B55">
        <f>'Модель v2 базовая'!I45</f>
        <v>1451.6585563564033</v>
      </c>
      <c r="C55">
        <v>6</v>
      </c>
      <c r="D55">
        <f t="shared" si="9"/>
        <v>14</v>
      </c>
      <c r="E55" t="str">
        <f t="shared" si="19"/>
        <v>$N$6</v>
      </c>
      <c r="F55">
        <f t="shared" ca="1" si="20"/>
        <v>1460</v>
      </c>
      <c r="G55">
        <f t="shared" ca="1" si="21"/>
        <v>4.5625</v>
      </c>
      <c r="H55">
        <f>'Модель v2 базовая'!$G$84</f>
        <v>500</v>
      </c>
      <c r="I55">
        <f t="shared" ca="1" si="22"/>
        <v>76.041666666666671</v>
      </c>
      <c r="J55">
        <v>10</v>
      </c>
      <c r="K55">
        <f>'Модель v2 базовая'!$E$85</f>
        <v>2.5</v>
      </c>
      <c r="L55">
        <v>2</v>
      </c>
      <c r="M55">
        <f t="shared" si="17"/>
        <v>10</v>
      </c>
      <c r="N55">
        <f t="shared" ca="1" si="23"/>
        <v>43628.298357358763</v>
      </c>
      <c r="O55">
        <f t="shared" ca="1" si="24"/>
        <v>4362.8298357358763</v>
      </c>
      <c r="T55" s="3" t="str">
        <f t="shared" si="15"/>
        <v>КС3</v>
      </c>
      <c r="U55" s="9">
        <f t="shared" si="25"/>
        <v>1451.6585563564033</v>
      </c>
      <c r="V55" s="9">
        <f t="shared" ca="1" si="26"/>
        <v>4362.8298357358763</v>
      </c>
      <c r="W55">
        <f t="shared" si="27"/>
        <v>3629.1463908910082</v>
      </c>
      <c r="X55" s="10"/>
    </row>
    <row r="56" spans="1:24" x14ac:dyDescent="0.25">
      <c r="A56" s="3" t="str">
        <f>'Модель v2 базовая'!A46</f>
        <v>КС4</v>
      </c>
      <c r="B56">
        <f>'Модель v2 базовая'!I46</f>
        <v>1692.7461670531243</v>
      </c>
      <c r="C56">
        <v>6</v>
      </c>
      <c r="D56">
        <f t="shared" si="9"/>
        <v>14</v>
      </c>
      <c r="E56" t="str">
        <f t="shared" si="19"/>
        <v>$N$6</v>
      </c>
      <c r="F56">
        <f t="shared" ca="1" si="20"/>
        <v>1460</v>
      </c>
      <c r="G56">
        <f t="shared" ca="1" si="21"/>
        <v>4.5625</v>
      </c>
      <c r="H56">
        <f>'Модель v2 базовая'!$G$84</f>
        <v>500</v>
      </c>
      <c r="I56">
        <f t="shared" ca="1" si="22"/>
        <v>76.041666666666671</v>
      </c>
      <c r="J56">
        <v>10</v>
      </c>
      <c r="K56">
        <f>'Модель v2 базовая'!$E$85</f>
        <v>2.5</v>
      </c>
      <c r="L56">
        <v>2</v>
      </c>
      <c r="M56">
        <f t="shared" si="17"/>
        <v>10</v>
      </c>
      <c r="N56">
        <f t="shared" ca="1" si="23"/>
        <v>50860.926678260395</v>
      </c>
      <c r="O56">
        <f t="shared" ca="1" si="24"/>
        <v>5086.0926678260394</v>
      </c>
      <c r="T56" s="3" t="str">
        <f t="shared" si="15"/>
        <v>КС4</v>
      </c>
      <c r="U56" s="9">
        <f t="shared" si="25"/>
        <v>1692.7461670531243</v>
      </c>
      <c r="V56" s="9">
        <f t="shared" ca="1" si="26"/>
        <v>5086.0926678260394</v>
      </c>
      <c r="W56">
        <f t="shared" si="27"/>
        <v>4231.8654176328109</v>
      </c>
      <c r="X56" s="10"/>
    </row>
    <row r="57" spans="1:24" x14ac:dyDescent="0.25">
      <c r="A57" s="3" t="str">
        <f>'Модель v2 базовая'!A47</f>
        <v>КС5</v>
      </c>
      <c r="B57">
        <f>'Модель v2 базовая'!I47</f>
        <v>1955.0606274420584</v>
      </c>
      <c r="C57">
        <v>6</v>
      </c>
      <c r="D57">
        <f t="shared" si="9"/>
        <v>14</v>
      </c>
      <c r="E57" t="str">
        <f t="shared" si="19"/>
        <v>$N$6</v>
      </c>
      <c r="F57">
        <f t="shared" ca="1" si="20"/>
        <v>1460</v>
      </c>
      <c r="G57">
        <f t="shared" ca="1" si="21"/>
        <v>4.5625</v>
      </c>
      <c r="H57">
        <f>'Модель v2 базовая'!$G$84</f>
        <v>500</v>
      </c>
      <c r="I57">
        <f t="shared" ca="1" si="22"/>
        <v>76.041666666666671</v>
      </c>
      <c r="J57">
        <v>10</v>
      </c>
      <c r="K57">
        <f>'Модель v2 базовая'!$E$85</f>
        <v>2.5</v>
      </c>
      <c r="L57">
        <v>2</v>
      </c>
      <c r="M57">
        <f t="shared" si="17"/>
        <v>10</v>
      </c>
      <c r="N57">
        <f t="shared" ca="1" si="23"/>
        <v>58730.360489928418</v>
      </c>
      <c r="O57">
        <f t="shared" ca="1" si="24"/>
        <v>5873.0360489928416</v>
      </c>
      <c r="T57" s="3" t="str">
        <f t="shared" si="15"/>
        <v>КС5</v>
      </c>
      <c r="U57" s="9">
        <f t="shared" si="25"/>
        <v>1955.0606274420584</v>
      </c>
      <c r="V57" s="9">
        <f t="shared" ca="1" si="26"/>
        <v>5873.0360489928416</v>
      </c>
      <c r="W57">
        <f t="shared" si="27"/>
        <v>4887.6515686051462</v>
      </c>
      <c r="X57" s="10"/>
    </row>
    <row r="58" spans="1:24" x14ac:dyDescent="0.25">
      <c r="A58" s="3" t="str">
        <f>'Модель v2 базовая'!A48</f>
        <v>КС6</v>
      </c>
      <c r="B58">
        <f>'Модель v2 базовая'!I48</f>
        <v>2250</v>
      </c>
      <c r="C58">
        <v>6</v>
      </c>
      <c r="D58">
        <f t="shared" si="9"/>
        <v>14</v>
      </c>
      <c r="E58" t="str">
        <f t="shared" si="19"/>
        <v>$N$6</v>
      </c>
      <c r="F58">
        <f t="shared" ca="1" si="20"/>
        <v>1460</v>
      </c>
      <c r="G58">
        <f t="shared" ca="1" si="21"/>
        <v>4.5625</v>
      </c>
      <c r="H58">
        <f>'Модель v2 базовая'!$G$84</f>
        <v>500</v>
      </c>
      <c r="I58">
        <f t="shared" ca="1" si="22"/>
        <v>76.041666666666671</v>
      </c>
      <c r="J58">
        <v>10</v>
      </c>
      <c r="K58">
        <f>'Модель v2 базовая'!$E$85</f>
        <v>2.5</v>
      </c>
      <c r="L58">
        <v>2</v>
      </c>
      <c r="M58">
        <f t="shared" si="17"/>
        <v>10</v>
      </c>
      <c r="N58">
        <f t="shared" ca="1" si="23"/>
        <v>67578.541666666672</v>
      </c>
      <c r="O58">
        <f t="shared" ca="1" si="24"/>
        <v>6757.854166666667</v>
      </c>
      <c r="T58" s="3" t="str">
        <f t="shared" si="15"/>
        <v>КС6</v>
      </c>
      <c r="U58" s="9">
        <f t="shared" si="25"/>
        <v>2250</v>
      </c>
      <c r="V58" s="9">
        <f t="shared" ca="1" si="26"/>
        <v>6757.854166666667</v>
      </c>
      <c r="W58">
        <f t="shared" si="27"/>
        <v>5625</v>
      </c>
      <c r="X58" s="10"/>
    </row>
    <row r="59" spans="1:24" x14ac:dyDescent="0.25">
      <c r="A59" s="3" t="str">
        <f>'Модель v2 базовая'!A49</f>
        <v>КС7</v>
      </c>
      <c r="B59">
        <f>'Модель v2 базовая'!I49</f>
        <v>2589.2478566745613</v>
      </c>
      <c r="C59">
        <v>6</v>
      </c>
      <c r="D59">
        <f t="shared" si="9"/>
        <v>14</v>
      </c>
      <c r="E59" t="str">
        <f t="shared" si="19"/>
        <v>$N$6</v>
      </c>
      <c r="F59">
        <f t="shared" ca="1" si="20"/>
        <v>1460</v>
      </c>
      <c r="G59">
        <f t="shared" ca="1" si="21"/>
        <v>4.5625</v>
      </c>
      <c r="H59">
        <f>'Модель v2 базовая'!$G$84</f>
        <v>500</v>
      </c>
      <c r="I59">
        <f t="shared" ca="1" si="22"/>
        <v>76.041666666666671</v>
      </c>
      <c r="J59">
        <v>10</v>
      </c>
      <c r="K59">
        <f>'Модель v2 базовая'!$E$85</f>
        <v>2.5</v>
      </c>
      <c r="L59">
        <v>2</v>
      </c>
      <c r="M59">
        <f t="shared" si="17"/>
        <v>10</v>
      </c>
      <c r="N59">
        <f t="shared" ca="1" si="23"/>
        <v>77755.977366903506</v>
      </c>
      <c r="O59">
        <f t="shared" ca="1" si="24"/>
        <v>7775.5977366903508</v>
      </c>
      <c r="T59" s="3" t="str">
        <f t="shared" si="15"/>
        <v>КС7</v>
      </c>
      <c r="U59" s="9">
        <f t="shared" si="25"/>
        <v>2589.2478566745613</v>
      </c>
      <c r="V59" s="9">
        <f t="shared" ca="1" si="26"/>
        <v>7775.5977366903508</v>
      </c>
      <c r="W59">
        <f t="shared" si="27"/>
        <v>6473.1196416864032</v>
      </c>
      <c r="X59" s="10"/>
    </row>
    <row r="60" spans="1:24" x14ac:dyDescent="0.25">
      <c r="A60" s="3" t="str">
        <f>'Модель v2 базовая'!A50</f>
        <v>КС8</v>
      </c>
      <c r="B60">
        <f>'Модель v2 базовая'!I50</f>
        <v>2986.9804172150616</v>
      </c>
      <c r="C60">
        <v>6</v>
      </c>
      <c r="D60">
        <f t="shared" si="9"/>
        <v>14</v>
      </c>
      <c r="E60" t="str">
        <f t="shared" si="19"/>
        <v>$N$6</v>
      </c>
      <c r="F60">
        <f t="shared" ca="1" si="20"/>
        <v>1460</v>
      </c>
      <c r="G60">
        <f t="shared" ca="1" si="21"/>
        <v>4.5625</v>
      </c>
      <c r="H60">
        <f>'Модель v2 базовая'!$G$84</f>
        <v>500</v>
      </c>
      <c r="I60">
        <f t="shared" ca="1" si="22"/>
        <v>76.041666666666671</v>
      </c>
      <c r="J60">
        <v>10</v>
      </c>
      <c r="K60">
        <f>'Модель v2 базовая'!$E$85</f>
        <v>2.5</v>
      </c>
      <c r="L60">
        <v>2</v>
      </c>
      <c r="M60">
        <f t="shared" si="17"/>
        <v>10</v>
      </c>
      <c r="N60">
        <f t="shared" ca="1" si="23"/>
        <v>89687.95418311852</v>
      </c>
      <c r="O60">
        <f t="shared" ca="1" si="24"/>
        <v>8968.7954183118527</v>
      </c>
      <c r="T60" s="3" t="str">
        <f t="shared" si="15"/>
        <v>КС8</v>
      </c>
      <c r="U60" s="9">
        <f t="shared" si="25"/>
        <v>2986.9804172150616</v>
      </c>
      <c r="V60" s="9">
        <f t="shared" ca="1" si="26"/>
        <v>8968.7954183118527</v>
      </c>
      <c r="W60">
        <f t="shared" si="27"/>
        <v>7467.451043037654</v>
      </c>
      <c r="X60" s="10"/>
    </row>
    <row r="61" spans="1:24" x14ac:dyDescent="0.25">
      <c r="A61" s="3" t="str">
        <f>'Модель v2 базовая'!A51</f>
        <v>КС9</v>
      </c>
      <c r="B61">
        <f>'Модель v2 базовая'!I51</f>
        <v>3461.8374961871259</v>
      </c>
      <c r="C61">
        <v>6</v>
      </c>
      <c r="D61">
        <f t="shared" si="9"/>
        <v>14</v>
      </c>
      <c r="E61" t="str">
        <f t="shared" si="19"/>
        <v>$N$6</v>
      </c>
      <c r="F61">
        <f t="shared" ca="1" si="20"/>
        <v>1460</v>
      </c>
      <c r="G61">
        <f t="shared" ca="1" si="21"/>
        <v>4.5625</v>
      </c>
      <c r="H61">
        <f>'Модель v2 базовая'!$G$84</f>
        <v>500</v>
      </c>
      <c r="I61">
        <f t="shared" ca="1" si="22"/>
        <v>76.041666666666671</v>
      </c>
      <c r="J61">
        <v>10</v>
      </c>
      <c r="K61">
        <f>'Модель v2 базовая'!$E$85</f>
        <v>2.5</v>
      </c>
      <c r="L61">
        <v>2</v>
      </c>
      <c r="M61">
        <f t="shared" si="17"/>
        <v>10</v>
      </c>
      <c r="N61">
        <f t="shared" ca="1" si="23"/>
        <v>103933.66655228045</v>
      </c>
      <c r="O61">
        <f t="shared" ca="1" si="24"/>
        <v>10393.366655228045</v>
      </c>
      <c r="T61" s="3" t="str">
        <f t="shared" si="15"/>
        <v>КС9</v>
      </c>
      <c r="U61" s="9">
        <f t="shared" si="25"/>
        <v>3461.8374961871259</v>
      </c>
      <c r="V61" s="9">
        <f t="shared" ca="1" si="26"/>
        <v>10393.366655228045</v>
      </c>
      <c r="W61">
        <f t="shared" si="27"/>
        <v>8654.5937404678152</v>
      </c>
      <c r="X61" s="10"/>
    </row>
    <row r="62" spans="1:24" x14ac:dyDescent="0.25">
      <c r="A62" s="3" t="str">
        <f>'Модель v2 базовая'!A52</f>
        <v>КС10</v>
      </c>
      <c r="B62">
        <f>'Модель v2 базовая'!I52</f>
        <v>4039.5634428550547</v>
      </c>
      <c r="C62">
        <v>6</v>
      </c>
      <c r="D62">
        <f t="shared" si="9"/>
        <v>14</v>
      </c>
      <c r="E62" t="str">
        <f t="shared" si="19"/>
        <v>$N$6</v>
      </c>
      <c r="F62">
        <f t="shared" ca="1" si="20"/>
        <v>1460</v>
      </c>
      <c r="G62">
        <f t="shared" ca="1" si="21"/>
        <v>4.5625</v>
      </c>
      <c r="H62">
        <f>'Модель v2 базовая'!$G$84</f>
        <v>500</v>
      </c>
      <c r="I62">
        <f t="shared" ca="1" si="22"/>
        <v>76.041666666666671</v>
      </c>
      <c r="J62">
        <v>10</v>
      </c>
      <c r="K62">
        <f>'Модель v2 базовая'!$E$85</f>
        <v>2.5</v>
      </c>
      <c r="L62">
        <v>2</v>
      </c>
      <c r="M62">
        <f t="shared" si="17"/>
        <v>10</v>
      </c>
      <c r="N62">
        <f t="shared" ca="1" si="23"/>
        <v>121265.44495231831</v>
      </c>
      <c r="O62">
        <f t="shared" ca="1" si="24"/>
        <v>12126.544495231832</v>
      </c>
      <c r="T62" s="3" t="str">
        <f t="shared" si="15"/>
        <v>КС10</v>
      </c>
      <c r="U62" s="9">
        <f t="shared" si="25"/>
        <v>4039.5634428550547</v>
      </c>
      <c r="V62" s="9">
        <f t="shared" ca="1" si="26"/>
        <v>12126.544495231832</v>
      </c>
      <c r="W62">
        <f t="shared" si="27"/>
        <v>10098.908607137637</v>
      </c>
      <c r="X62" s="10"/>
    </row>
    <row r="63" spans="1:24" x14ac:dyDescent="0.25">
      <c r="A63" s="3" t="str">
        <f>'Модель v2 базовая'!A53</f>
        <v>КС11</v>
      </c>
      <c r="B63">
        <f>'Модель v2 базовая'!I53</f>
        <v>4757.1569560062362</v>
      </c>
      <c r="C63">
        <v>6</v>
      </c>
      <c r="D63">
        <f t="shared" si="9"/>
        <v>14</v>
      </c>
      <c r="E63" t="str">
        <f t="shared" si="19"/>
        <v>$N$6</v>
      </c>
      <c r="F63">
        <f t="shared" ca="1" si="20"/>
        <v>1460</v>
      </c>
      <c r="G63">
        <f t="shared" ca="1" si="21"/>
        <v>4.5625</v>
      </c>
      <c r="H63">
        <f>'Модель v2 базовая'!$G$84</f>
        <v>500</v>
      </c>
      <c r="I63">
        <f t="shared" ca="1" si="22"/>
        <v>76.041666666666671</v>
      </c>
      <c r="J63">
        <v>10</v>
      </c>
      <c r="K63">
        <f>'Модель v2 базовая'!$E$85</f>
        <v>2.5</v>
      </c>
      <c r="L63">
        <v>2</v>
      </c>
      <c r="M63">
        <f t="shared" si="17"/>
        <v>10</v>
      </c>
      <c r="N63">
        <f t="shared" ca="1" si="23"/>
        <v>142793.25034685372</v>
      </c>
      <c r="O63">
        <f t="shared" ca="1" si="24"/>
        <v>14279.325034685371</v>
      </c>
      <c r="T63" s="3" t="str">
        <f t="shared" si="15"/>
        <v>КС11</v>
      </c>
      <c r="U63" s="9">
        <f t="shared" si="25"/>
        <v>4757.1569560062362</v>
      </c>
      <c r="V63" s="9">
        <f t="shared" ca="1" si="26"/>
        <v>14279.325034685371</v>
      </c>
      <c r="W63">
        <f t="shared" si="27"/>
        <v>11892.89239001559</v>
      </c>
      <c r="X63" s="10"/>
    </row>
    <row r="64" spans="1:24" x14ac:dyDescent="0.25">
      <c r="A64" s="3" t="str">
        <f>'Модель v2 базовая'!A54</f>
        <v>КС12</v>
      </c>
      <c r="B64">
        <f>'Модель v2 базовая'!I54</f>
        <v>5669.9302547483712</v>
      </c>
      <c r="C64">
        <v>6</v>
      </c>
      <c r="D64">
        <f t="shared" si="9"/>
        <v>14</v>
      </c>
      <c r="E64" t="str">
        <f t="shared" si="19"/>
        <v>$N$6</v>
      </c>
      <c r="F64">
        <f t="shared" ca="1" si="20"/>
        <v>1460</v>
      </c>
      <c r="G64">
        <f t="shared" ca="1" si="21"/>
        <v>4.5625</v>
      </c>
      <c r="H64">
        <f>'Модель v2 базовая'!$G$84</f>
        <v>500</v>
      </c>
      <c r="I64">
        <f t="shared" ca="1" si="22"/>
        <v>76.041666666666671</v>
      </c>
      <c r="J64">
        <v>10</v>
      </c>
      <c r="K64">
        <f>'Модель v2 базовая'!$E$85</f>
        <v>2.5</v>
      </c>
      <c r="L64">
        <v>2</v>
      </c>
      <c r="M64">
        <f t="shared" si="17"/>
        <v>10</v>
      </c>
      <c r="N64">
        <f t="shared" ca="1" si="23"/>
        <v>170176.4493091178</v>
      </c>
      <c r="O64">
        <f t="shared" ca="1" si="24"/>
        <v>17017.644930911782</v>
      </c>
      <c r="T64" s="3" t="str">
        <f t="shared" si="15"/>
        <v>КС12</v>
      </c>
      <c r="U64" s="9">
        <f t="shared" si="25"/>
        <v>5669.9302547483712</v>
      </c>
      <c r="V64" s="9">
        <f t="shared" ca="1" si="26"/>
        <v>17017.644930911782</v>
      </c>
      <c r="W64">
        <f t="shared" si="27"/>
        <v>14174.825636870928</v>
      </c>
      <c r="X64" s="10"/>
    </row>
    <row r="65" spans="1:24" x14ac:dyDescent="0.25">
      <c r="A65" s="3" t="str">
        <f>'Модель v2 базовая'!A55</f>
        <v>КС13</v>
      </c>
      <c r="B65">
        <f>'Модель v2 базовая'!I55</f>
        <v>6864.2969553193452</v>
      </c>
      <c r="C65">
        <v>6</v>
      </c>
      <c r="D65">
        <f t="shared" si="9"/>
        <v>14</v>
      </c>
      <c r="E65" t="str">
        <f t="shared" si="19"/>
        <v>$N$6</v>
      </c>
      <c r="F65">
        <f t="shared" ca="1" si="20"/>
        <v>1460</v>
      </c>
      <c r="G65">
        <f t="shared" ca="1" si="21"/>
        <v>4.5625</v>
      </c>
      <c r="H65">
        <f>'Модель v2 базовая'!$G$84</f>
        <v>500</v>
      </c>
      <c r="I65">
        <f t="shared" ca="1" si="22"/>
        <v>76.041666666666671</v>
      </c>
      <c r="J65">
        <v>10</v>
      </c>
      <c r="K65">
        <f>'Модель v2 базовая'!$E$85</f>
        <v>2.5</v>
      </c>
      <c r="L65">
        <v>2</v>
      </c>
      <c r="M65">
        <f t="shared" si="17"/>
        <v>10</v>
      </c>
      <c r="N65">
        <f t="shared" ca="1" si="23"/>
        <v>206007.45032624702</v>
      </c>
      <c r="O65">
        <f t="shared" ca="1" si="24"/>
        <v>20600.745032624702</v>
      </c>
      <c r="T65" s="3" t="str">
        <f t="shared" si="15"/>
        <v>КС13</v>
      </c>
      <c r="U65" s="9">
        <f t="shared" si="25"/>
        <v>6864.2969553193452</v>
      </c>
      <c r="V65" s="9">
        <f t="shared" ca="1" si="26"/>
        <v>20600.745032624702</v>
      </c>
      <c r="W65">
        <f t="shared" si="27"/>
        <v>17160.742388298364</v>
      </c>
      <c r="X65" s="10"/>
    </row>
    <row r="66" spans="1:24" x14ac:dyDescent="0.25">
      <c r="A66" s="3" t="str">
        <f>'Модель v2 базовая'!A56</f>
        <v>КС14</v>
      </c>
      <c r="B66">
        <f>'Модель v2 базовая'!I56</f>
        <v>8482.543815245197</v>
      </c>
      <c r="C66">
        <v>6</v>
      </c>
      <c r="D66">
        <f t="shared" si="9"/>
        <v>14</v>
      </c>
      <c r="E66" t="str">
        <f t="shared" si="19"/>
        <v>$N$6</v>
      </c>
      <c r="F66">
        <f t="shared" ca="1" si="20"/>
        <v>1460</v>
      </c>
      <c r="G66">
        <f t="shared" ca="1" si="21"/>
        <v>4.5625</v>
      </c>
      <c r="H66">
        <f>'Модель v2 базовая'!$G$84</f>
        <v>500</v>
      </c>
      <c r="I66">
        <f t="shared" ca="1" si="22"/>
        <v>76.041666666666671</v>
      </c>
      <c r="J66">
        <v>10</v>
      </c>
      <c r="K66">
        <f>'Модель v2 базовая'!$E$85</f>
        <v>2.5</v>
      </c>
      <c r="L66">
        <v>2</v>
      </c>
      <c r="M66">
        <f t="shared" si="17"/>
        <v>10</v>
      </c>
      <c r="N66">
        <f t="shared" ca="1" si="23"/>
        <v>254554.85612402257</v>
      </c>
      <c r="O66">
        <f t="shared" ca="1" si="24"/>
        <v>25455.485612402255</v>
      </c>
      <c r="T66" s="3" t="str">
        <f t="shared" si="15"/>
        <v>КС14</v>
      </c>
      <c r="U66" s="9">
        <f t="shared" si="25"/>
        <v>8482.543815245197</v>
      </c>
      <c r="V66" s="9">
        <f t="shared" ca="1" si="26"/>
        <v>25455.485612402255</v>
      </c>
      <c r="W66">
        <f t="shared" si="27"/>
        <v>21206.359538112993</v>
      </c>
      <c r="X66" s="10"/>
    </row>
    <row r="67" spans="1:24" x14ac:dyDescent="0.25">
      <c r="A67" s="3" t="str">
        <f>'Модель v2 базовая'!A57</f>
        <v>КС15</v>
      </c>
      <c r="B67">
        <f>'Модель v2 базовая'!I57</f>
        <v>10774.845491282869</v>
      </c>
      <c r="C67">
        <v>6</v>
      </c>
      <c r="D67">
        <f t="shared" si="9"/>
        <v>14</v>
      </c>
      <c r="E67" t="str">
        <f t="shared" si="19"/>
        <v>$N$6</v>
      </c>
      <c r="F67">
        <f t="shared" ca="1" si="20"/>
        <v>1460</v>
      </c>
      <c r="G67">
        <f t="shared" ca="1" si="21"/>
        <v>4.5625</v>
      </c>
      <c r="H67">
        <f>'Модель v2 базовая'!$G$84</f>
        <v>500</v>
      </c>
      <c r="I67">
        <f t="shared" ca="1" si="22"/>
        <v>76.041666666666671</v>
      </c>
      <c r="J67">
        <v>10</v>
      </c>
      <c r="K67">
        <f>'Модель v2 базовая'!$E$85</f>
        <v>2.5</v>
      </c>
      <c r="L67">
        <v>2</v>
      </c>
      <c r="M67">
        <f t="shared" si="17"/>
        <v>10</v>
      </c>
      <c r="N67">
        <f t="shared" ca="1" si="23"/>
        <v>323323.90640515275</v>
      </c>
      <c r="O67">
        <f t="shared" ca="1" si="24"/>
        <v>32332.390640515274</v>
      </c>
      <c r="T67" s="3" t="str">
        <f t="shared" si="15"/>
        <v>КС15</v>
      </c>
      <c r="U67" s="9">
        <f t="shared" si="25"/>
        <v>10774.845491282869</v>
      </c>
      <c r="V67" s="9">
        <f t="shared" ca="1" si="26"/>
        <v>32332.390640515274</v>
      </c>
      <c r="W67">
        <f t="shared" si="27"/>
        <v>26937.113728207172</v>
      </c>
      <c r="X67" s="10"/>
    </row>
    <row r="68" spans="1:24" x14ac:dyDescent="0.25">
      <c r="A68" s="3" t="str">
        <f>'Модель v2 базовая'!A58</f>
        <v>КС16</v>
      </c>
      <c r="B68">
        <f>'Модель v2 базовая'!I58</f>
        <v>14220.310675355322</v>
      </c>
      <c r="C68">
        <v>6</v>
      </c>
      <c r="D68">
        <f t="shared" si="9"/>
        <v>14</v>
      </c>
      <c r="E68" t="str">
        <f t="shared" si="19"/>
        <v>$N$6</v>
      </c>
      <c r="F68">
        <f t="shared" ca="1" si="20"/>
        <v>1460</v>
      </c>
      <c r="G68">
        <f t="shared" ca="1" si="21"/>
        <v>4.5625</v>
      </c>
      <c r="H68">
        <f>'Модель v2 базовая'!$G$84</f>
        <v>500</v>
      </c>
      <c r="I68">
        <f t="shared" ca="1" si="22"/>
        <v>76.041666666666671</v>
      </c>
      <c r="J68">
        <v>10</v>
      </c>
      <c r="K68">
        <f>'Модель v2 базовая'!$E$85</f>
        <v>2.5</v>
      </c>
      <c r="L68">
        <v>2</v>
      </c>
      <c r="M68">
        <f t="shared" si="17"/>
        <v>10</v>
      </c>
      <c r="N68">
        <f t="shared" ca="1" si="23"/>
        <v>426687.8619273263</v>
      </c>
      <c r="O68">
        <f t="shared" ca="1" si="24"/>
        <v>42668.78619273263</v>
      </c>
      <c r="T68" s="3" t="str">
        <f t="shared" si="15"/>
        <v>КС16</v>
      </c>
      <c r="U68" s="9">
        <f t="shared" si="25"/>
        <v>14220.310675355322</v>
      </c>
      <c r="V68" s="9">
        <f t="shared" ca="1" si="26"/>
        <v>42668.78619273263</v>
      </c>
      <c r="W68">
        <f t="shared" si="27"/>
        <v>35550.776688388301</v>
      </c>
      <c r="X68" s="10"/>
    </row>
    <row r="69" spans="1:24" x14ac:dyDescent="0.25">
      <c r="A69" s="3" t="str">
        <f>'Модель v2 базовая'!A59</f>
        <v>КС17</v>
      </c>
      <c r="B69">
        <f>'Модель v2 базовая'!I59</f>
        <v>19850.324753686713</v>
      </c>
      <c r="C69">
        <v>6</v>
      </c>
      <c r="D69">
        <f t="shared" si="9"/>
        <v>14</v>
      </c>
      <c r="E69" t="str">
        <f t="shared" si="19"/>
        <v>$N$6</v>
      </c>
      <c r="F69">
        <f t="shared" ca="1" si="20"/>
        <v>1460</v>
      </c>
      <c r="G69">
        <f t="shared" ca="1" si="21"/>
        <v>4.5625</v>
      </c>
      <c r="H69">
        <f>'Модель v2 базовая'!$G$84</f>
        <v>500</v>
      </c>
      <c r="I69">
        <f t="shared" ca="1" si="22"/>
        <v>76.041666666666671</v>
      </c>
      <c r="J69">
        <v>10</v>
      </c>
      <c r="K69">
        <f>'Модель v2 базовая'!$E$85</f>
        <v>2.5</v>
      </c>
      <c r="L69">
        <v>2</v>
      </c>
      <c r="M69">
        <f t="shared" si="17"/>
        <v>10</v>
      </c>
      <c r="N69">
        <f t="shared" ca="1" si="23"/>
        <v>595588.28427726799</v>
      </c>
      <c r="O69">
        <f t="shared" ca="1" si="24"/>
        <v>59558.828427726796</v>
      </c>
      <c r="T69" s="3" t="str">
        <f t="shared" si="15"/>
        <v>КС17</v>
      </c>
      <c r="U69" s="9">
        <f t="shared" si="25"/>
        <v>19850.324753686713</v>
      </c>
      <c r="V69" s="9">
        <f t="shared" ca="1" si="26"/>
        <v>59558.828427726796</v>
      </c>
      <c r="W69">
        <f t="shared" si="27"/>
        <v>49625.811884216782</v>
      </c>
      <c r="X69" s="10"/>
    </row>
    <row r="70" spans="1:24" x14ac:dyDescent="0.25">
      <c r="A70" s="3" t="str">
        <f>'Модель v2 базовая'!A60</f>
        <v>КС18</v>
      </c>
      <c r="B70">
        <f>'Модель v2 базовая'!I60</f>
        <v>30300.729694609414</v>
      </c>
      <c r="C70">
        <v>6</v>
      </c>
      <c r="D70">
        <f t="shared" si="9"/>
        <v>14</v>
      </c>
      <c r="E70" t="str">
        <f t="shared" si="19"/>
        <v>$N$6</v>
      </c>
      <c r="F70">
        <f t="shared" ca="1" si="20"/>
        <v>1460</v>
      </c>
      <c r="G70">
        <f t="shared" ca="1" si="21"/>
        <v>4.5625</v>
      </c>
      <c r="H70">
        <f>'Модель v2 базовая'!$G$84</f>
        <v>500</v>
      </c>
      <c r="I70">
        <f t="shared" ca="1" si="22"/>
        <v>76.041666666666671</v>
      </c>
      <c r="J70">
        <v>10</v>
      </c>
      <c r="K70">
        <f>'Модель v2 базовая'!$E$85</f>
        <v>2.5</v>
      </c>
      <c r="L70">
        <v>2</v>
      </c>
      <c r="M70">
        <f t="shared" si="17"/>
        <v>10</v>
      </c>
      <c r="N70">
        <f t="shared" ca="1" si="23"/>
        <v>909100.43250494904</v>
      </c>
      <c r="O70">
        <f t="shared" ca="1" si="24"/>
        <v>90910.043250494899</v>
      </c>
      <c r="T70" s="3" t="str">
        <f t="shared" si="15"/>
        <v>КС18</v>
      </c>
      <c r="U70" s="9">
        <f t="shared" si="25"/>
        <v>30300.729694609414</v>
      </c>
      <c r="V70" s="9">
        <f t="shared" ca="1" si="26"/>
        <v>90910.043250494899</v>
      </c>
      <c r="W70">
        <f t="shared" si="27"/>
        <v>75751.824236523535</v>
      </c>
      <c r="X70" s="10"/>
    </row>
    <row r="71" spans="1:24" x14ac:dyDescent="0.25">
      <c r="A71" s="3" t="str">
        <f>'Модель v2 базовая'!A61</f>
        <v>КС19</v>
      </c>
      <c r="B71">
        <f>'Модель v2 базовая'!I61</f>
        <v>54497.714851132987</v>
      </c>
      <c r="C71">
        <v>6</v>
      </c>
      <c r="D71">
        <f t="shared" si="9"/>
        <v>14</v>
      </c>
      <c r="E71" t="str">
        <f t="shared" si="19"/>
        <v>$N$6</v>
      </c>
      <c r="F71">
        <f t="shared" ca="1" si="20"/>
        <v>1460</v>
      </c>
      <c r="G71">
        <f t="shared" ca="1" si="21"/>
        <v>4.5625</v>
      </c>
      <c r="H71">
        <f>'Модель v2 базовая'!$G$84</f>
        <v>500</v>
      </c>
      <c r="I71">
        <f t="shared" ca="1" si="22"/>
        <v>76.041666666666671</v>
      </c>
      <c r="J71">
        <v>10</v>
      </c>
      <c r="K71">
        <f>'Модель v2 базовая'!$E$85</f>
        <v>2.5</v>
      </c>
      <c r="L71">
        <v>2</v>
      </c>
      <c r="M71">
        <f t="shared" si="17"/>
        <v>10</v>
      </c>
      <c r="N71">
        <f t="shared" ca="1" si="23"/>
        <v>1635009.9872006564</v>
      </c>
      <c r="O71">
        <f t="shared" ca="1" si="24"/>
        <v>163500.99872006563</v>
      </c>
      <c r="T71" s="3" t="str">
        <f t="shared" si="15"/>
        <v>КС19</v>
      </c>
      <c r="U71" s="9">
        <f t="shared" si="25"/>
        <v>54497.714851132987</v>
      </c>
      <c r="V71" s="9">
        <f t="shared" ca="1" si="26"/>
        <v>163500.99872006563</v>
      </c>
      <c r="W71">
        <f t="shared" si="27"/>
        <v>136244.28712783247</v>
      </c>
      <c r="X71" s="10"/>
    </row>
    <row r="72" spans="1:24" x14ac:dyDescent="0.25">
      <c r="A72" s="3" t="str">
        <f>'Модель v2 базовая'!A62</f>
        <v>КС20</v>
      </c>
      <c r="B72">
        <f>'Модель v2 базовая'!I62</f>
        <v>146513.5402852429</v>
      </c>
      <c r="C72">
        <v>6</v>
      </c>
      <c r="D72">
        <f t="shared" si="9"/>
        <v>14</v>
      </c>
      <c r="E72" t="str">
        <f t="shared" si="19"/>
        <v>$N$6</v>
      </c>
      <c r="F72">
        <f t="shared" ca="1" si="20"/>
        <v>1460</v>
      </c>
      <c r="G72">
        <f t="shared" ca="1" si="21"/>
        <v>4.5625</v>
      </c>
      <c r="H72">
        <f>'Модель v2 базовая'!$G$84</f>
        <v>500</v>
      </c>
      <c r="I72">
        <f t="shared" ca="1" si="22"/>
        <v>76.041666666666671</v>
      </c>
      <c r="J72">
        <v>10</v>
      </c>
      <c r="K72">
        <f>'Модель v2 базовая'!$E$85</f>
        <v>2.5</v>
      </c>
      <c r="L72">
        <v>2</v>
      </c>
      <c r="M72">
        <f t="shared" si="17"/>
        <v>10</v>
      </c>
      <c r="N72">
        <f t="shared" ca="1" si="23"/>
        <v>4395484.7502239542</v>
      </c>
      <c r="O72">
        <f t="shared" ca="1" si="24"/>
        <v>439548.47502239543</v>
      </c>
      <c r="T72" s="3" t="str">
        <f t="shared" si="15"/>
        <v>КС20</v>
      </c>
      <c r="U72" s="9">
        <f t="shared" si="25"/>
        <v>146513.5402852429</v>
      </c>
      <c r="V72" s="9">
        <f t="shared" ca="1" si="26"/>
        <v>439548.47502239543</v>
      </c>
      <c r="W72">
        <f t="shared" si="27"/>
        <v>366283.85071310727</v>
      </c>
      <c r="X72" s="10"/>
    </row>
    <row r="73" spans="1:24" x14ac:dyDescent="0.25">
      <c r="A73" s="4" t="s">
        <v>129</v>
      </c>
      <c r="T73" s="4" t="s">
        <v>129</v>
      </c>
      <c r="U73" s="9"/>
      <c r="V73" s="9"/>
      <c r="X73" s="14"/>
    </row>
    <row r="74" spans="1:24" x14ac:dyDescent="0.25">
      <c r="A74" s="3" t="str">
        <f>'Модель v2 базовая'!L4</f>
        <v>Хлеб</v>
      </c>
      <c r="B74">
        <f>'Модель v2 базовая'!V4</f>
        <v>2.0548999999999999</v>
      </c>
      <c r="C74">
        <v>8</v>
      </c>
      <c r="D74">
        <f t="shared" si="9"/>
        <v>14</v>
      </c>
      <c r="E74" t="str">
        <f t="shared" ref="E74:E88" si="28" xml:space="preserve"> ADDRESS(C74,D74)</f>
        <v>$N$8</v>
      </c>
      <c r="F74">
        <f t="shared" ref="F74:F88" ca="1" si="29">INDIRECT(E74)</f>
        <v>1100</v>
      </c>
      <c r="G74">
        <f t="shared" ref="G74:G88" ca="1" si="30">F74/320</f>
        <v>3.4375</v>
      </c>
      <c r="H74">
        <f>'Модель v2 базовая'!$G$87</f>
        <v>2500</v>
      </c>
      <c r="I74">
        <f t="shared" ref="I74:I88" ca="1" si="31">H74/30*G74</f>
        <v>286.45833333333331</v>
      </c>
      <c r="J74">
        <v>2000</v>
      </c>
      <c r="K74">
        <f>'Модель v2 базовая'!$E$87</f>
        <v>8.3333333333333339</v>
      </c>
      <c r="L74">
        <v>0.7</v>
      </c>
      <c r="M74">
        <f t="shared" si="17"/>
        <v>10</v>
      </c>
      <c r="N74">
        <f t="shared" ref="N74:N88" ca="1" si="32">IF(G74=0, B74*J74, B74*J74+(B74*J74*L74)+I74+K74)</f>
        <v>7281.4516666666659</v>
      </c>
      <c r="O74">
        <f t="shared" ref="O74:O88" ca="1" si="33">N74/J74</f>
        <v>3.6407258333333328</v>
      </c>
      <c r="T74" s="3" t="str">
        <f>A74</f>
        <v>Хлеб</v>
      </c>
      <c r="U74" s="9">
        <f t="shared" ref="U74:U88" si="34">B74</f>
        <v>2.0548999999999999</v>
      </c>
      <c r="V74" s="9">
        <f t="shared" ref="V74:V88" ca="1" si="35">O74</f>
        <v>3.6407258333333328</v>
      </c>
      <c r="W74">
        <f t="shared" ref="W74:W88" si="36">B74*2.5</f>
        <v>5.1372499999999999</v>
      </c>
      <c r="X74" s="10"/>
    </row>
    <row r="75" spans="1:24" x14ac:dyDescent="0.25">
      <c r="A75" s="3" t="str">
        <f>'Модель v2 базовая'!L5</f>
        <v>Вяленое мясо</v>
      </c>
      <c r="B75">
        <f>'Модель v2 базовая'!V5</f>
        <v>3.1587499999999999</v>
      </c>
      <c r="C75">
        <f>D75</f>
        <v>14</v>
      </c>
      <c r="D75">
        <f t="shared" si="9"/>
        <v>14</v>
      </c>
      <c r="E75" t="str">
        <f t="shared" si="28"/>
        <v>$N$14</v>
      </c>
      <c r="F75">
        <f t="shared" ca="1" si="29"/>
        <v>0</v>
      </c>
      <c r="G75">
        <f t="shared" ca="1" si="30"/>
        <v>0</v>
      </c>
      <c r="H75">
        <f>'Модель v2 базовая'!$G$87</f>
        <v>2500</v>
      </c>
      <c r="I75">
        <f t="shared" ca="1" si="31"/>
        <v>0</v>
      </c>
      <c r="J75">
        <v>2000</v>
      </c>
      <c r="K75">
        <f>'Модель v2 базовая'!$E$87</f>
        <v>8.3333333333333339</v>
      </c>
      <c r="L75">
        <v>0.7</v>
      </c>
      <c r="M75">
        <f t="shared" si="17"/>
        <v>0</v>
      </c>
      <c r="N75">
        <f t="shared" ca="1" si="32"/>
        <v>6317.5</v>
      </c>
      <c r="O75">
        <f t="shared" ca="1" si="33"/>
        <v>3.1587499999999999</v>
      </c>
      <c r="T75" s="3" t="str">
        <f t="shared" ref="T75:T98" si="37">A75</f>
        <v>Вяленое мясо</v>
      </c>
      <c r="U75" s="9">
        <f t="shared" si="34"/>
        <v>3.1587499999999999</v>
      </c>
      <c r="V75" s="9">
        <f t="shared" ca="1" si="35"/>
        <v>3.1587499999999999</v>
      </c>
      <c r="W75">
        <f t="shared" si="36"/>
        <v>7.8968749999999996</v>
      </c>
      <c r="X75" s="10"/>
    </row>
    <row r="76" spans="1:24" x14ac:dyDescent="0.25">
      <c r="A76" s="3" t="str">
        <f>'Модель v2 базовая'!L6</f>
        <v>Волшебные чернила</v>
      </c>
      <c r="B76">
        <f>'Модель v2 базовая'!V6</f>
        <v>345.33398875</v>
      </c>
      <c r="C76">
        <v>6</v>
      </c>
      <c r="D76">
        <f t="shared" si="9"/>
        <v>14</v>
      </c>
      <c r="E76" t="str">
        <f t="shared" si="28"/>
        <v>$N$6</v>
      </c>
      <c r="F76">
        <f t="shared" ca="1" si="29"/>
        <v>1460</v>
      </c>
      <c r="G76">
        <f t="shared" ca="1" si="30"/>
        <v>4.5625</v>
      </c>
      <c r="H76">
        <f>'Модель v2 базовая'!$G$87</f>
        <v>2500</v>
      </c>
      <c r="I76">
        <f t="shared" ca="1" si="31"/>
        <v>380.20833333333331</v>
      </c>
      <c r="J76">
        <v>2000</v>
      </c>
      <c r="K76">
        <f>'Модель v2 базовая'!$E$87</f>
        <v>8.3333333333333339</v>
      </c>
      <c r="L76">
        <v>0.7</v>
      </c>
      <c r="M76">
        <f t="shared" si="17"/>
        <v>10</v>
      </c>
      <c r="N76">
        <f t="shared" ca="1" si="32"/>
        <v>1174524.1034166666</v>
      </c>
      <c r="O76">
        <f t="shared" ca="1" si="33"/>
        <v>587.26205170833327</v>
      </c>
      <c r="T76" s="3" t="str">
        <f t="shared" si="37"/>
        <v>Волшебные чернила</v>
      </c>
      <c r="U76" s="9">
        <f t="shared" si="34"/>
        <v>345.33398875</v>
      </c>
      <c r="V76" s="9">
        <f t="shared" ca="1" si="35"/>
        <v>587.26205170833327</v>
      </c>
      <c r="W76">
        <f t="shared" si="36"/>
        <v>863.33497187500006</v>
      </c>
      <c r="X76" s="10"/>
    </row>
    <row r="77" spans="1:24" x14ac:dyDescent="0.25">
      <c r="A77" s="3" t="str">
        <f>'Модель v2 базовая'!L7</f>
        <v>Железо</v>
      </c>
      <c r="B77">
        <f>'Модель v2 базовая'!V7</f>
        <v>5.6842500000000005</v>
      </c>
      <c r="C77">
        <v>9</v>
      </c>
      <c r="D77">
        <f t="shared" si="9"/>
        <v>14</v>
      </c>
      <c r="E77" t="str">
        <f t="shared" si="28"/>
        <v>$N$9</v>
      </c>
      <c r="F77">
        <f t="shared" ca="1" si="29"/>
        <v>1300</v>
      </c>
      <c r="G77">
        <f t="shared" ca="1" si="30"/>
        <v>4.0625</v>
      </c>
      <c r="H77">
        <f>'Модель v2 базовая'!$G$87</f>
        <v>2500</v>
      </c>
      <c r="I77">
        <f t="shared" ca="1" si="31"/>
        <v>338.54166666666663</v>
      </c>
      <c r="J77">
        <v>2000</v>
      </c>
      <c r="K77">
        <f>'Модель v2 базовая'!$E$87</f>
        <v>8.3333333333333339</v>
      </c>
      <c r="L77">
        <v>0.7</v>
      </c>
      <c r="M77">
        <f t="shared" si="17"/>
        <v>10</v>
      </c>
      <c r="N77">
        <f t="shared" ca="1" si="32"/>
        <v>19673.325000000004</v>
      </c>
      <c r="O77">
        <f t="shared" ca="1" si="33"/>
        <v>9.8366625000000028</v>
      </c>
      <c r="T77" s="3" t="str">
        <f t="shared" si="37"/>
        <v>Железо</v>
      </c>
      <c r="U77" s="9">
        <f t="shared" si="34"/>
        <v>5.6842500000000005</v>
      </c>
      <c r="V77" s="9">
        <f t="shared" ca="1" si="35"/>
        <v>9.8366625000000028</v>
      </c>
      <c r="W77">
        <f t="shared" si="36"/>
        <v>14.210625</v>
      </c>
      <c r="X77" s="10"/>
    </row>
    <row r="78" spans="1:24" x14ac:dyDescent="0.25">
      <c r="A78" s="3" t="str">
        <f>'Модель v2 базовая'!L8</f>
        <v>Золото</v>
      </c>
      <c r="B78">
        <f>'Модель v2 базовая'!V8</f>
        <v>203.24850000000001</v>
      </c>
      <c r="C78">
        <v>9</v>
      </c>
      <c r="D78">
        <f t="shared" si="9"/>
        <v>14</v>
      </c>
      <c r="E78" t="str">
        <f t="shared" si="28"/>
        <v>$N$9</v>
      </c>
      <c r="F78">
        <f t="shared" ca="1" si="29"/>
        <v>1300</v>
      </c>
      <c r="G78">
        <f t="shared" ca="1" si="30"/>
        <v>4.0625</v>
      </c>
      <c r="H78">
        <f>'Модель v2 базовая'!$G$87</f>
        <v>2500</v>
      </c>
      <c r="I78">
        <f t="shared" ca="1" si="31"/>
        <v>338.54166666666663</v>
      </c>
      <c r="J78">
        <v>2000</v>
      </c>
      <c r="K78">
        <f>'Модель v2 базовая'!$E$87</f>
        <v>8.3333333333333339</v>
      </c>
      <c r="L78">
        <v>0.7</v>
      </c>
      <c r="M78">
        <f t="shared" si="17"/>
        <v>10</v>
      </c>
      <c r="N78">
        <f t="shared" ca="1" si="32"/>
        <v>691391.77499999991</v>
      </c>
      <c r="O78">
        <f t="shared" ca="1" si="33"/>
        <v>345.69588749999997</v>
      </c>
      <c r="T78" s="3" t="str">
        <f t="shared" si="37"/>
        <v>Золото</v>
      </c>
      <c r="U78" s="9">
        <f t="shared" si="34"/>
        <v>203.24850000000001</v>
      </c>
      <c r="V78" s="9">
        <f t="shared" ca="1" si="35"/>
        <v>345.69588749999997</v>
      </c>
      <c r="W78">
        <f t="shared" si="36"/>
        <v>508.12125000000003</v>
      </c>
      <c r="X78" s="10"/>
    </row>
    <row r="79" spans="1:24" x14ac:dyDescent="0.25">
      <c r="A79" s="3" t="str">
        <f>'Модель v2 базовая'!L9</f>
        <v>Ткань (льняная)</v>
      </c>
      <c r="B79">
        <f>'Модель v2 базовая'!V9</f>
        <v>4.4362962000000001</v>
      </c>
      <c r="C79">
        <v>8</v>
      </c>
      <c r="D79">
        <f t="shared" si="9"/>
        <v>14</v>
      </c>
      <c r="E79" t="str">
        <f t="shared" si="28"/>
        <v>$N$8</v>
      </c>
      <c r="F79">
        <f t="shared" ca="1" si="29"/>
        <v>1100</v>
      </c>
      <c r="G79">
        <f t="shared" ca="1" si="30"/>
        <v>3.4375</v>
      </c>
      <c r="H79">
        <f>'Модель v2 базовая'!$G$87</f>
        <v>2500</v>
      </c>
      <c r="I79">
        <f t="shared" ca="1" si="31"/>
        <v>286.45833333333331</v>
      </c>
      <c r="J79">
        <v>2000</v>
      </c>
      <c r="K79">
        <f>'Модель v2 базовая'!$E$87</f>
        <v>8.3333333333333339</v>
      </c>
      <c r="L79">
        <v>0.7</v>
      </c>
      <c r="M79">
        <f t="shared" si="17"/>
        <v>10</v>
      </c>
      <c r="N79">
        <f t="shared" ca="1" si="32"/>
        <v>15378.198746666667</v>
      </c>
      <c r="O79">
        <f t="shared" ca="1" si="33"/>
        <v>7.6890993733333337</v>
      </c>
      <c r="T79" s="3" t="str">
        <f t="shared" si="37"/>
        <v>Ткань (льняная)</v>
      </c>
      <c r="U79" s="9">
        <f t="shared" si="34"/>
        <v>4.4362962000000001</v>
      </c>
      <c r="V79" s="9">
        <f t="shared" ca="1" si="35"/>
        <v>7.6890993733333337</v>
      </c>
      <c r="W79">
        <f t="shared" si="36"/>
        <v>11.090740500000001</v>
      </c>
      <c r="X79" s="10"/>
    </row>
    <row r="80" spans="1:24" x14ac:dyDescent="0.25">
      <c r="A80" s="3" t="str">
        <f>'Модель v2 базовая'!L10</f>
        <v>Ткань (шерстяная)</v>
      </c>
      <c r="B80">
        <f>'Модель v2 базовая'!V10</f>
        <v>3.8395349999999997</v>
      </c>
      <c r="C80">
        <v>8</v>
      </c>
      <c r="D80">
        <f t="shared" si="9"/>
        <v>14</v>
      </c>
      <c r="E80" t="str">
        <f t="shared" si="28"/>
        <v>$N$8</v>
      </c>
      <c r="F80">
        <f t="shared" ca="1" si="29"/>
        <v>1100</v>
      </c>
      <c r="G80">
        <f t="shared" ca="1" si="30"/>
        <v>3.4375</v>
      </c>
      <c r="H80">
        <f>'Модель v2 базовая'!$G$87</f>
        <v>2500</v>
      </c>
      <c r="I80">
        <f t="shared" ca="1" si="31"/>
        <v>286.45833333333331</v>
      </c>
      <c r="J80">
        <v>2000</v>
      </c>
      <c r="K80">
        <f>'Модель v2 базовая'!$E$87</f>
        <v>8.3333333333333339</v>
      </c>
      <c r="L80">
        <v>0.7</v>
      </c>
      <c r="M80">
        <f t="shared" si="17"/>
        <v>10</v>
      </c>
      <c r="N80">
        <f t="shared" ca="1" si="32"/>
        <v>13349.210666666666</v>
      </c>
      <c r="O80">
        <f t="shared" ca="1" si="33"/>
        <v>6.6746053333333331</v>
      </c>
      <c r="T80" s="3" t="str">
        <f t="shared" si="37"/>
        <v>Ткань (шерстяная)</v>
      </c>
      <c r="U80" s="9">
        <f t="shared" si="34"/>
        <v>3.8395349999999997</v>
      </c>
      <c r="V80" s="9">
        <f t="shared" ca="1" si="35"/>
        <v>6.6746053333333331</v>
      </c>
      <c r="W80">
        <f t="shared" si="36"/>
        <v>9.5988374999999984</v>
      </c>
      <c r="X80" s="10"/>
    </row>
    <row r="81" spans="1:24" x14ac:dyDescent="0.25">
      <c r="A81" s="3" t="str">
        <f>'Модель v2 базовая'!L11</f>
        <v>Ткань (шелк)</v>
      </c>
      <c r="B81">
        <f>'Модель v2 базовая'!V11</f>
        <v>5.7225000000000001</v>
      </c>
      <c r="C81">
        <v>8</v>
      </c>
      <c r="D81">
        <f t="shared" si="9"/>
        <v>14</v>
      </c>
      <c r="E81" t="str">
        <f t="shared" si="28"/>
        <v>$N$8</v>
      </c>
      <c r="F81">
        <f t="shared" ca="1" si="29"/>
        <v>1100</v>
      </c>
      <c r="G81">
        <f t="shared" ca="1" si="30"/>
        <v>3.4375</v>
      </c>
      <c r="H81">
        <f>'Модель v2 базовая'!$G$87</f>
        <v>2500</v>
      </c>
      <c r="I81">
        <f t="shared" ca="1" si="31"/>
        <v>286.45833333333331</v>
      </c>
      <c r="J81">
        <v>2000</v>
      </c>
      <c r="K81">
        <f>'Модель v2 базовая'!$E$87</f>
        <v>8.3333333333333339</v>
      </c>
      <c r="L81">
        <v>0.7</v>
      </c>
      <c r="M81">
        <f t="shared" si="17"/>
        <v>10</v>
      </c>
      <c r="N81">
        <f t="shared" ca="1" si="32"/>
        <v>19751.291666666664</v>
      </c>
      <c r="O81">
        <f t="shared" ca="1" si="33"/>
        <v>9.8756458333333317</v>
      </c>
      <c r="T81" s="3" t="str">
        <f t="shared" si="37"/>
        <v>Ткань (шелк)</v>
      </c>
      <c r="U81" s="9">
        <f t="shared" si="34"/>
        <v>5.7225000000000001</v>
      </c>
      <c r="V81" s="9">
        <f t="shared" ca="1" si="35"/>
        <v>9.8756458333333317</v>
      </c>
      <c r="W81">
        <f t="shared" si="36"/>
        <v>14.30625</v>
      </c>
      <c r="X81" s="10"/>
    </row>
    <row r="82" spans="1:24" x14ac:dyDescent="0.25">
      <c r="A82" s="3" t="str">
        <f>'Модель v2 базовая'!L12</f>
        <v>Пергамент</v>
      </c>
      <c r="B82">
        <f>'Модель v2 базовая'!V12</f>
        <v>4.4952249999999996</v>
      </c>
      <c r="C82">
        <v>10</v>
      </c>
      <c r="D82">
        <f t="shared" si="9"/>
        <v>14</v>
      </c>
      <c r="E82" t="str">
        <f t="shared" si="28"/>
        <v>$N$10</v>
      </c>
      <c r="F82">
        <f t="shared" ca="1" si="29"/>
        <v>760</v>
      </c>
      <c r="G82">
        <f t="shared" ca="1" si="30"/>
        <v>2.375</v>
      </c>
      <c r="H82">
        <f>'Модель v2 базовая'!$G$87</f>
        <v>2500</v>
      </c>
      <c r="I82">
        <f t="shared" ca="1" si="31"/>
        <v>197.91666666666666</v>
      </c>
      <c r="J82">
        <v>2000</v>
      </c>
      <c r="K82">
        <f>'Модель v2 базовая'!$E$87</f>
        <v>8.3333333333333339</v>
      </c>
      <c r="L82">
        <v>0.7</v>
      </c>
      <c r="M82">
        <f t="shared" si="17"/>
        <v>0</v>
      </c>
      <c r="N82">
        <f t="shared" ca="1" si="32"/>
        <v>15490.014999999998</v>
      </c>
      <c r="O82">
        <f t="shared" ca="1" si="33"/>
        <v>7.7450074999999989</v>
      </c>
      <c r="T82" s="3" t="str">
        <f t="shared" si="37"/>
        <v>Пергамент</v>
      </c>
      <c r="U82" s="9">
        <f t="shared" si="34"/>
        <v>4.4952249999999996</v>
      </c>
      <c r="V82" s="9">
        <f t="shared" ca="1" si="35"/>
        <v>7.7450074999999989</v>
      </c>
      <c r="W82">
        <f t="shared" si="36"/>
        <v>11.238062499999998</v>
      </c>
      <c r="X82" s="10"/>
    </row>
    <row r="83" spans="1:24" x14ac:dyDescent="0.25">
      <c r="A83" s="3" t="str">
        <f>'Модель v2 базовая'!L13</f>
        <v>Лекарства (простые)</v>
      </c>
      <c r="B83">
        <f>'Модель v2 базовая'!V13</f>
        <v>1.5997937499999999</v>
      </c>
      <c r="C83">
        <v>8</v>
      </c>
      <c r="D83">
        <f t="shared" si="9"/>
        <v>14</v>
      </c>
      <c r="E83" t="str">
        <f t="shared" si="28"/>
        <v>$N$8</v>
      </c>
      <c r="F83">
        <f t="shared" ca="1" si="29"/>
        <v>1100</v>
      </c>
      <c r="G83">
        <f t="shared" ca="1" si="30"/>
        <v>3.4375</v>
      </c>
      <c r="H83">
        <f>'Модель v2 базовая'!$G$87</f>
        <v>2500</v>
      </c>
      <c r="I83">
        <f t="shared" ca="1" si="31"/>
        <v>286.45833333333331</v>
      </c>
      <c r="J83">
        <v>2000</v>
      </c>
      <c r="K83">
        <f>'Модель v2 базовая'!$E$87</f>
        <v>8.3333333333333339</v>
      </c>
      <c r="L83">
        <v>0.7</v>
      </c>
      <c r="M83">
        <f t="shared" si="17"/>
        <v>10</v>
      </c>
      <c r="N83">
        <f t="shared" ca="1" si="32"/>
        <v>5734.0904166666651</v>
      </c>
      <c r="O83">
        <f t="shared" ca="1" si="33"/>
        <v>2.8670452083333324</v>
      </c>
      <c r="T83" s="3" t="str">
        <f t="shared" si="37"/>
        <v>Лекарства (простые)</v>
      </c>
      <c r="U83" s="9">
        <f t="shared" si="34"/>
        <v>1.5997937499999999</v>
      </c>
      <c r="V83" s="9">
        <f t="shared" ca="1" si="35"/>
        <v>2.8670452083333324</v>
      </c>
      <c r="W83">
        <f t="shared" si="36"/>
        <v>3.9994843749999998</v>
      </c>
      <c r="X83" s="10"/>
    </row>
    <row r="84" spans="1:24" x14ac:dyDescent="0.25">
      <c r="A84" s="3" t="str">
        <f>'Модель v2 базовая'!L14</f>
        <v>Лекарства (хорошие)</v>
      </c>
      <c r="B84">
        <f>'Модель v2 базовая'!V14</f>
        <v>1726.6707775</v>
      </c>
      <c r="C84">
        <v>10</v>
      </c>
      <c r="D84">
        <f t="shared" si="9"/>
        <v>14</v>
      </c>
      <c r="E84" t="str">
        <f t="shared" si="28"/>
        <v>$N$10</v>
      </c>
      <c r="F84">
        <f t="shared" ca="1" si="29"/>
        <v>760</v>
      </c>
      <c r="G84">
        <f t="shared" ca="1" si="30"/>
        <v>2.375</v>
      </c>
      <c r="H84">
        <f>'Модель v2 базовая'!$G$87</f>
        <v>2500</v>
      </c>
      <c r="I84">
        <f t="shared" ca="1" si="31"/>
        <v>197.91666666666666</v>
      </c>
      <c r="J84">
        <v>2000</v>
      </c>
      <c r="K84">
        <f>'Модель v2 базовая'!$E$87</f>
        <v>8.3333333333333339</v>
      </c>
      <c r="L84">
        <v>0.7</v>
      </c>
      <c r="M84">
        <f t="shared" si="17"/>
        <v>0</v>
      </c>
      <c r="N84">
        <f t="shared" ca="1" si="32"/>
        <v>5870886.8935000002</v>
      </c>
      <c r="O84">
        <f t="shared" ca="1" si="33"/>
        <v>2935.44344675</v>
      </c>
      <c r="T84" s="3" t="str">
        <f t="shared" si="37"/>
        <v>Лекарства (хорошие)</v>
      </c>
      <c r="U84" s="9">
        <f t="shared" si="34"/>
        <v>1726.6707775</v>
      </c>
      <c r="V84" s="9">
        <f t="shared" ca="1" si="35"/>
        <v>2935.44344675</v>
      </c>
      <c r="W84">
        <f t="shared" si="36"/>
        <v>4316.6769437499997</v>
      </c>
      <c r="X84" s="10"/>
    </row>
    <row r="85" spans="1:24" x14ac:dyDescent="0.25">
      <c r="A85" s="3" t="str">
        <f>'Модель v2 базовая'!L15</f>
        <v xml:space="preserve">Сталь </v>
      </c>
      <c r="B85">
        <f>'Модель v2 базовая'!V15</f>
        <v>100.82162405283088</v>
      </c>
      <c r="C85">
        <v>9</v>
      </c>
      <c r="D85">
        <f t="shared" si="9"/>
        <v>14</v>
      </c>
      <c r="E85" t="str">
        <f t="shared" si="28"/>
        <v>$N$9</v>
      </c>
      <c r="F85">
        <f t="shared" ca="1" si="29"/>
        <v>1300</v>
      </c>
      <c r="G85">
        <f t="shared" ca="1" si="30"/>
        <v>4.0625</v>
      </c>
      <c r="H85">
        <f>'Модель v2 базовая'!$G$85</f>
        <v>1000</v>
      </c>
      <c r="I85">
        <f t="shared" ca="1" si="31"/>
        <v>135.41666666666669</v>
      </c>
      <c r="J85">
        <v>2000</v>
      </c>
      <c r="K85">
        <f>'Модель v2 базовая'!$E$87</f>
        <v>8.3333333333333339</v>
      </c>
      <c r="L85">
        <v>0.7</v>
      </c>
      <c r="M85">
        <f t="shared" si="17"/>
        <v>10</v>
      </c>
      <c r="N85">
        <f t="shared" ca="1" si="32"/>
        <v>342937.27177962498</v>
      </c>
      <c r="O85">
        <f t="shared" ca="1" si="33"/>
        <v>171.46863588981248</v>
      </c>
      <c r="T85" s="3" t="str">
        <f t="shared" si="37"/>
        <v xml:space="preserve">Сталь </v>
      </c>
      <c r="U85" s="9">
        <f t="shared" si="34"/>
        <v>100.82162405283088</v>
      </c>
      <c r="V85" s="9">
        <f t="shared" ca="1" si="35"/>
        <v>171.46863588981248</v>
      </c>
      <c r="W85">
        <f t="shared" si="36"/>
        <v>252.05406013207721</v>
      </c>
      <c r="X85" s="10"/>
    </row>
    <row r="86" spans="1:24" x14ac:dyDescent="0.25">
      <c r="A86" s="3" t="str">
        <f>'Модель v2 базовая'!L16</f>
        <v>Редкий металл</v>
      </c>
      <c r="B86">
        <f>'Модель v2 базовая'!V16</f>
        <v>965.72362552830907</v>
      </c>
      <c r="C86">
        <v>9</v>
      </c>
      <c r="D86">
        <f t="shared" si="9"/>
        <v>14</v>
      </c>
      <c r="E86" t="str">
        <f t="shared" si="28"/>
        <v>$N$9</v>
      </c>
      <c r="F86">
        <f t="shared" ca="1" si="29"/>
        <v>1300</v>
      </c>
      <c r="G86">
        <f t="shared" ca="1" si="30"/>
        <v>4.0625</v>
      </c>
      <c r="H86">
        <f>'Модель v2 базовая'!$G$85</f>
        <v>1000</v>
      </c>
      <c r="I86">
        <f t="shared" ca="1" si="31"/>
        <v>135.41666666666669</v>
      </c>
      <c r="J86">
        <v>2000</v>
      </c>
      <c r="K86">
        <f>'Модель v2 базовая'!$E$87</f>
        <v>8.3333333333333339</v>
      </c>
      <c r="L86">
        <v>0.7</v>
      </c>
      <c r="M86">
        <f t="shared" ref="M86:M149" si="38">IF(OR(AND(D86&gt;9,C86&lt;=9),AND(D86&lt;9,C86&gt;=9)),10,0)</f>
        <v>10</v>
      </c>
      <c r="N86">
        <f t="shared" ca="1" si="32"/>
        <v>3283604.0767962504</v>
      </c>
      <c r="O86">
        <f t="shared" ca="1" si="33"/>
        <v>1641.8020383981252</v>
      </c>
      <c r="T86" s="3" t="str">
        <f t="shared" si="37"/>
        <v>Редкий металл</v>
      </c>
      <c r="U86" s="9">
        <f t="shared" si="34"/>
        <v>965.72362552830907</v>
      </c>
      <c r="V86" s="9">
        <f t="shared" ca="1" si="35"/>
        <v>1641.8020383981252</v>
      </c>
      <c r="W86">
        <f t="shared" si="36"/>
        <v>2414.3090638207727</v>
      </c>
      <c r="X86" s="10"/>
    </row>
    <row r="87" spans="1:24" x14ac:dyDescent="0.25">
      <c r="A87" s="3" t="str">
        <f>'Модель v2 базовая'!L17</f>
        <v>Легендарный металл</v>
      </c>
      <c r="B87">
        <f>'Модель v2 базовая'!V17</f>
        <v>1937.2992510566178</v>
      </c>
      <c r="C87">
        <v>9</v>
      </c>
      <c r="D87">
        <f t="shared" si="9"/>
        <v>14</v>
      </c>
      <c r="E87" t="str">
        <f t="shared" si="28"/>
        <v>$N$9</v>
      </c>
      <c r="F87">
        <f t="shared" ca="1" si="29"/>
        <v>1300</v>
      </c>
      <c r="G87">
        <f t="shared" ca="1" si="30"/>
        <v>4.0625</v>
      </c>
      <c r="H87">
        <f>'Модель v2 базовая'!$G$85</f>
        <v>1000</v>
      </c>
      <c r="I87">
        <f t="shared" ca="1" si="31"/>
        <v>135.41666666666669</v>
      </c>
      <c r="J87">
        <v>2000</v>
      </c>
      <c r="K87">
        <f>'Модель v2 базовая'!$E$87</f>
        <v>8.3333333333333339</v>
      </c>
      <c r="L87">
        <v>0.7</v>
      </c>
      <c r="M87">
        <f t="shared" si="38"/>
        <v>10</v>
      </c>
      <c r="N87">
        <f t="shared" ca="1" si="32"/>
        <v>6586961.2035925006</v>
      </c>
      <c r="O87">
        <f t="shared" ca="1" si="33"/>
        <v>3293.4806017962505</v>
      </c>
      <c r="T87" s="3" t="str">
        <f t="shared" si="37"/>
        <v>Легендарный металл</v>
      </c>
      <c r="U87" s="9">
        <f t="shared" si="34"/>
        <v>1937.2992510566178</v>
      </c>
      <c r="V87" s="9">
        <f t="shared" ca="1" si="35"/>
        <v>3293.4806017962505</v>
      </c>
      <c r="W87">
        <f t="shared" si="36"/>
        <v>4843.2481276415447</v>
      </c>
      <c r="X87" s="10"/>
    </row>
    <row r="88" spans="1:24" x14ac:dyDescent="0.25">
      <c r="A88" s="3" t="str">
        <f>'Модель v2 базовая'!L18</f>
        <v>Стекло</v>
      </c>
      <c r="B88">
        <f>'Модель v2 базовая'!V18</f>
        <v>4.5575200000000002</v>
      </c>
      <c r="C88">
        <v>9</v>
      </c>
      <c r="D88">
        <f t="shared" si="9"/>
        <v>14</v>
      </c>
      <c r="E88" t="str">
        <f t="shared" si="28"/>
        <v>$N$9</v>
      </c>
      <c r="F88">
        <f t="shared" ca="1" si="29"/>
        <v>1300</v>
      </c>
      <c r="G88">
        <f t="shared" ca="1" si="30"/>
        <v>4.0625</v>
      </c>
      <c r="H88">
        <f>'Модель v2 базовая'!$G$85</f>
        <v>1000</v>
      </c>
      <c r="I88">
        <f t="shared" ca="1" si="31"/>
        <v>135.41666666666669</v>
      </c>
      <c r="J88">
        <v>2000</v>
      </c>
      <c r="K88">
        <f>'Модель v2 базовая'!$E$87</f>
        <v>8.3333333333333339</v>
      </c>
      <c r="L88">
        <v>0.7</v>
      </c>
      <c r="M88">
        <f t="shared" si="38"/>
        <v>10</v>
      </c>
      <c r="N88">
        <f t="shared" ca="1" si="32"/>
        <v>15639.318000000001</v>
      </c>
      <c r="O88">
        <f t="shared" ca="1" si="33"/>
        <v>7.8196590000000006</v>
      </c>
      <c r="T88" s="3" t="str">
        <f t="shared" si="37"/>
        <v>Стекло</v>
      </c>
      <c r="U88" s="9">
        <f t="shared" si="34"/>
        <v>4.5575200000000002</v>
      </c>
      <c r="V88" s="9">
        <f t="shared" ca="1" si="35"/>
        <v>7.8196590000000006</v>
      </c>
      <c r="W88">
        <f t="shared" si="36"/>
        <v>11.393800000000001</v>
      </c>
      <c r="X88" s="10"/>
    </row>
    <row r="89" spans="1:24" x14ac:dyDescent="0.25">
      <c r="A89" s="3" t="str">
        <f>'Модель v2 базовая'!L19</f>
        <v>Свиток заклинаний М0</v>
      </c>
      <c r="B89">
        <f>'Модель v2 базовая'!V19</f>
        <v>1.04447475</v>
      </c>
      <c r="C89">
        <v>14</v>
      </c>
      <c r="D89">
        <f t="shared" si="9"/>
        <v>14</v>
      </c>
      <c r="E89" t="str">
        <f t="shared" ref="E89:E98" si="39" xml:space="preserve"> ADDRESS(C89,D89)</f>
        <v>$N$14</v>
      </c>
      <c r="F89">
        <f t="shared" ref="F89:F98" ca="1" si="40">INDIRECT(E89)</f>
        <v>0</v>
      </c>
      <c r="G89">
        <f t="shared" ref="G89:G98" ca="1" si="41">F89/320</f>
        <v>0</v>
      </c>
      <c r="H89">
        <f>'Модель v2 базовая'!$G$85</f>
        <v>1000</v>
      </c>
      <c r="I89">
        <f t="shared" ref="I89:I98" ca="1" si="42">H89/30*G89</f>
        <v>0</v>
      </c>
      <c r="J89">
        <v>2000</v>
      </c>
      <c r="K89">
        <f>'Модель v2 базовая'!$E$87</f>
        <v>8.3333333333333339</v>
      </c>
      <c r="L89">
        <v>0.7</v>
      </c>
      <c r="M89">
        <f t="shared" si="38"/>
        <v>0</v>
      </c>
      <c r="N89">
        <f ca="1">IF(G89=0, B89*J89, B89*J89+(B89*J89*L89)+I89+K89)</f>
        <v>2088.9495000000002</v>
      </c>
      <c r="O89">
        <f t="shared" ref="O89:O98" ca="1" si="43">N89/J89</f>
        <v>1.04447475</v>
      </c>
      <c r="T89" s="3" t="str">
        <f t="shared" si="37"/>
        <v>Свиток заклинаний М0</v>
      </c>
      <c r="U89" s="9">
        <f t="shared" ref="U89:U98" si="44">B89</f>
        <v>1.04447475</v>
      </c>
      <c r="V89" s="9">
        <f t="shared" ref="V89:V98" ca="1" si="45">O89</f>
        <v>1.04447475</v>
      </c>
      <c r="W89">
        <f t="shared" ref="W89:W98" si="46">B89*2.5</f>
        <v>2.611186875</v>
      </c>
    </row>
    <row r="90" spans="1:24" x14ac:dyDescent="0.25">
      <c r="A90" s="3" t="str">
        <f>'Модель v2 базовая'!L20</f>
        <v>Свиток заклинаний М1</v>
      </c>
      <c r="B90">
        <f>'Модель v2 базовая'!V20</f>
        <v>77.017952275000013</v>
      </c>
      <c r="C90">
        <v>14</v>
      </c>
      <c r="D90">
        <f t="shared" si="9"/>
        <v>14</v>
      </c>
      <c r="E90" t="str">
        <f t="shared" si="39"/>
        <v>$N$14</v>
      </c>
      <c r="F90">
        <f t="shared" ca="1" si="40"/>
        <v>0</v>
      </c>
      <c r="G90">
        <f t="shared" ca="1" si="41"/>
        <v>0</v>
      </c>
      <c r="H90">
        <f>'Модель v2 базовая'!$G$85</f>
        <v>1000</v>
      </c>
      <c r="I90">
        <f t="shared" ca="1" si="42"/>
        <v>0</v>
      </c>
      <c r="J90">
        <v>2000</v>
      </c>
      <c r="K90">
        <f>'Модель v2 базовая'!$E$87</f>
        <v>8.3333333333333339</v>
      </c>
      <c r="L90">
        <v>0.7</v>
      </c>
      <c r="M90">
        <f t="shared" si="38"/>
        <v>0</v>
      </c>
      <c r="N90">
        <f t="shared" ref="N89:N98" ca="1" si="47">IF(G90=0, B90*J90, B90*J90+(B90*J90*L90)+I90+K90)</f>
        <v>154035.90455000004</v>
      </c>
      <c r="O90">
        <f t="shared" ca="1" si="43"/>
        <v>77.017952275000013</v>
      </c>
      <c r="T90" s="3" t="str">
        <f t="shared" si="37"/>
        <v>Свиток заклинаний М1</v>
      </c>
      <c r="U90" s="9">
        <f t="shared" si="44"/>
        <v>77.017952275000013</v>
      </c>
      <c r="V90" s="9">
        <f t="shared" ca="1" si="45"/>
        <v>77.017952275000013</v>
      </c>
      <c r="W90">
        <f t="shared" si="46"/>
        <v>192.54488068750004</v>
      </c>
    </row>
    <row r="91" spans="1:24" x14ac:dyDescent="0.25">
      <c r="A91" s="3" t="str">
        <f>'Модель v2 базовая'!L21</f>
        <v>Свиток заклинаний М2</v>
      </c>
      <c r="B91">
        <f>'Модель v2 базовая'!V21</f>
        <v>152.99142980000002</v>
      </c>
      <c r="C91">
        <v>14</v>
      </c>
      <c r="D91">
        <f t="shared" si="9"/>
        <v>14</v>
      </c>
      <c r="E91" t="str">
        <f t="shared" si="39"/>
        <v>$N$14</v>
      </c>
      <c r="F91">
        <f t="shared" ca="1" si="40"/>
        <v>0</v>
      </c>
      <c r="G91">
        <f t="shared" ca="1" si="41"/>
        <v>0</v>
      </c>
      <c r="H91">
        <f>'Модель v2 базовая'!$G$85</f>
        <v>1000</v>
      </c>
      <c r="I91">
        <f t="shared" ca="1" si="42"/>
        <v>0</v>
      </c>
      <c r="J91">
        <v>2000</v>
      </c>
      <c r="K91">
        <f>'Модель v2 базовая'!$E$87</f>
        <v>8.3333333333333339</v>
      </c>
      <c r="L91">
        <v>0.7</v>
      </c>
      <c r="M91">
        <f t="shared" si="38"/>
        <v>0</v>
      </c>
      <c r="N91">
        <f t="shared" ca="1" si="47"/>
        <v>305982.85960000003</v>
      </c>
      <c r="O91">
        <f t="shared" ca="1" si="43"/>
        <v>152.99142980000002</v>
      </c>
      <c r="T91" s="3" t="str">
        <f t="shared" si="37"/>
        <v>Свиток заклинаний М2</v>
      </c>
      <c r="U91" s="9">
        <f t="shared" si="44"/>
        <v>152.99142980000002</v>
      </c>
      <c r="V91" s="9">
        <f t="shared" ca="1" si="45"/>
        <v>152.99142980000002</v>
      </c>
      <c r="W91">
        <f t="shared" si="46"/>
        <v>382.47857450000004</v>
      </c>
    </row>
    <row r="92" spans="1:24" x14ac:dyDescent="0.25">
      <c r="A92" s="3" t="str">
        <f>'Модель v2 базовая'!L22</f>
        <v>Свиток заклинаний М3</v>
      </c>
      <c r="B92">
        <f>'Модель v2 базовая'!V22</f>
        <v>228.96490732500001</v>
      </c>
      <c r="C92">
        <v>14</v>
      </c>
      <c r="D92">
        <f t="shared" si="9"/>
        <v>14</v>
      </c>
      <c r="E92" t="str">
        <f t="shared" si="39"/>
        <v>$N$14</v>
      </c>
      <c r="F92">
        <f t="shared" ca="1" si="40"/>
        <v>0</v>
      </c>
      <c r="G92">
        <f t="shared" ca="1" si="41"/>
        <v>0</v>
      </c>
      <c r="H92">
        <f>'Модель v2 базовая'!$G$85</f>
        <v>1000</v>
      </c>
      <c r="I92">
        <f t="shared" ca="1" si="42"/>
        <v>0</v>
      </c>
      <c r="J92">
        <v>2000</v>
      </c>
      <c r="K92">
        <f>'Модель v2 базовая'!$E$87</f>
        <v>8.3333333333333339</v>
      </c>
      <c r="L92">
        <v>0.7</v>
      </c>
      <c r="M92">
        <f t="shared" si="38"/>
        <v>0</v>
      </c>
      <c r="N92">
        <f t="shared" ca="1" si="47"/>
        <v>457929.81465000001</v>
      </c>
      <c r="O92">
        <f t="shared" ca="1" si="43"/>
        <v>228.96490732500001</v>
      </c>
      <c r="T92" s="3" t="str">
        <f t="shared" si="37"/>
        <v>Свиток заклинаний М3</v>
      </c>
      <c r="U92" s="9">
        <f t="shared" si="44"/>
        <v>228.96490732500001</v>
      </c>
      <c r="V92" s="9">
        <f t="shared" ca="1" si="45"/>
        <v>228.96490732500001</v>
      </c>
      <c r="W92">
        <f t="shared" si="46"/>
        <v>572.41226831250003</v>
      </c>
    </row>
    <row r="93" spans="1:24" x14ac:dyDescent="0.25">
      <c r="A93" s="3" t="str">
        <f>'Модель v2 базовая'!L23</f>
        <v>Свиток заклинаний М4</v>
      </c>
      <c r="B93">
        <f>'Модель v2 базовая'!V23</f>
        <v>304.93838485000003</v>
      </c>
      <c r="C93">
        <v>14</v>
      </c>
      <c r="D93">
        <f t="shared" si="9"/>
        <v>14</v>
      </c>
      <c r="E93" t="str">
        <f t="shared" si="39"/>
        <v>$N$14</v>
      </c>
      <c r="F93">
        <f t="shared" ca="1" si="40"/>
        <v>0</v>
      </c>
      <c r="G93">
        <f t="shared" ca="1" si="41"/>
        <v>0</v>
      </c>
      <c r="H93">
        <f>'Модель v2 базовая'!$G$85</f>
        <v>1000</v>
      </c>
      <c r="I93">
        <f t="shared" ca="1" si="42"/>
        <v>0</v>
      </c>
      <c r="J93">
        <v>2000</v>
      </c>
      <c r="K93">
        <f>'Модель v2 базовая'!$E$87</f>
        <v>8.3333333333333339</v>
      </c>
      <c r="L93">
        <v>0.7</v>
      </c>
      <c r="M93">
        <f t="shared" si="38"/>
        <v>0</v>
      </c>
      <c r="N93">
        <f t="shared" ca="1" si="47"/>
        <v>609876.76970000006</v>
      </c>
      <c r="O93">
        <f t="shared" ca="1" si="43"/>
        <v>304.93838485000003</v>
      </c>
      <c r="T93" s="3" t="str">
        <f t="shared" si="37"/>
        <v>Свиток заклинаний М4</v>
      </c>
      <c r="U93" s="9">
        <f t="shared" si="44"/>
        <v>304.93838485000003</v>
      </c>
      <c r="V93" s="9">
        <f t="shared" ca="1" si="45"/>
        <v>304.93838485000003</v>
      </c>
      <c r="W93">
        <f t="shared" si="46"/>
        <v>762.34596212500014</v>
      </c>
    </row>
    <row r="94" spans="1:24" x14ac:dyDescent="0.25">
      <c r="A94" s="3" t="str">
        <f>'Модель v2 базовая'!L24</f>
        <v>Свиток заклинаний М5</v>
      </c>
      <c r="B94">
        <f>'Модель v2 базовая'!V24</f>
        <v>380.911862375</v>
      </c>
      <c r="C94">
        <v>14</v>
      </c>
      <c r="D94">
        <f t="shared" si="9"/>
        <v>14</v>
      </c>
      <c r="E94" t="str">
        <f t="shared" si="39"/>
        <v>$N$14</v>
      </c>
      <c r="F94">
        <f t="shared" ca="1" si="40"/>
        <v>0</v>
      </c>
      <c r="G94">
        <f t="shared" ca="1" si="41"/>
        <v>0</v>
      </c>
      <c r="H94">
        <f>'Модель v2 базовая'!$G$85</f>
        <v>1000</v>
      </c>
      <c r="I94">
        <f t="shared" ca="1" si="42"/>
        <v>0</v>
      </c>
      <c r="J94">
        <v>2000</v>
      </c>
      <c r="K94">
        <f>'Модель v2 базовая'!$E$87</f>
        <v>8.3333333333333339</v>
      </c>
      <c r="L94">
        <v>0.7</v>
      </c>
      <c r="M94">
        <f t="shared" si="38"/>
        <v>0</v>
      </c>
      <c r="N94">
        <f t="shared" ca="1" si="47"/>
        <v>761823.72475000005</v>
      </c>
      <c r="O94">
        <f t="shared" ca="1" si="43"/>
        <v>380.911862375</v>
      </c>
      <c r="T94" s="3" t="str">
        <f t="shared" si="37"/>
        <v>Свиток заклинаний М5</v>
      </c>
      <c r="U94" s="9">
        <f t="shared" si="44"/>
        <v>380.911862375</v>
      </c>
      <c r="V94" s="9">
        <f t="shared" ca="1" si="45"/>
        <v>380.911862375</v>
      </c>
      <c r="W94">
        <f t="shared" si="46"/>
        <v>952.27965593750002</v>
      </c>
    </row>
    <row r="95" spans="1:24" x14ac:dyDescent="0.25">
      <c r="A95" s="3" t="str">
        <f>'Модель v2 базовая'!L25</f>
        <v>Свиток заклинаний М6</v>
      </c>
      <c r="B95">
        <f>'Модель v2 базовая'!V25</f>
        <v>456.88533990000008</v>
      </c>
      <c r="C95">
        <v>14</v>
      </c>
      <c r="D95">
        <f t="shared" si="9"/>
        <v>14</v>
      </c>
      <c r="E95" t="str">
        <f t="shared" si="39"/>
        <v>$N$14</v>
      </c>
      <c r="F95">
        <f t="shared" ca="1" si="40"/>
        <v>0</v>
      </c>
      <c r="G95">
        <f t="shared" ca="1" si="41"/>
        <v>0</v>
      </c>
      <c r="H95">
        <f>'Модель v2 базовая'!$G$85</f>
        <v>1000</v>
      </c>
      <c r="I95">
        <f t="shared" ca="1" si="42"/>
        <v>0</v>
      </c>
      <c r="J95">
        <v>2000</v>
      </c>
      <c r="K95">
        <f>'Модель v2 базовая'!$E$87</f>
        <v>8.3333333333333339</v>
      </c>
      <c r="L95">
        <v>0.7</v>
      </c>
      <c r="M95">
        <f t="shared" si="38"/>
        <v>0</v>
      </c>
      <c r="N95">
        <f t="shared" ca="1" si="47"/>
        <v>913770.67980000016</v>
      </c>
      <c r="O95">
        <f t="shared" ca="1" si="43"/>
        <v>456.88533990000008</v>
      </c>
      <c r="T95" s="3" t="str">
        <f t="shared" si="37"/>
        <v>Свиток заклинаний М6</v>
      </c>
      <c r="U95" s="9">
        <f t="shared" si="44"/>
        <v>456.88533990000008</v>
      </c>
      <c r="V95" s="9">
        <f t="shared" ca="1" si="45"/>
        <v>456.88533990000008</v>
      </c>
      <c r="W95">
        <f t="shared" si="46"/>
        <v>1142.2133497500001</v>
      </c>
    </row>
    <row r="96" spans="1:24" x14ac:dyDescent="0.25">
      <c r="A96" s="3" t="str">
        <f>'Модель v2 базовая'!L26</f>
        <v>Свиток заклинаний М7</v>
      </c>
      <c r="B96">
        <f>'Модель v2 базовая'!V26</f>
        <v>532.8588174250001</v>
      </c>
      <c r="C96">
        <v>14</v>
      </c>
      <c r="D96">
        <f t="shared" si="9"/>
        <v>14</v>
      </c>
      <c r="E96" t="str">
        <f t="shared" si="39"/>
        <v>$N$14</v>
      </c>
      <c r="F96">
        <f t="shared" ca="1" si="40"/>
        <v>0</v>
      </c>
      <c r="G96">
        <f t="shared" ca="1" si="41"/>
        <v>0</v>
      </c>
      <c r="H96">
        <f>'Модель v2 базовая'!$G$85</f>
        <v>1000</v>
      </c>
      <c r="I96">
        <f t="shared" ca="1" si="42"/>
        <v>0</v>
      </c>
      <c r="J96">
        <v>2000</v>
      </c>
      <c r="K96">
        <f>'Модель v2 базовая'!$E$87</f>
        <v>8.3333333333333339</v>
      </c>
      <c r="L96">
        <v>0.7</v>
      </c>
      <c r="M96">
        <f t="shared" si="38"/>
        <v>0</v>
      </c>
      <c r="N96">
        <f t="shared" ca="1" si="47"/>
        <v>1065717.6348500003</v>
      </c>
      <c r="O96">
        <f t="shared" ca="1" si="43"/>
        <v>532.8588174250001</v>
      </c>
      <c r="T96" s="3" t="str">
        <f t="shared" si="37"/>
        <v>Свиток заклинаний М7</v>
      </c>
      <c r="U96" s="9">
        <f t="shared" si="44"/>
        <v>532.8588174250001</v>
      </c>
      <c r="V96" s="9">
        <f t="shared" ca="1" si="45"/>
        <v>532.8588174250001</v>
      </c>
      <c r="W96">
        <f t="shared" si="46"/>
        <v>1332.1470435625001</v>
      </c>
    </row>
    <row r="97" spans="1:24" x14ac:dyDescent="0.25">
      <c r="A97" s="3" t="str">
        <f>'Модель v2 базовая'!L27</f>
        <v>Свиток заклинаний М8</v>
      </c>
      <c r="B97">
        <f>'Модель v2 базовая'!V27</f>
        <v>608.83229495</v>
      </c>
      <c r="C97">
        <v>14</v>
      </c>
      <c r="D97">
        <f t="shared" si="9"/>
        <v>14</v>
      </c>
      <c r="E97" t="str">
        <f t="shared" si="39"/>
        <v>$N$14</v>
      </c>
      <c r="F97">
        <f t="shared" ca="1" si="40"/>
        <v>0</v>
      </c>
      <c r="G97">
        <f t="shared" ca="1" si="41"/>
        <v>0</v>
      </c>
      <c r="H97">
        <f>'Модель v2 базовая'!$G$85</f>
        <v>1000</v>
      </c>
      <c r="I97">
        <f t="shared" ca="1" si="42"/>
        <v>0</v>
      </c>
      <c r="J97">
        <v>2000</v>
      </c>
      <c r="K97">
        <f>'Модель v2 базовая'!$E$87</f>
        <v>8.3333333333333339</v>
      </c>
      <c r="L97">
        <v>0.7</v>
      </c>
      <c r="M97">
        <f t="shared" si="38"/>
        <v>0</v>
      </c>
      <c r="N97">
        <f t="shared" ca="1" si="47"/>
        <v>1217664.5899</v>
      </c>
      <c r="O97">
        <f t="shared" ca="1" si="43"/>
        <v>608.83229495</v>
      </c>
      <c r="T97" s="3" t="str">
        <f t="shared" si="37"/>
        <v>Свиток заклинаний М8</v>
      </c>
      <c r="U97" s="9">
        <f t="shared" si="44"/>
        <v>608.83229495</v>
      </c>
      <c r="V97" s="9">
        <f t="shared" ca="1" si="45"/>
        <v>608.83229495</v>
      </c>
      <c r="W97">
        <f t="shared" si="46"/>
        <v>1522.0807373749999</v>
      </c>
    </row>
    <row r="98" spans="1:24" x14ac:dyDescent="0.25">
      <c r="A98" s="3" t="str">
        <f>'Модель v2 базовая'!L28</f>
        <v>Свиток заклинаний М9</v>
      </c>
      <c r="B98">
        <f>'Модель v2 базовая'!V28</f>
        <v>684.80577247499991</v>
      </c>
      <c r="C98">
        <v>14</v>
      </c>
      <c r="D98">
        <f t="shared" si="9"/>
        <v>14</v>
      </c>
      <c r="E98" t="str">
        <f t="shared" si="39"/>
        <v>$N$14</v>
      </c>
      <c r="F98">
        <f t="shared" ca="1" si="40"/>
        <v>0</v>
      </c>
      <c r="G98">
        <f t="shared" ca="1" si="41"/>
        <v>0</v>
      </c>
      <c r="H98">
        <f>'Модель v2 базовая'!$G$85</f>
        <v>1000</v>
      </c>
      <c r="I98">
        <f t="shared" ca="1" si="42"/>
        <v>0</v>
      </c>
      <c r="J98">
        <v>2000</v>
      </c>
      <c r="K98">
        <f>'Модель v2 базовая'!$E$87</f>
        <v>8.3333333333333339</v>
      </c>
      <c r="L98">
        <v>0.7</v>
      </c>
      <c r="M98">
        <f t="shared" si="38"/>
        <v>0</v>
      </c>
      <c r="N98">
        <f t="shared" ca="1" si="47"/>
        <v>1369611.5449499998</v>
      </c>
      <c r="O98">
        <f t="shared" ca="1" si="43"/>
        <v>684.80577247499991</v>
      </c>
      <c r="T98" s="3" t="str">
        <f t="shared" si="37"/>
        <v>Свиток заклинаний М9</v>
      </c>
      <c r="U98" s="9">
        <f t="shared" si="44"/>
        <v>684.80577247499991</v>
      </c>
      <c r="V98" s="9">
        <f t="shared" ca="1" si="45"/>
        <v>684.80577247499991</v>
      </c>
      <c r="W98">
        <f t="shared" si="46"/>
        <v>1712.0144311874997</v>
      </c>
    </row>
    <row r="99" spans="1:24" x14ac:dyDescent="0.25">
      <c r="A99" s="1" t="s">
        <v>176</v>
      </c>
      <c r="T99" s="1" t="s">
        <v>176</v>
      </c>
      <c r="U99" s="9"/>
      <c r="V99" s="9"/>
      <c r="X99" s="10"/>
    </row>
    <row r="100" spans="1:24" x14ac:dyDescent="0.25">
      <c r="A100" s="8" t="s">
        <v>184</v>
      </c>
      <c r="T100" s="8" t="s">
        <v>184</v>
      </c>
      <c r="U100" s="9"/>
      <c r="V100" s="9"/>
      <c r="X100" s="10"/>
    </row>
    <row r="101" spans="1:24" x14ac:dyDescent="0.25">
      <c r="A101" s="3" t="str">
        <f>'Модель v2 базовая'!AL5</f>
        <v>абак</v>
      </c>
      <c r="B101">
        <f>'Модель v2 базовая'!AU5</f>
        <v>1.03182825</v>
      </c>
      <c r="C101">
        <v>5</v>
      </c>
      <c r="D101">
        <f t="shared" si="9"/>
        <v>14</v>
      </c>
      <c r="E101" t="str">
        <f t="shared" ref="E101:E102" si="48" xml:space="preserve"> ADDRESS(C101,D101)</f>
        <v>$N$5</v>
      </c>
      <c r="F101">
        <f t="shared" ref="F101:F102" ca="1" si="49">INDIRECT(E101)</f>
        <v>980</v>
      </c>
      <c r="G101">
        <f t="shared" ref="G101:G102" ca="1" si="50">F101/320</f>
        <v>3.0625</v>
      </c>
      <c r="H101">
        <f>'Модель v2 базовая'!$G$87</f>
        <v>2500</v>
      </c>
      <c r="I101">
        <f t="shared" ref="I101:I102" ca="1" si="51">H101/30*G101</f>
        <v>255.20833333333331</v>
      </c>
      <c r="J101">
        <v>2000</v>
      </c>
      <c r="K101">
        <f>'Модель v2 базовая'!$E$87</f>
        <v>8.3333333333333339</v>
      </c>
      <c r="L101">
        <v>0.7</v>
      </c>
      <c r="M101">
        <f t="shared" si="38"/>
        <v>10</v>
      </c>
      <c r="N101">
        <f t="shared" ref="N101:N102" ca="1" si="52">IF(G101=0, B101*J101, B101*J101+(B101*J101*L101)+I101+K101)</f>
        <v>3771.757716666667</v>
      </c>
      <c r="O101">
        <f t="shared" ref="O101:O102" ca="1" si="53">N101/J101</f>
        <v>1.8858788583333335</v>
      </c>
      <c r="T101" s="3" t="str">
        <f>A101</f>
        <v>абак</v>
      </c>
      <c r="U101" s="9">
        <f t="shared" ref="U101:U132" si="54">B101</f>
        <v>1.03182825</v>
      </c>
      <c r="V101" s="9">
        <f t="shared" ref="V101:V132" ca="1" si="55">O101</f>
        <v>1.8858788583333335</v>
      </c>
      <c r="W101">
        <f t="shared" ref="W101:W112" si="56">B101*2.5</f>
        <v>2.5795706250000001</v>
      </c>
      <c r="X101" s="10"/>
    </row>
    <row r="102" spans="1:24" x14ac:dyDescent="0.25">
      <c r="A102" s="3" t="str">
        <f>'Модель v2 базовая'!AL6</f>
        <v>Фляга</v>
      </c>
      <c r="B102">
        <f>'Модель v2 базовая'!AU6</f>
        <v>1.0872675000000001</v>
      </c>
      <c r="C102">
        <v>9</v>
      </c>
      <c r="D102">
        <f t="shared" si="9"/>
        <v>14</v>
      </c>
      <c r="E102" t="str">
        <f t="shared" si="48"/>
        <v>$N$9</v>
      </c>
      <c r="F102">
        <f t="shared" ca="1" si="49"/>
        <v>1300</v>
      </c>
      <c r="G102">
        <f t="shared" ca="1" si="50"/>
        <v>4.0625</v>
      </c>
      <c r="H102">
        <f>'Модель v2 базовая'!$G$87</f>
        <v>2500</v>
      </c>
      <c r="I102">
        <f t="shared" ca="1" si="51"/>
        <v>338.54166666666663</v>
      </c>
      <c r="J102">
        <v>2000</v>
      </c>
      <c r="K102">
        <f>'Модель v2 базовая'!$E$87</f>
        <v>8.3333333333333339</v>
      </c>
      <c r="L102">
        <v>0.7</v>
      </c>
      <c r="M102">
        <f t="shared" si="38"/>
        <v>10</v>
      </c>
      <c r="N102">
        <f t="shared" ca="1" si="52"/>
        <v>4043.5845000000004</v>
      </c>
      <c r="O102">
        <f t="shared" ca="1" si="53"/>
        <v>2.0217922500000003</v>
      </c>
      <c r="T102" s="3" t="str">
        <f t="shared" ref="T102:T165" si="57">A102</f>
        <v>Фляга</v>
      </c>
      <c r="U102" s="9">
        <f t="shared" si="54"/>
        <v>1.0872675000000001</v>
      </c>
      <c r="V102" s="9">
        <f t="shared" ca="1" si="55"/>
        <v>2.0217922500000003</v>
      </c>
      <c r="W102">
        <f t="shared" si="56"/>
        <v>2.7181687500000002</v>
      </c>
      <c r="X102" s="10"/>
    </row>
    <row r="103" spans="1:24" x14ac:dyDescent="0.25">
      <c r="A103" s="3" t="str">
        <f>'Модель v2 базовая'!AL7</f>
        <v>блок и лебедка</v>
      </c>
      <c r="B103">
        <f>'Модель v2 базовая'!AU7</f>
        <v>19.572025000000007</v>
      </c>
      <c r="C103">
        <v>9</v>
      </c>
      <c r="D103">
        <f t="shared" si="9"/>
        <v>14</v>
      </c>
      <c r="E103" t="str">
        <f t="shared" ref="E103:E166" si="58" xml:space="preserve"> ADDRESS(C103,D103)</f>
        <v>$N$9</v>
      </c>
      <c r="F103">
        <f t="shared" ref="F103:F166" ca="1" si="59">INDIRECT(E103)</f>
        <v>1300</v>
      </c>
      <c r="G103">
        <f t="shared" ref="G103:G166" ca="1" si="60">F103/320</f>
        <v>4.0625</v>
      </c>
      <c r="H103">
        <f>'Модель v2 базовая'!$G$87</f>
        <v>2500</v>
      </c>
      <c r="I103">
        <f t="shared" ref="I103:I166" ca="1" si="61">H103/30*G103</f>
        <v>338.54166666666663</v>
      </c>
      <c r="J103">
        <v>2000</v>
      </c>
      <c r="K103">
        <f>'Модель v2 базовая'!$E$87</f>
        <v>8.3333333333333339</v>
      </c>
      <c r="L103">
        <v>0.7</v>
      </c>
      <c r="M103">
        <f t="shared" si="38"/>
        <v>10</v>
      </c>
      <c r="N103">
        <f t="shared" ref="N103:N166" ca="1" si="62">IF(G103=0, B103*J103, B103*J103+(B103*J103*L103)+I103+K103)</f>
        <v>66891.760000000024</v>
      </c>
      <c r="O103">
        <f t="shared" ref="O103:O166" ca="1" si="63">N103/J103</f>
        <v>33.44588000000001</v>
      </c>
      <c r="T103" s="3" t="str">
        <f t="shared" si="57"/>
        <v>блок и лебедка</v>
      </c>
      <c r="U103" s="9">
        <f t="shared" si="54"/>
        <v>19.572025000000007</v>
      </c>
      <c r="V103" s="9">
        <f t="shared" ca="1" si="55"/>
        <v>33.44588000000001</v>
      </c>
      <c r="W103">
        <f t="shared" si="56"/>
        <v>48.93006250000002</v>
      </c>
      <c r="X103" s="10"/>
    </row>
    <row r="104" spans="1:24" x14ac:dyDescent="0.25">
      <c r="A104" s="3" t="str">
        <f>'Модель v2 базовая'!AL8</f>
        <v>бочка</v>
      </c>
      <c r="B104">
        <f>'Модель v2 базовая'!AU8</f>
        <v>42.207481250000001</v>
      </c>
      <c r="C104">
        <v>5</v>
      </c>
      <c r="D104">
        <f t="shared" si="9"/>
        <v>14</v>
      </c>
      <c r="E104" t="str">
        <f t="shared" si="58"/>
        <v>$N$5</v>
      </c>
      <c r="F104">
        <f t="shared" ca="1" si="59"/>
        <v>980</v>
      </c>
      <c r="G104">
        <f t="shared" ca="1" si="60"/>
        <v>3.0625</v>
      </c>
      <c r="H104">
        <f>'Модель v2 базовая'!$G$87</f>
        <v>2500</v>
      </c>
      <c r="I104">
        <f t="shared" ca="1" si="61"/>
        <v>255.20833333333331</v>
      </c>
      <c r="J104">
        <v>2000</v>
      </c>
      <c r="K104">
        <f>'Модель v2 базовая'!$E$87</f>
        <v>8.3333333333333339</v>
      </c>
      <c r="L104">
        <v>0.7</v>
      </c>
      <c r="M104">
        <f t="shared" si="38"/>
        <v>10</v>
      </c>
      <c r="N104">
        <f t="shared" ca="1" si="62"/>
        <v>143768.97791666666</v>
      </c>
      <c r="O104">
        <f t="shared" ca="1" si="63"/>
        <v>71.884488958333321</v>
      </c>
      <c r="T104" s="3" t="str">
        <f t="shared" si="57"/>
        <v>бочка</v>
      </c>
      <c r="U104" s="9">
        <f t="shared" si="54"/>
        <v>42.207481250000001</v>
      </c>
      <c r="V104" s="9">
        <f t="shared" ca="1" si="55"/>
        <v>71.884488958333321</v>
      </c>
      <c r="W104">
        <f t="shared" si="56"/>
        <v>105.518703125</v>
      </c>
      <c r="X104" s="10"/>
    </row>
    <row r="105" spans="1:24" x14ac:dyDescent="0.25">
      <c r="A105" s="3" t="str">
        <f>'Модель v2 базовая'!AL9</f>
        <v>бутылка</v>
      </c>
      <c r="B105">
        <f>'Модель v2 базовая'!AU9</f>
        <v>1.4646544000000004</v>
      </c>
      <c r="C105">
        <v>9</v>
      </c>
      <c r="D105">
        <f t="shared" si="9"/>
        <v>14</v>
      </c>
      <c r="E105" t="str">
        <f t="shared" si="58"/>
        <v>$N$9</v>
      </c>
      <c r="F105">
        <f t="shared" ca="1" si="59"/>
        <v>1300</v>
      </c>
      <c r="G105">
        <f t="shared" ca="1" si="60"/>
        <v>4.0625</v>
      </c>
      <c r="H105">
        <f>'Модель v2 базовая'!$G$87</f>
        <v>2500</v>
      </c>
      <c r="I105">
        <f t="shared" ca="1" si="61"/>
        <v>338.54166666666663</v>
      </c>
      <c r="J105">
        <v>2000</v>
      </c>
      <c r="K105">
        <f>'Модель v2 базовая'!$E$87</f>
        <v>8.3333333333333339</v>
      </c>
      <c r="L105">
        <v>0.7</v>
      </c>
      <c r="M105">
        <f t="shared" si="38"/>
        <v>10</v>
      </c>
      <c r="N105">
        <f t="shared" ca="1" si="62"/>
        <v>5326.6999600000017</v>
      </c>
      <c r="O105">
        <f t="shared" ca="1" si="63"/>
        <v>2.6633499800000009</v>
      </c>
      <c r="T105" s="3" t="str">
        <f t="shared" si="57"/>
        <v>бутылка</v>
      </c>
      <c r="U105" s="9">
        <f t="shared" si="54"/>
        <v>1.4646544000000004</v>
      </c>
      <c r="V105" s="9">
        <f t="shared" ca="1" si="55"/>
        <v>2.6633499800000009</v>
      </c>
      <c r="W105">
        <f t="shared" si="56"/>
        <v>3.661636000000001</v>
      </c>
      <c r="X105" s="10"/>
    </row>
    <row r="106" spans="1:24" x14ac:dyDescent="0.25">
      <c r="A106" s="3" t="str">
        <f>'Модель v2 базовая'!AL10</f>
        <v>ведро</v>
      </c>
      <c r="B106">
        <f>'Модель v2 базовая'!AU10</f>
        <v>6.2461774999999999</v>
      </c>
      <c r="C106">
        <v>5</v>
      </c>
      <c r="D106">
        <f t="shared" si="9"/>
        <v>14</v>
      </c>
      <c r="E106" t="str">
        <f t="shared" si="58"/>
        <v>$N$5</v>
      </c>
      <c r="F106">
        <f t="shared" ca="1" si="59"/>
        <v>980</v>
      </c>
      <c r="G106">
        <f t="shared" ca="1" si="60"/>
        <v>3.0625</v>
      </c>
      <c r="H106">
        <f>'Модель v2 базовая'!$G$87</f>
        <v>2500</v>
      </c>
      <c r="I106">
        <f t="shared" ca="1" si="61"/>
        <v>255.20833333333331</v>
      </c>
      <c r="J106">
        <v>2000</v>
      </c>
      <c r="K106">
        <f>'Модель v2 базовая'!$E$87</f>
        <v>8.3333333333333339</v>
      </c>
      <c r="L106">
        <v>0.7</v>
      </c>
      <c r="M106">
        <f t="shared" si="38"/>
        <v>10</v>
      </c>
      <c r="N106">
        <f t="shared" ca="1" si="62"/>
        <v>21500.545166666663</v>
      </c>
      <c r="O106">
        <f t="shared" ca="1" si="63"/>
        <v>10.750272583333331</v>
      </c>
      <c r="T106" s="3" t="str">
        <f t="shared" si="57"/>
        <v>ведро</v>
      </c>
      <c r="U106" s="9">
        <f t="shared" si="54"/>
        <v>6.2461774999999999</v>
      </c>
      <c r="V106" s="9">
        <f t="shared" ca="1" si="55"/>
        <v>10.750272583333331</v>
      </c>
      <c r="W106">
        <f t="shared" si="56"/>
        <v>15.615443750000001</v>
      </c>
      <c r="X106" s="10"/>
    </row>
    <row r="107" spans="1:24" x14ac:dyDescent="0.25">
      <c r="A107" s="3" t="str">
        <f>'Модель v2 базовая'!AL11</f>
        <v>веревка, шерсть 50фт</v>
      </c>
      <c r="B107">
        <f>'Модель v2 базовая'!AU11</f>
        <v>5.6956388999999996</v>
      </c>
      <c r="C107">
        <v>8</v>
      </c>
      <c r="D107">
        <f t="shared" si="9"/>
        <v>14</v>
      </c>
      <c r="E107" t="str">
        <f t="shared" si="58"/>
        <v>$N$8</v>
      </c>
      <c r="F107">
        <f t="shared" ca="1" si="59"/>
        <v>1100</v>
      </c>
      <c r="G107">
        <f t="shared" ca="1" si="60"/>
        <v>3.4375</v>
      </c>
      <c r="H107">
        <f>'Модель v2 базовая'!$G$87</f>
        <v>2500</v>
      </c>
      <c r="I107">
        <f t="shared" ca="1" si="61"/>
        <v>286.45833333333331</v>
      </c>
      <c r="J107">
        <v>2000</v>
      </c>
      <c r="K107">
        <f>'Модель v2 базовая'!$E$87</f>
        <v>8.3333333333333339</v>
      </c>
      <c r="L107">
        <v>0.7</v>
      </c>
      <c r="M107">
        <f t="shared" si="38"/>
        <v>10</v>
      </c>
      <c r="N107">
        <f t="shared" ca="1" si="62"/>
        <v>19659.963926666664</v>
      </c>
      <c r="O107">
        <f t="shared" ca="1" si="63"/>
        <v>9.8299819633333314</v>
      </c>
      <c r="T107" s="3" t="str">
        <f t="shared" si="57"/>
        <v>веревка, шерсть 50фт</v>
      </c>
      <c r="U107" s="9">
        <f t="shared" si="54"/>
        <v>5.6956388999999996</v>
      </c>
      <c r="V107" s="9">
        <f t="shared" ca="1" si="55"/>
        <v>9.8299819633333314</v>
      </c>
      <c r="W107">
        <f t="shared" si="56"/>
        <v>14.239097249999999</v>
      </c>
      <c r="X107" s="10"/>
    </row>
    <row r="108" spans="1:24" x14ac:dyDescent="0.25">
      <c r="A108" s="3" t="str">
        <f>'Модель v2 базовая'!AL12</f>
        <v>веревка, лен 50фт</v>
      </c>
      <c r="B108">
        <f>'Модель v2 базовая'!AU12</f>
        <v>3.2158454999999995</v>
      </c>
      <c r="C108">
        <v>8</v>
      </c>
      <c r="D108">
        <f t="shared" si="9"/>
        <v>14</v>
      </c>
      <c r="E108" t="str">
        <f t="shared" si="58"/>
        <v>$N$8</v>
      </c>
      <c r="F108">
        <f t="shared" ca="1" si="59"/>
        <v>1100</v>
      </c>
      <c r="G108">
        <f t="shared" ca="1" si="60"/>
        <v>3.4375</v>
      </c>
      <c r="H108">
        <f>'Модель v2 базовая'!$G$87</f>
        <v>2500</v>
      </c>
      <c r="I108">
        <f t="shared" ca="1" si="61"/>
        <v>286.45833333333331</v>
      </c>
      <c r="J108">
        <v>2000</v>
      </c>
      <c r="K108">
        <f>'Модель v2 базовая'!$E$87</f>
        <v>8.3333333333333339</v>
      </c>
      <c r="L108">
        <v>0.7</v>
      </c>
      <c r="M108">
        <f t="shared" si="38"/>
        <v>10</v>
      </c>
      <c r="N108">
        <f t="shared" ca="1" si="62"/>
        <v>11228.666366666665</v>
      </c>
      <c r="O108">
        <f t="shared" ca="1" si="63"/>
        <v>5.6143331833333319</v>
      </c>
      <c r="T108" s="3" t="str">
        <f t="shared" si="57"/>
        <v>веревка, лен 50фт</v>
      </c>
      <c r="U108" s="9">
        <f t="shared" si="54"/>
        <v>3.2158454999999995</v>
      </c>
      <c r="V108" s="9">
        <f t="shared" ca="1" si="55"/>
        <v>5.6143331833333319</v>
      </c>
      <c r="W108">
        <f t="shared" si="56"/>
        <v>8.0396137499999991</v>
      </c>
      <c r="X108" s="10"/>
    </row>
    <row r="109" spans="1:24" x14ac:dyDescent="0.25">
      <c r="A109" s="3" t="str">
        <f>'Модель v2 базовая'!AL13</f>
        <v>весы</v>
      </c>
      <c r="B109">
        <f>'Модель v2 базовая'!AU13</f>
        <v>9.845638000000001</v>
      </c>
      <c r="C109">
        <v>9</v>
      </c>
      <c r="D109">
        <f t="shared" si="9"/>
        <v>14</v>
      </c>
      <c r="E109" t="str">
        <f t="shared" si="58"/>
        <v>$N$9</v>
      </c>
      <c r="F109">
        <f t="shared" ca="1" si="59"/>
        <v>1300</v>
      </c>
      <c r="G109">
        <f t="shared" ca="1" si="60"/>
        <v>4.0625</v>
      </c>
      <c r="H109">
        <f>'Модель v2 базовая'!$G$87</f>
        <v>2500</v>
      </c>
      <c r="I109">
        <f t="shared" ca="1" si="61"/>
        <v>338.54166666666663</v>
      </c>
      <c r="J109">
        <v>2000</v>
      </c>
      <c r="K109">
        <f>'Модель v2 базовая'!$E$87</f>
        <v>8.3333333333333339</v>
      </c>
      <c r="L109">
        <v>0.7</v>
      </c>
      <c r="M109">
        <f t="shared" si="38"/>
        <v>10</v>
      </c>
      <c r="N109">
        <f t="shared" ca="1" si="62"/>
        <v>33822.044200000004</v>
      </c>
      <c r="O109">
        <f t="shared" ca="1" si="63"/>
        <v>16.9110221</v>
      </c>
      <c r="T109" s="3" t="str">
        <f t="shared" si="57"/>
        <v>весы</v>
      </c>
      <c r="U109" s="9">
        <f t="shared" si="54"/>
        <v>9.845638000000001</v>
      </c>
      <c r="V109" s="9">
        <f t="shared" ca="1" si="55"/>
        <v>16.9110221</v>
      </c>
      <c r="W109">
        <f t="shared" si="56"/>
        <v>24.614095000000002</v>
      </c>
      <c r="X109" s="10"/>
    </row>
    <row r="110" spans="1:24" x14ac:dyDescent="0.25">
      <c r="A110" s="3" t="str">
        <f>'Модель v2 базовая'!AL14</f>
        <v>железный горшок</v>
      </c>
      <c r="B110">
        <f>'Модель v2 базовая'!AU14</f>
        <v>28.849144500000005</v>
      </c>
      <c r="C110">
        <v>9</v>
      </c>
      <c r="D110">
        <f t="shared" si="9"/>
        <v>14</v>
      </c>
      <c r="E110" t="str">
        <f t="shared" si="58"/>
        <v>$N$9</v>
      </c>
      <c r="F110">
        <f t="shared" ca="1" si="59"/>
        <v>1300</v>
      </c>
      <c r="G110">
        <f t="shared" ca="1" si="60"/>
        <v>4.0625</v>
      </c>
      <c r="H110">
        <f>'Модель v2 базовая'!$G$87</f>
        <v>2500</v>
      </c>
      <c r="I110">
        <f t="shared" ca="1" si="61"/>
        <v>338.54166666666663</v>
      </c>
      <c r="J110">
        <v>2000</v>
      </c>
      <c r="K110">
        <f>'Модель v2 базовая'!$E$87</f>
        <v>8.3333333333333339</v>
      </c>
      <c r="L110">
        <v>0.7</v>
      </c>
      <c r="M110">
        <f t="shared" si="38"/>
        <v>10</v>
      </c>
      <c r="N110">
        <f t="shared" ca="1" si="62"/>
        <v>98433.966300000015</v>
      </c>
      <c r="O110">
        <f t="shared" ca="1" si="63"/>
        <v>49.216983150000004</v>
      </c>
      <c r="T110" s="3" t="str">
        <f t="shared" si="57"/>
        <v>железный горшок</v>
      </c>
      <c r="U110" s="9">
        <f t="shared" si="54"/>
        <v>28.849144500000005</v>
      </c>
      <c r="V110" s="9">
        <f t="shared" ca="1" si="55"/>
        <v>49.216983150000004</v>
      </c>
      <c r="W110">
        <f t="shared" si="56"/>
        <v>72.122861250000014</v>
      </c>
      <c r="X110" s="10"/>
    </row>
    <row r="111" spans="1:24" x14ac:dyDescent="0.25">
      <c r="A111" s="3" t="str">
        <f>'Модель v2 базовая'!AL15</f>
        <v>замок</v>
      </c>
      <c r="B111">
        <f>'Модель v2 базовая'!AU15</f>
        <v>4.9963375000000001</v>
      </c>
      <c r="C111">
        <v>9</v>
      </c>
      <c r="D111">
        <f t="shared" si="9"/>
        <v>14</v>
      </c>
      <c r="E111" t="str">
        <f t="shared" si="58"/>
        <v>$N$9</v>
      </c>
      <c r="F111">
        <f t="shared" ca="1" si="59"/>
        <v>1300</v>
      </c>
      <c r="G111">
        <f t="shared" ca="1" si="60"/>
        <v>4.0625</v>
      </c>
      <c r="H111">
        <f>'Модель v2 базовая'!$G$87</f>
        <v>2500</v>
      </c>
      <c r="I111">
        <f t="shared" ca="1" si="61"/>
        <v>338.54166666666663</v>
      </c>
      <c r="J111">
        <v>2000</v>
      </c>
      <c r="K111">
        <f>'Модель v2 базовая'!$E$87</f>
        <v>8.3333333333333339</v>
      </c>
      <c r="L111">
        <v>0.7</v>
      </c>
      <c r="M111">
        <f t="shared" si="38"/>
        <v>10</v>
      </c>
      <c r="N111">
        <f t="shared" ca="1" si="62"/>
        <v>17334.422500000001</v>
      </c>
      <c r="O111">
        <f t="shared" ca="1" si="63"/>
        <v>8.6672112500000011</v>
      </c>
      <c r="T111" s="3" t="str">
        <f t="shared" si="57"/>
        <v>замок</v>
      </c>
      <c r="U111" s="9">
        <f t="shared" si="54"/>
        <v>4.9963375000000001</v>
      </c>
      <c r="V111" s="9">
        <f t="shared" ca="1" si="55"/>
        <v>8.6672112500000011</v>
      </c>
      <c r="W111">
        <f t="shared" si="56"/>
        <v>12.49084375</v>
      </c>
      <c r="X111" s="10"/>
    </row>
    <row r="112" spans="1:24" x14ac:dyDescent="0.25">
      <c r="A112" s="3" t="str">
        <f>'Модель v2 базовая'!AL16</f>
        <v>Стальное зеркало</v>
      </c>
      <c r="B112">
        <f>'Модель v2 базовая'!AU16</f>
        <v>1.6710410000000002</v>
      </c>
      <c r="C112">
        <v>9</v>
      </c>
      <c r="D112">
        <f t="shared" si="9"/>
        <v>14</v>
      </c>
      <c r="E112" t="str">
        <f t="shared" si="58"/>
        <v>$N$9</v>
      </c>
      <c r="F112">
        <f t="shared" ca="1" si="59"/>
        <v>1300</v>
      </c>
      <c r="G112">
        <f t="shared" ca="1" si="60"/>
        <v>4.0625</v>
      </c>
      <c r="H112">
        <f>'Модель v2 базовая'!$G$87</f>
        <v>2500</v>
      </c>
      <c r="I112">
        <f t="shared" ca="1" si="61"/>
        <v>338.54166666666663</v>
      </c>
      <c r="J112">
        <v>2000</v>
      </c>
      <c r="K112">
        <f>'Модель v2 базовая'!$E$87</f>
        <v>8.3333333333333339</v>
      </c>
      <c r="L112">
        <v>0.7</v>
      </c>
      <c r="M112">
        <f t="shared" si="38"/>
        <v>10</v>
      </c>
      <c r="N112">
        <f t="shared" ca="1" si="62"/>
        <v>6028.4144000000006</v>
      </c>
      <c r="O112">
        <f t="shared" ca="1" si="63"/>
        <v>3.0142072000000004</v>
      </c>
      <c r="T112" s="3" t="str">
        <f t="shared" si="57"/>
        <v>Стальное зеркало</v>
      </c>
      <c r="U112" s="9">
        <f t="shared" si="54"/>
        <v>1.6710410000000002</v>
      </c>
      <c r="V112" s="9">
        <f t="shared" ca="1" si="55"/>
        <v>3.0142072000000004</v>
      </c>
      <c r="W112">
        <f t="shared" si="56"/>
        <v>4.1776025000000008</v>
      </c>
      <c r="X112" s="10"/>
    </row>
    <row r="113" spans="1:24" x14ac:dyDescent="0.25">
      <c r="A113" s="3" t="str">
        <f>'Модель v2 базовая'!AL17</f>
        <v>Кандалы</v>
      </c>
      <c r="B113">
        <f>'Модель v2 базовая'!AU17</f>
        <v>14.47957225</v>
      </c>
      <c r="C113">
        <v>9</v>
      </c>
      <c r="D113">
        <f t="shared" ref="D113:D179" si="64">$B$16</f>
        <v>14</v>
      </c>
      <c r="E113" t="str">
        <f t="shared" si="58"/>
        <v>$N$9</v>
      </c>
      <c r="F113">
        <f t="shared" ca="1" si="59"/>
        <v>1300</v>
      </c>
      <c r="G113">
        <f t="shared" ca="1" si="60"/>
        <v>4.0625</v>
      </c>
      <c r="H113">
        <f>'Модель v2 базовая'!$G$87</f>
        <v>2500</v>
      </c>
      <c r="I113">
        <f t="shared" ca="1" si="61"/>
        <v>338.54166666666663</v>
      </c>
      <c r="J113">
        <v>2000</v>
      </c>
      <c r="K113">
        <f>'Модель v2 базовая'!$E$87</f>
        <v>8.3333333333333339</v>
      </c>
      <c r="L113">
        <v>0.7</v>
      </c>
      <c r="M113">
        <f t="shared" si="38"/>
        <v>10</v>
      </c>
      <c r="N113">
        <f t="shared" ca="1" si="62"/>
        <v>49577.42065</v>
      </c>
      <c r="O113">
        <f t="shared" ca="1" si="63"/>
        <v>24.788710325</v>
      </c>
      <c r="T113" s="3" t="str">
        <f t="shared" si="57"/>
        <v>Кандалы</v>
      </c>
      <c r="U113" s="9">
        <f t="shared" si="54"/>
        <v>14.47957225</v>
      </c>
      <c r="V113" s="9">
        <f t="shared" ca="1" si="55"/>
        <v>24.788710325</v>
      </c>
      <c r="W113">
        <f t="shared" ref="W113:W169" si="65">B113*2.5</f>
        <v>36.198930625000003</v>
      </c>
      <c r="X113" s="10"/>
    </row>
    <row r="114" spans="1:24" x14ac:dyDescent="0.25">
      <c r="A114" s="3" t="str">
        <f>'Модель v2 базовая'!AL18</f>
        <v>Калтроп</v>
      </c>
      <c r="B114">
        <f>'Модель v2 базовая'!AU18</f>
        <v>0.70794075000000012</v>
      </c>
      <c r="C114">
        <v>9</v>
      </c>
      <c r="D114">
        <f t="shared" si="64"/>
        <v>14</v>
      </c>
      <c r="E114" t="str">
        <f t="shared" si="58"/>
        <v>$N$9</v>
      </c>
      <c r="F114">
        <f t="shared" ca="1" si="59"/>
        <v>1300</v>
      </c>
      <c r="G114">
        <f t="shared" ca="1" si="60"/>
        <v>4.0625</v>
      </c>
      <c r="H114">
        <f>'Модель v2 базовая'!$G$87</f>
        <v>2500</v>
      </c>
      <c r="I114">
        <f t="shared" ca="1" si="61"/>
        <v>338.54166666666663</v>
      </c>
      <c r="J114">
        <v>2000</v>
      </c>
      <c r="K114">
        <f>'Модель v2 базовая'!$E$87</f>
        <v>8.3333333333333339</v>
      </c>
      <c r="L114">
        <v>0.7</v>
      </c>
      <c r="M114">
        <f t="shared" si="38"/>
        <v>10</v>
      </c>
      <c r="N114">
        <f t="shared" ca="1" si="62"/>
        <v>2753.8735500000003</v>
      </c>
      <c r="O114">
        <f t="shared" ca="1" si="63"/>
        <v>1.3769367750000001</v>
      </c>
      <c r="T114" s="3" t="str">
        <f t="shared" si="57"/>
        <v>Калтроп</v>
      </c>
      <c r="U114" s="9">
        <f t="shared" si="54"/>
        <v>0.70794075000000012</v>
      </c>
      <c r="V114" s="9">
        <f t="shared" ca="1" si="55"/>
        <v>1.3769367750000001</v>
      </c>
      <c r="W114">
        <f t="shared" si="65"/>
        <v>1.7698518750000003</v>
      </c>
      <c r="X114" s="10"/>
    </row>
    <row r="115" spans="1:24" x14ac:dyDescent="0.25">
      <c r="A115" s="3" t="str">
        <f>'Модель v2 базовая'!AL19</f>
        <v>Кирка</v>
      </c>
      <c r="B115">
        <f>'Модель v2 базовая'!AU19</f>
        <v>20.148639500000005</v>
      </c>
      <c r="C115">
        <v>9</v>
      </c>
      <c r="D115">
        <f t="shared" si="64"/>
        <v>14</v>
      </c>
      <c r="E115" t="str">
        <f t="shared" si="58"/>
        <v>$N$9</v>
      </c>
      <c r="F115">
        <f t="shared" ca="1" si="59"/>
        <v>1300</v>
      </c>
      <c r="G115">
        <f t="shared" ca="1" si="60"/>
        <v>4.0625</v>
      </c>
      <c r="H115">
        <f>'Модель v2 базовая'!$G$87</f>
        <v>2500</v>
      </c>
      <c r="I115">
        <f t="shared" ca="1" si="61"/>
        <v>338.54166666666663</v>
      </c>
      <c r="J115">
        <v>2000</v>
      </c>
      <c r="K115">
        <f>'Модель v2 базовая'!$E$87</f>
        <v>8.3333333333333339</v>
      </c>
      <c r="L115">
        <v>0.7</v>
      </c>
      <c r="M115">
        <f t="shared" si="38"/>
        <v>10</v>
      </c>
      <c r="N115">
        <f t="shared" ca="1" si="62"/>
        <v>68852.24930000001</v>
      </c>
      <c r="O115">
        <f t="shared" ca="1" si="63"/>
        <v>34.426124650000006</v>
      </c>
      <c r="T115" s="3" t="str">
        <f t="shared" si="57"/>
        <v>Кирка</v>
      </c>
      <c r="U115" s="9">
        <f t="shared" si="54"/>
        <v>20.148639500000005</v>
      </c>
      <c r="V115" s="9">
        <f t="shared" ca="1" si="55"/>
        <v>34.426124650000006</v>
      </c>
      <c r="W115">
        <f t="shared" si="65"/>
        <v>50.371598750000011</v>
      </c>
      <c r="X115" s="10"/>
    </row>
    <row r="116" spans="1:24" x14ac:dyDescent="0.25">
      <c r="A116" s="3" t="str">
        <f>'Модель v2 базовая'!AL20</f>
        <v>Книга</v>
      </c>
      <c r="B116">
        <f>'Модель v2 базовая'!AU20</f>
        <v>10.400988924999998</v>
      </c>
      <c r="C116">
        <v>10</v>
      </c>
      <c r="D116">
        <f t="shared" si="64"/>
        <v>14</v>
      </c>
      <c r="E116" t="str">
        <f t="shared" si="58"/>
        <v>$N$10</v>
      </c>
      <c r="F116">
        <f t="shared" ca="1" si="59"/>
        <v>760</v>
      </c>
      <c r="G116">
        <f t="shared" ca="1" si="60"/>
        <v>2.375</v>
      </c>
      <c r="H116">
        <f>'Модель v2 базовая'!$G$87</f>
        <v>2500</v>
      </c>
      <c r="I116">
        <f t="shared" ca="1" si="61"/>
        <v>197.91666666666666</v>
      </c>
      <c r="J116">
        <v>2000</v>
      </c>
      <c r="K116">
        <f>'Модель v2 базовая'!$E$87</f>
        <v>8.3333333333333339</v>
      </c>
      <c r="L116">
        <v>0.7</v>
      </c>
      <c r="M116">
        <f t="shared" si="38"/>
        <v>0</v>
      </c>
      <c r="N116">
        <f t="shared" ca="1" si="62"/>
        <v>35569.612344999994</v>
      </c>
      <c r="O116">
        <f t="shared" ca="1" si="63"/>
        <v>17.784806172499998</v>
      </c>
      <c r="T116" s="3" t="str">
        <f t="shared" si="57"/>
        <v>Книга</v>
      </c>
      <c r="U116" s="9">
        <f t="shared" si="54"/>
        <v>10.400988924999998</v>
      </c>
      <c r="V116" s="9">
        <f t="shared" ca="1" si="55"/>
        <v>17.784806172499998</v>
      </c>
      <c r="W116">
        <f t="shared" si="65"/>
        <v>26.002472312499997</v>
      </c>
      <c r="X116" s="10"/>
    </row>
    <row r="117" spans="1:24" x14ac:dyDescent="0.25">
      <c r="A117" s="3" t="str">
        <f>'Модель v2 базовая'!AL21</f>
        <v>Колокольчик</v>
      </c>
      <c r="B117">
        <f>'Модель v2 базовая'!AU21</f>
        <v>0.87652675000000002</v>
      </c>
      <c r="C117">
        <v>9</v>
      </c>
      <c r="D117">
        <f t="shared" si="64"/>
        <v>14</v>
      </c>
      <c r="E117" t="str">
        <f t="shared" si="58"/>
        <v>$N$9</v>
      </c>
      <c r="F117">
        <f t="shared" ca="1" si="59"/>
        <v>1300</v>
      </c>
      <c r="G117">
        <f t="shared" ca="1" si="60"/>
        <v>4.0625</v>
      </c>
      <c r="H117">
        <f>'Модель v2 базовая'!$G$87</f>
        <v>2500</v>
      </c>
      <c r="I117">
        <f t="shared" ca="1" si="61"/>
        <v>338.54166666666663</v>
      </c>
      <c r="J117">
        <v>2000</v>
      </c>
      <c r="K117">
        <f>'Модель v2 базовая'!$E$87</f>
        <v>8.3333333333333339</v>
      </c>
      <c r="L117">
        <v>0.7</v>
      </c>
      <c r="M117">
        <f t="shared" si="38"/>
        <v>10</v>
      </c>
      <c r="N117">
        <f t="shared" ca="1" si="62"/>
        <v>3327.0659500000002</v>
      </c>
      <c r="O117">
        <f t="shared" ca="1" si="63"/>
        <v>1.6635329750000001</v>
      </c>
      <c r="T117" s="3" t="str">
        <f t="shared" si="57"/>
        <v>Колокольчик</v>
      </c>
      <c r="U117" s="9">
        <f t="shared" si="54"/>
        <v>0.87652675000000002</v>
      </c>
      <c r="V117" s="9">
        <f t="shared" ca="1" si="55"/>
        <v>1.6635329750000001</v>
      </c>
      <c r="W117">
        <f t="shared" si="65"/>
        <v>2.1913168750000001</v>
      </c>
      <c r="X117" s="10"/>
    </row>
    <row r="118" spans="1:24" x14ac:dyDescent="0.25">
      <c r="A118" s="3" t="str">
        <f>'Модель v2 базовая'!AL22</f>
        <v>Колчан</v>
      </c>
      <c r="B118">
        <f>'Модель v2 базовая'!AU22</f>
        <v>1.0210987499999997</v>
      </c>
      <c r="C118">
        <v>4</v>
      </c>
      <c r="D118">
        <f t="shared" si="64"/>
        <v>14</v>
      </c>
      <c r="E118" t="str">
        <f t="shared" si="58"/>
        <v>$N$4</v>
      </c>
      <c r="F118">
        <f t="shared" ca="1" si="59"/>
        <v>900</v>
      </c>
      <c r="G118">
        <f t="shared" ca="1" si="60"/>
        <v>2.8125</v>
      </c>
      <c r="H118">
        <f>'Модель v2 базовая'!$G$87</f>
        <v>2500</v>
      </c>
      <c r="I118">
        <f t="shared" ca="1" si="61"/>
        <v>234.375</v>
      </c>
      <c r="J118">
        <v>2000</v>
      </c>
      <c r="K118">
        <f>'Модель v2 базовая'!$E$87</f>
        <v>8.3333333333333339</v>
      </c>
      <c r="L118">
        <v>0.7</v>
      </c>
      <c r="M118">
        <f t="shared" si="38"/>
        <v>10</v>
      </c>
      <c r="N118">
        <f t="shared" ca="1" si="62"/>
        <v>3714.4440833333324</v>
      </c>
      <c r="O118">
        <f t="shared" ca="1" si="63"/>
        <v>1.8572220416666663</v>
      </c>
      <c r="T118" s="3" t="str">
        <f t="shared" si="57"/>
        <v>Колчан</v>
      </c>
      <c r="U118" s="9">
        <f t="shared" si="54"/>
        <v>1.0210987499999997</v>
      </c>
      <c r="V118" s="9">
        <f t="shared" ca="1" si="55"/>
        <v>1.8572220416666663</v>
      </c>
      <c r="W118">
        <f t="shared" si="65"/>
        <v>2.5527468749999995</v>
      </c>
      <c r="X118" s="10"/>
    </row>
    <row r="119" spans="1:24" x14ac:dyDescent="0.25">
      <c r="A119" s="3" t="str">
        <f>'Модель v2 базовая'!AL23</f>
        <v>кольцо</v>
      </c>
      <c r="B119">
        <f>'Модель v2 базовая'!AU23</f>
        <v>0.47358024999999992</v>
      </c>
      <c r="C119">
        <v>9</v>
      </c>
      <c r="D119">
        <f t="shared" si="64"/>
        <v>14</v>
      </c>
      <c r="E119" t="str">
        <f t="shared" si="58"/>
        <v>$N$9</v>
      </c>
      <c r="F119">
        <f t="shared" ca="1" si="59"/>
        <v>1300</v>
      </c>
      <c r="G119">
        <f t="shared" ca="1" si="60"/>
        <v>4.0625</v>
      </c>
      <c r="H119">
        <f>'Модель v2 базовая'!$G$87</f>
        <v>2500</v>
      </c>
      <c r="I119">
        <f t="shared" ca="1" si="61"/>
        <v>338.54166666666663</v>
      </c>
      <c r="J119">
        <v>2000</v>
      </c>
      <c r="K119">
        <f>'Модель v2 базовая'!$E$87</f>
        <v>8.3333333333333339</v>
      </c>
      <c r="L119">
        <v>0.7</v>
      </c>
      <c r="M119">
        <f t="shared" si="38"/>
        <v>10</v>
      </c>
      <c r="N119">
        <f t="shared" ca="1" si="62"/>
        <v>1957.0478499999997</v>
      </c>
      <c r="O119">
        <f t="shared" ca="1" si="63"/>
        <v>0.97852392499999985</v>
      </c>
      <c r="T119" s="3" t="str">
        <f t="shared" si="57"/>
        <v>кольцо</v>
      </c>
      <c r="U119" s="9">
        <f t="shared" si="54"/>
        <v>0.47358024999999992</v>
      </c>
      <c r="V119" s="9">
        <f t="shared" ca="1" si="55"/>
        <v>0.97852392499999985</v>
      </c>
      <c r="W119">
        <f t="shared" si="65"/>
        <v>1.1839506249999998</v>
      </c>
      <c r="X119" s="10"/>
    </row>
    <row r="120" spans="1:24" x14ac:dyDescent="0.25">
      <c r="A120" s="3" t="str">
        <f>'Модель v2 базовая'!AL24</f>
        <v>браслет</v>
      </c>
      <c r="B120">
        <f>'Модель v2 базовая'!AU24</f>
        <v>0.59863374999999996</v>
      </c>
      <c r="C120">
        <v>9</v>
      </c>
      <c r="D120">
        <f t="shared" si="64"/>
        <v>14</v>
      </c>
      <c r="E120" t="str">
        <f t="shared" si="58"/>
        <v>$N$9</v>
      </c>
      <c r="F120">
        <f t="shared" ca="1" si="59"/>
        <v>1300</v>
      </c>
      <c r="G120">
        <f t="shared" ca="1" si="60"/>
        <v>4.0625</v>
      </c>
      <c r="H120">
        <f>'Модель v2 базовая'!$G$87</f>
        <v>2500</v>
      </c>
      <c r="I120">
        <f t="shared" ca="1" si="61"/>
        <v>338.54166666666663</v>
      </c>
      <c r="J120">
        <v>2000</v>
      </c>
      <c r="K120">
        <f>'Модель v2 базовая'!$E$87</f>
        <v>8.3333333333333339</v>
      </c>
      <c r="L120">
        <v>0.7</v>
      </c>
      <c r="M120">
        <f t="shared" si="38"/>
        <v>10</v>
      </c>
      <c r="N120">
        <f t="shared" ca="1" si="62"/>
        <v>2382.22975</v>
      </c>
      <c r="O120">
        <f t="shared" ca="1" si="63"/>
        <v>1.191114875</v>
      </c>
      <c r="T120" s="3" t="str">
        <f t="shared" si="57"/>
        <v>браслет</v>
      </c>
      <c r="U120" s="9">
        <f t="shared" si="54"/>
        <v>0.59863374999999996</v>
      </c>
      <c r="V120" s="9">
        <f t="shared" ca="1" si="55"/>
        <v>1.191114875</v>
      </c>
      <c r="W120">
        <f t="shared" si="65"/>
        <v>1.4965843749999999</v>
      </c>
      <c r="X120" s="10"/>
    </row>
    <row r="121" spans="1:24" x14ac:dyDescent="0.25">
      <c r="A121" s="3" t="str">
        <f>'Модель v2 базовая'!AL25</f>
        <v>ожерелье/медальон</v>
      </c>
      <c r="B121">
        <f>'Модель v2 базовая'!AU25</f>
        <v>36.607784659019117</v>
      </c>
      <c r="C121">
        <v>9</v>
      </c>
      <c r="D121">
        <f t="shared" si="64"/>
        <v>14</v>
      </c>
      <c r="E121" t="str">
        <f t="shared" si="58"/>
        <v>$N$9</v>
      </c>
      <c r="F121">
        <f t="shared" ca="1" si="59"/>
        <v>1300</v>
      </c>
      <c r="G121">
        <f t="shared" ca="1" si="60"/>
        <v>4.0625</v>
      </c>
      <c r="H121">
        <f>'Модель v2 базовая'!$G$87</f>
        <v>2500</v>
      </c>
      <c r="I121">
        <f t="shared" ca="1" si="61"/>
        <v>338.54166666666663</v>
      </c>
      <c r="J121">
        <v>2000</v>
      </c>
      <c r="K121">
        <f>'Модель v2 базовая'!$E$87</f>
        <v>8.3333333333333339</v>
      </c>
      <c r="L121">
        <v>0.7</v>
      </c>
      <c r="M121">
        <f t="shared" si="38"/>
        <v>10</v>
      </c>
      <c r="N121">
        <f t="shared" ca="1" si="62"/>
        <v>124813.34284066499</v>
      </c>
      <c r="O121">
        <f t="shared" ca="1" si="63"/>
        <v>62.406671420332493</v>
      </c>
      <c r="T121" s="3" t="str">
        <f t="shared" si="57"/>
        <v>ожерелье/медальон</v>
      </c>
      <c r="U121" s="9">
        <f t="shared" si="54"/>
        <v>36.607784659019117</v>
      </c>
      <c r="V121" s="9">
        <f t="shared" ca="1" si="55"/>
        <v>62.406671420332493</v>
      </c>
      <c r="W121">
        <f t="shared" si="65"/>
        <v>91.519461647547786</v>
      </c>
      <c r="X121" s="10"/>
    </row>
    <row r="122" spans="1:24" x14ac:dyDescent="0.25">
      <c r="A122" s="3" t="str">
        <f>'Модель v2 базовая'!AL26</f>
        <v>комплект для лазанья</v>
      </c>
      <c r="B122">
        <f>'Модель v2 базовая'!AU26</f>
        <v>604.48259833214013</v>
      </c>
      <c r="C122">
        <v>9</v>
      </c>
      <c r="D122">
        <f t="shared" si="64"/>
        <v>14</v>
      </c>
      <c r="E122" t="str">
        <f t="shared" si="58"/>
        <v>$N$9</v>
      </c>
      <c r="F122">
        <f t="shared" ca="1" si="59"/>
        <v>1300</v>
      </c>
      <c r="G122">
        <f t="shared" ca="1" si="60"/>
        <v>4.0625</v>
      </c>
      <c r="H122">
        <f>'Модель v2 базовая'!$G$87</f>
        <v>2500</v>
      </c>
      <c r="I122">
        <f t="shared" ca="1" si="61"/>
        <v>338.54166666666663</v>
      </c>
      <c r="J122">
        <v>2000</v>
      </c>
      <c r="K122">
        <f>'Модель v2 базовая'!$E$87</f>
        <v>8.3333333333333339</v>
      </c>
      <c r="L122">
        <v>0.7</v>
      </c>
      <c r="M122">
        <f t="shared" si="38"/>
        <v>10</v>
      </c>
      <c r="N122">
        <f t="shared" ca="1" si="62"/>
        <v>2055587.7093292763</v>
      </c>
      <c r="O122">
        <f t="shared" ca="1" si="63"/>
        <v>1027.7938546646383</v>
      </c>
      <c r="T122" s="3" t="str">
        <f t="shared" si="57"/>
        <v>комплект для лазанья</v>
      </c>
      <c r="U122" s="9">
        <f t="shared" si="54"/>
        <v>604.48259833214013</v>
      </c>
      <c r="V122" s="9">
        <f t="shared" ca="1" si="55"/>
        <v>1027.7938546646383</v>
      </c>
      <c r="W122">
        <f t="shared" si="65"/>
        <v>1511.2064958303504</v>
      </c>
      <c r="X122" s="10"/>
    </row>
    <row r="123" spans="1:24" x14ac:dyDescent="0.25">
      <c r="A123" s="3" t="str">
        <f>'Модель v2 базовая'!AL27</f>
        <v>Комплект для рыбылки</v>
      </c>
      <c r="B123">
        <f>'Модель v2 базовая'!AU27</f>
        <v>91.723242031072331</v>
      </c>
      <c r="C123">
        <v>9</v>
      </c>
      <c r="D123">
        <f t="shared" si="64"/>
        <v>14</v>
      </c>
      <c r="E123" t="str">
        <f t="shared" si="58"/>
        <v>$N$9</v>
      </c>
      <c r="F123">
        <f t="shared" ca="1" si="59"/>
        <v>1300</v>
      </c>
      <c r="G123">
        <f t="shared" ca="1" si="60"/>
        <v>4.0625</v>
      </c>
      <c r="H123">
        <f>'Модель v2 базовая'!$G$87</f>
        <v>2500</v>
      </c>
      <c r="I123">
        <f t="shared" ca="1" si="61"/>
        <v>338.54166666666663</v>
      </c>
      <c r="J123">
        <v>2000</v>
      </c>
      <c r="K123">
        <f>'Модель v2 базовая'!$E$87</f>
        <v>8.3333333333333339</v>
      </c>
      <c r="L123">
        <v>0.7</v>
      </c>
      <c r="M123">
        <f t="shared" si="38"/>
        <v>10</v>
      </c>
      <c r="N123">
        <f t="shared" ca="1" si="62"/>
        <v>312205.89790564589</v>
      </c>
      <c r="O123">
        <f t="shared" ca="1" si="63"/>
        <v>156.10294895282294</v>
      </c>
      <c r="T123" s="3" t="str">
        <f t="shared" si="57"/>
        <v>Комплект для рыбылки</v>
      </c>
      <c r="U123" s="9">
        <f t="shared" si="54"/>
        <v>91.723242031072331</v>
      </c>
      <c r="V123" s="9">
        <f t="shared" ca="1" si="55"/>
        <v>156.10294895282294</v>
      </c>
      <c r="W123">
        <f t="shared" si="65"/>
        <v>229.30810507768084</v>
      </c>
      <c r="X123" s="10"/>
    </row>
    <row r="124" spans="1:24" x14ac:dyDescent="0.25">
      <c r="A124" s="3" t="str">
        <f>'Модель v2 базовая'!AL28</f>
        <v>Комплект целителя</v>
      </c>
      <c r="B124">
        <f>'Модель v2 базовая'!AU28</f>
        <v>3.1956266875000003</v>
      </c>
      <c r="C124">
        <v>8</v>
      </c>
      <c r="D124">
        <f t="shared" si="64"/>
        <v>14</v>
      </c>
      <c r="E124" t="str">
        <f t="shared" si="58"/>
        <v>$N$8</v>
      </c>
      <c r="F124">
        <f t="shared" ca="1" si="59"/>
        <v>1100</v>
      </c>
      <c r="G124">
        <f t="shared" ca="1" si="60"/>
        <v>3.4375</v>
      </c>
      <c r="H124">
        <f>'Модель v2 базовая'!$G$87</f>
        <v>2500</v>
      </c>
      <c r="I124">
        <f t="shared" ca="1" si="61"/>
        <v>286.45833333333331</v>
      </c>
      <c r="J124">
        <v>2000</v>
      </c>
      <c r="K124">
        <f>'Модель v2 базовая'!$E$87</f>
        <v>8.3333333333333339</v>
      </c>
      <c r="L124">
        <v>0.7</v>
      </c>
      <c r="M124">
        <f t="shared" si="38"/>
        <v>10</v>
      </c>
      <c r="N124">
        <f t="shared" ca="1" si="62"/>
        <v>11159.922404166668</v>
      </c>
      <c r="O124">
        <f t="shared" ca="1" si="63"/>
        <v>5.579961202083334</v>
      </c>
      <c r="T124" s="3" t="str">
        <f t="shared" si="57"/>
        <v>Комплект целителя</v>
      </c>
      <c r="U124" s="9">
        <f t="shared" si="54"/>
        <v>3.1956266875000003</v>
      </c>
      <c r="V124" s="9">
        <f t="shared" ca="1" si="55"/>
        <v>5.579961202083334</v>
      </c>
      <c r="W124">
        <f t="shared" si="65"/>
        <v>7.9890667187500011</v>
      </c>
      <c r="X124" s="10"/>
    </row>
    <row r="125" spans="1:24" x14ac:dyDescent="0.25">
      <c r="A125" s="3" t="str">
        <f>'Модель v2 базовая'!AL29</f>
        <v>Контейнер для болтов</v>
      </c>
      <c r="B125">
        <f>'Модель v2 базовая'!AU29</f>
        <v>3.9144050000000004</v>
      </c>
      <c r="C125">
        <v>9</v>
      </c>
      <c r="D125">
        <f t="shared" si="64"/>
        <v>14</v>
      </c>
      <c r="E125" t="str">
        <f t="shared" si="58"/>
        <v>$N$9</v>
      </c>
      <c r="F125">
        <f t="shared" ca="1" si="59"/>
        <v>1300</v>
      </c>
      <c r="G125">
        <f t="shared" ca="1" si="60"/>
        <v>4.0625</v>
      </c>
      <c r="H125">
        <f>'Модель v2 базовая'!$G$87</f>
        <v>2500</v>
      </c>
      <c r="I125">
        <f t="shared" ca="1" si="61"/>
        <v>338.54166666666663</v>
      </c>
      <c r="J125">
        <v>2000</v>
      </c>
      <c r="K125">
        <f>'Модель v2 базовая'!$E$87</f>
        <v>8.3333333333333339</v>
      </c>
      <c r="L125">
        <v>0.7</v>
      </c>
      <c r="M125">
        <f t="shared" si="38"/>
        <v>10</v>
      </c>
      <c r="N125">
        <f t="shared" ca="1" si="62"/>
        <v>13655.852000000001</v>
      </c>
      <c r="O125">
        <f t="shared" ca="1" si="63"/>
        <v>6.8279260000000006</v>
      </c>
      <c r="T125" s="3" t="str">
        <f t="shared" si="57"/>
        <v>Контейнер для болтов</v>
      </c>
      <c r="U125" s="9">
        <f t="shared" si="54"/>
        <v>3.9144050000000004</v>
      </c>
      <c r="V125" s="9">
        <f t="shared" ca="1" si="55"/>
        <v>6.8279260000000006</v>
      </c>
      <c r="W125">
        <f t="shared" si="65"/>
        <v>9.7860125000000018</v>
      </c>
      <c r="X125" s="10"/>
    </row>
    <row r="126" spans="1:24" x14ac:dyDescent="0.25">
      <c r="A126" s="3" t="str">
        <f>'Модель v2 базовая'!AL30</f>
        <v>контейнер для свитков</v>
      </c>
      <c r="B126">
        <f>'Модель v2 базовая'!AU30</f>
        <v>3.9144050000000004</v>
      </c>
      <c r="C126">
        <v>9</v>
      </c>
      <c r="D126">
        <f t="shared" si="64"/>
        <v>14</v>
      </c>
      <c r="E126" t="str">
        <f t="shared" si="58"/>
        <v>$N$9</v>
      </c>
      <c r="F126">
        <f t="shared" ca="1" si="59"/>
        <v>1300</v>
      </c>
      <c r="G126">
        <f t="shared" ca="1" si="60"/>
        <v>4.0625</v>
      </c>
      <c r="H126">
        <f>'Модель v2 базовая'!$G$87</f>
        <v>2500</v>
      </c>
      <c r="I126">
        <f t="shared" ca="1" si="61"/>
        <v>338.54166666666663</v>
      </c>
      <c r="J126">
        <v>2000</v>
      </c>
      <c r="K126">
        <f>'Модель v2 базовая'!$E$87</f>
        <v>8.3333333333333339</v>
      </c>
      <c r="L126">
        <v>0.7</v>
      </c>
      <c r="M126">
        <f t="shared" si="38"/>
        <v>10</v>
      </c>
      <c r="N126">
        <f t="shared" ca="1" si="62"/>
        <v>13655.852000000001</v>
      </c>
      <c r="O126">
        <f t="shared" ca="1" si="63"/>
        <v>6.8279260000000006</v>
      </c>
      <c r="T126" s="3" t="str">
        <f t="shared" si="57"/>
        <v>контейнер для свитков</v>
      </c>
      <c r="U126" s="9">
        <f t="shared" si="54"/>
        <v>3.9144050000000004</v>
      </c>
      <c r="V126" s="9">
        <f t="shared" ca="1" si="55"/>
        <v>6.8279260000000006</v>
      </c>
      <c r="W126">
        <f t="shared" si="65"/>
        <v>9.7860125000000018</v>
      </c>
      <c r="X126" s="10"/>
    </row>
    <row r="127" spans="1:24" x14ac:dyDescent="0.25">
      <c r="A127" s="3" t="str">
        <f>'Модель v2 базовая'!AL31</f>
        <v>кошель</v>
      </c>
      <c r="B127">
        <f>'Модель v2 базовая'!AU31</f>
        <v>0.85422749999999992</v>
      </c>
      <c r="C127">
        <v>8</v>
      </c>
      <c r="D127">
        <f t="shared" si="64"/>
        <v>14</v>
      </c>
      <c r="E127" t="str">
        <f t="shared" si="58"/>
        <v>$N$8</v>
      </c>
      <c r="F127">
        <f t="shared" ca="1" si="59"/>
        <v>1100</v>
      </c>
      <c r="G127">
        <f t="shared" ca="1" si="60"/>
        <v>3.4375</v>
      </c>
      <c r="H127">
        <f>'Модель v2 базовая'!$G$87</f>
        <v>2500</v>
      </c>
      <c r="I127">
        <f t="shared" ca="1" si="61"/>
        <v>286.45833333333331</v>
      </c>
      <c r="J127">
        <v>2000</v>
      </c>
      <c r="K127">
        <f>'Модель v2 базовая'!$E$87</f>
        <v>8.3333333333333339</v>
      </c>
      <c r="L127">
        <v>0.7</v>
      </c>
      <c r="M127">
        <f t="shared" si="38"/>
        <v>10</v>
      </c>
      <c r="N127">
        <f t="shared" ca="1" si="62"/>
        <v>3199.1651666666667</v>
      </c>
      <c r="O127">
        <f t="shared" ca="1" si="63"/>
        <v>1.5995825833333333</v>
      </c>
      <c r="T127" s="3" t="str">
        <f t="shared" si="57"/>
        <v>кошель</v>
      </c>
      <c r="U127" s="9">
        <f t="shared" si="54"/>
        <v>0.85422749999999992</v>
      </c>
      <c r="V127" s="9">
        <f t="shared" ca="1" si="55"/>
        <v>1.5995825833333333</v>
      </c>
      <c r="W127">
        <f t="shared" si="65"/>
        <v>2.13556875</v>
      </c>
      <c r="X127" s="10"/>
    </row>
    <row r="128" spans="1:24" x14ac:dyDescent="0.25">
      <c r="A128" s="3" t="str">
        <f>'Модель v2 базовая'!AL32</f>
        <v>крюк-кошка</v>
      </c>
      <c r="B128">
        <f>'Модель v2 базовая'!AU32</f>
        <v>206.2358534891863</v>
      </c>
      <c r="C128">
        <v>9</v>
      </c>
      <c r="D128">
        <f t="shared" si="64"/>
        <v>14</v>
      </c>
      <c r="E128" t="str">
        <f t="shared" si="58"/>
        <v>$N$9</v>
      </c>
      <c r="F128">
        <f t="shared" ca="1" si="59"/>
        <v>1300</v>
      </c>
      <c r="G128">
        <f t="shared" ca="1" si="60"/>
        <v>4.0625</v>
      </c>
      <c r="H128">
        <f>'Модель v2 базовая'!$G$87</f>
        <v>2500</v>
      </c>
      <c r="I128">
        <f t="shared" ca="1" si="61"/>
        <v>338.54166666666663</v>
      </c>
      <c r="J128">
        <v>2000</v>
      </c>
      <c r="K128">
        <f>'Модель v2 базовая'!$E$87</f>
        <v>8.3333333333333339</v>
      </c>
      <c r="L128">
        <v>0.7</v>
      </c>
      <c r="M128">
        <f t="shared" si="38"/>
        <v>10</v>
      </c>
      <c r="N128">
        <f t="shared" ca="1" si="62"/>
        <v>701548.77686323342</v>
      </c>
      <c r="O128">
        <f t="shared" ca="1" si="63"/>
        <v>350.77438843161673</v>
      </c>
      <c r="T128" s="3" t="str">
        <f t="shared" si="57"/>
        <v>крюк-кошка</v>
      </c>
      <c r="U128" s="9">
        <f t="shared" si="54"/>
        <v>206.2358534891863</v>
      </c>
      <c r="V128" s="9">
        <f t="shared" ca="1" si="55"/>
        <v>350.77438843161673</v>
      </c>
      <c r="W128">
        <f t="shared" si="65"/>
        <v>515.5896337229658</v>
      </c>
      <c r="X128" s="10"/>
    </row>
    <row r="129" spans="1:24" x14ac:dyDescent="0.25">
      <c r="A129" s="3" t="str">
        <f>'Модель v2 базовая'!AL33</f>
        <v>Графин</v>
      </c>
      <c r="B129">
        <f>'Модель v2 базовая'!AU33</f>
        <v>9.3600223200000023</v>
      </c>
      <c r="C129">
        <v>9</v>
      </c>
      <c r="D129">
        <f t="shared" si="64"/>
        <v>14</v>
      </c>
      <c r="E129" t="str">
        <f t="shared" si="58"/>
        <v>$N$9</v>
      </c>
      <c r="F129">
        <f t="shared" ca="1" si="59"/>
        <v>1300</v>
      </c>
      <c r="G129">
        <f t="shared" ca="1" si="60"/>
        <v>4.0625</v>
      </c>
      <c r="H129">
        <f>'Модель v2 базовая'!$G$87</f>
        <v>2500</v>
      </c>
      <c r="I129">
        <f t="shared" ca="1" si="61"/>
        <v>338.54166666666663</v>
      </c>
      <c r="J129">
        <v>2000</v>
      </c>
      <c r="K129">
        <f>'Модель v2 базовая'!$E$87</f>
        <v>8.3333333333333339</v>
      </c>
      <c r="L129">
        <v>0.7</v>
      </c>
      <c r="M129">
        <f t="shared" si="38"/>
        <v>10</v>
      </c>
      <c r="N129">
        <f t="shared" ca="1" si="62"/>
        <v>32170.950888000007</v>
      </c>
      <c r="O129">
        <f t="shared" ca="1" si="63"/>
        <v>16.085475444000004</v>
      </c>
      <c r="T129" s="3" t="str">
        <f t="shared" si="57"/>
        <v>Графин</v>
      </c>
      <c r="U129" s="9">
        <f t="shared" si="54"/>
        <v>9.3600223200000023</v>
      </c>
      <c r="V129" s="9">
        <f t="shared" ca="1" si="55"/>
        <v>16.085475444000004</v>
      </c>
      <c r="W129">
        <f t="shared" si="65"/>
        <v>23.400055800000004</v>
      </c>
      <c r="X129" s="10"/>
    </row>
    <row r="130" spans="1:24" x14ac:dyDescent="0.25">
      <c r="A130" s="3" t="str">
        <f>'Модель v2 базовая'!AL34</f>
        <v>Лампа</v>
      </c>
      <c r="B130">
        <f>'Модель v2 базовая'!AU34</f>
        <v>11.079934249999999</v>
      </c>
      <c r="C130">
        <v>9</v>
      </c>
      <c r="D130">
        <f t="shared" si="64"/>
        <v>14</v>
      </c>
      <c r="E130" t="str">
        <f t="shared" si="58"/>
        <v>$N$9</v>
      </c>
      <c r="F130">
        <f t="shared" ca="1" si="59"/>
        <v>1300</v>
      </c>
      <c r="G130">
        <f t="shared" ca="1" si="60"/>
        <v>4.0625</v>
      </c>
      <c r="H130">
        <f>'Модель v2 базовая'!$G$87</f>
        <v>2500</v>
      </c>
      <c r="I130">
        <f t="shared" ca="1" si="61"/>
        <v>338.54166666666663</v>
      </c>
      <c r="J130">
        <v>2000</v>
      </c>
      <c r="K130">
        <f>'Модель v2 базовая'!$E$87</f>
        <v>8.3333333333333339</v>
      </c>
      <c r="L130">
        <v>0.7</v>
      </c>
      <c r="M130">
        <f t="shared" si="38"/>
        <v>10</v>
      </c>
      <c r="N130">
        <f t="shared" ca="1" si="62"/>
        <v>38018.65144999999</v>
      </c>
      <c r="O130">
        <f t="shared" ca="1" si="63"/>
        <v>19.009325724999997</v>
      </c>
      <c r="T130" s="3" t="str">
        <f t="shared" si="57"/>
        <v>Лампа</v>
      </c>
      <c r="U130" s="9">
        <f t="shared" si="54"/>
        <v>11.079934249999999</v>
      </c>
      <c r="V130" s="9">
        <f t="shared" ca="1" si="55"/>
        <v>19.009325724999997</v>
      </c>
      <c r="W130">
        <f t="shared" si="65"/>
        <v>27.699835624999999</v>
      </c>
      <c r="X130" s="10"/>
    </row>
    <row r="131" spans="1:24" x14ac:dyDescent="0.25">
      <c r="A131" s="3" t="str">
        <f>'Модель v2 базовая'!AL35</f>
        <v>Лестница 10 фт</v>
      </c>
      <c r="B131">
        <f>'Модель v2 базовая'!AU35</f>
        <v>13.55386785</v>
      </c>
      <c r="C131">
        <v>5</v>
      </c>
      <c r="D131">
        <f t="shared" si="64"/>
        <v>14</v>
      </c>
      <c r="E131" t="str">
        <f t="shared" si="58"/>
        <v>$N$5</v>
      </c>
      <c r="F131">
        <f t="shared" ca="1" si="59"/>
        <v>980</v>
      </c>
      <c r="G131">
        <f t="shared" ca="1" si="60"/>
        <v>3.0625</v>
      </c>
      <c r="H131">
        <f>'Модель v2 базовая'!$G$87</f>
        <v>2500</v>
      </c>
      <c r="I131">
        <f t="shared" ca="1" si="61"/>
        <v>255.20833333333331</v>
      </c>
      <c r="J131">
        <v>2000</v>
      </c>
      <c r="K131">
        <f>'Модель v2 базовая'!$E$87</f>
        <v>8.3333333333333339</v>
      </c>
      <c r="L131">
        <v>0.7</v>
      </c>
      <c r="M131">
        <f t="shared" si="38"/>
        <v>10</v>
      </c>
      <c r="N131">
        <f t="shared" ca="1" si="62"/>
        <v>46346.692356666666</v>
      </c>
      <c r="O131">
        <f t="shared" ca="1" si="63"/>
        <v>23.173346178333333</v>
      </c>
      <c r="T131" s="3" t="str">
        <f t="shared" si="57"/>
        <v>Лестница 10 фт</v>
      </c>
      <c r="U131" s="9">
        <f t="shared" si="54"/>
        <v>13.55386785</v>
      </c>
      <c r="V131" s="9">
        <f t="shared" ca="1" si="55"/>
        <v>23.173346178333333</v>
      </c>
      <c r="W131">
        <f t="shared" si="65"/>
        <v>33.884669625000001</v>
      </c>
      <c r="X131" s="10"/>
    </row>
    <row r="132" spans="1:24" x14ac:dyDescent="0.25">
      <c r="A132" s="3" t="str">
        <f>'Модель v2 базовая'!AL36</f>
        <v>ломик</v>
      </c>
      <c r="B132">
        <f>'Модель v2 базовая'!AU36</f>
        <v>18.527572250000006</v>
      </c>
      <c r="C132">
        <v>9</v>
      </c>
      <c r="D132">
        <f t="shared" si="64"/>
        <v>14</v>
      </c>
      <c r="E132" t="str">
        <f t="shared" si="58"/>
        <v>$N$9</v>
      </c>
      <c r="F132">
        <f t="shared" ca="1" si="59"/>
        <v>1300</v>
      </c>
      <c r="G132">
        <f t="shared" ca="1" si="60"/>
        <v>4.0625</v>
      </c>
      <c r="H132">
        <f>'Модель v2 базовая'!$G$87</f>
        <v>2500</v>
      </c>
      <c r="I132">
        <f t="shared" ca="1" si="61"/>
        <v>338.54166666666663</v>
      </c>
      <c r="J132">
        <v>2000</v>
      </c>
      <c r="K132">
        <f>'Модель v2 базовая'!$E$87</f>
        <v>8.3333333333333339</v>
      </c>
      <c r="L132">
        <v>0.7</v>
      </c>
      <c r="M132">
        <f t="shared" si="38"/>
        <v>10</v>
      </c>
      <c r="N132">
        <f t="shared" ca="1" si="62"/>
        <v>63340.620650000012</v>
      </c>
      <c r="O132">
        <f t="shared" ca="1" si="63"/>
        <v>31.670310325000006</v>
      </c>
      <c r="T132" s="3" t="str">
        <f t="shared" si="57"/>
        <v>ломик</v>
      </c>
      <c r="U132" s="9">
        <f t="shared" si="54"/>
        <v>18.527572250000006</v>
      </c>
      <c r="V132" s="9">
        <f t="shared" ca="1" si="55"/>
        <v>31.670310325000006</v>
      </c>
      <c r="W132">
        <f t="shared" si="65"/>
        <v>46.318930625000014</v>
      </c>
      <c r="X132" s="10"/>
    </row>
    <row r="133" spans="1:24" x14ac:dyDescent="0.25">
      <c r="A133" s="3" t="str">
        <f>'Модель v2 базовая'!AL37</f>
        <v>Лопата</v>
      </c>
      <c r="B133">
        <f>'Модель v2 базовая'!AU37</f>
        <v>6.9099222500000002</v>
      </c>
      <c r="C133">
        <v>9</v>
      </c>
      <c r="D133">
        <f t="shared" si="64"/>
        <v>14</v>
      </c>
      <c r="E133" t="str">
        <f t="shared" si="58"/>
        <v>$N$9</v>
      </c>
      <c r="F133">
        <f t="shared" ca="1" si="59"/>
        <v>1300</v>
      </c>
      <c r="G133">
        <f t="shared" ca="1" si="60"/>
        <v>4.0625</v>
      </c>
      <c r="H133">
        <f>'Модель v2 базовая'!$G$87</f>
        <v>2500</v>
      </c>
      <c r="I133">
        <f t="shared" ca="1" si="61"/>
        <v>338.54166666666663</v>
      </c>
      <c r="J133">
        <v>2000</v>
      </c>
      <c r="K133">
        <f>'Модель v2 базовая'!$E$87</f>
        <v>8.3333333333333339</v>
      </c>
      <c r="L133">
        <v>0.7</v>
      </c>
      <c r="M133">
        <f t="shared" si="38"/>
        <v>10</v>
      </c>
      <c r="N133">
        <f t="shared" ca="1" si="62"/>
        <v>23840.610650000002</v>
      </c>
      <c r="O133">
        <f t="shared" ca="1" si="63"/>
        <v>11.920305325000001</v>
      </c>
      <c r="T133" s="3" t="str">
        <f t="shared" si="57"/>
        <v>Лопата</v>
      </c>
      <c r="U133" s="9">
        <f t="shared" ref="U133:U169" si="66">B133</f>
        <v>6.9099222500000002</v>
      </c>
      <c r="V133" s="9">
        <f t="shared" ref="V133:V169" ca="1" si="67">O133</f>
        <v>11.920305325000001</v>
      </c>
      <c r="W133">
        <f t="shared" si="65"/>
        <v>17.274805624999999</v>
      </c>
      <c r="X133" s="10"/>
    </row>
    <row r="134" spans="1:24" x14ac:dyDescent="0.25">
      <c r="A134" s="3" t="str">
        <f>'Модель v2 базовая'!AL38</f>
        <v>мел</v>
      </c>
      <c r="B134">
        <f>'Модель v2 базовая'!AU38</f>
        <v>0.65552999999999995</v>
      </c>
      <c r="C134">
        <v>7</v>
      </c>
      <c r="D134">
        <f t="shared" si="64"/>
        <v>14</v>
      </c>
      <c r="E134" t="str">
        <f t="shared" si="58"/>
        <v>$N$7</v>
      </c>
      <c r="F134">
        <f t="shared" ca="1" si="59"/>
        <v>880</v>
      </c>
      <c r="G134">
        <f t="shared" ca="1" si="60"/>
        <v>2.75</v>
      </c>
      <c r="H134">
        <f>'Модель v2 базовая'!$G$87</f>
        <v>2500</v>
      </c>
      <c r="I134">
        <f t="shared" ca="1" si="61"/>
        <v>229.16666666666666</v>
      </c>
      <c r="J134">
        <v>2000</v>
      </c>
      <c r="K134">
        <f>'Модель v2 базовая'!$E$87</f>
        <v>8.3333333333333339</v>
      </c>
      <c r="L134">
        <v>0.7</v>
      </c>
      <c r="M134">
        <f t="shared" si="38"/>
        <v>10</v>
      </c>
      <c r="N134">
        <f t="shared" ca="1" si="62"/>
        <v>2466.3019999999997</v>
      </c>
      <c r="O134">
        <f t="shared" ca="1" si="63"/>
        <v>1.2331509999999999</v>
      </c>
      <c r="T134" s="3" t="str">
        <f t="shared" si="57"/>
        <v>мел</v>
      </c>
      <c r="U134" s="9">
        <f t="shared" si="66"/>
        <v>0.65552999999999995</v>
      </c>
      <c r="V134" s="9">
        <f t="shared" ca="1" si="67"/>
        <v>1.2331509999999999</v>
      </c>
      <c r="W134">
        <f t="shared" si="65"/>
        <v>1.6388249999999998</v>
      </c>
      <c r="X134" s="10"/>
    </row>
    <row r="135" spans="1:24" x14ac:dyDescent="0.25">
      <c r="A135" s="3" t="str">
        <f>'Модель v2 базовая'!AL39</f>
        <v>металлический шарик</v>
      </c>
      <c r="B135">
        <f>'Модель v2 базовая'!AU39</f>
        <v>0.23442740750000002</v>
      </c>
      <c r="C135">
        <v>9</v>
      </c>
      <c r="D135">
        <f t="shared" si="64"/>
        <v>14</v>
      </c>
      <c r="E135" t="str">
        <f t="shared" si="58"/>
        <v>$N$9</v>
      </c>
      <c r="F135">
        <f t="shared" ca="1" si="59"/>
        <v>1300</v>
      </c>
      <c r="G135">
        <f t="shared" ca="1" si="60"/>
        <v>4.0625</v>
      </c>
      <c r="H135">
        <f>'Модель v2 базовая'!$G$87</f>
        <v>2500</v>
      </c>
      <c r="I135">
        <f t="shared" ca="1" si="61"/>
        <v>338.54166666666663</v>
      </c>
      <c r="J135">
        <v>2000</v>
      </c>
      <c r="K135">
        <f>'Модель v2 базовая'!$E$87</f>
        <v>8.3333333333333339</v>
      </c>
      <c r="L135">
        <v>0.7</v>
      </c>
      <c r="M135">
        <f t="shared" si="38"/>
        <v>10</v>
      </c>
      <c r="N135">
        <f t="shared" ca="1" si="62"/>
        <v>1143.9281854999999</v>
      </c>
      <c r="O135">
        <f t="shared" ca="1" si="63"/>
        <v>0.57196409274999993</v>
      </c>
      <c r="T135" s="3" t="str">
        <f t="shared" si="57"/>
        <v>металлический шарик</v>
      </c>
      <c r="U135" s="9">
        <f t="shared" si="66"/>
        <v>0.23442740750000002</v>
      </c>
      <c r="V135" s="9">
        <f t="shared" ca="1" si="67"/>
        <v>0.57196409274999993</v>
      </c>
      <c r="W135">
        <f t="shared" si="65"/>
        <v>0.5860685187500001</v>
      </c>
      <c r="X135" s="10"/>
    </row>
    <row r="136" spans="1:24" x14ac:dyDescent="0.25">
      <c r="A136" s="3" t="str">
        <f>'Модель v2 базовая'!AL40</f>
        <v>мешок</v>
      </c>
      <c r="B136">
        <f>'Модель v2 базовая'!AU40</f>
        <v>1.0637477024999999</v>
      </c>
      <c r="C136">
        <v>4</v>
      </c>
      <c r="D136">
        <f t="shared" si="64"/>
        <v>14</v>
      </c>
      <c r="E136" t="str">
        <f t="shared" si="58"/>
        <v>$N$4</v>
      </c>
      <c r="F136">
        <f t="shared" ca="1" si="59"/>
        <v>900</v>
      </c>
      <c r="G136">
        <f t="shared" ca="1" si="60"/>
        <v>2.8125</v>
      </c>
      <c r="H136">
        <f>'Модель v2 базовая'!$G$87</f>
        <v>2500</v>
      </c>
      <c r="I136">
        <f t="shared" ca="1" si="61"/>
        <v>234.375</v>
      </c>
      <c r="J136">
        <v>2000</v>
      </c>
      <c r="K136">
        <f>'Модель v2 базовая'!$E$87</f>
        <v>8.3333333333333339</v>
      </c>
      <c r="L136">
        <v>0.7</v>
      </c>
      <c r="M136">
        <f t="shared" si="38"/>
        <v>10</v>
      </c>
      <c r="N136">
        <f t="shared" ca="1" si="62"/>
        <v>3859.4505218333338</v>
      </c>
      <c r="O136">
        <f t="shared" ca="1" si="63"/>
        <v>1.9297252609166669</v>
      </c>
      <c r="T136" s="3" t="str">
        <f t="shared" si="57"/>
        <v>мешок</v>
      </c>
      <c r="U136" s="9">
        <f t="shared" si="66"/>
        <v>1.0637477024999999</v>
      </c>
      <c r="V136" s="9">
        <f t="shared" ca="1" si="67"/>
        <v>1.9297252609166669</v>
      </c>
      <c r="W136">
        <f t="shared" si="65"/>
        <v>2.6593692562499998</v>
      </c>
      <c r="X136" s="10"/>
    </row>
    <row r="137" spans="1:24" x14ac:dyDescent="0.25">
      <c r="A137" s="3" t="str">
        <f>'Модель v2 базовая'!AL41</f>
        <v>мешочек с компонентами</v>
      </c>
      <c r="B137">
        <f>'Модель v2 базовая'!AU41</f>
        <v>12.302529999999999</v>
      </c>
      <c r="C137">
        <v>4</v>
      </c>
      <c r="D137">
        <f t="shared" si="64"/>
        <v>14</v>
      </c>
      <c r="E137" t="str">
        <f t="shared" si="58"/>
        <v>$N$4</v>
      </c>
      <c r="F137">
        <f t="shared" ca="1" si="59"/>
        <v>900</v>
      </c>
      <c r="G137">
        <f t="shared" ca="1" si="60"/>
        <v>2.8125</v>
      </c>
      <c r="H137">
        <f>'Модель v2 базовая'!$G$87</f>
        <v>2500</v>
      </c>
      <c r="I137">
        <f t="shared" ca="1" si="61"/>
        <v>234.375</v>
      </c>
      <c r="J137">
        <v>2000</v>
      </c>
      <c r="K137">
        <f>'Модель v2 базовая'!$E$87</f>
        <v>8.3333333333333339</v>
      </c>
      <c r="L137">
        <v>0.7</v>
      </c>
      <c r="M137">
        <f t="shared" si="38"/>
        <v>10</v>
      </c>
      <c r="N137">
        <f t="shared" ca="1" si="62"/>
        <v>42071.310333333335</v>
      </c>
      <c r="O137">
        <f t="shared" ca="1" si="63"/>
        <v>21.035655166666668</v>
      </c>
      <c r="T137" s="3" t="str">
        <f t="shared" si="57"/>
        <v>мешочек с компонентами</v>
      </c>
      <c r="U137" s="9">
        <f t="shared" si="66"/>
        <v>12.302529999999999</v>
      </c>
      <c r="V137" s="9">
        <f t="shared" ca="1" si="67"/>
        <v>21.035655166666668</v>
      </c>
      <c r="W137">
        <f t="shared" si="65"/>
        <v>30.756324999999997</v>
      </c>
      <c r="X137" s="10"/>
    </row>
    <row r="138" spans="1:24" x14ac:dyDescent="0.25">
      <c r="A138" s="3" t="str">
        <f>'Модель v2 базовая'!AL42</f>
        <v>Кузнечный молот</v>
      </c>
      <c r="B138">
        <f>'Модель v2 базовая'!AU42</f>
        <v>454.9618603324559</v>
      </c>
      <c r="C138">
        <v>9</v>
      </c>
      <c r="D138">
        <f t="shared" si="64"/>
        <v>14</v>
      </c>
      <c r="E138" t="str">
        <f t="shared" si="58"/>
        <v>$N$9</v>
      </c>
      <c r="F138">
        <f t="shared" ca="1" si="59"/>
        <v>1300</v>
      </c>
      <c r="G138">
        <f t="shared" ca="1" si="60"/>
        <v>4.0625</v>
      </c>
      <c r="H138">
        <f>'Модель v2 базовая'!$G$87</f>
        <v>2500</v>
      </c>
      <c r="I138">
        <f t="shared" ca="1" si="61"/>
        <v>338.54166666666663</v>
      </c>
      <c r="J138">
        <v>2000</v>
      </c>
      <c r="K138">
        <f>'Модель v2 базовая'!$E$87</f>
        <v>8.3333333333333339</v>
      </c>
      <c r="L138">
        <v>0.7</v>
      </c>
      <c r="M138">
        <f t="shared" si="38"/>
        <v>10</v>
      </c>
      <c r="N138">
        <f t="shared" ca="1" si="62"/>
        <v>1547217.20013035</v>
      </c>
      <c r="O138">
        <f t="shared" ca="1" si="63"/>
        <v>773.60860006517498</v>
      </c>
      <c r="T138" s="3" t="str">
        <f t="shared" si="57"/>
        <v>Кузнечный молот</v>
      </c>
      <c r="U138" s="9">
        <f t="shared" si="66"/>
        <v>454.9618603324559</v>
      </c>
      <c r="V138" s="9">
        <f t="shared" ca="1" si="67"/>
        <v>773.60860006517498</v>
      </c>
      <c r="W138">
        <f t="shared" si="65"/>
        <v>1137.4046508311399</v>
      </c>
      <c r="X138" s="10"/>
    </row>
    <row r="139" spans="1:24" x14ac:dyDescent="0.25">
      <c r="A139" s="3" t="str">
        <f>'Модель v2 базовая'!AL43</f>
        <v>молоток</v>
      </c>
      <c r="B139">
        <f>'Модель v2 базовая'!AU43</f>
        <v>113.22492945811396</v>
      </c>
      <c r="C139">
        <v>9</v>
      </c>
      <c r="D139">
        <f t="shared" si="64"/>
        <v>14</v>
      </c>
      <c r="E139" t="str">
        <f t="shared" si="58"/>
        <v>$N$9</v>
      </c>
      <c r="F139">
        <f t="shared" ca="1" si="59"/>
        <v>1300</v>
      </c>
      <c r="G139">
        <f t="shared" ca="1" si="60"/>
        <v>4.0625</v>
      </c>
      <c r="H139">
        <f>'Модель v2 базовая'!$G$87</f>
        <v>2500</v>
      </c>
      <c r="I139">
        <f t="shared" ca="1" si="61"/>
        <v>338.54166666666663</v>
      </c>
      <c r="J139">
        <v>2000</v>
      </c>
      <c r="K139">
        <f>'Модель v2 базовая'!$E$87</f>
        <v>8.3333333333333339</v>
      </c>
      <c r="L139">
        <v>0.7</v>
      </c>
      <c r="M139">
        <f t="shared" si="38"/>
        <v>10</v>
      </c>
      <c r="N139">
        <f t="shared" ca="1" si="62"/>
        <v>385311.63515758747</v>
      </c>
      <c r="O139">
        <f t="shared" ca="1" si="63"/>
        <v>192.65581757879374</v>
      </c>
      <c r="T139" s="3" t="str">
        <f t="shared" si="57"/>
        <v>молоток</v>
      </c>
      <c r="U139" s="9">
        <f t="shared" si="66"/>
        <v>113.22492945811396</v>
      </c>
      <c r="V139" s="9">
        <f t="shared" ca="1" si="67"/>
        <v>192.65581757879374</v>
      </c>
      <c r="W139">
        <f t="shared" si="65"/>
        <v>283.06232364528489</v>
      </c>
      <c r="X139" s="10"/>
    </row>
    <row r="140" spans="1:24" x14ac:dyDescent="0.25">
      <c r="A140" s="3" t="str">
        <f>'Модель v2 базовая'!AL44</f>
        <v>мыло</v>
      </c>
      <c r="B140">
        <f>'Модель v2 базовая'!AU44</f>
        <v>0.52454800000000001</v>
      </c>
      <c r="C140">
        <v>4</v>
      </c>
      <c r="D140">
        <f t="shared" si="64"/>
        <v>14</v>
      </c>
      <c r="E140" t="str">
        <f t="shared" si="58"/>
        <v>$N$4</v>
      </c>
      <c r="F140">
        <f t="shared" ca="1" si="59"/>
        <v>900</v>
      </c>
      <c r="G140">
        <f t="shared" ca="1" si="60"/>
        <v>2.8125</v>
      </c>
      <c r="H140">
        <f>'Модель v2 базовая'!$G$87</f>
        <v>2500</v>
      </c>
      <c r="I140">
        <f t="shared" ca="1" si="61"/>
        <v>234.375</v>
      </c>
      <c r="J140">
        <v>2000</v>
      </c>
      <c r="K140">
        <f>'Модель v2 базовая'!$E$87</f>
        <v>8.3333333333333339</v>
      </c>
      <c r="L140">
        <v>0.7</v>
      </c>
      <c r="M140">
        <f t="shared" si="38"/>
        <v>10</v>
      </c>
      <c r="N140">
        <f t="shared" ca="1" si="62"/>
        <v>2026.1715333333332</v>
      </c>
      <c r="O140">
        <f t="shared" ca="1" si="63"/>
        <v>1.0130857666666666</v>
      </c>
      <c r="T140" s="3" t="str">
        <f t="shared" si="57"/>
        <v>мыло</v>
      </c>
      <c r="U140" s="9">
        <f t="shared" si="66"/>
        <v>0.52454800000000001</v>
      </c>
      <c r="V140" s="9">
        <f t="shared" ca="1" si="67"/>
        <v>1.0130857666666666</v>
      </c>
      <c r="W140">
        <f t="shared" si="65"/>
        <v>1.3113700000000001</v>
      </c>
      <c r="X140" s="10"/>
    </row>
    <row r="141" spans="1:24" x14ac:dyDescent="0.25">
      <c r="A141" s="3" t="str">
        <f>'Модель v2 базовая'!AL45</f>
        <v>Одежда дорожная</v>
      </c>
      <c r="B141">
        <f>'Модель v2 базовая'!AU45</f>
        <v>9.4811809281000006</v>
      </c>
      <c r="C141">
        <v>4</v>
      </c>
      <c r="D141">
        <f t="shared" si="64"/>
        <v>14</v>
      </c>
      <c r="E141" t="str">
        <f t="shared" si="58"/>
        <v>$N$4</v>
      </c>
      <c r="F141">
        <f t="shared" ca="1" si="59"/>
        <v>900</v>
      </c>
      <c r="G141">
        <f t="shared" ca="1" si="60"/>
        <v>2.8125</v>
      </c>
      <c r="H141">
        <f>'Модель v2 базовая'!$G$87</f>
        <v>2500</v>
      </c>
      <c r="I141">
        <f t="shared" ca="1" si="61"/>
        <v>234.375</v>
      </c>
      <c r="J141">
        <v>2000</v>
      </c>
      <c r="K141">
        <f>'Модель v2 базовая'!$E$87</f>
        <v>8.3333333333333339</v>
      </c>
      <c r="L141">
        <v>0.7</v>
      </c>
      <c r="M141">
        <f t="shared" si="38"/>
        <v>10</v>
      </c>
      <c r="N141">
        <f t="shared" ca="1" si="62"/>
        <v>32478.723488873333</v>
      </c>
      <c r="O141">
        <f t="shared" ca="1" si="63"/>
        <v>16.239361744436668</v>
      </c>
      <c r="T141" s="3" t="str">
        <f t="shared" si="57"/>
        <v>Одежда дорожная</v>
      </c>
      <c r="U141" s="9">
        <f t="shared" si="66"/>
        <v>9.4811809281000006</v>
      </c>
      <c r="V141" s="9">
        <f t="shared" ca="1" si="67"/>
        <v>16.239361744436668</v>
      </c>
      <c r="W141">
        <f t="shared" si="65"/>
        <v>23.702952320250002</v>
      </c>
      <c r="X141" s="10"/>
    </row>
    <row r="142" spans="1:24" x14ac:dyDescent="0.25">
      <c r="A142" s="3" t="str">
        <f>'Модель v2 базовая'!AL46</f>
        <v>костюм</v>
      </c>
      <c r="B142">
        <f>'Модель v2 базовая'!AU46</f>
        <v>13.50061125</v>
      </c>
      <c r="C142">
        <v>4</v>
      </c>
      <c r="D142">
        <f t="shared" si="64"/>
        <v>14</v>
      </c>
      <c r="E142" t="str">
        <f t="shared" si="58"/>
        <v>$N$4</v>
      </c>
      <c r="F142">
        <f t="shared" ca="1" si="59"/>
        <v>900</v>
      </c>
      <c r="G142">
        <f t="shared" ca="1" si="60"/>
        <v>2.8125</v>
      </c>
      <c r="H142">
        <f>'Модель v2 базовая'!$G$87</f>
        <v>2500</v>
      </c>
      <c r="I142">
        <f t="shared" ca="1" si="61"/>
        <v>234.375</v>
      </c>
      <c r="J142">
        <v>2000</v>
      </c>
      <c r="K142">
        <f>'Модель v2 базовая'!$E$87</f>
        <v>8.3333333333333339</v>
      </c>
      <c r="L142">
        <v>0.7</v>
      </c>
      <c r="M142">
        <f t="shared" si="38"/>
        <v>10</v>
      </c>
      <c r="N142">
        <f t="shared" ca="1" si="62"/>
        <v>46144.786583333334</v>
      </c>
      <c r="O142">
        <f t="shared" ca="1" si="63"/>
        <v>23.072393291666668</v>
      </c>
      <c r="T142" s="3" t="str">
        <f t="shared" si="57"/>
        <v>костюм</v>
      </c>
      <c r="U142" s="9">
        <f t="shared" si="66"/>
        <v>13.50061125</v>
      </c>
      <c r="V142" s="9">
        <f t="shared" ca="1" si="67"/>
        <v>23.072393291666668</v>
      </c>
      <c r="W142">
        <f t="shared" si="65"/>
        <v>33.751528125</v>
      </c>
      <c r="X142" s="10"/>
    </row>
    <row r="143" spans="1:24" x14ac:dyDescent="0.25">
      <c r="A143" s="3" t="str">
        <f>'Модель v2 базовая'!AL47</f>
        <v>Обычная одежда</v>
      </c>
      <c r="B143">
        <f>'Модель v2 базовая'!AU47</f>
        <v>6.8478559799999994</v>
      </c>
      <c r="C143">
        <v>4</v>
      </c>
      <c r="D143">
        <f t="shared" si="64"/>
        <v>14</v>
      </c>
      <c r="E143" t="str">
        <f t="shared" si="58"/>
        <v>$N$4</v>
      </c>
      <c r="F143">
        <f t="shared" ca="1" si="59"/>
        <v>900</v>
      </c>
      <c r="G143">
        <f t="shared" ca="1" si="60"/>
        <v>2.8125</v>
      </c>
      <c r="H143">
        <f>'Модель v2 базовая'!$G$87</f>
        <v>2500</v>
      </c>
      <c r="I143">
        <f t="shared" ca="1" si="61"/>
        <v>234.375</v>
      </c>
      <c r="J143">
        <v>2000</v>
      </c>
      <c r="K143">
        <f>'Модель v2 базовая'!$E$87</f>
        <v>8.3333333333333339</v>
      </c>
      <c r="L143">
        <v>0.7</v>
      </c>
      <c r="M143">
        <f t="shared" si="38"/>
        <v>10</v>
      </c>
      <c r="N143">
        <f t="shared" ca="1" si="62"/>
        <v>23525.418665333327</v>
      </c>
      <c r="O143">
        <f t="shared" ca="1" si="63"/>
        <v>11.762709332666663</v>
      </c>
      <c r="T143" s="3" t="str">
        <f t="shared" si="57"/>
        <v>Обычная одежда</v>
      </c>
      <c r="U143" s="9">
        <f t="shared" si="66"/>
        <v>6.8478559799999994</v>
      </c>
      <c r="V143" s="9">
        <f t="shared" ca="1" si="67"/>
        <v>11.762709332666663</v>
      </c>
      <c r="W143">
        <f t="shared" si="65"/>
        <v>17.11963995</v>
      </c>
      <c r="X143" s="10"/>
    </row>
    <row r="144" spans="1:24" x14ac:dyDescent="0.25">
      <c r="A144" s="3" t="str">
        <f>'Модель v2 базовая'!AL48</f>
        <v>Элитная одежда</v>
      </c>
      <c r="B144">
        <f>'Модель v2 базовая'!AU48</f>
        <v>70.665012000000004</v>
      </c>
      <c r="C144">
        <v>10</v>
      </c>
      <c r="D144">
        <f t="shared" si="64"/>
        <v>14</v>
      </c>
      <c r="E144" t="str">
        <f t="shared" si="58"/>
        <v>$N$10</v>
      </c>
      <c r="F144">
        <f t="shared" ca="1" si="59"/>
        <v>760</v>
      </c>
      <c r="G144">
        <f t="shared" ca="1" si="60"/>
        <v>2.375</v>
      </c>
      <c r="H144">
        <f>'Модель v2 базовая'!$G$87</f>
        <v>2500</v>
      </c>
      <c r="I144">
        <f t="shared" ca="1" si="61"/>
        <v>197.91666666666666</v>
      </c>
      <c r="J144">
        <v>2000</v>
      </c>
      <c r="K144">
        <f>'Модель v2 базовая'!$E$87</f>
        <v>8.3333333333333339</v>
      </c>
      <c r="L144">
        <v>0.7</v>
      </c>
      <c r="M144">
        <f t="shared" si="38"/>
        <v>0</v>
      </c>
      <c r="N144">
        <f t="shared" ca="1" si="62"/>
        <v>240467.29080000002</v>
      </c>
      <c r="O144">
        <f t="shared" ca="1" si="63"/>
        <v>120.23364540000001</v>
      </c>
      <c r="T144" s="3" t="str">
        <f t="shared" si="57"/>
        <v>Элитная одежда</v>
      </c>
      <c r="U144" s="9">
        <f t="shared" si="66"/>
        <v>70.665012000000004</v>
      </c>
      <c r="V144" s="9">
        <f t="shared" ca="1" si="67"/>
        <v>120.23364540000001</v>
      </c>
      <c r="W144">
        <f t="shared" si="65"/>
        <v>176.66253</v>
      </c>
      <c r="X144" s="10"/>
    </row>
    <row r="145" spans="1:24" x14ac:dyDescent="0.25">
      <c r="A145" s="3" t="str">
        <f>'Модель v2 базовая'!AL49</f>
        <v>Одеяло</v>
      </c>
      <c r="B145">
        <f>'Модель v2 базовая'!AU49</f>
        <v>2.5420828019999999</v>
      </c>
      <c r="C145">
        <v>4</v>
      </c>
      <c r="D145">
        <f t="shared" si="64"/>
        <v>14</v>
      </c>
      <c r="E145" t="str">
        <f t="shared" si="58"/>
        <v>$N$4</v>
      </c>
      <c r="F145">
        <f t="shared" ca="1" si="59"/>
        <v>900</v>
      </c>
      <c r="G145">
        <f t="shared" ca="1" si="60"/>
        <v>2.8125</v>
      </c>
      <c r="H145">
        <f>'Модель v2 базовая'!$G$87</f>
        <v>2500</v>
      </c>
      <c r="I145">
        <f t="shared" ca="1" si="61"/>
        <v>234.375</v>
      </c>
      <c r="J145">
        <v>2000</v>
      </c>
      <c r="K145">
        <f>'Модель v2 базовая'!$E$87</f>
        <v>8.3333333333333339</v>
      </c>
      <c r="L145">
        <v>0.7</v>
      </c>
      <c r="M145">
        <f t="shared" si="38"/>
        <v>10</v>
      </c>
      <c r="N145">
        <f t="shared" ca="1" si="62"/>
        <v>8885.7898601333345</v>
      </c>
      <c r="O145">
        <f t="shared" ca="1" si="63"/>
        <v>4.4428949300666671</v>
      </c>
      <c r="T145" s="3" t="str">
        <f t="shared" si="57"/>
        <v>Одеяло</v>
      </c>
      <c r="U145" s="9">
        <f t="shared" si="66"/>
        <v>2.5420828019999999</v>
      </c>
      <c r="V145" s="9">
        <f t="shared" ca="1" si="67"/>
        <v>4.4428949300666671</v>
      </c>
      <c r="W145">
        <f t="shared" si="65"/>
        <v>6.3552070049999996</v>
      </c>
      <c r="X145" s="10"/>
    </row>
    <row r="146" spans="1:24" x14ac:dyDescent="0.25">
      <c r="A146" s="3" t="str">
        <f>'Модель v2 базовая'!AL50</f>
        <v>Охотничий капкан</v>
      </c>
      <c r="B146">
        <f>'Модель v2 базовая'!AU50</f>
        <v>71.719334500000002</v>
      </c>
      <c r="C146">
        <v>9</v>
      </c>
      <c r="D146">
        <f t="shared" si="64"/>
        <v>14</v>
      </c>
      <c r="E146" t="str">
        <f t="shared" si="58"/>
        <v>$N$9</v>
      </c>
      <c r="F146">
        <f t="shared" ca="1" si="59"/>
        <v>1300</v>
      </c>
      <c r="G146">
        <f t="shared" ca="1" si="60"/>
        <v>4.0625</v>
      </c>
      <c r="H146">
        <f>'Модель v2 базовая'!$G$87</f>
        <v>2500</v>
      </c>
      <c r="I146">
        <f t="shared" ca="1" si="61"/>
        <v>338.54166666666663</v>
      </c>
      <c r="J146">
        <v>2000</v>
      </c>
      <c r="K146">
        <f>'Модель v2 базовая'!$E$87</f>
        <v>8.3333333333333339</v>
      </c>
      <c r="L146">
        <v>0.7</v>
      </c>
      <c r="M146">
        <f t="shared" si="38"/>
        <v>10</v>
      </c>
      <c r="N146">
        <f t="shared" ca="1" si="62"/>
        <v>244192.61229999998</v>
      </c>
      <c r="O146">
        <f t="shared" ca="1" si="63"/>
        <v>122.09630614999999</v>
      </c>
      <c r="T146" s="3" t="str">
        <f t="shared" si="57"/>
        <v>Охотничий капкан</v>
      </c>
      <c r="U146" s="9">
        <f t="shared" si="66"/>
        <v>71.719334500000002</v>
      </c>
      <c r="V146" s="9">
        <f t="shared" ca="1" si="67"/>
        <v>122.09630614999999</v>
      </c>
      <c r="W146">
        <f t="shared" si="65"/>
        <v>179.29833625000001</v>
      </c>
      <c r="X146" s="10"/>
    </row>
    <row r="147" spans="1:24" x14ac:dyDescent="0.25">
      <c r="A147" s="3" t="str">
        <f>'Модель v2 базовая'!AL51</f>
        <v>Палатка</v>
      </c>
      <c r="B147">
        <f>'Модель v2 базовая'!AU51</f>
        <v>42.106749090000008</v>
      </c>
      <c r="C147">
        <v>4</v>
      </c>
      <c r="D147">
        <f t="shared" si="64"/>
        <v>14</v>
      </c>
      <c r="E147" t="str">
        <f t="shared" si="58"/>
        <v>$N$4</v>
      </c>
      <c r="F147">
        <f t="shared" ca="1" si="59"/>
        <v>900</v>
      </c>
      <c r="G147">
        <f t="shared" ca="1" si="60"/>
        <v>2.8125</v>
      </c>
      <c r="H147">
        <f>'Модель v2 базовая'!$G$87</f>
        <v>2500</v>
      </c>
      <c r="I147">
        <f t="shared" ca="1" si="61"/>
        <v>234.375</v>
      </c>
      <c r="J147">
        <v>2000</v>
      </c>
      <c r="K147">
        <f>'Модель v2 базовая'!$E$87</f>
        <v>8.3333333333333339</v>
      </c>
      <c r="L147">
        <v>0.7</v>
      </c>
      <c r="M147">
        <f t="shared" si="38"/>
        <v>10</v>
      </c>
      <c r="N147">
        <f t="shared" ca="1" si="62"/>
        <v>143405.65523933337</v>
      </c>
      <c r="O147">
        <f t="shared" ca="1" si="63"/>
        <v>71.702827619666678</v>
      </c>
      <c r="T147" s="3" t="str">
        <f t="shared" si="57"/>
        <v>Палатка</v>
      </c>
      <c r="U147" s="9">
        <f t="shared" si="66"/>
        <v>42.106749090000008</v>
      </c>
      <c r="V147" s="9">
        <f t="shared" ca="1" si="67"/>
        <v>71.702827619666678</v>
      </c>
      <c r="W147">
        <f t="shared" si="65"/>
        <v>105.26687272500001</v>
      </c>
      <c r="X147" s="10"/>
    </row>
    <row r="148" spans="1:24" x14ac:dyDescent="0.25">
      <c r="A148" s="3" t="str">
        <f>'Модель v2 базовая'!AL52</f>
        <v>Песочные часы</v>
      </c>
      <c r="B148">
        <f>'Модель v2 базовая'!AU52</f>
        <v>1.748054</v>
      </c>
      <c r="C148">
        <v>10</v>
      </c>
      <c r="D148">
        <f t="shared" si="64"/>
        <v>14</v>
      </c>
      <c r="E148" t="str">
        <f t="shared" si="58"/>
        <v>$N$10</v>
      </c>
      <c r="F148">
        <f t="shared" ca="1" si="59"/>
        <v>760</v>
      </c>
      <c r="G148">
        <f t="shared" ca="1" si="60"/>
        <v>2.375</v>
      </c>
      <c r="H148">
        <f>'Модель v2 базовая'!$G$87</f>
        <v>2500</v>
      </c>
      <c r="I148">
        <f t="shared" ca="1" si="61"/>
        <v>197.91666666666666</v>
      </c>
      <c r="J148">
        <v>2000</v>
      </c>
      <c r="K148">
        <f>'Модель v2 базовая'!$E$87</f>
        <v>8.3333333333333339</v>
      </c>
      <c r="L148">
        <v>0.7</v>
      </c>
      <c r="M148">
        <f t="shared" si="38"/>
        <v>0</v>
      </c>
      <c r="N148">
        <f t="shared" ca="1" si="62"/>
        <v>6149.6336000000001</v>
      </c>
      <c r="O148">
        <f t="shared" ca="1" si="63"/>
        <v>3.0748168000000002</v>
      </c>
      <c r="T148" s="3" t="str">
        <f t="shared" si="57"/>
        <v>Песочные часы</v>
      </c>
      <c r="U148" s="9">
        <f t="shared" si="66"/>
        <v>1.748054</v>
      </c>
      <c r="V148" s="9">
        <f t="shared" ca="1" si="67"/>
        <v>3.0748168000000002</v>
      </c>
      <c r="W148">
        <f t="shared" si="65"/>
        <v>4.3701350000000003</v>
      </c>
      <c r="X148" s="10"/>
    </row>
    <row r="149" spans="1:24" x14ac:dyDescent="0.25">
      <c r="A149" s="3" t="str">
        <f>'Модель v2 базовая'!AL53</f>
        <v>Писчее перо</v>
      </c>
      <c r="B149">
        <f>'Модель v2 базовая'!AU53</f>
        <v>0.12985724999999998</v>
      </c>
      <c r="C149">
        <v>7</v>
      </c>
      <c r="D149">
        <f t="shared" si="64"/>
        <v>14</v>
      </c>
      <c r="E149" t="str">
        <f t="shared" si="58"/>
        <v>$N$7</v>
      </c>
      <c r="F149">
        <f t="shared" ca="1" si="59"/>
        <v>880</v>
      </c>
      <c r="G149">
        <f t="shared" ca="1" si="60"/>
        <v>2.75</v>
      </c>
      <c r="H149">
        <f>'Модель v2 базовая'!$G$87</f>
        <v>2500</v>
      </c>
      <c r="I149">
        <f t="shared" ca="1" si="61"/>
        <v>229.16666666666666</v>
      </c>
      <c r="J149">
        <v>2000</v>
      </c>
      <c r="K149">
        <f>'Модель v2 базовая'!$E$87</f>
        <v>8.3333333333333339</v>
      </c>
      <c r="L149">
        <v>0.7</v>
      </c>
      <c r="M149">
        <f t="shared" si="38"/>
        <v>10</v>
      </c>
      <c r="N149">
        <f t="shared" ca="1" si="62"/>
        <v>679.01464999999996</v>
      </c>
      <c r="O149">
        <f t="shared" ca="1" si="63"/>
        <v>0.33950732499999997</v>
      </c>
      <c r="T149" s="3" t="str">
        <f t="shared" si="57"/>
        <v>Писчее перо</v>
      </c>
      <c r="U149" s="9">
        <f t="shared" si="66"/>
        <v>0.12985724999999998</v>
      </c>
      <c r="V149" s="9">
        <f t="shared" ca="1" si="67"/>
        <v>0.33950732499999997</v>
      </c>
      <c r="W149">
        <f t="shared" si="65"/>
        <v>0.32464312499999992</v>
      </c>
      <c r="X149" s="10"/>
    </row>
    <row r="150" spans="1:24" x14ac:dyDescent="0.25">
      <c r="A150" s="3" t="str">
        <f>'Модель v2 базовая'!AL54</f>
        <v>Подзорная труба</v>
      </c>
      <c r="B150">
        <f>'Модель v2 базовая'!AU54</f>
        <v>8.0177932999999992</v>
      </c>
      <c r="C150">
        <v>10</v>
      </c>
      <c r="D150">
        <f t="shared" si="64"/>
        <v>14</v>
      </c>
      <c r="E150" t="str">
        <f t="shared" si="58"/>
        <v>$N$10</v>
      </c>
      <c r="F150">
        <f t="shared" ca="1" si="59"/>
        <v>760</v>
      </c>
      <c r="G150">
        <f t="shared" ca="1" si="60"/>
        <v>2.375</v>
      </c>
      <c r="H150">
        <f>'Модель v2 базовая'!$G$87</f>
        <v>2500</v>
      </c>
      <c r="I150">
        <f t="shared" ca="1" si="61"/>
        <v>197.91666666666666</v>
      </c>
      <c r="J150">
        <v>2000</v>
      </c>
      <c r="K150">
        <f>'Модель v2 базовая'!$E$87</f>
        <v>8.3333333333333339</v>
      </c>
      <c r="L150">
        <v>0.7</v>
      </c>
      <c r="M150">
        <f t="shared" ref="M150:M213" si="68">IF(OR(AND(D150&gt;9,C150&lt;=9),AND(D150&lt;9,C150&gt;=9)),10,0)</f>
        <v>0</v>
      </c>
      <c r="N150">
        <f t="shared" ca="1" si="62"/>
        <v>27466.747219999997</v>
      </c>
      <c r="O150">
        <f t="shared" ca="1" si="63"/>
        <v>13.733373609999999</v>
      </c>
      <c r="T150" s="3" t="str">
        <f t="shared" si="57"/>
        <v>Подзорная труба</v>
      </c>
      <c r="U150" s="9">
        <f t="shared" si="66"/>
        <v>8.0177932999999992</v>
      </c>
      <c r="V150" s="9">
        <f t="shared" ca="1" si="67"/>
        <v>13.733373609999999</v>
      </c>
      <c r="W150">
        <f t="shared" si="65"/>
        <v>20.044483249999999</v>
      </c>
      <c r="X150" s="10"/>
    </row>
    <row r="151" spans="1:24" x14ac:dyDescent="0.25">
      <c r="A151" s="3" t="str">
        <f>'Модель v2 базовая'!AL55</f>
        <v>Рацион</v>
      </c>
      <c r="B151">
        <f>'Модель v2 базовая'!AU55</f>
        <v>1.94689</v>
      </c>
      <c r="C151">
        <v>5</v>
      </c>
      <c r="D151">
        <f t="shared" si="64"/>
        <v>14</v>
      </c>
      <c r="E151" t="str">
        <f t="shared" si="58"/>
        <v>$N$5</v>
      </c>
      <c r="F151">
        <f t="shared" ca="1" si="59"/>
        <v>980</v>
      </c>
      <c r="G151">
        <f t="shared" ca="1" si="60"/>
        <v>3.0625</v>
      </c>
      <c r="H151">
        <f>'Модель v2 базовая'!$G$87</f>
        <v>2500</v>
      </c>
      <c r="I151">
        <f t="shared" ca="1" si="61"/>
        <v>255.20833333333331</v>
      </c>
      <c r="J151">
        <v>2000</v>
      </c>
      <c r="K151">
        <f>'Модель v2 базовая'!$E$87</f>
        <v>8.3333333333333339</v>
      </c>
      <c r="L151">
        <v>0.7</v>
      </c>
      <c r="M151">
        <f t="shared" si="68"/>
        <v>10</v>
      </c>
      <c r="N151">
        <f t="shared" ca="1" si="62"/>
        <v>6882.9676666666664</v>
      </c>
      <c r="O151">
        <f t="shared" ca="1" si="63"/>
        <v>3.4414838333333333</v>
      </c>
      <c r="T151" s="3" t="str">
        <f t="shared" si="57"/>
        <v>Рацион</v>
      </c>
      <c r="U151" s="9">
        <f t="shared" si="66"/>
        <v>1.94689</v>
      </c>
      <c r="V151" s="9">
        <f t="shared" ca="1" si="67"/>
        <v>3.4414838333333333</v>
      </c>
      <c r="W151">
        <f t="shared" si="65"/>
        <v>4.8672250000000004</v>
      </c>
      <c r="X151" s="10"/>
    </row>
    <row r="152" spans="1:24" x14ac:dyDescent="0.25">
      <c r="A152" s="3" t="str">
        <f>'Модель v2 базовая'!AL56</f>
        <v>Рюкзак</v>
      </c>
      <c r="B152">
        <f>'Модель v2 базовая'!AU56</f>
        <v>2.8834023749999997</v>
      </c>
      <c r="C152">
        <v>4</v>
      </c>
      <c r="D152">
        <f t="shared" si="64"/>
        <v>14</v>
      </c>
      <c r="E152" t="str">
        <f t="shared" si="58"/>
        <v>$N$4</v>
      </c>
      <c r="F152">
        <f t="shared" ca="1" si="59"/>
        <v>900</v>
      </c>
      <c r="G152">
        <f t="shared" ca="1" si="60"/>
        <v>2.8125</v>
      </c>
      <c r="H152">
        <f>'Модель v2 базовая'!$G$87</f>
        <v>2500</v>
      </c>
      <c r="I152">
        <f t="shared" ca="1" si="61"/>
        <v>234.375</v>
      </c>
      <c r="J152">
        <v>2000</v>
      </c>
      <c r="K152">
        <f>'Модель v2 базовая'!$E$87</f>
        <v>8.3333333333333339</v>
      </c>
      <c r="L152">
        <v>0.7</v>
      </c>
      <c r="M152">
        <f t="shared" si="68"/>
        <v>10</v>
      </c>
      <c r="N152">
        <f t="shared" ca="1" si="62"/>
        <v>10046.276408333333</v>
      </c>
      <c r="O152">
        <f t="shared" ca="1" si="63"/>
        <v>5.023138204166667</v>
      </c>
      <c r="T152" s="3" t="str">
        <f t="shared" si="57"/>
        <v>Рюкзак</v>
      </c>
      <c r="U152" s="9">
        <f t="shared" si="66"/>
        <v>2.8834023749999997</v>
      </c>
      <c r="V152" s="9">
        <f t="shared" ca="1" si="67"/>
        <v>5.023138204166667</v>
      </c>
      <c r="W152">
        <f t="shared" si="65"/>
        <v>7.2085059374999991</v>
      </c>
      <c r="X152" s="10"/>
    </row>
    <row r="153" spans="1:24" x14ac:dyDescent="0.25">
      <c r="A153" s="3" t="str">
        <f>'Модель v2 базовая'!AL57</f>
        <v>Ряса</v>
      </c>
      <c r="B153">
        <f>'Модель v2 базовая'!AU57</f>
        <v>8.8511809281000016</v>
      </c>
      <c r="C153">
        <v>4</v>
      </c>
      <c r="D153">
        <f t="shared" si="64"/>
        <v>14</v>
      </c>
      <c r="E153" t="str">
        <f t="shared" si="58"/>
        <v>$N$4</v>
      </c>
      <c r="F153">
        <f t="shared" ca="1" si="59"/>
        <v>900</v>
      </c>
      <c r="G153">
        <f t="shared" ca="1" si="60"/>
        <v>2.8125</v>
      </c>
      <c r="H153">
        <f>'Модель v2 базовая'!$G$87</f>
        <v>2500</v>
      </c>
      <c r="I153">
        <f t="shared" ca="1" si="61"/>
        <v>234.375</v>
      </c>
      <c r="J153">
        <v>2000</v>
      </c>
      <c r="K153">
        <f>'Модель v2 базовая'!$E$87</f>
        <v>8.3333333333333339</v>
      </c>
      <c r="L153">
        <v>0.7</v>
      </c>
      <c r="M153">
        <f t="shared" si="68"/>
        <v>10</v>
      </c>
      <c r="N153">
        <f t="shared" ca="1" si="62"/>
        <v>30336.72348887334</v>
      </c>
      <c r="O153">
        <f t="shared" ca="1" si="63"/>
        <v>15.16836174443667</v>
      </c>
      <c r="T153" s="3" t="str">
        <f t="shared" si="57"/>
        <v>Ряса</v>
      </c>
      <c r="U153" s="9">
        <f t="shared" si="66"/>
        <v>8.8511809281000016</v>
      </c>
      <c r="V153" s="9">
        <f t="shared" ca="1" si="67"/>
        <v>15.16836174443667</v>
      </c>
      <c r="W153">
        <f t="shared" si="65"/>
        <v>22.127952320250003</v>
      </c>
      <c r="X153" s="10"/>
    </row>
    <row r="154" spans="1:24" x14ac:dyDescent="0.25">
      <c r="A154" s="3" t="str">
        <f>'Модель v2 базовая'!AL58</f>
        <v>Свеча</v>
      </c>
      <c r="B154">
        <f>'Модель v2 базовая'!AU58</f>
        <v>0.1494856</v>
      </c>
      <c r="C154">
        <v>4</v>
      </c>
      <c r="D154">
        <f t="shared" si="64"/>
        <v>14</v>
      </c>
      <c r="E154" t="str">
        <f t="shared" si="58"/>
        <v>$N$4</v>
      </c>
      <c r="F154">
        <f t="shared" ca="1" si="59"/>
        <v>900</v>
      </c>
      <c r="G154">
        <f t="shared" ca="1" si="60"/>
        <v>2.8125</v>
      </c>
      <c r="H154">
        <f>'Модель v2 базовая'!$G$87</f>
        <v>2500</v>
      </c>
      <c r="I154">
        <f t="shared" ca="1" si="61"/>
        <v>234.375</v>
      </c>
      <c r="J154">
        <v>2000</v>
      </c>
      <c r="K154">
        <f>'Модель v2 базовая'!$E$87</f>
        <v>8.3333333333333339</v>
      </c>
      <c r="L154">
        <v>0.7</v>
      </c>
      <c r="M154">
        <f t="shared" si="68"/>
        <v>10</v>
      </c>
      <c r="N154">
        <f t="shared" ca="1" si="62"/>
        <v>750.95937333333336</v>
      </c>
      <c r="O154">
        <f t="shared" ca="1" si="63"/>
        <v>0.3754796866666667</v>
      </c>
      <c r="T154" s="3" t="str">
        <f t="shared" si="57"/>
        <v>Свеча</v>
      </c>
      <c r="U154" s="9">
        <f t="shared" si="66"/>
        <v>0.1494856</v>
      </c>
      <c r="V154" s="9">
        <f t="shared" ca="1" si="67"/>
        <v>0.3754796866666667</v>
      </c>
      <c r="W154">
        <f t="shared" si="65"/>
        <v>0.37371399999999999</v>
      </c>
      <c r="X154" s="10"/>
    </row>
    <row r="155" spans="1:24" x14ac:dyDescent="0.25">
      <c r="A155" s="3" t="str">
        <f>'Модель v2 базовая'!AL59</f>
        <v>Сигнальный свисток</v>
      </c>
      <c r="B155">
        <f>'Модель v2 базовая'!AU59</f>
        <v>0.22532675000000002</v>
      </c>
      <c r="C155">
        <v>9</v>
      </c>
      <c r="D155">
        <f t="shared" si="64"/>
        <v>14</v>
      </c>
      <c r="E155" t="str">
        <f t="shared" si="58"/>
        <v>$N$9</v>
      </c>
      <c r="F155">
        <f t="shared" ca="1" si="59"/>
        <v>1300</v>
      </c>
      <c r="G155">
        <f t="shared" ca="1" si="60"/>
        <v>4.0625</v>
      </c>
      <c r="H155">
        <f>'Модель v2 базовая'!$G$87</f>
        <v>2500</v>
      </c>
      <c r="I155">
        <f t="shared" ca="1" si="61"/>
        <v>338.54166666666663</v>
      </c>
      <c r="J155">
        <v>2000</v>
      </c>
      <c r="K155">
        <f>'Модель v2 базовая'!$E$87</f>
        <v>8.3333333333333339</v>
      </c>
      <c r="L155">
        <v>0.7</v>
      </c>
      <c r="M155">
        <f t="shared" si="68"/>
        <v>10</v>
      </c>
      <c r="N155">
        <f t="shared" ca="1" si="62"/>
        <v>1112.98595</v>
      </c>
      <c r="O155">
        <f t="shared" ca="1" si="63"/>
        <v>0.55649297500000006</v>
      </c>
      <c r="T155" s="3" t="str">
        <f t="shared" si="57"/>
        <v>Сигнальный свисток</v>
      </c>
      <c r="U155" s="9">
        <f t="shared" si="66"/>
        <v>0.22532675000000002</v>
      </c>
      <c r="V155" s="9">
        <f t="shared" ca="1" si="67"/>
        <v>0.55649297500000006</v>
      </c>
      <c r="W155">
        <f t="shared" si="65"/>
        <v>0.56331687500000005</v>
      </c>
      <c r="X155" s="10"/>
    </row>
    <row r="156" spans="1:24" x14ac:dyDescent="0.25">
      <c r="A156" s="3" t="str">
        <f>'Модель v2 базовая'!AL60</f>
        <v>спальник</v>
      </c>
      <c r="B156">
        <f>'Модель v2 базовая'!AU60</f>
        <v>4.7917971149999996</v>
      </c>
      <c r="C156">
        <v>4</v>
      </c>
      <c r="D156">
        <f t="shared" si="64"/>
        <v>14</v>
      </c>
      <c r="E156" t="str">
        <f t="shared" si="58"/>
        <v>$N$4</v>
      </c>
      <c r="F156">
        <f t="shared" ca="1" si="59"/>
        <v>900</v>
      </c>
      <c r="G156">
        <f t="shared" ca="1" si="60"/>
        <v>2.8125</v>
      </c>
      <c r="H156">
        <f>'Модель v2 базовая'!$G$87</f>
        <v>2500</v>
      </c>
      <c r="I156">
        <f t="shared" ca="1" si="61"/>
        <v>234.375</v>
      </c>
      <c r="J156">
        <v>2000</v>
      </c>
      <c r="K156">
        <f>'Модель v2 базовая'!$E$87</f>
        <v>8.3333333333333339</v>
      </c>
      <c r="L156">
        <v>0.7</v>
      </c>
      <c r="M156">
        <f t="shared" si="68"/>
        <v>10</v>
      </c>
      <c r="N156">
        <f t="shared" ca="1" si="62"/>
        <v>16534.818524333332</v>
      </c>
      <c r="O156">
        <f t="shared" ca="1" si="63"/>
        <v>8.2674092621666659</v>
      </c>
      <c r="T156" s="3" t="str">
        <f t="shared" si="57"/>
        <v>спальник</v>
      </c>
      <c r="U156" s="9">
        <f t="shared" si="66"/>
        <v>4.7917971149999996</v>
      </c>
      <c r="V156" s="9">
        <f t="shared" ca="1" si="67"/>
        <v>8.2674092621666659</v>
      </c>
      <c r="W156">
        <f t="shared" si="65"/>
        <v>11.9794927875</v>
      </c>
      <c r="X156" s="10"/>
    </row>
    <row r="157" spans="1:24" x14ac:dyDescent="0.25">
      <c r="A157" s="3" t="str">
        <f>'Модель v2 базовая'!AL61</f>
        <v>Столовый набор</v>
      </c>
      <c r="B157">
        <f>'Модель v2 базовая'!AU61</f>
        <v>3.1217037500000009</v>
      </c>
      <c r="C157">
        <v>9</v>
      </c>
      <c r="D157">
        <f t="shared" si="64"/>
        <v>14</v>
      </c>
      <c r="E157" t="str">
        <f t="shared" si="58"/>
        <v>$N$9</v>
      </c>
      <c r="F157">
        <f t="shared" ca="1" si="59"/>
        <v>1300</v>
      </c>
      <c r="G157">
        <f t="shared" ca="1" si="60"/>
        <v>4.0625</v>
      </c>
      <c r="H157">
        <f>'Модель v2 базовая'!$G$87</f>
        <v>2500</v>
      </c>
      <c r="I157">
        <f t="shared" ca="1" si="61"/>
        <v>338.54166666666663</v>
      </c>
      <c r="J157">
        <v>2000</v>
      </c>
      <c r="K157">
        <f>'Модель v2 базовая'!$E$87</f>
        <v>8.3333333333333339</v>
      </c>
      <c r="L157">
        <v>0.7</v>
      </c>
      <c r="M157">
        <f t="shared" si="68"/>
        <v>10</v>
      </c>
      <c r="N157">
        <f t="shared" ca="1" si="62"/>
        <v>10960.667750000004</v>
      </c>
      <c r="O157">
        <f t="shared" ca="1" si="63"/>
        <v>5.4803338750000021</v>
      </c>
      <c r="T157" s="3" t="str">
        <f t="shared" si="57"/>
        <v>Столовый набор</v>
      </c>
      <c r="U157" s="9">
        <f t="shared" si="66"/>
        <v>3.1217037500000009</v>
      </c>
      <c r="V157" s="9">
        <f t="shared" ca="1" si="67"/>
        <v>5.4803338750000021</v>
      </c>
      <c r="W157">
        <f t="shared" si="65"/>
        <v>7.8042593750000027</v>
      </c>
      <c r="X157" s="10"/>
    </row>
    <row r="158" spans="1:24" x14ac:dyDescent="0.25">
      <c r="A158" s="3" t="str">
        <f>'Модель v2 базовая'!AL62</f>
        <v>Сундук</v>
      </c>
      <c r="B158">
        <f>'Модель v2 базовая'!AU62</f>
        <v>21.372334500000001</v>
      </c>
      <c r="C158">
        <v>4</v>
      </c>
      <c r="D158">
        <f t="shared" si="64"/>
        <v>14</v>
      </c>
      <c r="E158" t="str">
        <f t="shared" si="58"/>
        <v>$N$4</v>
      </c>
      <c r="F158">
        <f t="shared" ca="1" si="59"/>
        <v>900</v>
      </c>
      <c r="G158">
        <f t="shared" ca="1" si="60"/>
        <v>2.8125</v>
      </c>
      <c r="H158">
        <f>'Модель v2 базовая'!$G$87</f>
        <v>2500</v>
      </c>
      <c r="I158">
        <f t="shared" ca="1" si="61"/>
        <v>234.375</v>
      </c>
      <c r="J158">
        <v>2000</v>
      </c>
      <c r="K158">
        <f>'Модель v2 базовая'!$E$87</f>
        <v>8.3333333333333339</v>
      </c>
      <c r="L158">
        <v>0.7</v>
      </c>
      <c r="M158">
        <f t="shared" si="68"/>
        <v>10</v>
      </c>
      <c r="N158">
        <f t="shared" ca="1" si="62"/>
        <v>72908.645633333334</v>
      </c>
      <c r="O158">
        <f t="shared" ca="1" si="63"/>
        <v>36.454322816666668</v>
      </c>
      <c r="T158" s="3" t="str">
        <f t="shared" si="57"/>
        <v>Сундук</v>
      </c>
      <c r="U158" s="9">
        <f t="shared" si="66"/>
        <v>21.372334500000001</v>
      </c>
      <c r="V158" s="9">
        <f t="shared" ca="1" si="67"/>
        <v>36.454322816666668</v>
      </c>
      <c r="W158">
        <f t="shared" si="65"/>
        <v>53.430836249999999</v>
      </c>
      <c r="X158" s="10"/>
    </row>
    <row r="159" spans="1:24" x14ac:dyDescent="0.25">
      <c r="A159" s="3" t="str">
        <f>'Модель v2 базовая'!AL63</f>
        <v>точильный камень</v>
      </c>
      <c r="B159">
        <f>'Модель v2 базовая'!AU63</f>
        <v>0.79860000000000009</v>
      </c>
      <c r="C159">
        <v>9</v>
      </c>
      <c r="D159">
        <f t="shared" si="64"/>
        <v>14</v>
      </c>
      <c r="E159" t="str">
        <f t="shared" si="58"/>
        <v>$N$9</v>
      </c>
      <c r="F159">
        <f t="shared" ca="1" si="59"/>
        <v>1300</v>
      </c>
      <c r="G159">
        <f t="shared" ca="1" si="60"/>
        <v>4.0625</v>
      </c>
      <c r="H159">
        <f>'Модель v2 базовая'!$G$87</f>
        <v>2500</v>
      </c>
      <c r="I159">
        <f t="shared" ca="1" si="61"/>
        <v>338.54166666666663</v>
      </c>
      <c r="J159">
        <v>2000</v>
      </c>
      <c r="K159">
        <f>'Модель v2 базовая'!$E$87</f>
        <v>8.3333333333333339</v>
      </c>
      <c r="L159">
        <v>0.7</v>
      </c>
      <c r="M159">
        <f t="shared" si="68"/>
        <v>10</v>
      </c>
      <c r="N159">
        <f t="shared" ca="1" si="62"/>
        <v>3062.1150000000007</v>
      </c>
      <c r="O159">
        <f t="shared" ca="1" si="63"/>
        <v>1.5310575000000004</v>
      </c>
      <c r="T159" s="3" t="str">
        <f t="shared" si="57"/>
        <v>точильный камень</v>
      </c>
      <c r="U159" s="9">
        <f t="shared" si="66"/>
        <v>0.79860000000000009</v>
      </c>
      <c r="V159" s="9">
        <f t="shared" ca="1" si="67"/>
        <v>1.5310575000000004</v>
      </c>
      <c r="W159">
        <f t="shared" si="65"/>
        <v>1.9965000000000002</v>
      </c>
      <c r="X159" s="10"/>
    </row>
    <row r="160" spans="1:24" x14ac:dyDescent="0.25">
      <c r="A160" s="3" t="str">
        <f>'Модель v2 базовая'!AL64</f>
        <v>Трутница</v>
      </c>
      <c r="B160">
        <f>'Модель v2 базовая'!AU64</f>
        <v>1.9987687500000002</v>
      </c>
      <c r="C160">
        <v>9</v>
      </c>
      <c r="D160">
        <f t="shared" si="64"/>
        <v>14</v>
      </c>
      <c r="E160" t="str">
        <f t="shared" si="58"/>
        <v>$N$9</v>
      </c>
      <c r="F160">
        <f t="shared" ca="1" si="59"/>
        <v>1300</v>
      </c>
      <c r="G160">
        <f t="shared" ca="1" si="60"/>
        <v>4.0625</v>
      </c>
      <c r="H160">
        <f>'Модель v2 базовая'!$G$87</f>
        <v>2500</v>
      </c>
      <c r="I160">
        <f t="shared" ca="1" si="61"/>
        <v>338.54166666666663</v>
      </c>
      <c r="J160">
        <v>2000</v>
      </c>
      <c r="K160">
        <f>'Модель v2 базовая'!$E$87</f>
        <v>8.3333333333333339</v>
      </c>
      <c r="L160">
        <v>0.7</v>
      </c>
      <c r="M160">
        <f t="shared" si="68"/>
        <v>10</v>
      </c>
      <c r="N160">
        <f t="shared" ca="1" si="62"/>
        <v>7142.6887500000003</v>
      </c>
      <c r="O160">
        <f t="shared" ca="1" si="63"/>
        <v>3.5713443750000002</v>
      </c>
      <c r="T160" s="3" t="str">
        <f t="shared" si="57"/>
        <v>Трутница</v>
      </c>
      <c r="U160" s="9">
        <f t="shared" si="66"/>
        <v>1.9987687500000002</v>
      </c>
      <c r="V160" s="9">
        <f t="shared" ca="1" si="67"/>
        <v>3.5713443750000002</v>
      </c>
      <c r="W160">
        <f t="shared" si="65"/>
        <v>4.9969218750000008</v>
      </c>
      <c r="X160" s="10"/>
    </row>
    <row r="161" spans="1:24" x14ac:dyDescent="0.25">
      <c r="A161" s="3" t="str">
        <f>'Модель v2 базовая'!AL65</f>
        <v>Увеличительное стекло</v>
      </c>
      <c r="B161">
        <f>'Модель v2 базовая'!AU65</f>
        <v>0.52556647000000001</v>
      </c>
      <c r="C161">
        <v>9</v>
      </c>
      <c r="D161">
        <f t="shared" si="64"/>
        <v>14</v>
      </c>
      <c r="E161" t="str">
        <f t="shared" si="58"/>
        <v>$N$9</v>
      </c>
      <c r="F161">
        <f t="shared" ca="1" si="59"/>
        <v>1300</v>
      </c>
      <c r="G161">
        <f t="shared" ca="1" si="60"/>
        <v>4.0625</v>
      </c>
      <c r="H161">
        <f>'Модель v2 базовая'!$G$87</f>
        <v>2500</v>
      </c>
      <c r="I161">
        <f t="shared" ca="1" si="61"/>
        <v>338.54166666666663</v>
      </c>
      <c r="J161">
        <v>2000</v>
      </c>
      <c r="K161">
        <f>'Модель v2 базовая'!$E$87</f>
        <v>8.3333333333333339</v>
      </c>
      <c r="L161">
        <v>0.7</v>
      </c>
      <c r="M161">
        <f t="shared" si="68"/>
        <v>10</v>
      </c>
      <c r="N161">
        <f t="shared" ca="1" si="62"/>
        <v>2133.8009980000002</v>
      </c>
      <c r="O161">
        <f t="shared" ca="1" si="63"/>
        <v>1.0669004990000002</v>
      </c>
      <c r="T161" s="3" t="str">
        <f t="shared" si="57"/>
        <v>Увеличительное стекло</v>
      </c>
      <c r="U161" s="9">
        <f t="shared" si="66"/>
        <v>0.52556647000000001</v>
      </c>
      <c r="V161" s="9">
        <f t="shared" ca="1" si="67"/>
        <v>1.0669004990000002</v>
      </c>
      <c r="W161">
        <f t="shared" si="65"/>
        <v>1.3139161750000001</v>
      </c>
      <c r="X161" s="10"/>
    </row>
    <row r="162" spans="1:24" x14ac:dyDescent="0.25">
      <c r="A162" s="3" t="str">
        <f>'Модель v2 базовая'!AL66</f>
        <v>Факел</v>
      </c>
      <c r="B162">
        <f>'Модель v2 базовая'!AU66</f>
        <v>0.62240749999999989</v>
      </c>
      <c r="C162">
        <v>3</v>
      </c>
      <c r="D162">
        <f t="shared" si="64"/>
        <v>14</v>
      </c>
      <c r="E162" t="str">
        <f t="shared" si="58"/>
        <v>$N$3</v>
      </c>
      <c r="F162">
        <f t="shared" ca="1" si="59"/>
        <v>680</v>
      </c>
      <c r="G162">
        <f t="shared" ca="1" si="60"/>
        <v>2.125</v>
      </c>
      <c r="H162">
        <f>'Модель v2 базовая'!$G$87</f>
        <v>2500</v>
      </c>
      <c r="I162">
        <f t="shared" ca="1" si="61"/>
        <v>177.08333333333331</v>
      </c>
      <c r="J162">
        <v>2000</v>
      </c>
      <c r="K162">
        <f>'Модель v2 базовая'!$E$87</f>
        <v>8.3333333333333339</v>
      </c>
      <c r="L162">
        <v>0.7</v>
      </c>
      <c r="M162">
        <f t="shared" si="68"/>
        <v>10</v>
      </c>
      <c r="N162">
        <f t="shared" ca="1" si="62"/>
        <v>2301.6021666666666</v>
      </c>
      <c r="O162">
        <f t="shared" ca="1" si="63"/>
        <v>1.1508010833333333</v>
      </c>
      <c r="T162" s="3" t="str">
        <f t="shared" si="57"/>
        <v>Факел</v>
      </c>
      <c r="U162" s="9">
        <f t="shared" si="66"/>
        <v>0.62240749999999989</v>
      </c>
      <c r="V162" s="9">
        <f t="shared" ca="1" si="67"/>
        <v>1.1508010833333333</v>
      </c>
      <c r="W162">
        <f t="shared" si="65"/>
        <v>1.5560187499999998</v>
      </c>
      <c r="X162" s="10"/>
    </row>
    <row r="163" spans="1:24" x14ac:dyDescent="0.25">
      <c r="A163" s="3" t="str">
        <f>'Модель v2 базовая'!AL67</f>
        <v>Флакон</v>
      </c>
      <c r="B163">
        <f>'Модель v2 базовая'!AU67</f>
        <v>0.39586359999999998</v>
      </c>
      <c r="C163">
        <v>9</v>
      </c>
      <c r="D163">
        <f t="shared" si="64"/>
        <v>14</v>
      </c>
      <c r="E163" t="str">
        <f t="shared" si="58"/>
        <v>$N$9</v>
      </c>
      <c r="F163">
        <f t="shared" ca="1" si="59"/>
        <v>1300</v>
      </c>
      <c r="G163">
        <f t="shared" ca="1" si="60"/>
        <v>4.0625</v>
      </c>
      <c r="H163">
        <f>'Модель v2 базовая'!$G$87</f>
        <v>2500</v>
      </c>
      <c r="I163">
        <f t="shared" ca="1" si="61"/>
        <v>338.54166666666663</v>
      </c>
      <c r="J163">
        <v>2000</v>
      </c>
      <c r="K163">
        <f>'Модель v2 базовая'!$E$87</f>
        <v>8.3333333333333339</v>
      </c>
      <c r="L163">
        <v>0.7</v>
      </c>
      <c r="M163">
        <f t="shared" si="68"/>
        <v>10</v>
      </c>
      <c r="N163">
        <f t="shared" ca="1" si="62"/>
        <v>1692.8112399999998</v>
      </c>
      <c r="O163">
        <f t="shared" ca="1" si="63"/>
        <v>0.84640561999999986</v>
      </c>
      <c r="T163" s="3" t="str">
        <f t="shared" si="57"/>
        <v>Флакон</v>
      </c>
      <c r="U163" s="9">
        <f t="shared" si="66"/>
        <v>0.39586359999999998</v>
      </c>
      <c r="V163" s="9">
        <f t="shared" ca="1" si="67"/>
        <v>0.84640561999999986</v>
      </c>
      <c r="W163">
        <f t="shared" si="65"/>
        <v>0.98965899999999996</v>
      </c>
      <c r="X163" s="10"/>
    </row>
    <row r="164" spans="1:24" x14ac:dyDescent="0.25">
      <c r="A164" s="3" t="str">
        <f>'Модель v2 базовая'!AL68</f>
        <v>Фонарь, закрытый</v>
      </c>
      <c r="B164">
        <f>'Модель v2 базовая'!AU68</f>
        <v>6.2040178200000007</v>
      </c>
      <c r="C164">
        <v>9</v>
      </c>
      <c r="D164">
        <f t="shared" si="64"/>
        <v>14</v>
      </c>
      <c r="E164" t="str">
        <f t="shared" si="58"/>
        <v>$N$9</v>
      </c>
      <c r="F164">
        <f t="shared" ca="1" si="59"/>
        <v>1300</v>
      </c>
      <c r="G164">
        <f t="shared" ca="1" si="60"/>
        <v>4.0625</v>
      </c>
      <c r="H164">
        <f>'Модель v2 базовая'!$G$87</f>
        <v>2500</v>
      </c>
      <c r="I164">
        <f t="shared" ca="1" si="61"/>
        <v>338.54166666666663</v>
      </c>
      <c r="J164">
        <v>2000</v>
      </c>
      <c r="K164">
        <f>'Модель v2 базовая'!$E$87</f>
        <v>8.3333333333333339</v>
      </c>
      <c r="L164">
        <v>0.7</v>
      </c>
      <c r="M164">
        <f t="shared" si="68"/>
        <v>10</v>
      </c>
      <c r="N164">
        <f t="shared" ca="1" si="62"/>
        <v>21440.535588000002</v>
      </c>
      <c r="O164">
        <f t="shared" ca="1" si="63"/>
        <v>10.720267794000002</v>
      </c>
      <c r="T164" s="3" t="str">
        <f t="shared" si="57"/>
        <v>Фонарь, закрытый</v>
      </c>
      <c r="U164" s="9">
        <f t="shared" si="66"/>
        <v>6.2040178200000007</v>
      </c>
      <c r="V164" s="9">
        <f t="shared" ca="1" si="67"/>
        <v>10.720267794000002</v>
      </c>
      <c r="W164">
        <f t="shared" si="65"/>
        <v>15.510044550000002</v>
      </c>
      <c r="X164" s="10"/>
    </row>
    <row r="165" spans="1:24" x14ac:dyDescent="0.25">
      <c r="A165" s="3" t="str">
        <f>'Модель v2 базовая'!AL69</f>
        <v>Фонарь, направленный</v>
      </c>
      <c r="B165">
        <f>'Модель v2 базовая'!AU69</f>
        <v>6.6997790200000003</v>
      </c>
      <c r="C165">
        <v>9</v>
      </c>
      <c r="D165">
        <f t="shared" si="64"/>
        <v>14</v>
      </c>
      <c r="E165" t="str">
        <f t="shared" si="58"/>
        <v>$N$9</v>
      </c>
      <c r="F165">
        <f t="shared" ca="1" si="59"/>
        <v>1300</v>
      </c>
      <c r="G165">
        <f t="shared" ca="1" si="60"/>
        <v>4.0625</v>
      </c>
      <c r="H165">
        <f>'Модель v2 базовая'!$G$87</f>
        <v>2500</v>
      </c>
      <c r="I165">
        <f t="shared" ca="1" si="61"/>
        <v>338.54166666666663</v>
      </c>
      <c r="J165">
        <v>2000</v>
      </c>
      <c r="K165">
        <f>'Модель v2 базовая'!$E$87</f>
        <v>8.3333333333333339</v>
      </c>
      <c r="L165">
        <v>0.7</v>
      </c>
      <c r="M165">
        <f t="shared" si="68"/>
        <v>10</v>
      </c>
      <c r="N165">
        <f t="shared" ca="1" si="62"/>
        <v>23126.123668</v>
      </c>
      <c r="O165">
        <f t="shared" ca="1" si="63"/>
        <v>11.563061834000001</v>
      </c>
      <c r="T165" s="3" t="str">
        <f t="shared" si="57"/>
        <v>Фонарь, направленный</v>
      </c>
      <c r="U165" s="9">
        <f t="shared" si="66"/>
        <v>6.6997790200000003</v>
      </c>
      <c r="V165" s="9">
        <f t="shared" ca="1" si="67"/>
        <v>11.563061834000001</v>
      </c>
      <c r="W165">
        <f t="shared" si="65"/>
        <v>16.749447549999999</v>
      </c>
      <c r="X165" s="10"/>
    </row>
    <row r="166" spans="1:24" x14ac:dyDescent="0.25">
      <c r="A166" s="3" t="str">
        <f>'Модель v2 базовая'!AL70</f>
        <v>Цепь 10 фт</v>
      </c>
      <c r="B166">
        <f>'Модель v2 базовая'!AU70</f>
        <v>28.708344500000003</v>
      </c>
      <c r="C166">
        <v>9</v>
      </c>
      <c r="D166">
        <f t="shared" si="64"/>
        <v>14</v>
      </c>
      <c r="E166" t="str">
        <f t="shared" si="58"/>
        <v>$N$9</v>
      </c>
      <c r="F166">
        <f t="shared" ca="1" si="59"/>
        <v>1300</v>
      </c>
      <c r="G166">
        <f t="shared" ca="1" si="60"/>
        <v>4.0625</v>
      </c>
      <c r="H166">
        <f>'Модель v2 базовая'!$G$87</f>
        <v>2500</v>
      </c>
      <c r="I166">
        <f t="shared" ca="1" si="61"/>
        <v>338.54166666666663</v>
      </c>
      <c r="J166">
        <v>2000</v>
      </c>
      <c r="K166">
        <f>'Модель v2 базовая'!$E$87</f>
        <v>8.3333333333333339</v>
      </c>
      <c r="L166">
        <v>0.7</v>
      </c>
      <c r="M166">
        <f t="shared" si="68"/>
        <v>10</v>
      </c>
      <c r="N166">
        <f t="shared" ca="1" si="62"/>
        <v>97955.246299999999</v>
      </c>
      <c r="O166">
        <f t="shared" ca="1" si="63"/>
        <v>48.977623149999999</v>
      </c>
      <c r="T166" s="3" t="str">
        <f t="shared" ref="T166:T171" si="69">A166</f>
        <v>Цепь 10 фт</v>
      </c>
      <c r="U166" s="9">
        <f t="shared" si="66"/>
        <v>28.708344500000003</v>
      </c>
      <c r="V166" s="9">
        <f t="shared" ca="1" si="67"/>
        <v>48.977623149999999</v>
      </c>
      <c r="W166">
        <f t="shared" si="65"/>
        <v>71.77086125000001</v>
      </c>
      <c r="X166" s="10"/>
    </row>
    <row r="167" spans="1:24" x14ac:dyDescent="0.25">
      <c r="A167" s="3" t="str">
        <f>'Модель v2 базовая'!AL71</f>
        <v>Чернила</v>
      </c>
      <c r="B167">
        <f>'Модель v2 базовая'!AU71</f>
        <v>10.139999999999999</v>
      </c>
      <c r="C167">
        <v>6</v>
      </c>
      <c r="D167">
        <f t="shared" si="64"/>
        <v>14</v>
      </c>
      <c r="E167" t="str">
        <f t="shared" ref="E167:E172" si="70" xml:space="preserve"> ADDRESS(C167,D167)</f>
        <v>$N$6</v>
      </c>
      <c r="F167">
        <f t="shared" ref="F167:F172" ca="1" si="71">INDIRECT(E167)</f>
        <v>1460</v>
      </c>
      <c r="G167">
        <f t="shared" ref="G167:G172" ca="1" si="72">F167/320</f>
        <v>4.5625</v>
      </c>
      <c r="H167">
        <f>'Модель v2 базовая'!$G$87</f>
        <v>2500</v>
      </c>
      <c r="I167">
        <f t="shared" ref="I167:I172" ca="1" si="73">H167/30*G167</f>
        <v>380.20833333333331</v>
      </c>
      <c r="J167">
        <v>2000</v>
      </c>
      <c r="K167">
        <f>'Модель v2 базовая'!$E$87</f>
        <v>8.3333333333333339</v>
      </c>
      <c r="L167">
        <v>0.7</v>
      </c>
      <c r="M167">
        <f t="shared" si="68"/>
        <v>10</v>
      </c>
      <c r="N167">
        <f t="shared" ref="N167:N172" ca="1" si="74">IF(G167=0, B167*J167, B167*J167+(B167*J167*L167)+I167+K167)</f>
        <v>34864.541666666664</v>
      </c>
      <c r="O167">
        <f t="shared" ref="O167:O172" ca="1" si="75">N167/J167</f>
        <v>17.432270833333334</v>
      </c>
      <c r="T167" s="3" t="str">
        <f t="shared" si="69"/>
        <v>Чернила</v>
      </c>
      <c r="U167" s="9">
        <f t="shared" si="66"/>
        <v>10.139999999999999</v>
      </c>
      <c r="V167" s="9">
        <f t="shared" ca="1" si="67"/>
        <v>17.432270833333334</v>
      </c>
      <c r="W167">
        <f t="shared" si="65"/>
        <v>25.349999999999998</v>
      </c>
      <c r="X167" s="10"/>
    </row>
    <row r="168" spans="1:24" x14ac:dyDescent="0.25">
      <c r="A168" s="3" t="str">
        <f>'Модель v2 базовая'!AL72</f>
        <v>Шест 10 фт</v>
      </c>
      <c r="B168">
        <f>'Модель v2 базовая'!AU72</f>
        <v>3.8489194499999995</v>
      </c>
      <c r="C168">
        <v>5</v>
      </c>
      <c r="D168">
        <f t="shared" si="64"/>
        <v>14</v>
      </c>
      <c r="E168" t="str">
        <f t="shared" si="70"/>
        <v>$N$5</v>
      </c>
      <c r="F168">
        <f t="shared" ca="1" si="71"/>
        <v>980</v>
      </c>
      <c r="G168">
        <f t="shared" ca="1" si="72"/>
        <v>3.0625</v>
      </c>
      <c r="H168">
        <f>'Модель v2 базовая'!$G$87</f>
        <v>2500</v>
      </c>
      <c r="I168">
        <f t="shared" ca="1" si="73"/>
        <v>255.20833333333331</v>
      </c>
      <c r="J168">
        <v>2000</v>
      </c>
      <c r="K168">
        <f>'Модель v2 базовая'!$E$87</f>
        <v>8.3333333333333339</v>
      </c>
      <c r="L168">
        <v>0.7</v>
      </c>
      <c r="M168">
        <f t="shared" si="68"/>
        <v>10</v>
      </c>
      <c r="N168">
        <f t="shared" ca="1" si="74"/>
        <v>13349.867796666666</v>
      </c>
      <c r="O168">
        <f t="shared" ca="1" si="75"/>
        <v>6.6749338983333324</v>
      </c>
      <c r="T168" s="3" t="str">
        <f t="shared" si="69"/>
        <v>Шест 10 фт</v>
      </c>
      <c r="U168" s="9">
        <f t="shared" si="66"/>
        <v>3.8489194499999995</v>
      </c>
      <c r="V168" s="9">
        <f t="shared" ca="1" si="67"/>
        <v>6.6749338983333324</v>
      </c>
      <c r="W168">
        <f t="shared" si="65"/>
        <v>9.6222986249999991</v>
      </c>
      <c r="X168" s="10"/>
    </row>
    <row r="169" spans="1:24" x14ac:dyDescent="0.25">
      <c r="A169" s="3" t="str">
        <f>'Модель v2 базовая'!AL73</f>
        <v xml:space="preserve">Шип железные </v>
      </c>
      <c r="B169">
        <f>'Модель v2 базовая'!AU73</f>
        <v>1.5645572250000002</v>
      </c>
      <c r="C169">
        <v>9</v>
      </c>
      <c r="D169">
        <f t="shared" si="64"/>
        <v>14</v>
      </c>
      <c r="E169" t="str">
        <f t="shared" si="70"/>
        <v>$N$9</v>
      </c>
      <c r="F169">
        <f t="shared" ca="1" si="71"/>
        <v>1300</v>
      </c>
      <c r="G169">
        <f t="shared" ca="1" si="72"/>
        <v>4.0625</v>
      </c>
      <c r="H169">
        <f>'Модель v2 базовая'!$G$87</f>
        <v>2500</v>
      </c>
      <c r="I169">
        <f t="shared" ca="1" si="73"/>
        <v>338.54166666666663</v>
      </c>
      <c r="J169">
        <v>2000</v>
      </c>
      <c r="K169">
        <f>'Модель v2 базовая'!$E$87</f>
        <v>8.3333333333333339</v>
      </c>
      <c r="L169">
        <v>0.7</v>
      </c>
      <c r="M169">
        <f t="shared" si="68"/>
        <v>10</v>
      </c>
      <c r="N169">
        <f t="shared" ca="1" si="74"/>
        <v>5666.3695650000009</v>
      </c>
      <c r="O169">
        <f t="shared" ca="1" si="75"/>
        <v>2.8331847825000005</v>
      </c>
      <c r="T169" s="3" t="str">
        <f t="shared" si="69"/>
        <v xml:space="preserve">Шип железные </v>
      </c>
      <c r="U169" s="9">
        <f t="shared" si="66"/>
        <v>1.5645572250000002</v>
      </c>
      <c r="V169" s="9">
        <f t="shared" ca="1" si="67"/>
        <v>2.8331847825000005</v>
      </c>
      <c r="W169">
        <f t="shared" si="65"/>
        <v>3.9113930625000002</v>
      </c>
      <c r="X169" s="10"/>
    </row>
    <row r="170" spans="1:24" x14ac:dyDescent="0.25">
      <c r="A170" s="3" t="str">
        <f>'Модель v2 базовая'!AL74</f>
        <v>шлямбур</v>
      </c>
      <c r="B170">
        <f>'Модель v2 базовая'!AU74</f>
        <v>0.8153942500000001</v>
      </c>
      <c r="C170">
        <v>9</v>
      </c>
      <c r="D170">
        <f t="shared" si="64"/>
        <v>14</v>
      </c>
      <c r="E170" t="str">
        <f t="shared" si="70"/>
        <v>$N$9</v>
      </c>
      <c r="F170">
        <f t="shared" ca="1" si="71"/>
        <v>1300</v>
      </c>
      <c r="G170">
        <f t="shared" ca="1" si="72"/>
        <v>4.0625</v>
      </c>
      <c r="H170">
        <f>'Модель v2 базовая'!$G$87</f>
        <v>2500</v>
      </c>
      <c r="I170">
        <f t="shared" ca="1" si="73"/>
        <v>338.54166666666663</v>
      </c>
      <c r="J170">
        <v>2000</v>
      </c>
      <c r="K170">
        <f>'Модель v2 базовая'!$E$87</f>
        <v>8.3333333333333339</v>
      </c>
      <c r="L170">
        <v>0.7</v>
      </c>
      <c r="M170">
        <f t="shared" si="68"/>
        <v>10</v>
      </c>
      <c r="N170">
        <f t="shared" ca="1" si="74"/>
        <v>3119.2154500000001</v>
      </c>
      <c r="O170">
        <f t="shared" ca="1" si="75"/>
        <v>1.559607725</v>
      </c>
      <c r="T170" s="3" t="str">
        <f t="shared" si="69"/>
        <v>шлямбур</v>
      </c>
      <c r="U170" s="9">
        <f t="shared" ref="U170:U171" si="76">B170</f>
        <v>0.8153942500000001</v>
      </c>
      <c r="V170" s="9">
        <f t="shared" ref="V170:V171" ca="1" si="77">O170</f>
        <v>1.559607725</v>
      </c>
      <c r="W170">
        <f t="shared" ref="W170:W171" si="78">B170*2.5</f>
        <v>2.0384856250000003</v>
      </c>
    </row>
    <row r="171" spans="1:24" x14ac:dyDescent="0.25">
      <c r="A171" s="3" t="str">
        <f>'Модель v2 базовая'!AL75</f>
        <v>ожерелье/медальон золото</v>
      </c>
      <c r="B171">
        <f>'Модель v2 базовая'!AU75</f>
        <v>79.604915000000005</v>
      </c>
      <c r="C171">
        <v>9</v>
      </c>
      <c r="D171">
        <f t="shared" si="64"/>
        <v>14</v>
      </c>
      <c r="E171" t="str">
        <f t="shared" si="70"/>
        <v>$N$9</v>
      </c>
      <c r="F171">
        <f t="shared" ca="1" si="71"/>
        <v>1300</v>
      </c>
      <c r="G171">
        <f t="shared" ca="1" si="72"/>
        <v>4.0625</v>
      </c>
      <c r="H171">
        <f>'Модель v2 базовая'!$G$87</f>
        <v>2500</v>
      </c>
      <c r="I171">
        <f t="shared" ca="1" si="73"/>
        <v>338.54166666666663</v>
      </c>
      <c r="J171">
        <v>2000</v>
      </c>
      <c r="K171">
        <f>'Модель v2 базовая'!$E$87</f>
        <v>8.3333333333333339</v>
      </c>
      <c r="L171">
        <v>0.7</v>
      </c>
      <c r="M171">
        <f t="shared" si="68"/>
        <v>10</v>
      </c>
      <c r="N171">
        <f t="shared" ca="1" si="74"/>
        <v>271003.58600000001</v>
      </c>
      <c r="O171">
        <f t="shared" ca="1" si="75"/>
        <v>135.50179299999999</v>
      </c>
      <c r="T171" s="3" t="str">
        <f t="shared" si="69"/>
        <v>ожерелье/медальон золото</v>
      </c>
      <c r="U171" s="9">
        <f t="shared" si="76"/>
        <v>79.604915000000005</v>
      </c>
      <c r="V171" s="9">
        <f t="shared" ca="1" si="77"/>
        <v>135.50179299999999</v>
      </c>
      <c r="W171">
        <f t="shared" si="78"/>
        <v>199.01228750000001</v>
      </c>
    </row>
    <row r="172" spans="1:24" x14ac:dyDescent="0.25">
      <c r="A172" s="3" t="str">
        <f>'Модель v2 базовая'!AL76</f>
        <v>ожерелье/медальон мифрил</v>
      </c>
      <c r="B172">
        <f>'Модель v2 базовая'!AU76</f>
        <v>405.96792272188986</v>
      </c>
      <c r="C172">
        <v>9</v>
      </c>
      <c r="D172">
        <f t="shared" si="64"/>
        <v>14</v>
      </c>
      <c r="E172" t="str">
        <f t="shared" si="70"/>
        <v>$N$9</v>
      </c>
      <c r="F172">
        <f t="shared" ca="1" si="71"/>
        <v>1300</v>
      </c>
      <c r="G172">
        <f t="shared" ca="1" si="72"/>
        <v>4.0625</v>
      </c>
      <c r="H172">
        <f>'Модель v2 базовая'!$G$87</f>
        <v>2500</v>
      </c>
      <c r="I172">
        <f t="shared" ca="1" si="73"/>
        <v>338.54166666666663</v>
      </c>
      <c r="J172">
        <v>2000</v>
      </c>
      <c r="K172">
        <f>'Модель v2 базовая'!$E$87</f>
        <v>8.3333333333333339</v>
      </c>
      <c r="L172">
        <v>0.7</v>
      </c>
      <c r="M172">
        <f t="shared" si="68"/>
        <v>10</v>
      </c>
      <c r="N172">
        <f t="shared" ca="1" si="74"/>
        <v>1380637.8122544256</v>
      </c>
      <c r="O172">
        <f t="shared" ca="1" si="75"/>
        <v>690.31890612721281</v>
      </c>
      <c r="T172" s="3" t="str">
        <f t="shared" ref="T172" si="79">A172</f>
        <v>ожерелье/медальон мифрил</v>
      </c>
      <c r="U172" s="9">
        <f t="shared" ref="U172" si="80">B172</f>
        <v>405.96792272188986</v>
      </c>
      <c r="V172" s="9">
        <f t="shared" ref="V172" ca="1" si="81">O172</f>
        <v>690.31890612721281</v>
      </c>
      <c r="W172">
        <f t="shared" ref="W172" si="82">B172*2.5</f>
        <v>1014.9198068047247</v>
      </c>
    </row>
    <row r="173" spans="1:24" x14ac:dyDescent="0.25">
      <c r="A173" s="8" t="s">
        <v>71</v>
      </c>
      <c r="T173" s="8" t="s">
        <v>71</v>
      </c>
      <c r="U173" s="9"/>
      <c r="V173" s="9"/>
      <c r="X173" s="10"/>
    </row>
    <row r="174" spans="1:24" x14ac:dyDescent="0.25">
      <c r="A174" s="3" t="s">
        <v>72</v>
      </c>
      <c r="B174">
        <f>'Модель v2 базовая'!AU80</f>
        <v>16.419387652499999</v>
      </c>
      <c r="C174">
        <v>11</v>
      </c>
      <c r="D174">
        <f t="shared" si="64"/>
        <v>14</v>
      </c>
      <c r="E174" t="str">
        <f t="shared" ref="E174:E186" si="83" xml:space="preserve"> ADDRESS(C174,D174)</f>
        <v>$N$11</v>
      </c>
      <c r="F174">
        <f t="shared" ref="F174:F186" ca="1" si="84">INDIRECT(E174)</f>
        <v>880</v>
      </c>
      <c r="G174">
        <f t="shared" ref="G174:G179" ca="1" si="85">F174/320</f>
        <v>2.75</v>
      </c>
      <c r="H174">
        <f>'Модель v2 базовая'!$G$86</f>
        <v>1500</v>
      </c>
      <c r="I174">
        <f t="shared" ref="I174:I186" ca="1" si="86">H174/30*G174</f>
        <v>137.5</v>
      </c>
      <c r="J174">
        <v>500</v>
      </c>
      <c r="K174">
        <f>'Модель v2 базовая'!$E$86</f>
        <v>4.166666666666667</v>
      </c>
      <c r="L174">
        <v>1</v>
      </c>
      <c r="M174">
        <f t="shared" si="68"/>
        <v>0</v>
      </c>
      <c r="N174">
        <f t="shared" ref="N174:N186" ca="1" si="87">IF(G174=0, B174*J174, B174*J174+(B174*J174*L174)+I174+K174)</f>
        <v>16561.054319166666</v>
      </c>
      <c r="O174">
        <f t="shared" ref="O174:O186" ca="1" si="88">N174/J174</f>
        <v>33.12210863833333</v>
      </c>
      <c r="T174" s="3" t="s">
        <v>72</v>
      </c>
      <c r="U174" s="9">
        <f t="shared" ref="U174:U186" si="89">B174</f>
        <v>16.419387652499999</v>
      </c>
      <c r="V174" s="9">
        <f t="shared" ref="V174:V186" ca="1" si="90">O174</f>
        <v>33.12210863833333</v>
      </c>
      <c r="W174">
        <f t="shared" ref="W174:W179" si="91">B174*2.5</f>
        <v>41.048469131250002</v>
      </c>
      <c r="X174" s="10"/>
    </row>
    <row r="175" spans="1:24" x14ac:dyDescent="0.25">
      <c r="A175" s="3" t="s">
        <v>73</v>
      </c>
      <c r="B175">
        <f>'Модель v2 базовая'!AU81</f>
        <v>6.9008047499999998</v>
      </c>
      <c r="C175">
        <v>11</v>
      </c>
      <c r="D175">
        <f t="shared" si="64"/>
        <v>14</v>
      </c>
      <c r="E175" t="str">
        <f t="shared" si="83"/>
        <v>$N$11</v>
      </c>
      <c r="F175">
        <f t="shared" ca="1" si="84"/>
        <v>880</v>
      </c>
      <c r="G175">
        <f t="shared" ca="1" si="85"/>
        <v>2.75</v>
      </c>
      <c r="H175">
        <f>'Модель v2 базовая'!$G$86</f>
        <v>1500</v>
      </c>
      <c r="I175">
        <f t="shared" ca="1" si="86"/>
        <v>137.5</v>
      </c>
      <c r="J175">
        <v>500</v>
      </c>
      <c r="K175">
        <f>'Модель v2 базовая'!$E$86</f>
        <v>4.166666666666667</v>
      </c>
      <c r="L175">
        <v>1</v>
      </c>
      <c r="M175">
        <f t="shared" si="68"/>
        <v>0</v>
      </c>
      <c r="N175">
        <f t="shared" ca="1" si="87"/>
        <v>7042.4714166666672</v>
      </c>
      <c r="O175">
        <f t="shared" ca="1" si="88"/>
        <v>14.084942833333335</v>
      </c>
      <c r="T175" s="3" t="s">
        <v>73</v>
      </c>
      <c r="U175" s="9">
        <f t="shared" si="89"/>
        <v>6.9008047499999998</v>
      </c>
      <c r="V175" s="9">
        <f t="shared" ca="1" si="90"/>
        <v>14.084942833333335</v>
      </c>
      <c r="W175">
        <f t="shared" si="91"/>
        <v>17.252011875000001</v>
      </c>
      <c r="X175" s="10"/>
    </row>
    <row r="176" spans="1:24" x14ac:dyDescent="0.25">
      <c r="A176" s="3" t="s">
        <v>74</v>
      </c>
      <c r="B176">
        <f>'Модель v2 базовая'!AU82</f>
        <v>151.50408389744248</v>
      </c>
      <c r="C176">
        <v>11</v>
      </c>
      <c r="D176">
        <f t="shared" si="64"/>
        <v>14</v>
      </c>
      <c r="E176" t="str">
        <f t="shared" si="83"/>
        <v>$N$11</v>
      </c>
      <c r="F176">
        <f t="shared" ca="1" si="84"/>
        <v>880</v>
      </c>
      <c r="G176">
        <f t="shared" ca="1" si="85"/>
        <v>2.75</v>
      </c>
      <c r="H176">
        <f>'Модель v2 базовая'!$G$86</f>
        <v>1500</v>
      </c>
      <c r="I176">
        <f t="shared" ca="1" si="86"/>
        <v>137.5</v>
      </c>
      <c r="J176">
        <v>500</v>
      </c>
      <c r="K176">
        <f>'Модель v2 базовая'!$E$86</f>
        <v>4.166666666666667</v>
      </c>
      <c r="L176">
        <v>1</v>
      </c>
      <c r="M176">
        <f t="shared" si="68"/>
        <v>0</v>
      </c>
      <c r="N176">
        <f t="shared" ca="1" si="87"/>
        <v>151645.75056410916</v>
      </c>
      <c r="O176">
        <f t="shared" ca="1" si="88"/>
        <v>303.29150112821833</v>
      </c>
      <c r="T176" s="3" t="s">
        <v>74</v>
      </c>
      <c r="U176" s="9">
        <f t="shared" si="89"/>
        <v>151.50408389744248</v>
      </c>
      <c r="V176" s="9">
        <f t="shared" ca="1" si="90"/>
        <v>303.29150112821833</v>
      </c>
      <c r="W176">
        <f t="shared" si="91"/>
        <v>378.7602097436062</v>
      </c>
      <c r="X176" s="10"/>
    </row>
    <row r="177" spans="1:25" x14ac:dyDescent="0.25">
      <c r="A177" s="3" t="s">
        <v>75</v>
      </c>
      <c r="B177">
        <f>'Модель v2 базовая'!AU83</f>
        <v>8.6073959999999996</v>
      </c>
      <c r="C177">
        <v>11</v>
      </c>
      <c r="D177">
        <f t="shared" si="64"/>
        <v>14</v>
      </c>
      <c r="E177" t="str">
        <f t="shared" si="83"/>
        <v>$N$11</v>
      </c>
      <c r="F177">
        <f t="shared" ca="1" si="84"/>
        <v>880</v>
      </c>
      <c r="G177">
        <f t="shared" ca="1" si="85"/>
        <v>2.75</v>
      </c>
      <c r="H177">
        <f>'Модель v2 базовая'!$G$86</f>
        <v>1500</v>
      </c>
      <c r="I177">
        <f t="shared" ca="1" si="86"/>
        <v>137.5</v>
      </c>
      <c r="J177">
        <v>500</v>
      </c>
      <c r="K177">
        <f>'Модель v2 базовая'!$E$86</f>
        <v>4.166666666666667</v>
      </c>
      <c r="L177">
        <v>1</v>
      </c>
      <c r="M177">
        <f t="shared" si="68"/>
        <v>0</v>
      </c>
      <c r="N177">
        <f t="shared" ca="1" si="87"/>
        <v>8749.0626666666649</v>
      </c>
      <c r="O177">
        <f t="shared" ca="1" si="88"/>
        <v>17.498125333333331</v>
      </c>
      <c r="T177" s="3" t="s">
        <v>75</v>
      </c>
      <c r="U177" s="9">
        <f t="shared" si="89"/>
        <v>8.6073959999999996</v>
      </c>
      <c r="V177" s="9">
        <f t="shared" ca="1" si="90"/>
        <v>17.498125333333331</v>
      </c>
      <c r="W177">
        <f t="shared" si="91"/>
        <v>21.51849</v>
      </c>
      <c r="X177" s="10"/>
    </row>
    <row r="178" spans="1:25" x14ac:dyDescent="0.25">
      <c r="A178" s="3" t="s">
        <v>76</v>
      </c>
      <c r="B178">
        <f>'Модель v2 базовая'!AU84</f>
        <v>93.891762249999999</v>
      </c>
      <c r="C178">
        <v>11</v>
      </c>
      <c r="D178">
        <f t="shared" si="64"/>
        <v>14</v>
      </c>
      <c r="E178" t="str">
        <f t="shared" si="83"/>
        <v>$N$11</v>
      </c>
      <c r="F178">
        <f t="shared" ca="1" si="84"/>
        <v>880</v>
      </c>
      <c r="G178">
        <f t="shared" ca="1" si="85"/>
        <v>2.75</v>
      </c>
      <c r="H178">
        <f>'Модель v2 базовая'!$G$86</f>
        <v>1500</v>
      </c>
      <c r="I178">
        <f t="shared" ca="1" si="86"/>
        <v>137.5</v>
      </c>
      <c r="J178">
        <v>500</v>
      </c>
      <c r="K178">
        <f>'Модель v2 базовая'!$E$86</f>
        <v>4.166666666666667</v>
      </c>
      <c r="L178">
        <v>2</v>
      </c>
      <c r="M178">
        <f t="shared" si="68"/>
        <v>0</v>
      </c>
      <c r="N178">
        <f t="shared" ca="1" si="87"/>
        <v>140979.31004166664</v>
      </c>
      <c r="O178">
        <f t="shared" ca="1" si="88"/>
        <v>281.9586200833333</v>
      </c>
      <c r="T178" s="3" t="s">
        <v>76</v>
      </c>
      <c r="U178" s="9">
        <f t="shared" si="89"/>
        <v>93.891762249999999</v>
      </c>
      <c r="V178" s="9">
        <f t="shared" ca="1" si="90"/>
        <v>281.9586200833333</v>
      </c>
      <c r="W178">
        <f t="shared" si="91"/>
        <v>234.729405625</v>
      </c>
      <c r="X178" s="10"/>
    </row>
    <row r="179" spans="1:25" x14ac:dyDescent="0.25">
      <c r="A179" s="3" t="s">
        <v>77</v>
      </c>
      <c r="B179">
        <f>'Модель v2 базовая'!AU85</f>
        <v>164.79709674999998</v>
      </c>
      <c r="C179">
        <v>11</v>
      </c>
      <c r="D179">
        <f t="shared" si="64"/>
        <v>14</v>
      </c>
      <c r="E179" t="str">
        <f t="shared" si="83"/>
        <v>$N$11</v>
      </c>
      <c r="F179">
        <f t="shared" ca="1" si="84"/>
        <v>880</v>
      </c>
      <c r="G179">
        <f t="shared" ca="1" si="85"/>
        <v>2.75</v>
      </c>
      <c r="H179">
        <f>'Модель v2 базовая'!$G$86</f>
        <v>1500</v>
      </c>
      <c r="I179">
        <f t="shared" ca="1" si="86"/>
        <v>137.5</v>
      </c>
      <c r="J179">
        <v>500</v>
      </c>
      <c r="K179">
        <f>'Модель v2 базовая'!$E$86</f>
        <v>4.166666666666667</v>
      </c>
      <c r="L179">
        <v>2</v>
      </c>
      <c r="M179">
        <f t="shared" si="68"/>
        <v>0</v>
      </c>
      <c r="N179">
        <f t="shared" ca="1" si="87"/>
        <v>247337.31179166661</v>
      </c>
      <c r="O179">
        <f t="shared" ca="1" si="88"/>
        <v>494.67462358333324</v>
      </c>
      <c r="T179" s="3" t="s">
        <v>77</v>
      </c>
      <c r="U179" s="9">
        <f t="shared" si="89"/>
        <v>164.79709674999998</v>
      </c>
      <c r="V179" s="9">
        <f t="shared" ca="1" si="90"/>
        <v>494.67462358333324</v>
      </c>
      <c r="W179">
        <f t="shared" si="91"/>
        <v>411.99274187499998</v>
      </c>
      <c r="X179" s="10"/>
    </row>
    <row r="180" spans="1:25" x14ac:dyDescent="0.25">
      <c r="A180" s="3" t="s">
        <v>78</v>
      </c>
      <c r="B180">
        <f>'Модель v2 базовая'!AU86</f>
        <v>1023.7173431750938</v>
      </c>
      <c r="C180">
        <v>11</v>
      </c>
      <c r="D180">
        <f t="shared" ref="D180:D506" si="92">$B$16</f>
        <v>14</v>
      </c>
      <c r="E180" t="str">
        <f t="shared" si="83"/>
        <v>$N$11</v>
      </c>
      <c r="F180">
        <f t="shared" ca="1" si="84"/>
        <v>880</v>
      </c>
      <c r="G180">
        <f t="shared" ref="G180:G228" ca="1" si="93">F180/320</f>
        <v>2.75</v>
      </c>
      <c r="H180">
        <f>'Модель v2 базовая'!$G$86</f>
        <v>1500</v>
      </c>
      <c r="I180">
        <f t="shared" ca="1" si="86"/>
        <v>137.5</v>
      </c>
      <c r="J180">
        <v>500</v>
      </c>
      <c r="K180">
        <f>'Модель v2 базовая'!$E$86</f>
        <v>4.166666666666667</v>
      </c>
      <c r="L180">
        <v>2</v>
      </c>
      <c r="M180">
        <f t="shared" si="68"/>
        <v>0</v>
      </c>
      <c r="N180">
        <f t="shared" ca="1" si="87"/>
        <v>1535717.6814293074</v>
      </c>
      <c r="O180">
        <f t="shared" ca="1" si="88"/>
        <v>3071.435362858615</v>
      </c>
      <c r="T180" s="3" t="s">
        <v>78</v>
      </c>
      <c r="U180" s="9">
        <f t="shared" si="89"/>
        <v>1023.7173431750938</v>
      </c>
      <c r="V180" s="9">
        <f t="shared" ca="1" si="90"/>
        <v>3071.435362858615</v>
      </c>
      <c r="W180">
        <f t="shared" ref="W180:W228" si="94">B180*2.5</f>
        <v>2559.2933579377345</v>
      </c>
      <c r="X180" s="10"/>
    </row>
    <row r="181" spans="1:25" x14ac:dyDescent="0.25">
      <c r="A181" s="3" t="s">
        <v>79</v>
      </c>
      <c r="B181">
        <f>'Модель v2 базовая'!AU87</f>
        <v>2022.5746863501874</v>
      </c>
      <c r="C181">
        <v>12</v>
      </c>
      <c r="D181">
        <f t="shared" si="92"/>
        <v>14</v>
      </c>
      <c r="E181" t="str">
        <f t="shared" si="83"/>
        <v>$N$12</v>
      </c>
      <c r="F181">
        <f t="shared" ca="1" si="84"/>
        <v>400</v>
      </c>
      <c r="G181">
        <f t="shared" ca="1" si="93"/>
        <v>1.25</v>
      </c>
      <c r="H181">
        <f>'Модель v2 базовая'!$G$86</f>
        <v>1500</v>
      </c>
      <c r="I181">
        <f t="shared" ca="1" si="86"/>
        <v>62.5</v>
      </c>
      <c r="J181">
        <v>500</v>
      </c>
      <c r="K181">
        <f>'Модель v2 базовая'!$E$86</f>
        <v>4.166666666666667</v>
      </c>
      <c r="L181">
        <v>2</v>
      </c>
      <c r="M181">
        <f t="shared" si="68"/>
        <v>0</v>
      </c>
      <c r="N181">
        <f t="shared" ca="1" si="87"/>
        <v>3033928.6961919479</v>
      </c>
      <c r="O181">
        <f t="shared" ca="1" si="88"/>
        <v>6067.8573923838958</v>
      </c>
      <c r="T181" s="3" t="s">
        <v>79</v>
      </c>
      <c r="U181" s="9">
        <f t="shared" si="89"/>
        <v>2022.5746863501874</v>
      </c>
      <c r="V181" s="9">
        <f t="shared" ca="1" si="90"/>
        <v>6067.8573923838958</v>
      </c>
      <c r="W181">
        <f t="shared" si="94"/>
        <v>5056.4367158754685</v>
      </c>
      <c r="X181" s="10"/>
    </row>
    <row r="182" spans="1:25" x14ac:dyDescent="0.25">
      <c r="A182" s="3" t="s">
        <v>80</v>
      </c>
      <c r="B182">
        <f>'Модель v2 базовая'!AU88</f>
        <v>2048.9746863501873</v>
      </c>
      <c r="C182">
        <v>12</v>
      </c>
      <c r="D182">
        <f t="shared" si="92"/>
        <v>14</v>
      </c>
      <c r="E182" t="str">
        <f t="shared" si="83"/>
        <v>$N$12</v>
      </c>
      <c r="F182">
        <f t="shared" ca="1" si="84"/>
        <v>400</v>
      </c>
      <c r="G182">
        <f t="shared" ca="1" si="93"/>
        <v>1.25</v>
      </c>
      <c r="H182">
        <f>'Модель v2 базовая'!$G$86</f>
        <v>1500</v>
      </c>
      <c r="I182">
        <f t="shared" ca="1" si="86"/>
        <v>62.5</v>
      </c>
      <c r="J182">
        <v>500</v>
      </c>
      <c r="K182">
        <f>'Модель v2 базовая'!$E$86</f>
        <v>4.166666666666667</v>
      </c>
      <c r="L182">
        <v>2</v>
      </c>
      <c r="M182">
        <f t="shared" si="68"/>
        <v>0</v>
      </c>
      <c r="N182">
        <f t="shared" ca="1" si="87"/>
        <v>3073528.6961919474</v>
      </c>
      <c r="O182">
        <f t="shared" ca="1" si="88"/>
        <v>6147.0573923838947</v>
      </c>
      <c r="T182" s="3" t="s">
        <v>80</v>
      </c>
      <c r="U182" s="9">
        <f t="shared" si="89"/>
        <v>2048.9746863501873</v>
      </c>
      <c r="V182" s="9">
        <f t="shared" ca="1" si="90"/>
        <v>6147.0573923838947</v>
      </c>
      <c r="W182">
        <f t="shared" si="94"/>
        <v>5122.4367158754685</v>
      </c>
      <c r="X182" s="10"/>
    </row>
    <row r="183" spans="1:25" x14ac:dyDescent="0.25">
      <c r="A183" s="3" t="s">
        <v>81</v>
      </c>
      <c r="B183">
        <f>'Модель v2 базовая'!AU89</f>
        <v>2804.2294721299431</v>
      </c>
      <c r="C183">
        <v>12</v>
      </c>
      <c r="D183">
        <f t="shared" si="92"/>
        <v>14</v>
      </c>
      <c r="E183" t="str">
        <f t="shared" si="83"/>
        <v>$N$12</v>
      </c>
      <c r="F183">
        <f t="shared" ca="1" si="84"/>
        <v>400</v>
      </c>
      <c r="G183">
        <f t="shared" ca="1" si="93"/>
        <v>1.25</v>
      </c>
      <c r="H183">
        <f>'Модель v2 базовая'!$G$86</f>
        <v>1500</v>
      </c>
      <c r="I183">
        <f t="shared" ca="1" si="86"/>
        <v>62.5</v>
      </c>
      <c r="J183">
        <v>500</v>
      </c>
      <c r="K183">
        <f>'Модель v2 базовая'!$E$86</f>
        <v>4.166666666666667</v>
      </c>
      <c r="L183">
        <v>2</v>
      </c>
      <c r="M183">
        <f t="shared" si="68"/>
        <v>0</v>
      </c>
      <c r="N183">
        <f t="shared" ca="1" si="87"/>
        <v>4206410.8748615822</v>
      </c>
      <c r="O183">
        <f t="shared" ca="1" si="88"/>
        <v>8412.8217497231635</v>
      </c>
      <c r="T183" s="3" t="s">
        <v>81</v>
      </c>
      <c r="U183" s="9">
        <f t="shared" si="89"/>
        <v>2804.2294721299431</v>
      </c>
      <c r="V183" s="9">
        <f t="shared" ca="1" si="90"/>
        <v>8412.8217497231635</v>
      </c>
      <c r="W183">
        <f t="shared" si="94"/>
        <v>7010.5736803248583</v>
      </c>
      <c r="X183" s="10"/>
    </row>
    <row r="184" spans="1:25" x14ac:dyDescent="0.25">
      <c r="A184" s="3" t="s">
        <v>82</v>
      </c>
      <c r="B184">
        <f>'Модель v2 базовая'!AU90</f>
        <v>3053.341067389862</v>
      </c>
      <c r="C184">
        <v>12</v>
      </c>
      <c r="D184">
        <f t="shared" si="92"/>
        <v>14</v>
      </c>
      <c r="E184" t="str">
        <f t="shared" si="83"/>
        <v>$N$12</v>
      </c>
      <c r="F184">
        <f t="shared" ca="1" si="84"/>
        <v>400</v>
      </c>
      <c r="G184">
        <f t="shared" ca="1" si="93"/>
        <v>1.25</v>
      </c>
      <c r="H184">
        <f>'Модель v2 базовая'!$G$86</f>
        <v>1500</v>
      </c>
      <c r="I184">
        <f t="shared" ca="1" si="86"/>
        <v>62.5</v>
      </c>
      <c r="J184">
        <v>500</v>
      </c>
      <c r="K184">
        <f>'Модель v2 базовая'!$E$86</f>
        <v>4.166666666666667</v>
      </c>
      <c r="L184">
        <v>2</v>
      </c>
      <c r="M184">
        <f t="shared" si="68"/>
        <v>0</v>
      </c>
      <c r="N184">
        <f t="shared" ca="1" si="87"/>
        <v>4580078.26775146</v>
      </c>
      <c r="O184">
        <f t="shared" ca="1" si="88"/>
        <v>9160.1565355029197</v>
      </c>
      <c r="T184" s="3" t="s">
        <v>82</v>
      </c>
      <c r="U184" s="9">
        <f t="shared" si="89"/>
        <v>3053.341067389862</v>
      </c>
      <c r="V184" s="9">
        <f t="shared" ca="1" si="90"/>
        <v>9160.1565355029197</v>
      </c>
      <c r="W184">
        <f t="shared" si="94"/>
        <v>7633.3526684746548</v>
      </c>
      <c r="X184" s="10"/>
    </row>
    <row r="185" spans="1:25" x14ac:dyDescent="0.25">
      <c r="A185" s="3" t="s">
        <v>83</v>
      </c>
      <c r="B185">
        <f>'Модель v2 базовая'!AU91</f>
        <v>3297.8236247851996</v>
      </c>
      <c r="C185">
        <v>12</v>
      </c>
      <c r="D185">
        <f t="shared" si="92"/>
        <v>14</v>
      </c>
      <c r="E185" t="str">
        <f t="shared" si="83"/>
        <v>$N$12</v>
      </c>
      <c r="F185">
        <f t="shared" ca="1" si="84"/>
        <v>400</v>
      </c>
      <c r="G185">
        <f t="shared" ca="1" si="93"/>
        <v>1.25</v>
      </c>
      <c r="H185">
        <f>'Модель v2 базовая'!$G$86</f>
        <v>1500</v>
      </c>
      <c r="I185">
        <f t="shared" ca="1" si="86"/>
        <v>62.5</v>
      </c>
      <c r="J185">
        <v>500</v>
      </c>
      <c r="K185">
        <f>'Модель v2 базовая'!$E$86</f>
        <v>4.166666666666667</v>
      </c>
      <c r="L185">
        <v>2</v>
      </c>
      <c r="M185">
        <f t="shared" si="68"/>
        <v>0</v>
      </c>
      <c r="N185">
        <f t="shared" ca="1" si="87"/>
        <v>4946802.1038444666</v>
      </c>
      <c r="O185">
        <f t="shared" ca="1" si="88"/>
        <v>9893.6042076889335</v>
      </c>
      <c r="T185" s="3" t="s">
        <v>83</v>
      </c>
      <c r="U185" s="9">
        <f t="shared" si="89"/>
        <v>3297.8236247851996</v>
      </c>
      <c r="V185" s="9">
        <f t="shared" ca="1" si="90"/>
        <v>9893.6042076889335</v>
      </c>
      <c r="W185">
        <f t="shared" si="94"/>
        <v>8244.5590619629984</v>
      </c>
      <c r="X185" s="10"/>
    </row>
    <row r="186" spans="1:25" x14ac:dyDescent="0.25">
      <c r="A186" s="3" t="s">
        <v>84</v>
      </c>
      <c r="B186">
        <f>'Модель v2 базовая'!AU92</f>
        <v>192.40368770795601</v>
      </c>
      <c r="C186">
        <v>11</v>
      </c>
      <c r="D186">
        <f t="shared" si="92"/>
        <v>14</v>
      </c>
      <c r="E186" t="str">
        <f t="shared" si="83"/>
        <v>$N$11</v>
      </c>
      <c r="F186">
        <f t="shared" ca="1" si="84"/>
        <v>880</v>
      </c>
      <c r="G186">
        <f t="shared" ca="1" si="93"/>
        <v>2.75</v>
      </c>
      <c r="H186">
        <f>'Модель v2 базовая'!$G$86</f>
        <v>1500</v>
      </c>
      <c r="I186">
        <f t="shared" ca="1" si="86"/>
        <v>137.5</v>
      </c>
      <c r="J186">
        <v>500</v>
      </c>
      <c r="K186">
        <f>'Модель v2 базовая'!$E$86</f>
        <v>4.166666666666667</v>
      </c>
      <c r="L186">
        <v>1</v>
      </c>
      <c r="M186">
        <f t="shared" si="68"/>
        <v>0</v>
      </c>
      <c r="N186">
        <f t="shared" ca="1" si="87"/>
        <v>192545.35437462266</v>
      </c>
      <c r="O186">
        <f t="shared" ca="1" si="88"/>
        <v>385.09070874924532</v>
      </c>
      <c r="T186" s="3" t="s">
        <v>84</v>
      </c>
      <c r="U186" s="9">
        <f t="shared" si="89"/>
        <v>192.40368770795601</v>
      </c>
      <c r="V186" s="9">
        <f t="shared" ca="1" si="90"/>
        <v>385.09070874924532</v>
      </c>
      <c r="W186">
        <f t="shared" si="94"/>
        <v>481.00921926989002</v>
      </c>
      <c r="X186" s="10"/>
    </row>
    <row r="187" spans="1:25" x14ac:dyDescent="0.25">
      <c r="A187" s="8" t="s">
        <v>85</v>
      </c>
      <c r="T187" s="8" t="s">
        <v>85</v>
      </c>
      <c r="U187" s="9"/>
      <c r="V187" s="9"/>
      <c r="X187" s="10"/>
    </row>
    <row r="188" spans="1:25" x14ac:dyDescent="0.25">
      <c r="A188" s="3" t="str">
        <f>'Модель v2 базовая'!AL94</f>
        <v>боевой посох</v>
      </c>
      <c r="B188">
        <f>'Модель v2 базовая'!AU94</f>
        <v>2.4020037749999998</v>
      </c>
      <c r="C188">
        <v>11</v>
      </c>
      <c r="D188">
        <f t="shared" si="92"/>
        <v>14</v>
      </c>
      <c r="E188" t="str">
        <f t="shared" ref="E188:E213" si="95" xml:space="preserve"> ADDRESS(C188,D188)</f>
        <v>$N$11</v>
      </c>
      <c r="F188">
        <f t="shared" ref="F188:F213" ca="1" si="96">INDIRECT(E188)</f>
        <v>880</v>
      </c>
      <c r="G188">
        <f t="shared" ca="1" si="93"/>
        <v>2.75</v>
      </c>
      <c r="H188">
        <f>'Модель v2 базовая'!$G$86</f>
        <v>1500</v>
      </c>
      <c r="I188">
        <f t="shared" ref="I188:I213" ca="1" si="97">H188/30*G188</f>
        <v>137.5</v>
      </c>
      <c r="J188">
        <v>500</v>
      </c>
      <c r="K188">
        <f>'Модель v2 базовая'!$E$86</f>
        <v>4.166666666666667</v>
      </c>
      <c r="L188">
        <v>1</v>
      </c>
      <c r="M188">
        <f t="shared" si="68"/>
        <v>0</v>
      </c>
      <c r="N188">
        <f t="shared" ref="N188:N213" ca="1" si="98">IF(G188=0, B188*J188, B188*J188+(B188*J188*L188)+I188+K188)</f>
        <v>2543.6704416666662</v>
      </c>
      <c r="O188">
        <f t="shared" ref="O188:O213" ca="1" si="99">N188/J188</f>
        <v>5.087340883333332</v>
      </c>
      <c r="T188" s="3" t="s">
        <v>86</v>
      </c>
      <c r="U188" s="9">
        <f t="shared" ref="U188:U228" si="100">B188</f>
        <v>2.4020037749999998</v>
      </c>
      <c r="V188" s="9">
        <f t="shared" ref="V188:V228" ca="1" si="101">O188</f>
        <v>5.087340883333332</v>
      </c>
      <c r="W188">
        <f t="shared" si="94"/>
        <v>6.0050094375</v>
      </c>
      <c r="X188" s="10"/>
      <c r="Y188">
        <f>X191*1.02</f>
        <v>62.360524941000008</v>
      </c>
    </row>
    <row r="189" spans="1:25" x14ac:dyDescent="0.25">
      <c r="A189" s="3" t="str">
        <f>'Модель v2 базовая'!AL95</f>
        <v>Булава</v>
      </c>
      <c r="B189">
        <f>'Модель v2 базовая'!AU95</f>
        <v>106.73314904941581</v>
      </c>
      <c r="C189">
        <v>11</v>
      </c>
      <c r="D189">
        <f t="shared" si="92"/>
        <v>14</v>
      </c>
      <c r="E189" t="str">
        <f t="shared" si="95"/>
        <v>$N$11</v>
      </c>
      <c r="F189">
        <f t="shared" ca="1" si="96"/>
        <v>880</v>
      </c>
      <c r="G189">
        <f t="shared" ca="1" si="93"/>
        <v>2.75</v>
      </c>
      <c r="H189">
        <f>'Модель v2 базовая'!$G$86</f>
        <v>1500</v>
      </c>
      <c r="I189">
        <f t="shared" ca="1" si="97"/>
        <v>137.5</v>
      </c>
      <c r="J189">
        <v>500</v>
      </c>
      <c r="K189">
        <f>'Модель v2 базовая'!$E$86</f>
        <v>4.166666666666667</v>
      </c>
      <c r="L189">
        <v>1</v>
      </c>
      <c r="M189">
        <f t="shared" si="68"/>
        <v>0</v>
      </c>
      <c r="N189">
        <f t="shared" ca="1" si="98"/>
        <v>106874.81571608249</v>
      </c>
      <c r="O189">
        <f t="shared" ca="1" si="99"/>
        <v>213.74963143216499</v>
      </c>
      <c r="T189" s="3" t="s">
        <v>87</v>
      </c>
      <c r="U189" s="9">
        <f t="shared" si="100"/>
        <v>106.73314904941581</v>
      </c>
      <c r="V189" s="9">
        <f t="shared" ca="1" si="101"/>
        <v>213.74963143216499</v>
      </c>
      <c r="W189">
        <f t="shared" si="94"/>
        <v>266.83287262353952</v>
      </c>
      <c r="X189" s="10"/>
    </row>
    <row r="190" spans="1:25" x14ac:dyDescent="0.25">
      <c r="A190" s="3" t="str">
        <f>'Модель v2 базовая'!AL96</f>
        <v>Дубинка</v>
      </c>
      <c r="B190">
        <f>'Модель v2 базовая'!AU96</f>
        <v>1.3459190249999999</v>
      </c>
      <c r="C190">
        <v>11</v>
      </c>
      <c r="D190">
        <f t="shared" si="92"/>
        <v>14</v>
      </c>
      <c r="E190" t="str">
        <f t="shared" si="95"/>
        <v>$N$11</v>
      </c>
      <c r="F190">
        <f t="shared" ca="1" si="96"/>
        <v>880</v>
      </c>
      <c r="G190">
        <f t="shared" ca="1" si="93"/>
        <v>2.75</v>
      </c>
      <c r="H190">
        <f>'Модель v2 базовая'!$G$86</f>
        <v>1500</v>
      </c>
      <c r="I190">
        <f t="shared" ca="1" si="97"/>
        <v>137.5</v>
      </c>
      <c r="J190">
        <v>500</v>
      </c>
      <c r="K190">
        <f>'Модель v2 базовая'!$E$86</f>
        <v>4.166666666666667</v>
      </c>
      <c r="L190">
        <v>1</v>
      </c>
      <c r="M190">
        <f t="shared" si="68"/>
        <v>0</v>
      </c>
      <c r="N190">
        <f t="shared" ca="1" si="98"/>
        <v>1487.5856916666667</v>
      </c>
      <c r="O190">
        <f t="shared" ca="1" si="99"/>
        <v>2.9751713833333335</v>
      </c>
      <c r="T190" s="3" t="s">
        <v>88</v>
      </c>
      <c r="U190" s="9">
        <f t="shared" si="100"/>
        <v>1.3459190249999999</v>
      </c>
      <c r="V190" s="9">
        <f t="shared" ca="1" si="101"/>
        <v>2.9751713833333335</v>
      </c>
      <c r="W190">
        <f t="shared" si="94"/>
        <v>3.3647975624999997</v>
      </c>
      <c r="X190" s="10"/>
    </row>
    <row r="191" spans="1:25" x14ac:dyDescent="0.25">
      <c r="A191" s="3" t="str">
        <f>'Модель v2 базовая'!AL97</f>
        <v>Кинжал</v>
      </c>
      <c r="B191">
        <f>'Модель v2 базовая'!AU97</f>
        <v>4.0897037500000009</v>
      </c>
      <c r="C191">
        <v>11</v>
      </c>
      <c r="D191">
        <f t="shared" si="92"/>
        <v>14</v>
      </c>
      <c r="E191" t="str">
        <f t="shared" si="95"/>
        <v>$N$11</v>
      </c>
      <c r="F191">
        <f t="shared" ca="1" si="96"/>
        <v>880</v>
      </c>
      <c r="G191">
        <f t="shared" ca="1" si="93"/>
        <v>2.75</v>
      </c>
      <c r="H191">
        <f>'Модель v2 базовая'!$G$86</f>
        <v>1500</v>
      </c>
      <c r="I191">
        <f t="shared" ca="1" si="97"/>
        <v>137.5</v>
      </c>
      <c r="J191">
        <v>500</v>
      </c>
      <c r="K191">
        <f>'Модель v2 базовая'!$E$86</f>
        <v>4.166666666666667</v>
      </c>
      <c r="L191">
        <v>1</v>
      </c>
      <c r="M191">
        <f t="shared" si="68"/>
        <v>0</v>
      </c>
      <c r="N191">
        <f t="shared" ca="1" si="98"/>
        <v>4231.3704166666676</v>
      </c>
      <c r="O191">
        <f t="shared" ca="1" si="99"/>
        <v>8.4627408333333349</v>
      </c>
      <c r="T191" s="3" t="s">
        <v>89</v>
      </c>
      <c r="U191" s="9">
        <f t="shared" si="100"/>
        <v>4.0897037500000009</v>
      </c>
      <c r="V191" s="9">
        <f t="shared" ca="1" si="101"/>
        <v>8.4627408333333349</v>
      </c>
      <c r="W191">
        <f t="shared" si="94"/>
        <v>10.224259375000003</v>
      </c>
      <c r="X191" s="10">
        <f>U191*11+U200*12</f>
        <v>61.137769550000009</v>
      </c>
    </row>
    <row r="192" spans="1:25" x14ac:dyDescent="0.25">
      <c r="A192" s="3" t="str">
        <f>'Модель v2 базовая'!AL98</f>
        <v>Копье</v>
      </c>
      <c r="B192">
        <f>'Модель v2 базовая'!AU98</f>
        <v>4.2801880000000008</v>
      </c>
      <c r="C192">
        <v>11</v>
      </c>
      <c r="D192">
        <f t="shared" si="92"/>
        <v>14</v>
      </c>
      <c r="E192" t="str">
        <f t="shared" si="95"/>
        <v>$N$11</v>
      </c>
      <c r="F192">
        <f t="shared" ca="1" si="96"/>
        <v>880</v>
      </c>
      <c r="G192">
        <f t="shared" ca="1" si="93"/>
        <v>2.75</v>
      </c>
      <c r="H192">
        <f>'Модель v2 базовая'!$G$86</f>
        <v>1500</v>
      </c>
      <c r="I192">
        <f t="shared" ca="1" si="97"/>
        <v>137.5</v>
      </c>
      <c r="J192">
        <v>500</v>
      </c>
      <c r="K192">
        <f>'Модель v2 базовая'!$E$86</f>
        <v>4.166666666666667</v>
      </c>
      <c r="L192">
        <v>1</v>
      </c>
      <c r="M192">
        <f t="shared" si="68"/>
        <v>0</v>
      </c>
      <c r="N192">
        <f t="shared" ca="1" si="98"/>
        <v>4421.854666666668</v>
      </c>
      <c r="O192">
        <f t="shared" ca="1" si="99"/>
        <v>8.8437093333333365</v>
      </c>
      <c r="T192" s="3" t="s">
        <v>90</v>
      </c>
      <c r="U192" s="9">
        <f t="shared" si="100"/>
        <v>4.2801880000000008</v>
      </c>
      <c r="V192" s="9">
        <f t="shared" ca="1" si="101"/>
        <v>8.8437093333333365</v>
      </c>
      <c r="W192">
        <f t="shared" si="94"/>
        <v>10.700470000000003</v>
      </c>
      <c r="X192" s="10"/>
    </row>
    <row r="193" spans="1:24" x14ac:dyDescent="0.25">
      <c r="A193" s="3" t="str">
        <f>'Модель v2 базовая'!AL99</f>
        <v>Легкий молот</v>
      </c>
      <c r="B193">
        <f>'Модель v2 базовая'!AU99</f>
        <v>4.8324842499999994</v>
      </c>
      <c r="C193">
        <v>11</v>
      </c>
      <c r="D193">
        <f t="shared" si="92"/>
        <v>14</v>
      </c>
      <c r="E193" t="str">
        <f t="shared" si="95"/>
        <v>$N$11</v>
      </c>
      <c r="F193">
        <f t="shared" ca="1" si="96"/>
        <v>880</v>
      </c>
      <c r="G193">
        <f t="shared" ca="1" si="93"/>
        <v>2.75</v>
      </c>
      <c r="H193">
        <f>'Модель v2 базовая'!$G$86</f>
        <v>1500</v>
      </c>
      <c r="I193">
        <f t="shared" ca="1" si="97"/>
        <v>137.5</v>
      </c>
      <c r="J193">
        <v>500</v>
      </c>
      <c r="K193">
        <f>'Модель v2 базовая'!$E$86</f>
        <v>4.166666666666667</v>
      </c>
      <c r="L193">
        <v>1</v>
      </c>
      <c r="M193">
        <f t="shared" si="68"/>
        <v>0</v>
      </c>
      <c r="N193">
        <f t="shared" ca="1" si="98"/>
        <v>4974.1509166666665</v>
      </c>
      <c r="O193">
        <f t="shared" ca="1" si="99"/>
        <v>9.9483018333333337</v>
      </c>
      <c r="T193" s="3" t="s">
        <v>91</v>
      </c>
      <c r="U193" s="9">
        <f t="shared" si="100"/>
        <v>4.8324842499999994</v>
      </c>
      <c r="V193" s="9">
        <f t="shared" ca="1" si="101"/>
        <v>9.9483018333333337</v>
      </c>
      <c r="W193">
        <f t="shared" si="94"/>
        <v>12.081210624999999</v>
      </c>
      <c r="X193" s="10"/>
    </row>
    <row r="194" spans="1:24" x14ac:dyDescent="0.25">
      <c r="A194" s="3" t="str">
        <f>'Модель v2 базовая'!AL100</f>
        <v>Метательное копье</v>
      </c>
      <c r="B194">
        <f>'Модель v2 базовая'!AU100</f>
        <v>2.2623342500000003</v>
      </c>
      <c r="C194">
        <v>11</v>
      </c>
      <c r="D194">
        <f t="shared" si="92"/>
        <v>14</v>
      </c>
      <c r="E194" t="str">
        <f t="shared" si="95"/>
        <v>$N$11</v>
      </c>
      <c r="F194">
        <f t="shared" ca="1" si="96"/>
        <v>880</v>
      </c>
      <c r="G194">
        <f t="shared" ca="1" si="93"/>
        <v>2.75</v>
      </c>
      <c r="H194">
        <f>'Модель v2 базовая'!$G$86</f>
        <v>1500</v>
      </c>
      <c r="I194">
        <f t="shared" ca="1" si="97"/>
        <v>137.5</v>
      </c>
      <c r="J194">
        <v>500</v>
      </c>
      <c r="K194">
        <f>'Модель v2 базовая'!$E$86</f>
        <v>4.166666666666667</v>
      </c>
      <c r="L194">
        <v>1</v>
      </c>
      <c r="M194">
        <f t="shared" si="68"/>
        <v>0</v>
      </c>
      <c r="N194">
        <f t="shared" ca="1" si="98"/>
        <v>2404.0009166666669</v>
      </c>
      <c r="O194">
        <f t="shared" ca="1" si="99"/>
        <v>4.8080018333333339</v>
      </c>
      <c r="T194" s="3" t="s">
        <v>92</v>
      </c>
      <c r="U194" s="9">
        <f t="shared" si="100"/>
        <v>2.2623342500000003</v>
      </c>
      <c r="V194" s="9">
        <f t="shared" ca="1" si="101"/>
        <v>4.8080018333333339</v>
      </c>
      <c r="W194">
        <f t="shared" si="94"/>
        <v>5.6558356250000008</v>
      </c>
      <c r="X194" s="10"/>
    </row>
    <row r="195" spans="1:24" x14ac:dyDescent="0.25">
      <c r="A195" s="3" t="str">
        <f>'Модель v2 базовая'!AL101</f>
        <v>Палица</v>
      </c>
      <c r="B195">
        <f>'Модель v2 базовая'!AU101</f>
        <v>8.7851445000000012</v>
      </c>
      <c r="C195">
        <v>11</v>
      </c>
      <c r="D195">
        <f t="shared" si="92"/>
        <v>14</v>
      </c>
      <c r="E195" t="str">
        <f t="shared" si="95"/>
        <v>$N$11</v>
      </c>
      <c r="F195">
        <f t="shared" ca="1" si="96"/>
        <v>880</v>
      </c>
      <c r="G195">
        <f t="shared" ca="1" si="93"/>
        <v>2.75</v>
      </c>
      <c r="H195">
        <f>'Модель v2 базовая'!$G$86</f>
        <v>1500</v>
      </c>
      <c r="I195">
        <f t="shared" ca="1" si="97"/>
        <v>137.5</v>
      </c>
      <c r="J195">
        <v>500</v>
      </c>
      <c r="K195">
        <f>'Модель v2 базовая'!$E$86</f>
        <v>4.166666666666667</v>
      </c>
      <c r="L195">
        <v>1</v>
      </c>
      <c r="M195">
        <f t="shared" si="68"/>
        <v>0</v>
      </c>
      <c r="N195">
        <f t="shared" ca="1" si="98"/>
        <v>8926.8111666666682</v>
      </c>
      <c r="O195">
        <f t="shared" ca="1" si="99"/>
        <v>17.853622333333337</v>
      </c>
      <c r="T195" s="3" t="s">
        <v>93</v>
      </c>
      <c r="U195" s="9">
        <f t="shared" si="100"/>
        <v>8.7851445000000012</v>
      </c>
      <c r="V195" s="9">
        <f t="shared" ca="1" si="101"/>
        <v>17.853622333333337</v>
      </c>
      <c r="W195">
        <f t="shared" si="94"/>
        <v>21.962861250000003</v>
      </c>
      <c r="X195" s="10"/>
    </row>
    <row r="196" spans="1:24" x14ac:dyDescent="0.25">
      <c r="A196" s="3" t="str">
        <f>'Модель v2 базовая'!AL102</f>
        <v>Ручной топор</v>
      </c>
      <c r="B196">
        <f>'Модель v2 базовая'!AU102</f>
        <v>62.56220109363813</v>
      </c>
      <c r="C196">
        <v>11</v>
      </c>
      <c r="D196">
        <f t="shared" si="92"/>
        <v>14</v>
      </c>
      <c r="E196" t="str">
        <f t="shared" si="95"/>
        <v>$N$11</v>
      </c>
      <c r="F196">
        <f t="shared" ca="1" si="96"/>
        <v>880</v>
      </c>
      <c r="G196">
        <f t="shared" ca="1" si="93"/>
        <v>2.75</v>
      </c>
      <c r="H196">
        <f>'Модель v2 базовая'!$G$86</f>
        <v>1500</v>
      </c>
      <c r="I196">
        <f t="shared" ca="1" si="97"/>
        <v>137.5</v>
      </c>
      <c r="J196">
        <v>500</v>
      </c>
      <c r="K196">
        <f>'Модель v2 базовая'!$E$86</f>
        <v>4.166666666666667</v>
      </c>
      <c r="L196">
        <v>1</v>
      </c>
      <c r="M196">
        <f t="shared" si="68"/>
        <v>0</v>
      </c>
      <c r="N196">
        <f t="shared" ca="1" si="98"/>
        <v>62703.867760304791</v>
      </c>
      <c r="O196">
        <f t="shared" ca="1" si="99"/>
        <v>125.40773552060958</v>
      </c>
      <c r="T196" s="3" t="s">
        <v>94</v>
      </c>
      <c r="U196" s="9">
        <f t="shared" si="100"/>
        <v>62.56220109363813</v>
      </c>
      <c r="V196" s="9">
        <f t="shared" ca="1" si="101"/>
        <v>125.40773552060958</v>
      </c>
      <c r="W196">
        <f t="shared" si="94"/>
        <v>156.40550273409534</v>
      </c>
      <c r="X196" s="10"/>
    </row>
    <row r="197" spans="1:24" x14ac:dyDescent="0.25">
      <c r="A197" s="3" t="str">
        <f>'Модель v2 базовая'!AL103</f>
        <v>Серп</v>
      </c>
      <c r="B197">
        <f>'Модель v2 базовая'!AU103</f>
        <v>79.699817270679773</v>
      </c>
      <c r="C197">
        <v>11</v>
      </c>
      <c r="D197">
        <f t="shared" si="92"/>
        <v>14</v>
      </c>
      <c r="E197" t="str">
        <f t="shared" si="95"/>
        <v>$N$11</v>
      </c>
      <c r="F197">
        <f t="shared" ca="1" si="96"/>
        <v>880</v>
      </c>
      <c r="G197">
        <f t="shared" ca="1" si="93"/>
        <v>2.75</v>
      </c>
      <c r="H197">
        <f>'Модель v2 базовая'!$G$86</f>
        <v>1500</v>
      </c>
      <c r="I197">
        <f t="shared" ca="1" si="97"/>
        <v>137.5</v>
      </c>
      <c r="J197">
        <v>500</v>
      </c>
      <c r="K197">
        <f>'Модель v2 базовая'!$E$86</f>
        <v>4.166666666666667</v>
      </c>
      <c r="L197">
        <v>1</v>
      </c>
      <c r="M197">
        <f t="shared" si="68"/>
        <v>0</v>
      </c>
      <c r="N197">
        <f t="shared" ca="1" si="98"/>
        <v>79841.483937346449</v>
      </c>
      <c r="O197">
        <f t="shared" ca="1" si="99"/>
        <v>159.68296787469291</v>
      </c>
      <c r="T197" s="3" t="s">
        <v>95</v>
      </c>
      <c r="U197" s="9">
        <f t="shared" si="100"/>
        <v>79.699817270679773</v>
      </c>
      <c r="V197" s="9">
        <f t="shared" ca="1" si="101"/>
        <v>159.68296787469291</v>
      </c>
      <c r="W197">
        <f t="shared" si="94"/>
        <v>199.24954317669943</v>
      </c>
      <c r="X197" s="10"/>
    </row>
    <row r="198" spans="1:24" x14ac:dyDescent="0.25">
      <c r="A198" s="3" t="str">
        <f>'Модель v2 базовая'!AL104</f>
        <v>Арбалет, легкий</v>
      </c>
      <c r="B198">
        <f>'Модель v2 базовая'!AU104</f>
        <v>36.094572250000006</v>
      </c>
      <c r="C198">
        <v>11</v>
      </c>
      <c r="D198">
        <f t="shared" si="92"/>
        <v>14</v>
      </c>
      <c r="E198" t="str">
        <f t="shared" si="95"/>
        <v>$N$11</v>
      </c>
      <c r="F198">
        <f t="shared" ca="1" si="96"/>
        <v>880</v>
      </c>
      <c r="G198">
        <f t="shared" ca="1" si="93"/>
        <v>2.75</v>
      </c>
      <c r="H198">
        <f>'Модель v2 базовая'!$G$86</f>
        <v>1500</v>
      </c>
      <c r="I198">
        <f t="shared" ca="1" si="97"/>
        <v>137.5</v>
      </c>
      <c r="J198">
        <v>500</v>
      </c>
      <c r="K198">
        <f>'Модель v2 базовая'!$E$86</f>
        <v>4.166666666666667</v>
      </c>
      <c r="L198">
        <v>1</v>
      </c>
      <c r="M198">
        <f t="shared" si="68"/>
        <v>0</v>
      </c>
      <c r="N198">
        <f t="shared" ca="1" si="98"/>
        <v>36236.238916666669</v>
      </c>
      <c r="O198">
        <f t="shared" ca="1" si="99"/>
        <v>72.472477833333343</v>
      </c>
      <c r="T198" s="3" t="s">
        <v>118</v>
      </c>
      <c r="U198" s="9">
        <f t="shared" si="100"/>
        <v>36.094572250000006</v>
      </c>
      <c r="V198" s="9">
        <f t="shared" ca="1" si="101"/>
        <v>72.472477833333343</v>
      </c>
      <c r="W198">
        <f t="shared" si="94"/>
        <v>90.236430625000011</v>
      </c>
      <c r="X198" s="10"/>
    </row>
    <row r="199" spans="1:24" x14ac:dyDescent="0.25">
      <c r="A199" s="3" t="str">
        <f>'Модель v2 базовая'!AL105</f>
        <v>Дротик</v>
      </c>
      <c r="B199">
        <f>'Модель v2 базовая'!AU105</f>
        <v>0.40717702499999997</v>
      </c>
      <c r="C199">
        <v>11</v>
      </c>
      <c r="D199">
        <f t="shared" si="92"/>
        <v>14</v>
      </c>
      <c r="E199" t="str">
        <f t="shared" si="95"/>
        <v>$N$11</v>
      </c>
      <c r="F199">
        <f t="shared" ca="1" si="96"/>
        <v>880</v>
      </c>
      <c r="G199">
        <f t="shared" ca="1" si="93"/>
        <v>2.75</v>
      </c>
      <c r="H199">
        <f>'Модель v2 базовая'!$G$86</f>
        <v>1500</v>
      </c>
      <c r="I199">
        <f t="shared" ca="1" si="97"/>
        <v>137.5</v>
      </c>
      <c r="J199">
        <v>500</v>
      </c>
      <c r="K199">
        <f>'Модель v2 базовая'!$E$86</f>
        <v>4.166666666666667</v>
      </c>
      <c r="L199">
        <v>1</v>
      </c>
      <c r="M199">
        <f t="shared" si="68"/>
        <v>0</v>
      </c>
      <c r="N199">
        <f t="shared" ca="1" si="98"/>
        <v>548.84369166666659</v>
      </c>
      <c r="O199">
        <f t="shared" ca="1" si="99"/>
        <v>1.0976873833333332</v>
      </c>
      <c r="T199" s="3" t="s">
        <v>96</v>
      </c>
      <c r="U199" s="9">
        <f t="shared" si="100"/>
        <v>0.40717702499999997</v>
      </c>
      <c r="V199" s="9">
        <f t="shared" ca="1" si="101"/>
        <v>1.0976873833333332</v>
      </c>
      <c r="W199">
        <f t="shared" si="94"/>
        <v>1.0179425625</v>
      </c>
      <c r="X199" s="10"/>
    </row>
    <row r="200" spans="1:24" x14ac:dyDescent="0.25">
      <c r="A200" s="3" t="str">
        <f>'Модель v2 базовая'!AL106</f>
        <v>Короткий лук</v>
      </c>
      <c r="B200">
        <f>'Модель v2 базовая'!AU106</f>
        <v>1.3459190249999999</v>
      </c>
      <c r="C200">
        <v>11</v>
      </c>
      <c r="D200">
        <f t="shared" si="92"/>
        <v>14</v>
      </c>
      <c r="E200" t="str">
        <f t="shared" si="95"/>
        <v>$N$11</v>
      </c>
      <c r="F200">
        <f t="shared" ca="1" si="96"/>
        <v>880</v>
      </c>
      <c r="G200">
        <f t="shared" ca="1" si="93"/>
        <v>2.75</v>
      </c>
      <c r="H200">
        <f>'Модель v2 базовая'!$G$86</f>
        <v>1500</v>
      </c>
      <c r="I200">
        <f t="shared" ca="1" si="97"/>
        <v>137.5</v>
      </c>
      <c r="J200">
        <v>500</v>
      </c>
      <c r="K200">
        <f>'Модель v2 базовая'!$E$86</f>
        <v>4.166666666666667</v>
      </c>
      <c r="L200">
        <v>1</v>
      </c>
      <c r="M200">
        <f t="shared" si="68"/>
        <v>0</v>
      </c>
      <c r="N200">
        <f t="shared" ca="1" si="98"/>
        <v>1487.5856916666667</v>
      </c>
      <c r="O200">
        <f t="shared" ca="1" si="99"/>
        <v>2.9751713833333335</v>
      </c>
      <c r="T200" s="3" t="s">
        <v>97</v>
      </c>
      <c r="U200" s="9">
        <f t="shared" si="100"/>
        <v>1.3459190249999999</v>
      </c>
      <c r="V200" s="9">
        <f t="shared" ca="1" si="101"/>
        <v>2.9751713833333335</v>
      </c>
      <c r="W200">
        <f t="shared" si="94"/>
        <v>3.3647975624999997</v>
      </c>
      <c r="X200" s="10"/>
    </row>
    <row r="201" spans="1:24" x14ac:dyDescent="0.25">
      <c r="A201" s="3" t="str">
        <f>'Модель v2 базовая'!AL107</f>
        <v>Праща</v>
      </c>
      <c r="B201">
        <f>'Модель v2 базовая'!AU107</f>
        <v>0.43481481000000005</v>
      </c>
      <c r="C201">
        <v>11</v>
      </c>
      <c r="D201">
        <f t="shared" si="92"/>
        <v>14</v>
      </c>
      <c r="E201" t="str">
        <f t="shared" si="95"/>
        <v>$N$11</v>
      </c>
      <c r="F201">
        <f t="shared" ca="1" si="96"/>
        <v>880</v>
      </c>
      <c r="G201">
        <f t="shared" ca="1" si="93"/>
        <v>2.75</v>
      </c>
      <c r="H201">
        <f>'Модель v2 базовая'!$G$86</f>
        <v>1500</v>
      </c>
      <c r="I201">
        <f t="shared" ca="1" si="97"/>
        <v>137.5</v>
      </c>
      <c r="J201">
        <v>500</v>
      </c>
      <c r="K201">
        <f>'Модель v2 базовая'!$E$86</f>
        <v>4.166666666666667</v>
      </c>
      <c r="L201">
        <v>1</v>
      </c>
      <c r="M201">
        <f t="shared" si="68"/>
        <v>0</v>
      </c>
      <c r="N201">
        <f t="shared" ca="1" si="98"/>
        <v>576.48147666666671</v>
      </c>
      <c r="O201">
        <f t="shared" ca="1" si="99"/>
        <v>1.1529629533333334</v>
      </c>
      <c r="T201" s="3" t="s">
        <v>98</v>
      </c>
      <c r="U201" s="9">
        <f t="shared" si="100"/>
        <v>0.43481481000000005</v>
      </c>
      <c r="V201" s="9">
        <f t="shared" ca="1" si="101"/>
        <v>1.1529629533333334</v>
      </c>
      <c r="W201">
        <f t="shared" si="94"/>
        <v>1.0870370250000001</v>
      </c>
      <c r="X201" s="10"/>
    </row>
    <row r="202" spans="1:24" x14ac:dyDescent="0.25">
      <c r="A202" s="3" t="str">
        <f>'Модель v2 базовая'!AL108</f>
        <v>Алебарда</v>
      </c>
      <c r="B202">
        <f>'Модель v2 базовая'!AU108</f>
        <v>64.350372343690779</v>
      </c>
      <c r="C202">
        <v>12</v>
      </c>
      <c r="D202">
        <f t="shared" si="92"/>
        <v>14</v>
      </c>
      <c r="E202" t="str">
        <f t="shared" si="95"/>
        <v>$N$12</v>
      </c>
      <c r="F202">
        <f t="shared" ca="1" si="96"/>
        <v>400</v>
      </c>
      <c r="G202">
        <f t="shared" ca="1" si="93"/>
        <v>1.25</v>
      </c>
      <c r="H202">
        <f>'Модель v2 базовая'!$G$85</f>
        <v>1000</v>
      </c>
      <c r="I202">
        <f t="shared" ca="1" si="97"/>
        <v>41.666666666666671</v>
      </c>
      <c r="J202">
        <v>500</v>
      </c>
      <c r="K202">
        <f>'Модель v2 базовая'!$E$86</f>
        <v>4.166666666666667</v>
      </c>
      <c r="L202">
        <v>2</v>
      </c>
      <c r="M202">
        <f t="shared" si="68"/>
        <v>0</v>
      </c>
      <c r="N202">
        <f t="shared" ca="1" si="98"/>
        <v>96571.39184886952</v>
      </c>
      <c r="O202">
        <f t="shared" ca="1" si="99"/>
        <v>193.14278369773905</v>
      </c>
      <c r="T202" s="3" t="s">
        <v>99</v>
      </c>
      <c r="U202" s="9">
        <f t="shared" si="100"/>
        <v>64.350372343690779</v>
      </c>
      <c r="V202" s="9">
        <f t="shared" ca="1" si="101"/>
        <v>193.14278369773905</v>
      </c>
      <c r="W202">
        <f t="shared" si="94"/>
        <v>160.87593085922694</v>
      </c>
      <c r="X202" s="10"/>
    </row>
    <row r="203" spans="1:24" x14ac:dyDescent="0.25">
      <c r="A203" s="3" t="str">
        <f>'Модель v2 базовая'!AL109</f>
        <v>Боевая кирка</v>
      </c>
      <c r="B203">
        <f>'Модель v2 базовая'!AU109</f>
        <v>99.927262239449519</v>
      </c>
      <c r="C203">
        <v>12</v>
      </c>
      <c r="D203">
        <f t="shared" si="92"/>
        <v>14</v>
      </c>
      <c r="E203" t="str">
        <f t="shared" si="95"/>
        <v>$N$12</v>
      </c>
      <c r="F203">
        <f t="shared" ca="1" si="96"/>
        <v>400</v>
      </c>
      <c r="G203">
        <f t="shared" ca="1" si="93"/>
        <v>1.25</v>
      </c>
      <c r="H203">
        <f>'Модель v2 базовая'!$G$85</f>
        <v>1000</v>
      </c>
      <c r="I203">
        <f t="shared" ca="1" si="97"/>
        <v>41.666666666666671</v>
      </c>
      <c r="J203">
        <v>500</v>
      </c>
      <c r="K203">
        <f>'Модель v2 базовая'!$E$86</f>
        <v>4.166666666666667</v>
      </c>
      <c r="L203">
        <v>2</v>
      </c>
      <c r="M203">
        <f t="shared" si="68"/>
        <v>0</v>
      </c>
      <c r="N203">
        <f t="shared" ca="1" si="98"/>
        <v>149936.72669250757</v>
      </c>
      <c r="O203">
        <f t="shared" ca="1" si="99"/>
        <v>299.87345338501513</v>
      </c>
      <c r="T203" s="3" t="s">
        <v>100</v>
      </c>
      <c r="U203" s="9">
        <f t="shared" si="100"/>
        <v>99.927262239449519</v>
      </c>
      <c r="V203" s="9">
        <f t="shared" ca="1" si="101"/>
        <v>299.87345338501513</v>
      </c>
      <c r="W203">
        <f t="shared" si="94"/>
        <v>249.8181555986238</v>
      </c>
      <c r="X203" s="10"/>
    </row>
    <row r="204" spans="1:24" x14ac:dyDescent="0.25">
      <c r="A204" s="3" t="str">
        <f>'Модель v2 базовая'!AL110</f>
        <v>Боевой молот</v>
      </c>
      <c r="B204">
        <f>'Модель v2 базовая'!AU110</f>
        <v>99.927262239449519</v>
      </c>
      <c r="C204">
        <v>12</v>
      </c>
      <c r="D204">
        <f t="shared" si="92"/>
        <v>14</v>
      </c>
      <c r="E204" t="str">
        <f t="shared" si="95"/>
        <v>$N$12</v>
      </c>
      <c r="F204">
        <f t="shared" ca="1" si="96"/>
        <v>400</v>
      </c>
      <c r="G204">
        <f t="shared" ca="1" si="93"/>
        <v>1.25</v>
      </c>
      <c r="H204">
        <f>'Модель v2 базовая'!$G$85</f>
        <v>1000</v>
      </c>
      <c r="I204">
        <f t="shared" ca="1" si="97"/>
        <v>41.666666666666671</v>
      </c>
      <c r="J204">
        <v>500</v>
      </c>
      <c r="K204">
        <f>'Модель v2 базовая'!$E$86</f>
        <v>4.166666666666667</v>
      </c>
      <c r="L204">
        <v>2</v>
      </c>
      <c r="M204">
        <f t="shared" si="68"/>
        <v>0</v>
      </c>
      <c r="N204">
        <f t="shared" ca="1" si="98"/>
        <v>149936.72669250757</v>
      </c>
      <c r="O204">
        <f t="shared" ca="1" si="99"/>
        <v>299.87345338501513</v>
      </c>
      <c r="T204" s="3" t="s">
        <v>101</v>
      </c>
      <c r="U204" s="9">
        <f t="shared" si="100"/>
        <v>99.927262239449519</v>
      </c>
      <c r="V204" s="9">
        <f t="shared" ca="1" si="101"/>
        <v>299.87345338501513</v>
      </c>
      <c r="W204">
        <f t="shared" si="94"/>
        <v>249.8181555986238</v>
      </c>
      <c r="X204" s="10"/>
    </row>
    <row r="205" spans="1:24" x14ac:dyDescent="0.25">
      <c r="A205" s="3" t="str">
        <f>'Модель v2 базовая'!AL111</f>
        <v>Боевой топор</v>
      </c>
      <c r="B205">
        <f>'Модель v2 базовая'!AU111</f>
        <v>87.865694979056997</v>
      </c>
      <c r="C205">
        <v>12</v>
      </c>
      <c r="D205">
        <f t="shared" si="92"/>
        <v>14</v>
      </c>
      <c r="E205" t="str">
        <f t="shared" si="95"/>
        <v>$N$12</v>
      </c>
      <c r="F205">
        <f t="shared" ca="1" si="96"/>
        <v>400</v>
      </c>
      <c r="G205">
        <f t="shared" ca="1" si="93"/>
        <v>1.25</v>
      </c>
      <c r="H205">
        <f>'Модель v2 базовая'!$G$85</f>
        <v>1000</v>
      </c>
      <c r="I205">
        <f t="shared" ca="1" si="97"/>
        <v>41.666666666666671</v>
      </c>
      <c r="J205">
        <v>500</v>
      </c>
      <c r="K205">
        <f>'Модель v2 базовая'!$E$86</f>
        <v>4.166666666666667</v>
      </c>
      <c r="L205">
        <v>2</v>
      </c>
      <c r="M205">
        <f t="shared" si="68"/>
        <v>0</v>
      </c>
      <c r="N205">
        <f t="shared" ca="1" si="98"/>
        <v>131844.3758019188</v>
      </c>
      <c r="O205">
        <f t="shared" ca="1" si="99"/>
        <v>263.6887516038376</v>
      </c>
      <c r="T205" s="3" t="s">
        <v>102</v>
      </c>
      <c r="U205" s="9">
        <f t="shared" si="100"/>
        <v>87.865694979056997</v>
      </c>
      <c r="V205" s="9">
        <f t="shared" ca="1" si="101"/>
        <v>263.6887516038376</v>
      </c>
      <c r="W205">
        <f t="shared" si="94"/>
        <v>219.66423744764251</v>
      </c>
      <c r="X205" s="10"/>
    </row>
    <row r="206" spans="1:24" x14ac:dyDescent="0.25">
      <c r="A206" s="3" t="str">
        <f>'Модель v2 базовая'!AL112</f>
        <v>Глефа</v>
      </c>
      <c r="B206">
        <f>'Модель v2 базовая'!AU112</f>
        <v>96.030372343690786</v>
      </c>
      <c r="C206">
        <v>12</v>
      </c>
      <c r="D206">
        <f t="shared" si="92"/>
        <v>14</v>
      </c>
      <c r="E206" t="str">
        <f t="shared" si="95"/>
        <v>$N$12</v>
      </c>
      <c r="F206">
        <f t="shared" ca="1" si="96"/>
        <v>400</v>
      </c>
      <c r="G206">
        <f t="shared" ca="1" si="93"/>
        <v>1.25</v>
      </c>
      <c r="H206">
        <f>'Модель v2 базовая'!$G$85</f>
        <v>1000</v>
      </c>
      <c r="I206">
        <f t="shared" ca="1" si="97"/>
        <v>41.666666666666671</v>
      </c>
      <c r="J206">
        <v>500</v>
      </c>
      <c r="K206">
        <f>'Модель v2 базовая'!$E$86</f>
        <v>4.166666666666667</v>
      </c>
      <c r="L206">
        <v>2</v>
      </c>
      <c r="M206">
        <f t="shared" si="68"/>
        <v>0</v>
      </c>
      <c r="N206">
        <f t="shared" ca="1" si="98"/>
        <v>144091.39184886951</v>
      </c>
      <c r="O206">
        <f t="shared" ca="1" si="99"/>
        <v>288.18278369773901</v>
      </c>
      <c r="T206" s="3" t="s">
        <v>103</v>
      </c>
      <c r="U206" s="9">
        <f t="shared" si="100"/>
        <v>96.030372343690786</v>
      </c>
      <c r="V206" s="9">
        <f t="shared" ca="1" si="101"/>
        <v>288.18278369773901</v>
      </c>
      <c r="W206">
        <f t="shared" si="94"/>
        <v>240.07593085922696</v>
      </c>
      <c r="X206" s="10"/>
    </row>
    <row r="207" spans="1:24" x14ac:dyDescent="0.25">
      <c r="A207" s="3" t="str">
        <f>'Модель v2 базовая'!AL113</f>
        <v>Двуручный меч</v>
      </c>
      <c r="B207">
        <f>'Модель v2 базовая'!AU113</f>
        <v>333.55829916607001</v>
      </c>
      <c r="C207">
        <v>12</v>
      </c>
      <c r="D207">
        <f t="shared" si="92"/>
        <v>14</v>
      </c>
      <c r="E207" t="str">
        <f t="shared" si="95"/>
        <v>$N$12</v>
      </c>
      <c r="F207">
        <f t="shared" ca="1" si="96"/>
        <v>400</v>
      </c>
      <c r="G207">
        <f t="shared" ca="1" si="93"/>
        <v>1.25</v>
      </c>
      <c r="H207">
        <f>'Модель v2 базовая'!$G$85</f>
        <v>1000</v>
      </c>
      <c r="I207">
        <f t="shared" ca="1" si="97"/>
        <v>41.666666666666671</v>
      </c>
      <c r="J207">
        <v>500</v>
      </c>
      <c r="K207">
        <f>'Модель v2 базовая'!$E$86</f>
        <v>4.166666666666667</v>
      </c>
      <c r="L207">
        <v>2</v>
      </c>
      <c r="M207">
        <f t="shared" si="68"/>
        <v>0</v>
      </c>
      <c r="N207">
        <f t="shared" ca="1" si="98"/>
        <v>500383.28208243835</v>
      </c>
      <c r="O207">
        <f t="shared" ca="1" si="99"/>
        <v>1000.7665641648767</v>
      </c>
      <c r="T207" s="3" t="s">
        <v>104</v>
      </c>
      <c r="U207" s="9">
        <f t="shared" si="100"/>
        <v>333.55829916607001</v>
      </c>
      <c r="V207" s="9">
        <f t="shared" ca="1" si="101"/>
        <v>1000.7665641648767</v>
      </c>
      <c r="W207">
        <f t="shared" si="94"/>
        <v>833.89574791517498</v>
      </c>
      <c r="X207" s="10"/>
    </row>
    <row r="208" spans="1:24" x14ac:dyDescent="0.25">
      <c r="A208" s="3" t="str">
        <f>'Модель v2 базовая'!AL114</f>
        <v>Длинное копье</v>
      </c>
      <c r="B208">
        <f>'Модель v2 базовая'!AU114</f>
        <v>33.031770520785074</v>
      </c>
      <c r="C208">
        <v>12</v>
      </c>
      <c r="D208">
        <f t="shared" si="92"/>
        <v>14</v>
      </c>
      <c r="E208" t="str">
        <f t="shared" si="95"/>
        <v>$N$12</v>
      </c>
      <c r="F208">
        <f t="shared" ca="1" si="96"/>
        <v>400</v>
      </c>
      <c r="G208">
        <f t="shared" ca="1" si="93"/>
        <v>1.25</v>
      </c>
      <c r="H208">
        <f>'Модель v2 базовая'!$G$85</f>
        <v>1000</v>
      </c>
      <c r="I208">
        <f t="shared" ca="1" si="97"/>
        <v>41.666666666666671</v>
      </c>
      <c r="J208">
        <v>500</v>
      </c>
      <c r="K208">
        <f>'Модель v2 базовая'!$E$86</f>
        <v>4.166666666666667</v>
      </c>
      <c r="L208">
        <v>2</v>
      </c>
      <c r="M208">
        <f t="shared" si="68"/>
        <v>0</v>
      </c>
      <c r="N208">
        <f t="shared" ca="1" si="98"/>
        <v>49593.489114510943</v>
      </c>
      <c r="O208">
        <f t="shared" ca="1" si="99"/>
        <v>99.186978229021889</v>
      </c>
      <c r="T208" s="3" t="s">
        <v>105</v>
      </c>
      <c r="U208" s="9">
        <f t="shared" si="100"/>
        <v>33.031770520785074</v>
      </c>
      <c r="V208" s="9">
        <f t="shared" ca="1" si="101"/>
        <v>99.186978229021889</v>
      </c>
      <c r="W208">
        <f t="shared" si="94"/>
        <v>82.579426301962684</v>
      </c>
      <c r="X208" s="10"/>
    </row>
    <row r="209" spans="1:24" x14ac:dyDescent="0.25">
      <c r="A209" s="3" t="str">
        <f>'Модель v2 базовая'!AL115</f>
        <v>Длинный меч</v>
      </c>
      <c r="B209">
        <f>'Модель v2 базовая'!AU115</f>
        <v>176.39314958303498</v>
      </c>
      <c r="C209">
        <v>12</v>
      </c>
      <c r="D209">
        <f t="shared" si="92"/>
        <v>14</v>
      </c>
      <c r="E209" t="str">
        <f t="shared" si="95"/>
        <v>$N$12</v>
      </c>
      <c r="F209">
        <f t="shared" ca="1" si="96"/>
        <v>400</v>
      </c>
      <c r="G209">
        <f t="shared" ca="1" si="93"/>
        <v>1.25</v>
      </c>
      <c r="H209">
        <f>'Модель v2 базовая'!$G$85</f>
        <v>1000</v>
      </c>
      <c r="I209">
        <f t="shared" ca="1" si="97"/>
        <v>41.666666666666671</v>
      </c>
      <c r="J209">
        <v>500</v>
      </c>
      <c r="K209">
        <f>'Модель v2 базовая'!$E$86</f>
        <v>4.166666666666667</v>
      </c>
      <c r="L209">
        <v>2</v>
      </c>
      <c r="M209">
        <f t="shared" si="68"/>
        <v>0</v>
      </c>
      <c r="N209">
        <f t="shared" ca="1" si="98"/>
        <v>264635.55770788586</v>
      </c>
      <c r="O209">
        <f t="shared" ca="1" si="99"/>
        <v>529.27111541577176</v>
      </c>
      <c r="T209" s="3" t="s">
        <v>106</v>
      </c>
      <c r="U209" s="9">
        <f t="shared" si="100"/>
        <v>176.39314958303498</v>
      </c>
      <c r="V209" s="9">
        <f t="shared" ca="1" si="101"/>
        <v>529.27111541577176</v>
      </c>
      <c r="W209">
        <f t="shared" si="94"/>
        <v>440.98287395758746</v>
      </c>
      <c r="X209" s="10"/>
    </row>
    <row r="210" spans="1:24" x14ac:dyDescent="0.25">
      <c r="A210" s="3" t="str">
        <f>'Модель v2 базовая'!AL116</f>
        <v>Кнут</v>
      </c>
      <c r="B210">
        <f>'Модель v2 базовая'!AU116</f>
        <v>3.7268490000000001</v>
      </c>
      <c r="C210">
        <v>12</v>
      </c>
      <c r="D210">
        <f t="shared" si="92"/>
        <v>14</v>
      </c>
      <c r="E210" t="str">
        <f t="shared" si="95"/>
        <v>$N$12</v>
      </c>
      <c r="F210">
        <f t="shared" ca="1" si="96"/>
        <v>400</v>
      </c>
      <c r="G210">
        <f t="shared" ca="1" si="93"/>
        <v>1.25</v>
      </c>
      <c r="H210">
        <f>'Модель v2 базовая'!$G$85</f>
        <v>1000</v>
      </c>
      <c r="I210">
        <f t="shared" ca="1" si="97"/>
        <v>41.666666666666671</v>
      </c>
      <c r="J210">
        <v>500</v>
      </c>
      <c r="K210">
        <f>'Модель v2 базовая'!$E$86</f>
        <v>4.166666666666667</v>
      </c>
      <c r="L210">
        <v>2</v>
      </c>
      <c r="M210">
        <f t="shared" si="68"/>
        <v>0</v>
      </c>
      <c r="N210">
        <f t="shared" ca="1" si="98"/>
        <v>5636.1068333333342</v>
      </c>
      <c r="O210">
        <f t="shared" ca="1" si="99"/>
        <v>11.272213666666669</v>
      </c>
      <c r="T210" s="3" t="s">
        <v>107</v>
      </c>
      <c r="U210" s="9">
        <f t="shared" si="100"/>
        <v>3.7268490000000001</v>
      </c>
      <c r="V210" s="9">
        <f t="shared" ca="1" si="101"/>
        <v>11.272213666666669</v>
      </c>
      <c r="W210">
        <f t="shared" si="94"/>
        <v>9.3171225</v>
      </c>
      <c r="X210" s="10"/>
    </row>
    <row r="211" spans="1:24" x14ac:dyDescent="0.25">
      <c r="A211" s="3" t="str">
        <f>'Модель v2 базовая'!AL117</f>
        <v>Короткий меч</v>
      </c>
      <c r="B211">
        <f>'Модель v2 базовая'!AU117</f>
        <v>118.74244567688373</v>
      </c>
      <c r="C211">
        <v>12</v>
      </c>
      <c r="D211">
        <f t="shared" si="92"/>
        <v>14</v>
      </c>
      <c r="E211" t="str">
        <f t="shared" si="95"/>
        <v>$N$12</v>
      </c>
      <c r="F211">
        <f t="shared" ca="1" si="96"/>
        <v>400</v>
      </c>
      <c r="G211">
        <f t="shared" ca="1" si="93"/>
        <v>1.25</v>
      </c>
      <c r="H211">
        <f>'Модель v2 базовая'!$G$85</f>
        <v>1000</v>
      </c>
      <c r="I211">
        <f t="shared" ca="1" si="97"/>
        <v>41.666666666666671</v>
      </c>
      <c r="J211">
        <v>500</v>
      </c>
      <c r="K211">
        <f>'Модель v2 базовая'!$E$86</f>
        <v>4.166666666666667</v>
      </c>
      <c r="L211">
        <v>2</v>
      </c>
      <c r="M211">
        <f t="shared" si="68"/>
        <v>0</v>
      </c>
      <c r="N211">
        <f t="shared" ca="1" si="98"/>
        <v>178159.5018486589</v>
      </c>
      <c r="O211">
        <f t="shared" ca="1" si="99"/>
        <v>356.31900369731778</v>
      </c>
      <c r="T211" s="3" t="s">
        <v>108</v>
      </c>
      <c r="U211" s="9">
        <f t="shared" si="100"/>
        <v>118.74244567688373</v>
      </c>
      <c r="V211" s="9">
        <f t="shared" ca="1" si="101"/>
        <v>356.31900369731778</v>
      </c>
      <c r="W211">
        <f t="shared" si="94"/>
        <v>296.85611419220936</v>
      </c>
      <c r="X211" s="10"/>
    </row>
    <row r="212" spans="1:24" x14ac:dyDescent="0.25">
      <c r="A212" s="3" t="str">
        <f>'Модель v2 базовая'!AL118</f>
        <v>Молот</v>
      </c>
      <c r="B212">
        <f>'Модель v2 базовая'!AU118</f>
        <v>524.84319051983744</v>
      </c>
      <c r="C212">
        <v>12</v>
      </c>
      <c r="D212">
        <f t="shared" si="92"/>
        <v>14</v>
      </c>
      <c r="E212" t="str">
        <f t="shared" si="95"/>
        <v>$N$12</v>
      </c>
      <c r="F212">
        <f t="shared" ca="1" si="96"/>
        <v>400</v>
      </c>
      <c r="G212">
        <f t="shared" ca="1" si="93"/>
        <v>1.25</v>
      </c>
      <c r="H212">
        <f>'Модель v2 базовая'!$G$85</f>
        <v>1000</v>
      </c>
      <c r="I212">
        <f t="shared" ca="1" si="97"/>
        <v>41.666666666666671</v>
      </c>
      <c r="J212">
        <v>500</v>
      </c>
      <c r="K212">
        <f>'Модель v2 базовая'!$E$86</f>
        <v>4.166666666666667</v>
      </c>
      <c r="L212">
        <v>2</v>
      </c>
      <c r="M212">
        <f t="shared" si="68"/>
        <v>0</v>
      </c>
      <c r="N212">
        <f t="shared" ca="1" si="98"/>
        <v>787310.6191130894</v>
      </c>
      <c r="O212">
        <f t="shared" ca="1" si="99"/>
        <v>1574.6212382261788</v>
      </c>
      <c r="T212" s="3" t="s">
        <v>109</v>
      </c>
      <c r="U212" s="9">
        <f t="shared" si="100"/>
        <v>524.84319051983744</v>
      </c>
      <c r="V212" s="9">
        <f t="shared" ca="1" si="101"/>
        <v>1574.6212382261788</v>
      </c>
      <c r="W212">
        <f t="shared" si="94"/>
        <v>1312.1079762995937</v>
      </c>
      <c r="X212" s="10"/>
    </row>
    <row r="213" spans="1:24" x14ac:dyDescent="0.25">
      <c r="A213" s="3" t="str">
        <f>'Модель v2 базовая'!AL119</f>
        <v>Моргенштерн</v>
      </c>
      <c r="B213">
        <f>'Модель v2 базовая'!AU119</f>
        <v>207.99585348918629</v>
      </c>
      <c r="C213">
        <v>12</v>
      </c>
      <c r="D213">
        <f t="shared" si="92"/>
        <v>14</v>
      </c>
      <c r="E213" t="str">
        <f t="shared" si="95"/>
        <v>$N$12</v>
      </c>
      <c r="F213">
        <f t="shared" ca="1" si="96"/>
        <v>400</v>
      </c>
      <c r="G213">
        <f t="shared" ca="1" si="93"/>
        <v>1.25</v>
      </c>
      <c r="H213">
        <f>'Модель v2 базовая'!$G$85</f>
        <v>1000</v>
      </c>
      <c r="I213">
        <f t="shared" ca="1" si="97"/>
        <v>41.666666666666671</v>
      </c>
      <c r="J213">
        <v>500</v>
      </c>
      <c r="K213">
        <f>'Модель v2 базовая'!$E$86</f>
        <v>4.166666666666667</v>
      </c>
      <c r="L213">
        <v>2</v>
      </c>
      <c r="M213">
        <f t="shared" si="68"/>
        <v>0</v>
      </c>
      <c r="N213">
        <f t="shared" ca="1" si="98"/>
        <v>312039.61356711283</v>
      </c>
      <c r="O213">
        <f t="shared" ca="1" si="99"/>
        <v>624.07922713422568</v>
      </c>
      <c r="T213" s="3" t="s">
        <v>110</v>
      </c>
      <c r="U213" s="9">
        <f t="shared" si="100"/>
        <v>207.99585348918629</v>
      </c>
      <c r="V213" s="9">
        <f t="shared" ca="1" si="101"/>
        <v>624.07922713422568</v>
      </c>
      <c r="W213">
        <f t="shared" si="94"/>
        <v>519.98963372296566</v>
      </c>
      <c r="X213" s="10"/>
    </row>
    <row r="214" spans="1:24" x14ac:dyDescent="0.25">
      <c r="A214" s="3" t="str">
        <f>'Модель v2 базовая'!AL120</f>
        <v>Пика</v>
      </c>
      <c r="B214">
        <f>'Модель v2 базовая'!AU120</f>
        <v>936.87489749821009</v>
      </c>
      <c r="C214">
        <v>12</v>
      </c>
      <c r="D214">
        <f t="shared" si="92"/>
        <v>14</v>
      </c>
      <c r="E214" t="str">
        <f t="shared" ref="E214:E228" si="102" xml:space="preserve"> ADDRESS(C214,D214)</f>
        <v>$N$12</v>
      </c>
      <c r="F214">
        <f t="shared" ref="F214:F228" ca="1" si="103">INDIRECT(E214)</f>
        <v>400</v>
      </c>
      <c r="G214">
        <f t="shared" ca="1" si="93"/>
        <v>1.25</v>
      </c>
      <c r="H214">
        <f>'Модель v2 базовая'!$G$85</f>
        <v>1000</v>
      </c>
      <c r="I214">
        <f t="shared" ref="I214:I228" ca="1" si="104">H214/30*G214</f>
        <v>41.666666666666671</v>
      </c>
      <c r="J214">
        <v>500</v>
      </c>
      <c r="K214">
        <f>'Модель v2 базовая'!$E$86</f>
        <v>4.166666666666667</v>
      </c>
      <c r="L214">
        <v>2</v>
      </c>
      <c r="M214">
        <f t="shared" ref="M214:M277" si="105">IF(OR(AND(D214&gt;9,C214&lt;=9),AND(D214&lt;9,C214&gt;=9)),10,0)</f>
        <v>0</v>
      </c>
      <c r="N214">
        <f t="shared" ref="N214:N228" ca="1" si="106">IF(G214=0, B214*J214, B214*J214+(B214*J214*L214)+I214+K214)</f>
        <v>1405358.1795806487</v>
      </c>
      <c r="O214">
        <f t="shared" ref="O214:O228" ca="1" si="107">N214/J214</f>
        <v>2810.7163591612975</v>
      </c>
      <c r="T214" s="3" t="s">
        <v>111</v>
      </c>
      <c r="U214" s="9">
        <f t="shared" si="100"/>
        <v>936.87489749821009</v>
      </c>
      <c r="V214" s="9">
        <f t="shared" ca="1" si="101"/>
        <v>2810.7163591612975</v>
      </c>
      <c r="W214">
        <f t="shared" si="94"/>
        <v>2342.1872437455254</v>
      </c>
      <c r="X214" s="10"/>
    </row>
    <row r="215" spans="1:24" x14ac:dyDescent="0.25">
      <c r="A215" s="3" t="str">
        <f>'Модель v2 базовая'!AL121</f>
        <v>Рапира</v>
      </c>
      <c r="B215">
        <f>'Модель v2 базовая'!AU121</f>
        <v>126.48644567688372</v>
      </c>
      <c r="C215">
        <v>12</v>
      </c>
      <c r="D215">
        <f t="shared" si="92"/>
        <v>14</v>
      </c>
      <c r="E215" t="str">
        <f t="shared" si="102"/>
        <v>$N$12</v>
      </c>
      <c r="F215">
        <f t="shared" ca="1" si="103"/>
        <v>400</v>
      </c>
      <c r="G215">
        <f t="shared" ca="1" si="93"/>
        <v>1.25</v>
      </c>
      <c r="H215">
        <f>'Модель v2 базовая'!$G$85</f>
        <v>1000</v>
      </c>
      <c r="I215">
        <f t="shared" ca="1" si="104"/>
        <v>41.666666666666671</v>
      </c>
      <c r="J215">
        <v>500</v>
      </c>
      <c r="K215">
        <f>'Модель v2 базовая'!$E$86</f>
        <v>4.166666666666667</v>
      </c>
      <c r="L215">
        <v>2</v>
      </c>
      <c r="M215">
        <f t="shared" si="105"/>
        <v>0</v>
      </c>
      <c r="N215">
        <f t="shared" ca="1" si="106"/>
        <v>189775.5018486589</v>
      </c>
      <c r="O215">
        <f t="shared" ca="1" si="107"/>
        <v>379.55100369731781</v>
      </c>
      <c r="T215" s="3" t="s">
        <v>112</v>
      </c>
      <c r="U215" s="9">
        <f t="shared" si="100"/>
        <v>126.48644567688372</v>
      </c>
      <c r="V215" s="9">
        <f t="shared" ca="1" si="101"/>
        <v>379.55100369731781</v>
      </c>
      <c r="W215">
        <f t="shared" si="94"/>
        <v>316.21611419220932</v>
      </c>
      <c r="X215" s="10"/>
    </row>
    <row r="216" spans="1:24" x14ac:dyDescent="0.25">
      <c r="A216" s="3" t="str">
        <f>'Модель v2 базовая'!AL122</f>
        <v>Секира</v>
      </c>
      <c r="B216">
        <f>'Модель v2 базовая'!AU122</f>
        <v>303.67562514528493</v>
      </c>
      <c r="C216">
        <v>12</v>
      </c>
      <c r="D216">
        <f t="shared" si="92"/>
        <v>14</v>
      </c>
      <c r="E216" t="str">
        <f t="shared" si="102"/>
        <v>$N$12</v>
      </c>
      <c r="F216">
        <f t="shared" ca="1" si="103"/>
        <v>400</v>
      </c>
      <c r="G216">
        <f t="shared" ca="1" si="93"/>
        <v>1.25</v>
      </c>
      <c r="H216">
        <f>'Модель v2 базовая'!$G$85</f>
        <v>1000</v>
      </c>
      <c r="I216">
        <f t="shared" ca="1" si="104"/>
        <v>41.666666666666671</v>
      </c>
      <c r="J216">
        <v>500</v>
      </c>
      <c r="K216">
        <f>'Модель v2 базовая'!$E$86</f>
        <v>4.166666666666667</v>
      </c>
      <c r="L216">
        <v>2</v>
      </c>
      <c r="M216">
        <f t="shared" si="105"/>
        <v>0</v>
      </c>
      <c r="N216">
        <f t="shared" ca="1" si="106"/>
        <v>455559.27105126076</v>
      </c>
      <c r="O216">
        <f t="shared" ca="1" si="107"/>
        <v>911.11854210252147</v>
      </c>
      <c r="T216" s="3" t="s">
        <v>113</v>
      </c>
      <c r="U216" s="9">
        <f t="shared" si="100"/>
        <v>303.67562514528493</v>
      </c>
      <c r="V216" s="9">
        <f t="shared" ca="1" si="101"/>
        <v>911.11854210252147</v>
      </c>
      <c r="W216">
        <f t="shared" si="94"/>
        <v>759.18906286321226</v>
      </c>
      <c r="X216" s="10"/>
    </row>
    <row r="217" spans="1:24" x14ac:dyDescent="0.25">
      <c r="A217" s="3" t="str">
        <f>'Модель v2 базовая'!AL123</f>
        <v>Скимитар</v>
      </c>
      <c r="B217">
        <f>'Модель v2 базовая'!AU123</f>
        <v>162.313149583035</v>
      </c>
      <c r="C217">
        <v>12</v>
      </c>
      <c r="D217">
        <f t="shared" si="92"/>
        <v>14</v>
      </c>
      <c r="E217" t="str">
        <f t="shared" si="102"/>
        <v>$N$12</v>
      </c>
      <c r="F217">
        <f t="shared" ca="1" si="103"/>
        <v>400</v>
      </c>
      <c r="G217">
        <f t="shared" ca="1" si="93"/>
        <v>1.25</v>
      </c>
      <c r="H217">
        <f>'Модель v2 базовая'!$G$85</f>
        <v>1000</v>
      </c>
      <c r="I217">
        <f t="shared" ca="1" si="104"/>
        <v>41.666666666666671</v>
      </c>
      <c r="J217">
        <v>500</v>
      </c>
      <c r="K217">
        <f>'Модель v2 базовая'!$E$86</f>
        <v>4.166666666666667</v>
      </c>
      <c r="L217">
        <v>2</v>
      </c>
      <c r="M217">
        <f t="shared" si="105"/>
        <v>0</v>
      </c>
      <c r="N217">
        <f t="shared" ca="1" si="106"/>
        <v>243515.5577078858</v>
      </c>
      <c r="O217">
        <f t="shared" ca="1" si="107"/>
        <v>487.03111541577158</v>
      </c>
      <c r="T217" s="3" t="s">
        <v>114</v>
      </c>
      <c r="U217" s="9">
        <f t="shared" si="100"/>
        <v>162.313149583035</v>
      </c>
      <c r="V217" s="9">
        <f t="shared" ca="1" si="101"/>
        <v>487.03111541577158</v>
      </c>
      <c r="W217">
        <f t="shared" si="94"/>
        <v>405.78287395758753</v>
      </c>
      <c r="X217" s="10"/>
    </row>
    <row r="218" spans="1:24" x14ac:dyDescent="0.25">
      <c r="A218" s="3" t="str">
        <f>'Модель v2 базовая'!AL124</f>
        <v>Трезубец</v>
      </c>
      <c r="B218">
        <f>'Модель v2 базовая'!AU124</f>
        <v>226.29985348918626</v>
      </c>
      <c r="C218">
        <v>12</v>
      </c>
      <c r="D218">
        <f t="shared" si="92"/>
        <v>14</v>
      </c>
      <c r="E218" t="str">
        <f t="shared" si="102"/>
        <v>$N$12</v>
      </c>
      <c r="F218">
        <f t="shared" ca="1" si="103"/>
        <v>400</v>
      </c>
      <c r="G218">
        <f t="shared" ca="1" si="93"/>
        <v>1.25</v>
      </c>
      <c r="H218">
        <f>'Модель v2 базовая'!$G$85</f>
        <v>1000</v>
      </c>
      <c r="I218">
        <f t="shared" ca="1" si="104"/>
        <v>41.666666666666671</v>
      </c>
      <c r="J218">
        <v>500</v>
      </c>
      <c r="K218">
        <f>'Модель v2 базовая'!$E$86</f>
        <v>4.166666666666667</v>
      </c>
      <c r="L218">
        <v>2</v>
      </c>
      <c r="M218">
        <f t="shared" si="105"/>
        <v>0</v>
      </c>
      <c r="N218">
        <f t="shared" ca="1" si="106"/>
        <v>339495.61356711277</v>
      </c>
      <c r="O218">
        <f t="shared" ca="1" si="107"/>
        <v>678.9912271342256</v>
      </c>
      <c r="T218" s="3" t="s">
        <v>115</v>
      </c>
      <c r="U218" s="9">
        <f t="shared" si="100"/>
        <v>226.29985348918626</v>
      </c>
      <c r="V218" s="9">
        <f t="shared" ca="1" si="101"/>
        <v>678.9912271342256</v>
      </c>
      <c r="W218">
        <f t="shared" si="94"/>
        <v>565.74963372296565</v>
      </c>
      <c r="X218" s="10"/>
    </row>
    <row r="219" spans="1:24" x14ac:dyDescent="0.25">
      <c r="A219" s="3" t="str">
        <f>'Модель v2 базовая'!AL125</f>
        <v>Цеп</v>
      </c>
      <c r="B219">
        <f>'Модель v2 базовая'!AU125</f>
        <v>164.5024456768837</v>
      </c>
      <c r="C219">
        <v>12</v>
      </c>
      <c r="D219">
        <f t="shared" si="92"/>
        <v>14</v>
      </c>
      <c r="E219" t="str">
        <f t="shared" si="102"/>
        <v>$N$12</v>
      </c>
      <c r="F219">
        <f t="shared" ca="1" si="103"/>
        <v>400</v>
      </c>
      <c r="G219">
        <f t="shared" ca="1" si="93"/>
        <v>1.25</v>
      </c>
      <c r="H219">
        <f>'Модель v2 базовая'!$G$85</f>
        <v>1000</v>
      </c>
      <c r="I219">
        <f t="shared" ca="1" si="104"/>
        <v>41.666666666666671</v>
      </c>
      <c r="J219">
        <v>500</v>
      </c>
      <c r="K219">
        <f>'Модель v2 базовая'!$E$86</f>
        <v>4.166666666666667</v>
      </c>
      <c r="L219">
        <v>2</v>
      </c>
      <c r="M219">
        <f t="shared" si="105"/>
        <v>0</v>
      </c>
      <c r="N219">
        <f t="shared" ca="1" si="106"/>
        <v>246799.50184865884</v>
      </c>
      <c r="O219">
        <f t="shared" ca="1" si="107"/>
        <v>493.5990036973177</v>
      </c>
      <c r="T219" s="3" t="s">
        <v>116</v>
      </c>
      <c r="U219" s="9">
        <f t="shared" si="100"/>
        <v>164.5024456768837</v>
      </c>
      <c r="V219" s="9">
        <f t="shared" ca="1" si="101"/>
        <v>493.5990036973177</v>
      </c>
      <c r="W219">
        <f t="shared" si="94"/>
        <v>411.25611419220922</v>
      </c>
      <c r="X219" s="10"/>
    </row>
    <row r="220" spans="1:24" x14ac:dyDescent="0.25">
      <c r="A220" s="3" t="str">
        <f>'Модель v2 базовая'!AL126</f>
        <v>Арбалет, ручной</v>
      </c>
      <c r="B220">
        <f>'Модель v2 базовая'!AU126</f>
        <v>82.828415833298237</v>
      </c>
      <c r="C220">
        <v>12</v>
      </c>
      <c r="D220">
        <f t="shared" si="92"/>
        <v>14</v>
      </c>
      <c r="E220" t="str">
        <f t="shared" si="102"/>
        <v>$N$12</v>
      </c>
      <c r="F220">
        <f t="shared" ca="1" si="103"/>
        <v>400</v>
      </c>
      <c r="G220">
        <f t="shared" ca="1" si="93"/>
        <v>1.25</v>
      </c>
      <c r="H220">
        <f>'Модель v2 базовая'!$G$85</f>
        <v>1000</v>
      </c>
      <c r="I220">
        <f t="shared" ca="1" si="104"/>
        <v>41.666666666666671</v>
      </c>
      <c r="J220">
        <v>500</v>
      </c>
      <c r="K220">
        <f>'Модель v2 базовая'!$E$86</f>
        <v>4.166666666666667</v>
      </c>
      <c r="L220">
        <v>2</v>
      </c>
      <c r="M220">
        <f t="shared" si="105"/>
        <v>0</v>
      </c>
      <c r="N220">
        <f t="shared" ca="1" si="106"/>
        <v>124288.45708328069</v>
      </c>
      <c r="O220">
        <f t="shared" ca="1" si="107"/>
        <v>248.57691416656138</v>
      </c>
      <c r="T220" s="3" t="s">
        <v>117</v>
      </c>
      <c r="U220" s="9">
        <f t="shared" si="100"/>
        <v>82.828415833298237</v>
      </c>
      <c r="V220" s="9">
        <f t="shared" ca="1" si="101"/>
        <v>248.57691416656138</v>
      </c>
      <c r="W220">
        <f t="shared" si="94"/>
        <v>207.07103958324558</v>
      </c>
      <c r="X220" s="10"/>
    </row>
    <row r="221" spans="1:24" x14ac:dyDescent="0.25">
      <c r="A221" s="3" t="str">
        <f>'Модель v2 базовая'!AL127</f>
        <v>Арбалет, тяжелый</v>
      </c>
      <c r="B221">
        <f>'Модель v2 базовая'!AU127</f>
        <v>216.84061729141217</v>
      </c>
      <c r="C221">
        <v>12</v>
      </c>
      <c r="D221">
        <f t="shared" si="92"/>
        <v>14</v>
      </c>
      <c r="E221" t="str">
        <f t="shared" si="102"/>
        <v>$N$12</v>
      </c>
      <c r="F221">
        <f t="shared" ca="1" si="103"/>
        <v>400</v>
      </c>
      <c r="G221">
        <f t="shared" ca="1" si="93"/>
        <v>1.25</v>
      </c>
      <c r="H221">
        <f>'Модель v2 базовая'!$G$85</f>
        <v>1000</v>
      </c>
      <c r="I221">
        <f t="shared" ca="1" si="104"/>
        <v>41.666666666666671</v>
      </c>
      <c r="J221">
        <v>500</v>
      </c>
      <c r="K221">
        <f>'Модель v2 базовая'!$E$86</f>
        <v>4.166666666666667</v>
      </c>
      <c r="L221">
        <v>2</v>
      </c>
      <c r="M221">
        <f t="shared" si="105"/>
        <v>0</v>
      </c>
      <c r="N221">
        <f t="shared" ca="1" si="106"/>
        <v>325306.75927045161</v>
      </c>
      <c r="O221">
        <f t="shared" ca="1" si="107"/>
        <v>650.61351854090321</v>
      </c>
      <c r="T221" s="3" t="s">
        <v>119</v>
      </c>
      <c r="U221" s="9">
        <f t="shared" si="100"/>
        <v>216.84061729141217</v>
      </c>
      <c r="V221" s="9">
        <f t="shared" ca="1" si="101"/>
        <v>650.61351854090321</v>
      </c>
      <c r="W221">
        <f t="shared" si="94"/>
        <v>542.10154322853043</v>
      </c>
      <c r="X221" s="10"/>
    </row>
    <row r="222" spans="1:24" x14ac:dyDescent="0.25">
      <c r="A222" s="3" t="str">
        <f>'Модель v2 базовая'!AL128</f>
        <v>Длинный лук</v>
      </c>
      <c r="B222">
        <f>'Модель v2 базовая'!AU128</f>
        <v>3.1203892500000001</v>
      </c>
      <c r="C222">
        <v>12</v>
      </c>
      <c r="D222">
        <f t="shared" si="92"/>
        <v>14</v>
      </c>
      <c r="E222" t="str">
        <f t="shared" si="102"/>
        <v>$N$12</v>
      </c>
      <c r="F222">
        <f t="shared" ca="1" si="103"/>
        <v>400</v>
      </c>
      <c r="G222">
        <f t="shared" ca="1" si="93"/>
        <v>1.25</v>
      </c>
      <c r="H222">
        <f>'Модель v2 базовая'!$G$85</f>
        <v>1000</v>
      </c>
      <c r="I222">
        <f t="shared" ca="1" si="104"/>
        <v>41.666666666666671</v>
      </c>
      <c r="J222">
        <v>500</v>
      </c>
      <c r="K222">
        <f>'Модель v2 базовая'!$E$86</f>
        <v>4.166666666666667</v>
      </c>
      <c r="L222">
        <v>2</v>
      </c>
      <c r="M222">
        <f t="shared" si="105"/>
        <v>0</v>
      </c>
      <c r="N222">
        <f t="shared" ca="1" si="106"/>
        <v>4726.4172083333342</v>
      </c>
      <c r="O222">
        <f t="shared" ca="1" si="107"/>
        <v>9.4528344166666685</v>
      </c>
      <c r="T222" s="3" t="s">
        <v>120</v>
      </c>
      <c r="U222" s="9">
        <f t="shared" si="100"/>
        <v>3.1203892500000001</v>
      </c>
      <c r="V222" s="9">
        <f t="shared" ca="1" si="101"/>
        <v>9.4528344166666685</v>
      </c>
      <c r="W222">
        <f t="shared" si="94"/>
        <v>7.8009731250000005</v>
      </c>
      <c r="X222" s="10"/>
    </row>
    <row r="223" spans="1:24" x14ac:dyDescent="0.25">
      <c r="A223" s="3" t="str">
        <f>'Модель v2 базовая'!AL129</f>
        <v>Духовая трубка</v>
      </c>
      <c r="B223">
        <f>'Модель v2 базовая'!AU129</f>
        <v>1.3119287499999999</v>
      </c>
      <c r="C223">
        <v>12</v>
      </c>
      <c r="D223">
        <f t="shared" si="92"/>
        <v>14</v>
      </c>
      <c r="E223" t="str">
        <f t="shared" si="102"/>
        <v>$N$12</v>
      </c>
      <c r="F223">
        <f t="shared" ca="1" si="103"/>
        <v>400</v>
      </c>
      <c r="G223">
        <f t="shared" ca="1" si="93"/>
        <v>1.25</v>
      </c>
      <c r="H223">
        <f>'Модель v2 базовая'!$G$85</f>
        <v>1000</v>
      </c>
      <c r="I223">
        <f t="shared" ca="1" si="104"/>
        <v>41.666666666666671</v>
      </c>
      <c r="J223">
        <v>500</v>
      </c>
      <c r="K223">
        <f>'Модель v2 базовая'!$E$86</f>
        <v>4.166666666666667</v>
      </c>
      <c r="L223">
        <v>2</v>
      </c>
      <c r="M223">
        <f t="shared" si="105"/>
        <v>0</v>
      </c>
      <c r="N223">
        <f t="shared" ca="1" si="106"/>
        <v>2013.7264583333331</v>
      </c>
      <c r="O223">
        <f t="shared" ca="1" si="107"/>
        <v>4.0274529166666664</v>
      </c>
      <c r="T223" s="3" t="s">
        <v>121</v>
      </c>
      <c r="U223" s="9">
        <f t="shared" si="100"/>
        <v>1.3119287499999999</v>
      </c>
      <c r="V223" s="9">
        <f t="shared" ca="1" si="101"/>
        <v>4.0274529166666664</v>
      </c>
      <c r="W223">
        <f t="shared" si="94"/>
        <v>3.2798218749999997</v>
      </c>
      <c r="X223" s="10"/>
    </row>
    <row r="224" spans="1:24" x14ac:dyDescent="0.25">
      <c r="A224" s="3" t="str">
        <f>'Модель v2 базовая'!AL130</f>
        <v>Сеть</v>
      </c>
      <c r="B224">
        <f>'Модель v2 базовая'!AU130</f>
        <v>6.9250439999999998</v>
      </c>
      <c r="C224">
        <v>11</v>
      </c>
      <c r="D224">
        <f t="shared" si="92"/>
        <v>14</v>
      </c>
      <c r="E224" t="str">
        <f t="shared" si="102"/>
        <v>$N$11</v>
      </c>
      <c r="F224">
        <f t="shared" ca="1" si="103"/>
        <v>880</v>
      </c>
      <c r="G224">
        <f t="shared" ca="1" si="93"/>
        <v>2.75</v>
      </c>
      <c r="H224">
        <f>'Модель v2 базовая'!$G$87</f>
        <v>2500</v>
      </c>
      <c r="I224">
        <f t="shared" ca="1" si="104"/>
        <v>229.16666666666666</v>
      </c>
      <c r="J224">
        <v>2000</v>
      </c>
      <c r="K224">
        <f>'Модель v2 базовая'!$E$87</f>
        <v>8.3333333333333339</v>
      </c>
      <c r="L224">
        <v>0.7</v>
      </c>
      <c r="M224">
        <f t="shared" si="105"/>
        <v>0</v>
      </c>
      <c r="N224">
        <f t="shared" ca="1" si="106"/>
        <v>23782.649599999997</v>
      </c>
      <c r="O224">
        <f t="shared" ca="1" si="107"/>
        <v>11.891324799999998</v>
      </c>
      <c r="T224" s="3" t="s">
        <v>122</v>
      </c>
      <c r="U224" s="9">
        <f t="shared" si="100"/>
        <v>6.9250439999999998</v>
      </c>
      <c r="V224" s="9">
        <f t="shared" ca="1" si="101"/>
        <v>11.891324799999998</v>
      </c>
      <c r="W224">
        <f t="shared" si="94"/>
        <v>17.312609999999999</v>
      </c>
      <c r="X224" s="10"/>
    </row>
    <row r="225" spans="1:24" x14ac:dyDescent="0.25">
      <c r="A225" s="3" t="str">
        <f>'Модель v2 базовая'!AL131</f>
        <v>Стрела</v>
      </c>
      <c r="B225">
        <f>'Модель v2 базовая'!AU131</f>
        <v>0.55752296614528485</v>
      </c>
      <c r="C225">
        <v>11</v>
      </c>
      <c r="D225">
        <f t="shared" si="92"/>
        <v>14</v>
      </c>
      <c r="E225" t="str">
        <f t="shared" si="102"/>
        <v>$N$11</v>
      </c>
      <c r="F225">
        <f t="shared" ca="1" si="103"/>
        <v>880</v>
      </c>
      <c r="G225">
        <f t="shared" ca="1" si="93"/>
        <v>2.75</v>
      </c>
      <c r="H225">
        <f>'Модель v2 базовая'!$G$87</f>
        <v>2500</v>
      </c>
      <c r="I225">
        <f t="shared" ca="1" si="104"/>
        <v>229.16666666666666</v>
      </c>
      <c r="J225">
        <v>2000</v>
      </c>
      <c r="K225">
        <f>'Модель v2 базовая'!$E$87</f>
        <v>8.3333333333333339</v>
      </c>
      <c r="L225">
        <v>0.7</v>
      </c>
      <c r="M225">
        <f t="shared" si="105"/>
        <v>0</v>
      </c>
      <c r="N225">
        <f t="shared" ca="1" si="106"/>
        <v>2133.0780848939685</v>
      </c>
      <c r="O225">
        <f t="shared" ca="1" si="107"/>
        <v>1.0665390424469843</v>
      </c>
      <c r="T225" s="3" t="s">
        <v>178</v>
      </c>
      <c r="U225" s="9">
        <f t="shared" si="100"/>
        <v>0.55752296614528485</v>
      </c>
      <c r="V225" s="9">
        <f t="shared" ca="1" si="101"/>
        <v>1.0665390424469843</v>
      </c>
      <c r="W225">
        <f t="shared" si="94"/>
        <v>1.3938074153632121</v>
      </c>
      <c r="X225" s="10"/>
    </row>
    <row r="226" spans="1:24" x14ac:dyDescent="0.25">
      <c r="A226" s="3" t="str">
        <f>'Модель v2 базовая'!AL132</f>
        <v>Арбалетный болт</v>
      </c>
      <c r="B226">
        <f>'Модель v2 базовая'!AU132</f>
        <v>0.45019095000000003</v>
      </c>
      <c r="C226">
        <v>11</v>
      </c>
      <c r="D226">
        <f t="shared" si="92"/>
        <v>14</v>
      </c>
      <c r="E226" t="str">
        <f t="shared" si="102"/>
        <v>$N$11</v>
      </c>
      <c r="F226">
        <f t="shared" ca="1" si="103"/>
        <v>880</v>
      </c>
      <c r="G226">
        <f t="shared" ca="1" si="93"/>
        <v>2.75</v>
      </c>
      <c r="H226">
        <f>'Модель v2 базовая'!$G$87</f>
        <v>2500</v>
      </c>
      <c r="I226">
        <f t="shared" ca="1" si="104"/>
        <v>229.16666666666666</v>
      </c>
      <c r="J226">
        <v>2000</v>
      </c>
      <c r="K226">
        <f>'Модель v2 базовая'!$E$87</f>
        <v>8.3333333333333339</v>
      </c>
      <c r="L226">
        <v>0.7</v>
      </c>
      <c r="M226">
        <f t="shared" si="105"/>
        <v>0</v>
      </c>
      <c r="N226">
        <f t="shared" ca="1" si="106"/>
        <v>1768.14923</v>
      </c>
      <c r="O226">
        <f t="shared" ca="1" si="107"/>
        <v>0.88407461499999995</v>
      </c>
      <c r="T226" s="3" t="s">
        <v>177</v>
      </c>
      <c r="U226" s="9">
        <f t="shared" si="100"/>
        <v>0.45019095000000003</v>
      </c>
      <c r="V226" s="9">
        <f t="shared" ca="1" si="101"/>
        <v>0.88407461499999995</v>
      </c>
      <c r="W226">
        <f t="shared" si="94"/>
        <v>1.125477375</v>
      </c>
      <c r="X226" s="10"/>
    </row>
    <row r="227" spans="1:24" x14ac:dyDescent="0.25">
      <c r="A227" s="3" t="str">
        <f>'Модель v2 базовая'!AL133</f>
        <v>игла для трубки</v>
      </c>
      <c r="B227">
        <f>'Модель v2 базовая'!AU133</f>
        <v>0.28780675</v>
      </c>
      <c r="C227">
        <v>11</v>
      </c>
      <c r="D227">
        <f t="shared" si="92"/>
        <v>14</v>
      </c>
      <c r="E227" t="str">
        <f t="shared" si="102"/>
        <v>$N$11</v>
      </c>
      <c r="F227">
        <f t="shared" ca="1" si="103"/>
        <v>880</v>
      </c>
      <c r="G227">
        <f t="shared" ca="1" si="93"/>
        <v>2.75</v>
      </c>
      <c r="H227">
        <f>'Модель v2 базовая'!$G$87</f>
        <v>2500</v>
      </c>
      <c r="I227">
        <f t="shared" ca="1" si="104"/>
        <v>229.16666666666666</v>
      </c>
      <c r="J227">
        <v>2000</v>
      </c>
      <c r="K227">
        <f>'Модель v2 базовая'!$E$87</f>
        <v>8.3333333333333339</v>
      </c>
      <c r="L227">
        <v>0.7</v>
      </c>
      <c r="M227">
        <f t="shared" si="105"/>
        <v>0</v>
      </c>
      <c r="N227">
        <f t="shared" ca="1" si="106"/>
        <v>1216.04295</v>
      </c>
      <c r="O227">
        <f t="shared" ca="1" si="107"/>
        <v>0.60802147500000003</v>
      </c>
      <c r="T227" s="3" t="s">
        <v>188</v>
      </c>
      <c r="U227" s="9">
        <f t="shared" si="100"/>
        <v>0.28780675</v>
      </c>
      <c r="V227" s="9">
        <f t="shared" ca="1" si="101"/>
        <v>0.60802147500000003</v>
      </c>
      <c r="W227">
        <f t="shared" si="94"/>
        <v>0.71951687500000006</v>
      </c>
      <c r="X227" s="10"/>
    </row>
    <row r="228" spans="1:24" x14ac:dyDescent="0.25">
      <c r="A228" s="3" t="str">
        <f>'Модель v2 базовая'!AL134</f>
        <v>снаряд для пращи</v>
      </c>
      <c r="B228">
        <f>'Модель v2 базовая'!AU134</f>
        <v>0.34500000000000003</v>
      </c>
      <c r="C228">
        <v>11</v>
      </c>
      <c r="D228">
        <f t="shared" si="92"/>
        <v>14</v>
      </c>
      <c r="E228" t="str">
        <f t="shared" si="102"/>
        <v>$N$11</v>
      </c>
      <c r="F228">
        <f t="shared" ca="1" si="103"/>
        <v>880</v>
      </c>
      <c r="G228">
        <f t="shared" ca="1" si="93"/>
        <v>2.75</v>
      </c>
      <c r="H228">
        <f>'Модель v2 базовая'!$G$87</f>
        <v>2500</v>
      </c>
      <c r="I228">
        <f t="shared" ca="1" si="104"/>
        <v>229.16666666666666</v>
      </c>
      <c r="J228">
        <v>2000</v>
      </c>
      <c r="K228">
        <f>'Модель v2 базовая'!$E$87</f>
        <v>8.3333333333333339</v>
      </c>
      <c r="L228">
        <v>0.7</v>
      </c>
      <c r="M228">
        <f t="shared" si="105"/>
        <v>0</v>
      </c>
      <c r="N228">
        <f t="shared" ca="1" si="106"/>
        <v>1410.5000000000002</v>
      </c>
      <c r="O228">
        <f t="shared" ca="1" si="107"/>
        <v>0.70525000000000015</v>
      </c>
      <c r="T228" s="3" t="s">
        <v>189</v>
      </c>
      <c r="U228" s="9">
        <f t="shared" si="100"/>
        <v>0.34500000000000003</v>
      </c>
      <c r="V228" s="9">
        <f t="shared" ca="1" si="101"/>
        <v>0.70525000000000015</v>
      </c>
      <c r="W228">
        <f t="shared" si="94"/>
        <v>0.86250000000000004</v>
      </c>
      <c r="X228" s="10"/>
    </row>
    <row r="229" spans="1:24" x14ac:dyDescent="0.25">
      <c r="A229" s="3"/>
      <c r="T229" s="3"/>
      <c r="U229" s="9"/>
      <c r="V229" s="9"/>
      <c r="X229" s="10"/>
    </row>
    <row r="230" spans="1:24" x14ac:dyDescent="0.25">
      <c r="A230" s="8" t="s">
        <v>543</v>
      </c>
      <c r="T230" s="8" t="s">
        <v>543</v>
      </c>
      <c r="U230" s="9"/>
      <c r="V230" s="9"/>
      <c r="X230" s="10"/>
    </row>
    <row r="231" spans="1:24" x14ac:dyDescent="0.25">
      <c r="A231" s="3" t="str">
        <f>'Модель v2 базовая'!AL136</f>
        <v>Ядро</v>
      </c>
      <c r="B231">
        <f>'Модель v2 базовая'!AU136</f>
        <v>16.368500000000001</v>
      </c>
      <c r="C231">
        <v>9</v>
      </c>
      <c r="D231">
        <f t="shared" ref="D229:D522" si="108">$B$16</f>
        <v>14</v>
      </c>
      <c r="E231" t="str">
        <f t="shared" ref="E231:E238" si="109" xml:space="preserve"> ADDRESS(C231,D231)</f>
        <v>$N$9</v>
      </c>
      <c r="F231">
        <f t="shared" ref="F231:F238" ca="1" si="110">INDIRECT(E231)</f>
        <v>1300</v>
      </c>
      <c r="G231">
        <f t="shared" ref="G231:G238" ca="1" si="111">F231/320</f>
        <v>4.0625</v>
      </c>
      <c r="H231">
        <f>'Модель v2 базовая'!$G$87</f>
        <v>2500</v>
      </c>
      <c r="I231">
        <f t="shared" ref="I231:I240" ca="1" si="112">H231/30*G231</f>
        <v>338.54166666666663</v>
      </c>
      <c r="J231">
        <v>2000</v>
      </c>
      <c r="K231">
        <f>'Модель v2 базовая'!$E$87</f>
        <v>8.3333333333333339</v>
      </c>
      <c r="L231">
        <v>0.7</v>
      </c>
      <c r="M231">
        <f t="shared" si="105"/>
        <v>10</v>
      </c>
      <c r="N231">
        <f t="shared" ref="N231:N238" ca="1" si="113">IF(G231=0, B231*J231, B231*J231+(B231*J231*L231)+I231+K231)</f>
        <v>55999.775000000009</v>
      </c>
      <c r="O231">
        <f t="shared" ref="O231:O238" ca="1" si="114">N231/J231</f>
        <v>27.999887500000003</v>
      </c>
      <c r="T231" s="3" t="str">
        <f t="shared" ref="T231:T238" si="115">A231</f>
        <v>Ядро</v>
      </c>
      <c r="U231" s="9">
        <f t="shared" ref="U231:U238" si="116">B231</f>
        <v>16.368500000000001</v>
      </c>
      <c r="V231" s="9">
        <f t="shared" ref="V231:V238" ca="1" si="117">O231</f>
        <v>27.999887500000003</v>
      </c>
      <c r="W231">
        <f>B231*1.5</f>
        <v>24.552750000000003</v>
      </c>
      <c r="X231" s="10"/>
    </row>
    <row r="232" spans="1:24" x14ac:dyDescent="0.25">
      <c r="A232" s="3" t="str">
        <f>'Модель v2 базовая'!AL137</f>
        <v>Заряд картечи</v>
      </c>
      <c r="B232">
        <f>'Модель v2 базовая'!AU137</f>
        <v>23.5685</v>
      </c>
      <c r="C232">
        <v>9</v>
      </c>
      <c r="D232">
        <f t="shared" si="108"/>
        <v>14</v>
      </c>
      <c r="E232" t="str">
        <f t="shared" si="109"/>
        <v>$N$9</v>
      </c>
      <c r="F232">
        <f t="shared" ca="1" si="110"/>
        <v>1300</v>
      </c>
      <c r="G232">
        <f t="shared" ca="1" si="111"/>
        <v>4.0625</v>
      </c>
      <c r="H232">
        <f>'Модель v2 базовая'!$G$87</f>
        <v>2500</v>
      </c>
      <c r="I232">
        <f t="shared" ca="1" si="112"/>
        <v>338.54166666666663</v>
      </c>
      <c r="J232">
        <v>2000</v>
      </c>
      <c r="K232">
        <f>'Модель v2 базовая'!$E$87</f>
        <v>8.3333333333333339</v>
      </c>
      <c r="L232">
        <v>0.7</v>
      </c>
      <c r="M232">
        <f t="shared" si="105"/>
        <v>10</v>
      </c>
      <c r="N232">
        <f t="shared" ca="1" si="113"/>
        <v>80479.774999999994</v>
      </c>
      <c r="O232">
        <f t="shared" ca="1" si="114"/>
        <v>40.239887499999995</v>
      </c>
      <c r="T232" s="3" t="str">
        <f t="shared" si="115"/>
        <v>Заряд картечи</v>
      </c>
      <c r="U232" s="9">
        <f t="shared" si="116"/>
        <v>23.5685</v>
      </c>
      <c r="V232" s="9">
        <f t="shared" ca="1" si="117"/>
        <v>40.239887499999995</v>
      </c>
      <c r="W232">
        <f t="shared" ref="W232:W238" si="118">B232*1.5</f>
        <v>35.35275</v>
      </c>
      <c r="X232" s="10"/>
    </row>
    <row r="233" spans="1:24" x14ac:dyDescent="0.25">
      <c r="A233" s="3" t="str">
        <f>'Модель v2 базовая'!AL138</f>
        <v>Бомба</v>
      </c>
      <c r="B233">
        <f>'Модель v2 базовая'!AU138</f>
        <v>629.56850000000009</v>
      </c>
      <c r="C233">
        <v>14</v>
      </c>
      <c r="D233">
        <f t="shared" si="108"/>
        <v>14</v>
      </c>
      <c r="E233" t="str">
        <f t="shared" si="109"/>
        <v>$N$14</v>
      </c>
      <c r="F233">
        <f t="shared" ca="1" si="110"/>
        <v>0</v>
      </c>
      <c r="G233">
        <f t="shared" ca="1" si="111"/>
        <v>0</v>
      </c>
      <c r="H233">
        <f>'Модель v2 базовая'!$G$87</f>
        <v>2500</v>
      </c>
      <c r="I233">
        <f t="shared" ca="1" si="112"/>
        <v>0</v>
      </c>
      <c r="J233">
        <v>2000</v>
      </c>
      <c r="K233">
        <f>'Модель v2 базовая'!$E$87</f>
        <v>8.3333333333333339</v>
      </c>
      <c r="L233">
        <v>0.7</v>
      </c>
      <c r="M233">
        <f t="shared" si="105"/>
        <v>0</v>
      </c>
      <c r="N233">
        <f t="shared" ca="1" si="113"/>
        <v>1259137.0000000002</v>
      </c>
      <c r="O233">
        <f t="shared" ca="1" si="114"/>
        <v>629.56850000000009</v>
      </c>
      <c r="T233" s="3" t="str">
        <f t="shared" si="115"/>
        <v>Бомба</v>
      </c>
      <c r="U233" s="9">
        <f t="shared" si="116"/>
        <v>629.56850000000009</v>
      </c>
      <c r="V233" s="9">
        <f t="shared" ca="1" si="117"/>
        <v>629.56850000000009</v>
      </c>
      <c r="W233">
        <f t="shared" si="118"/>
        <v>944.35275000000013</v>
      </c>
      <c r="X233" s="10"/>
    </row>
    <row r="234" spans="1:24" x14ac:dyDescent="0.25">
      <c r="A234" s="3" t="str">
        <f>'Модель v2 базовая'!AL139</f>
        <v>Детали парусов</v>
      </c>
      <c r="B234">
        <f>'Модель v2 базовая'!AU139</f>
        <v>60.306823400000006</v>
      </c>
      <c r="C234">
        <v>12</v>
      </c>
      <c r="D234">
        <f t="shared" si="108"/>
        <v>14</v>
      </c>
      <c r="E234" t="str">
        <f t="shared" si="109"/>
        <v>$N$12</v>
      </c>
      <c r="F234">
        <f t="shared" ca="1" si="110"/>
        <v>400</v>
      </c>
      <c r="G234">
        <f t="shared" ca="1" si="111"/>
        <v>1.25</v>
      </c>
      <c r="H234">
        <f>'Модель v2 базовая'!$G$87</f>
        <v>2500</v>
      </c>
      <c r="I234">
        <f t="shared" ca="1" si="112"/>
        <v>104.16666666666666</v>
      </c>
      <c r="J234">
        <v>2000</v>
      </c>
      <c r="K234">
        <f>'Модель v2 базовая'!$E$87</f>
        <v>8.3333333333333339</v>
      </c>
      <c r="L234">
        <v>0.7</v>
      </c>
      <c r="M234">
        <f t="shared" si="105"/>
        <v>0</v>
      </c>
      <c r="N234">
        <f t="shared" ca="1" si="113"/>
        <v>205155.69956000004</v>
      </c>
      <c r="O234">
        <f t="shared" ca="1" si="114"/>
        <v>102.57784978000002</v>
      </c>
      <c r="T234" s="3" t="str">
        <f t="shared" si="115"/>
        <v>Детали парусов</v>
      </c>
      <c r="U234" s="9">
        <f t="shared" si="116"/>
        <v>60.306823400000006</v>
      </c>
      <c r="V234" s="9">
        <f t="shared" ca="1" si="117"/>
        <v>102.57784978000002</v>
      </c>
      <c r="W234">
        <f t="shared" si="118"/>
        <v>90.460235100000006</v>
      </c>
      <c r="X234" s="10"/>
    </row>
    <row r="235" spans="1:24" x14ac:dyDescent="0.25">
      <c r="A235" s="3" t="str">
        <f>'Модель v2 базовая'!AL140</f>
        <v>Детали ядра</v>
      </c>
      <c r="B235">
        <f>'Модель v2 базовая'!AU140</f>
        <v>675.67400000000009</v>
      </c>
      <c r="C235">
        <v>12</v>
      </c>
      <c r="D235">
        <f t="shared" si="108"/>
        <v>14</v>
      </c>
      <c r="E235" t="str">
        <f t="shared" si="109"/>
        <v>$N$12</v>
      </c>
      <c r="F235">
        <f t="shared" ca="1" si="110"/>
        <v>400</v>
      </c>
      <c r="G235">
        <f t="shared" ca="1" si="111"/>
        <v>1.25</v>
      </c>
      <c r="H235">
        <f>'Модель v2 базовая'!$G$87</f>
        <v>2500</v>
      </c>
      <c r="I235">
        <f t="shared" ca="1" si="112"/>
        <v>104.16666666666666</v>
      </c>
      <c r="J235">
        <v>2000</v>
      </c>
      <c r="K235">
        <f>'Модель v2 базовая'!$E$87</f>
        <v>8.3333333333333339</v>
      </c>
      <c r="L235">
        <v>0.7</v>
      </c>
      <c r="M235">
        <f t="shared" si="105"/>
        <v>0</v>
      </c>
      <c r="N235">
        <f t="shared" ca="1" si="113"/>
        <v>2297404.1000000006</v>
      </c>
      <c r="O235">
        <f t="shared" ca="1" si="114"/>
        <v>1148.7020500000003</v>
      </c>
      <c r="T235" s="3" t="str">
        <f t="shared" si="115"/>
        <v>Детали ядра</v>
      </c>
      <c r="U235" s="9">
        <f t="shared" si="116"/>
        <v>675.67400000000009</v>
      </c>
      <c r="V235" s="9">
        <f t="shared" ca="1" si="117"/>
        <v>1148.7020500000003</v>
      </c>
      <c r="W235">
        <f t="shared" si="118"/>
        <v>1013.5110000000002</v>
      </c>
      <c r="X235" s="10"/>
    </row>
    <row r="236" spans="1:24" x14ac:dyDescent="0.25">
      <c r="A236" s="3" t="str">
        <f>'Модель v2 базовая'!AL141</f>
        <v>Детали корпуса</v>
      </c>
      <c r="B236">
        <f>'Модель v2 базовая'!AU141</f>
        <v>34.949000000000005</v>
      </c>
      <c r="C236">
        <v>12</v>
      </c>
      <c r="D236">
        <f t="shared" si="108"/>
        <v>14</v>
      </c>
      <c r="E236" t="str">
        <f t="shared" si="109"/>
        <v>$N$12</v>
      </c>
      <c r="F236">
        <f t="shared" ca="1" si="110"/>
        <v>400</v>
      </c>
      <c r="G236">
        <f t="shared" ca="1" si="111"/>
        <v>1.25</v>
      </c>
      <c r="H236">
        <f>'Модель v2 базовая'!$G$87</f>
        <v>2500</v>
      </c>
      <c r="I236">
        <f t="shared" ca="1" si="112"/>
        <v>104.16666666666666</v>
      </c>
      <c r="J236">
        <v>2000</v>
      </c>
      <c r="K236">
        <f>'Модель v2 базовая'!$E$87</f>
        <v>8.3333333333333339</v>
      </c>
      <c r="L236">
        <v>0.7</v>
      </c>
      <c r="M236">
        <f t="shared" si="105"/>
        <v>0</v>
      </c>
      <c r="N236">
        <f t="shared" ca="1" si="113"/>
        <v>118939.10000000002</v>
      </c>
      <c r="O236">
        <f t="shared" ca="1" si="114"/>
        <v>59.469550000000012</v>
      </c>
      <c r="T236" s="3" t="str">
        <f t="shared" si="115"/>
        <v>Детали корпуса</v>
      </c>
      <c r="U236" s="9">
        <f t="shared" si="116"/>
        <v>34.949000000000005</v>
      </c>
      <c r="V236" s="9">
        <f t="shared" ca="1" si="117"/>
        <v>59.469550000000012</v>
      </c>
      <c r="W236">
        <f t="shared" si="118"/>
        <v>52.423500000000004</v>
      </c>
      <c r="X236" s="10"/>
    </row>
    <row r="237" spans="1:24" x14ac:dyDescent="0.25">
      <c r="A237" s="3" t="str">
        <f>'Модель v2 базовая'!AL142</f>
        <v>Временный Крепеж</v>
      </c>
      <c r="B237">
        <f>'Модель v2 базовая'!AU142</f>
        <v>13.968500000000001</v>
      </c>
      <c r="C237">
        <v>9</v>
      </c>
      <c r="D237">
        <f t="shared" si="108"/>
        <v>14</v>
      </c>
      <c r="E237" t="str">
        <f t="shared" si="109"/>
        <v>$N$9</v>
      </c>
      <c r="F237">
        <f t="shared" ca="1" si="110"/>
        <v>1300</v>
      </c>
      <c r="G237">
        <f t="shared" ca="1" si="111"/>
        <v>4.0625</v>
      </c>
      <c r="H237">
        <f>'Модель v2 базовая'!$G$87</f>
        <v>2500</v>
      </c>
      <c r="I237">
        <f t="shared" ca="1" si="112"/>
        <v>338.54166666666663</v>
      </c>
      <c r="J237">
        <v>2000</v>
      </c>
      <c r="K237">
        <f>'Модель v2 базовая'!$E$87</f>
        <v>8.3333333333333339</v>
      </c>
      <c r="L237">
        <v>0.7</v>
      </c>
      <c r="M237">
        <f t="shared" si="105"/>
        <v>10</v>
      </c>
      <c r="N237">
        <f t="shared" ca="1" si="113"/>
        <v>47839.774999999994</v>
      </c>
      <c r="O237">
        <f t="shared" ca="1" si="114"/>
        <v>23.919887499999998</v>
      </c>
      <c r="T237" s="3" t="str">
        <f t="shared" si="115"/>
        <v>Временный Крепеж</v>
      </c>
      <c r="U237" s="9">
        <f t="shared" si="116"/>
        <v>13.968500000000001</v>
      </c>
      <c r="V237" s="9">
        <f t="shared" ca="1" si="117"/>
        <v>23.919887499999998</v>
      </c>
      <c r="W237">
        <f t="shared" si="118"/>
        <v>20.952750000000002</v>
      </c>
      <c r="X237" s="10"/>
    </row>
    <row r="238" spans="1:24" x14ac:dyDescent="0.25">
      <c r="A238" s="3" t="str">
        <f>'Модель v2 базовая'!AL143</f>
        <v>Общий ремкомплект (все детали в одном месте)</v>
      </c>
      <c r="B238">
        <f>'Модель v2 базовая'!AU143</f>
        <v>718.92982340000015</v>
      </c>
      <c r="C238">
        <v>12</v>
      </c>
      <c r="D238">
        <f t="shared" si="108"/>
        <v>14</v>
      </c>
      <c r="E238" t="str">
        <f t="shared" si="109"/>
        <v>$N$12</v>
      </c>
      <c r="F238">
        <f t="shared" ca="1" si="110"/>
        <v>400</v>
      </c>
      <c r="G238">
        <f t="shared" ca="1" si="111"/>
        <v>1.25</v>
      </c>
      <c r="H238">
        <f>'Модель v2 базовая'!$G$87</f>
        <v>2500</v>
      </c>
      <c r="I238">
        <f t="shared" ca="1" si="112"/>
        <v>104.16666666666666</v>
      </c>
      <c r="J238">
        <v>2000</v>
      </c>
      <c r="K238">
        <f>'Модель v2 базовая'!$E$87</f>
        <v>8.3333333333333339</v>
      </c>
      <c r="L238">
        <v>0.7</v>
      </c>
      <c r="M238">
        <f t="shared" si="105"/>
        <v>0</v>
      </c>
      <c r="N238">
        <f t="shared" ca="1" si="113"/>
        <v>2444473.8995600003</v>
      </c>
      <c r="O238">
        <f t="shared" ca="1" si="114"/>
        <v>1222.23694978</v>
      </c>
      <c r="T238" s="3" t="str">
        <f t="shared" si="115"/>
        <v>Общий ремкомплект (все детали в одном месте)</v>
      </c>
      <c r="U238" s="9">
        <f t="shared" si="116"/>
        <v>718.92982340000015</v>
      </c>
      <c r="V238" s="9">
        <f t="shared" ca="1" si="117"/>
        <v>1222.23694978</v>
      </c>
      <c r="W238">
        <f t="shared" si="118"/>
        <v>1078.3947351000002</v>
      </c>
      <c r="X238" s="10"/>
    </row>
    <row r="239" spans="1:24" x14ac:dyDescent="0.25">
      <c r="A239" s="8" t="s">
        <v>974</v>
      </c>
      <c r="T239" s="8" t="str">
        <f t="shared" ref="T239:T302" si="119">A239</f>
        <v>Учебники</v>
      </c>
      <c r="U239" s="9"/>
      <c r="V239" s="9"/>
      <c r="X239" s="10" t="s">
        <v>977</v>
      </c>
    </row>
    <row r="240" spans="1:24" x14ac:dyDescent="0.25">
      <c r="A240" s="23" t="str">
        <f>'Книги профессий'!K2&amp;" &lt; "&amp;'Книги профессий'!L2</f>
        <v>Рулевой - база &lt; Эландил из Люг-о-дана</v>
      </c>
      <c r="B240">
        <f>'Книги профессий'!N2</f>
        <v>68.18426073055555</v>
      </c>
      <c r="C240">
        <f>'Книги профессий'!I2</f>
        <v>3</v>
      </c>
      <c r="D240">
        <f t="shared" si="108"/>
        <v>14</v>
      </c>
      <c r="E240" t="str">
        <f t="shared" ref="E240" si="120" xml:space="preserve"> ADDRESS(C240,D240)</f>
        <v>$N$3</v>
      </c>
      <c r="F240">
        <f t="shared" ref="F240" ca="1" si="121">INDIRECT(E240)</f>
        <v>680</v>
      </c>
      <c r="G240">
        <f t="shared" ref="G240" ca="1" si="122">F240/320</f>
        <v>2.125</v>
      </c>
      <c r="H240">
        <f>'Модель v2 базовая'!$G$84</f>
        <v>500</v>
      </c>
      <c r="I240">
        <f t="shared" ca="1" si="112"/>
        <v>35.416666666666671</v>
      </c>
      <c r="J240">
        <v>10</v>
      </c>
      <c r="K240">
        <f>'Модель v2 базовая'!$E$84</f>
        <v>1.6666666666666667</v>
      </c>
      <c r="L240">
        <v>0.7</v>
      </c>
      <c r="M240">
        <f t="shared" si="105"/>
        <v>10</v>
      </c>
      <c r="N240">
        <f t="shared" ref="N240" ca="1" si="123">IF(G240=0, B240*J240, B240*J240+(B240*J240*L240)+I240+K240)</f>
        <v>1196.2157657527778</v>
      </c>
      <c r="O240">
        <f t="shared" ref="O240" ca="1" si="124">N240/J240</f>
        <v>119.62157657527777</v>
      </c>
      <c r="T240" s="3" t="str">
        <f t="shared" si="119"/>
        <v>Рулевой - база &lt; Эландил из Люг-о-дана</v>
      </c>
      <c r="U240" s="9">
        <f t="shared" ref="U240:U302" si="125">B240</f>
        <v>68.18426073055555</v>
      </c>
      <c r="V240" s="9">
        <f t="shared" ref="V240:V302" ca="1" si="126">O240</f>
        <v>119.62157657527777</v>
      </c>
      <c r="W240">
        <f t="shared" ref="W240:W302" si="127">B240*2.5</f>
        <v>170.46065182638887</v>
      </c>
      <c r="X240" s="10">
        <f>'Книги профессий'!M2</f>
        <v>18</v>
      </c>
    </row>
    <row r="241" spans="1:24" x14ac:dyDescent="0.25">
      <c r="A241" s="23" t="str">
        <f>'Книги профессий'!K3&amp;" &lt; "&amp;'Книги профессий'!L3</f>
        <v>Рулевой - база &lt; Фейлура из Шихона</v>
      </c>
      <c r="B241">
        <f>'Книги профессий'!N3</f>
        <v>71.583276719117634</v>
      </c>
      <c r="C241">
        <f>'Книги профессий'!I3</f>
        <v>4</v>
      </c>
      <c r="D241">
        <f t="shared" si="108"/>
        <v>14</v>
      </c>
      <c r="E241" t="str">
        <f t="shared" ref="E241:E242" si="128" xml:space="preserve"> ADDRESS(C241,D241)</f>
        <v>$N$4</v>
      </c>
      <c r="F241">
        <f t="shared" ref="F241:F242" ca="1" si="129">INDIRECT(E241)</f>
        <v>900</v>
      </c>
      <c r="G241">
        <f t="shared" ref="G241:G242" ca="1" si="130">F241/320</f>
        <v>2.8125</v>
      </c>
      <c r="H241">
        <f>'Модель v2 базовая'!$G$84</f>
        <v>500</v>
      </c>
      <c r="I241">
        <f t="shared" ref="I241:I242" ca="1" si="131">H241/30*G241</f>
        <v>46.875</v>
      </c>
      <c r="J241">
        <v>10</v>
      </c>
      <c r="K241">
        <f>'Модель v2 базовая'!$E$84</f>
        <v>1.6666666666666667</v>
      </c>
      <c r="L241">
        <v>0.7</v>
      </c>
      <c r="M241">
        <f t="shared" si="105"/>
        <v>10</v>
      </c>
      <c r="N241">
        <f t="shared" ref="N241:N242" ca="1" si="132">IF(G241=0, B241*J241, B241*J241+(B241*J241*L241)+I241+K241)</f>
        <v>1265.4573708916664</v>
      </c>
      <c r="O241">
        <f t="shared" ref="O241:O242" ca="1" si="133">N241/J241</f>
        <v>126.54573708916664</v>
      </c>
      <c r="T241" s="3" t="str">
        <f t="shared" si="119"/>
        <v>Рулевой - база &lt; Фейлура из Шихона</v>
      </c>
      <c r="U241" s="9">
        <f t="shared" si="125"/>
        <v>71.583276719117634</v>
      </c>
      <c r="V241" s="9">
        <f t="shared" ca="1" si="126"/>
        <v>126.54573708916664</v>
      </c>
      <c r="W241">
        <f t="shared" si="127"/>
        <v>178.95819179779409</v>
      </c>
      <c r="X241" s="10">
        <f>'Книги профессий'!M3</f>
        <v>17</v>
      </c>
    </row>
    <row r="242" spans="1:24" x14ac:dyDescent="0.25">
      <c r="A242" s="23" t="str">
        <f>'Книги профессий'!K4&amp;" &lt; "&amp;'Книги профессий'!L4</f>
        <v>Рулевой - база &lt; Элариэль из Готуна</v>
      </c>
      <c r="B242">
        <f>'Книги профессий'!N4</f>
        <v>75.407169706249988</v>
      </c>
      <c r="C242">
        <f>'Книги профессий'!I4</f>
        <v>5</v>
      </c>
      <c r="D242">
        <f t="shared" si="108"/>
        <v>14</v>
      </c>
      <c r="E242" t="str">
        <f t="shared" si="128"/>
        <v>$N$5</v>
      </c>
      <c r="F242">
        <f t="shared" ca="1" si="129"/>
        <v>980</v>
      </c>
      <c r="G242">
        <f t="shared" ca="1" si="130"/>
        <v>3.0625</v>
      </c>
      <c r="H242">
        <f>'Модель v2 базовая'!$G$84</f>
        <v>500</v>
      </c>
      <c r="I242">
        <f t="shared" ca="1" si="131"/>
        <v>51.041666666666671</v>
      </c>
      <c r="J242">
        <v>10</v>
      </c>
      <c r="K242">
        <f>'Модель v2 базовая'!$E$84</f>
        <v>1.6666666666666667</v>
      </c>
      <c r="L242">
        <v>0.7</v>
      </c>
      <c r="M242">
        <f t="shared" si="105"/>
        <v>10</v>
      </c>
      <c r="N242">
        <f t="shared" ca="1" si="132"/>
        <v>1334.6302183395833</v>
      </c>
      <c r="O242">
        <f t="shared" ca="1" si="133"/>
        <v>133.46302183395832</v>
      </c>
      <c r="T242" s="3" t="str">
        <f t="shared" si="119"/>
        <v>Рулевой - база &lt; Элариэль из Готуна</v>
      </c>
      <c r="U242" s="9">
        <f t="shared" si="125"/>
        <v>75.407169706249988</v>
      </c>
      <c r="V242" s="9">
        <f t="shared" ca="1" si="126"/>
        <v>133.46302183395832</v>
      </c>
      <c r="W242">
        <f t="shared" si="127"/>
        <v>188.51792426562497</v>
      </c>
      <c r="X242" s="10">
        <f>'Книги профессий'!M4</f>
        <v>16</v>
      </c>
    </row>
    <row r="243" spans="1:24" x14ac:dyDescent="0.25">
      <c r="A243" s="23" t="str">
        <f>'Книги профессий'!K5&amp;" &lt; "&amp;'Книги профессий'!L5</f>
        <v>Рулевой - база &lt; Финдорил из Фидваго</v>
      </c>
      <c r="B243">
        <f>'Книги профессий'!N5</f>
        <v>79.74091509166665</v>
      </c>
      <c r="C243">
        <f>'Книги профессий'!I5</f>
        <v>6</v>
      </c>
      <c r="D243">
        <f t="shared" si="108"/>
        <v>14</v>
      </c>
      <c r="E243" t="str">
        <f t="shared" ref="E243:E261" si="134" xml:space="preserve"> ADDRESS(C243,D243)</f>
        <v>$N$6</v>
      </c>
      <c r="F243">
        <f t="shared" ref="F243:F261" ca="1" si="135">INDIRECT(E243)</f>
        <v>1460</v>
      </c>
      <c r="G243">
        <f t="shared" ref="G243:G261" ca="1" si="136">F243/320</f>
        <v>4.5625</v>
      </c>
      <c r="H243">
        <f>'Модель v2 базовая'!$G$84</f>
        <v>500</v>
      </c>
      <c r="I243">
        <f t="shared" ref="I243:I261" ca="1" si="137">H243/30*G243</f>
        <v>76.041666666666671</v>
      </c>
      <c r="J243">
        <v>10</v>
      </c>
      <c r="K243">
        <f>'Модель v2 базовая'!$E$84</f>
        <v>1.6666666666666667</v>
      </c>
      <c r="L243">
        <v>0.7</v>
      </c>
      <c r="M243">
        <f t="shared" si="105"/>
        <v>10</v>
      </c>
      <c r="N243">
        <f t="shared" ref="N243:N261" ca="1" si="138">IF(G243=0, B243*J243, B243*J243+(B243*J243*L243)+I243+K243)</f>
        <v>1433.3038898916666</v>
      </c>
      <c r="O243">
        <f t="shared" ref="O243:O261" ca="1" si="139">N243/J243</f>
        <v>143.33038898916666</v>
      </c>
      <c r="T243" s="3" t="str">
        <f t="shared" si="119"/>
        <v>Рулевой - база &lt; Финдорил из Фидваго</v>
      </c>
      <c r="U243" s="9">
        <f t="shared" si="125"/>
        <v>79.74091509166665</v>
      </c>
      <c r="V243" s="9">
        <f t="shared" ca="1" si="126"/>
        <v>143.33038898916666</v>
      </c>
      <c r="W243">
        <f t="shared" si="127"/>
        <v>199.35228772916662</v>
      </c>
      <c r="X243" s="10">
        <f>'Книги профессий'!M5</f>
        <v>15</v>
      </c>
    </row>
    <row r="244" spans="1:24" x14ac:dyDescent="0.25">
      <c r="A244" s="23" t="str">
        <f>'Книги профессий'!K6&amp;" &lt; "&amp;'Книги профессий'!L6</f>
        <v>Рулевой - база &lt; Элиндор из Дарутана</v>
      </c>
      <c r="B244">
        <f>'Книги профессий'!N6</f>
        <v>84.693766960714257</v>
      </c>
      <c r="C244">
        <f>'Книги профессий'!I6</f>
        <v>7</v>
      </c>
      <c r="D244">
        <f t="shared" si="108"/>
        <v>14</v>
      </c>
      <c r="E244" t="str">
        <f t="shared" si="134"/>
        <v>$N$7</v>
      </c>
      <c r="F244">
        <f t="shared" ca="1" si="135"/>
        <v>880</v>
      </c>
      <c r="G244">
        <f t="shared" ca="1" si="136"/>
        <v>2.75</v>
      </c>
      <c r="H244">
        <f>'Модель v2 базовая'!$G$84</f>
        <v>500</v>
      </c>
      <c r="I244">
        <f t="shared" ca="1" si="137"/>
        <v>45.833333333333336</v>
      </c>
      <c r="J244">
        <v>10</v>
      </c>
      <c r="K244">
        <f>'Модель v2 базовая'!$E$84</f>
        <v>1.6666666666666667</v>
      </c>
      <c r="L244">
        <v>0.7</v>
      </c>
      <c r="M244">
        <f t="shared" si="105"/>
        <v>10</v>
      </c>
      <c r="N244">
        <f t="shared" ca="1" si="138"/>
        <v>1487.2940383321422</v>
      </c>
      <c r="O244">
        <f t="shared" ca="1" si="139"/>
        <v>148.72940383321423</v>
      </c>
      <c r="T244" s="3" t="str">
        <f t="shared" si="119"/>
        <v>Рулевой - база &lt; Элиндор из Дарутана</v>
      </c>
      <c r="U244" s="9">
        <f t="shared" si="125"/>
        <v>84.693766960714257</v>
      </c>
      <c r="V244" s="9">
        <f t="shared" ca="1" si="126"/>
        <v>148.72940383321423</v>
      </c>
      <c r="W244">
        <f t="shared" si="127"/>
        <v>211.73441740178563</v>
      </c>
      <c r="X244" s="10">
        <f>'Книги профессий'!M6</f>
        <v>14</v>
      </c>
    </row>
    <row r="245" spans="1:24" x14ac:dyDescent="0.25">
      <c r="A245" s="23" t="str">
        <f>'Книги профессий'!K7&amp;" &lt; "&amp;'Книги профессий'!L7</f>
        <v>Рулевой - база &lt; Фаэрандор из Сарухана</v>
      </c>
      <c r="B245">
        <f>'Книги профессий'!N7</f>
        <v>90.408596040384595</v>
      </c>
      <c r="C245">
        <f>'Книги профессий'!I7</f>
        <v>8</v>
      </c>
      <c r="D245">
        <f t="shared" si="108"/>
        <v>14</v>
      </c>
      <c r="E245" t="str">
        <f t="shared" si="134"/>
        <v>$N$8</v>
      </c>
      <c r="F245">
        <f t="shared" ca="1" si="135"/>
        <v>1100</v>
      </c>
      <c r="G245">
        <f t="shared" ca="1" si="136"/>
        <v>3.4375</v>
      </c>
      <c r="H245">
        <f>'Модель v2 базовая'!$G$84</f>
        <v>500</v>
      </c>
      <c r="I245">
        <f t="shared" ca="1" si="137"/>
        <v>57.291666666666671</v>
      </c>
      <c r="J245">
        <v>10</v>
      </c>
      <c r="K245">
        <f>'Модель v2 базовая'!$E$84</f>
        <v>1.6666666666666667</v>
      </c>
      <c r="L245">
        <v>0.7</v>
      </c>
      <c r="M245">
        <f t="shared" si="105"/>
        <v>10</v>
      </c>
      <c r="N245">
        <f t="shared" ca="1" si="138"/>
        <v>1595.9044660198715</v>
      </c>
      <c r="O245">
        <f t="shared" ca="1" si="139"/>
        <v>159.59044660198714</v>
      </c>
      <c r="T245" s="3" t="str">
        <f t="shared" si="119"/>
        <v>Рулевой - база &lt; Фаэрандор из Сарухана</v>
      </c>
      <c r="U245" s="9">
        <f t="shared" si="125"/>
        <v>90.408596040384595</v>
      </c>
      <c r="V245" s="9">
        <f t="shared" ca="1" si="126"/>
        <v>159.59044660198714</v>
      </c>
      <c r="W245">
        <f t="shared" si="127"/>
        <v>226.0214901009615</v>
      </c>
      <c r="X245" s="10">
        <f>'Книги профессий'!M7</f>
        <v>13</v>
      </c>
    </row>
    <row r="246" spans="1:24" x14ac:dyDescent="0.25">
      <c r="A246" s="23" t="str">
        <f>'Книги профессий'!K8&amp;" &lt; "&amp;'Книги профессий'!L8</f>
        <v>Рулевой - база &lt; Эллисар из Лорена</v>
      </c>
      <c r="B246">
        <f>'Книги профессий'!N8</f>
        <v>97.075896633333315</v>
      </c>
      <c r="C246">
        <f>'Книги профессий'!I8</f>
        <v>9</v>
      </c>
      <c r="D246">
        <f t="shared" si="108"/>
        <v>14</v>
      </c>
      <c r="E246" t="str">
        <f t="shared" si="134"/>
        <v>$N$9</v>
      </c>
      <c r="F246">
        <f t="shared" ca="1" si="135"/>
        <v>1300</v>
      </c>
      <c r="G246">
        <f t="shared" ca="1" si="136"/>
        <v>4.0625</v>
      </c>
      <c r="H246">
        <f>'Модель v2 базовая'!$G$84</f>
        <v>500</v>
      </c>
      <c r="I246">
        <f t="shared" ca="1" si="137"/>
        <v>67.708333333333343</v>
      </c>
      <c r="J246">
        <v>10</v>
      </c>
      <c r="K246">
        <f>'Модель v2 базовая'!$E$84</f>
        <v>1.6666666666666667</v>
      </c>
      <c r="L246">
        <v>0.7</v>
      </c>
      <c r="M246">
        <f t="shared" si="105"/>
        <v>10</v>
      </c>
      <c r="N246">
        <f t="shared" ca="1" si="138"/>
        <v>1719.6652427666663</v>
      </c>
      <c r="O246">
        <f t="shared" ca="1" si="139"/>
        <v>171.96652427666663</v>
      </c>
      <c r="T246" s="3" t="str">
        <f t="shared" si="119"/>
        <v>Рулевой - база &lt; Эллисар из Лорена</v>
      </c>
      <c r="U246" s="9">
        <f t="shared" si="125"/>
        <v>97.075896633333315</v>
      </c>
      <c r="V246" s="9">
        <f t="shared" ca="1" si="126"/>
        <v>171.96652427666663</v>
      </c>
      <c r="W246">
        <f t="shared" si="127"/>
        <v>242.68974158333327</v>
      </c>
      <c r="X246" s="10">
        <f>'Книги профессий'!M8</f>
        <v>12</v>
      </c>
    </row>
    <row r="247" spans="1:24" x14ac:dyDescent="0.25">
      <c r="A247" s="23" t="str">
        <f>'Книги профессий'!K9&amp;" &lt; "&amp;'Книги профессий'!L9</f>
        <v>Рулевой - база &lt; Филиан из Самардейла</v>
      </c>
      <c r="B247">
        <f>'Книги профессий'!N9</f>
        <v>104.95543369772726</v>
      </c>
      <c r="C247">
        <f>'Книги профессий'!I9</f>
        <v>10</v>
      </c>
      <c r="D247">
        <f t="shared" si="108"/>
        <v>14</v>
      </c>
      <c r="E247" t="str">
        <f t="shared" si="134"/>
        <v>$N$10</v>
      </c>
      <c r="F247">
        <f t="shared" ca="1" si="135"/>
        <v>760</v>
      </c>
      <c r="G247">
        <f t="shared" ca="1" si="136"/>
        <v>2.375</v>
      </c>
      <c r="H247">
        <f>'Модель v2 базовая'!$G$84</f>
        <v>500</v>
      </c>
      <c r="I247">
        <f t="shared" ca="1" si="137"/>
        <v>39.583333333333336</v>
      </c>
      <c r="J247">
        <v>10</v>
      </c>
      <c r="K247">
        <f>'Модель v2 базовая'!$E$84</f>
        <v>1.6666666666666667</v>
      </c>
      <c r="L247">
        <v>0.7</v>
      </c>
      <c r="M247">
        <f t="shared" si="105"/>
        <v>0</v>
      </c>
      <c r="N247">
        <f t="shared" ca="1" si="138"/>
        <v>1825.4923728613635</v>
      </c>
      <c r="O247">
        <f t="shared" ca="1" si="139"/>
        <v>182.54923728613636</v>
      </c>
      <c r="T247" s="3" t="str">
        <f t="shared" si="119"/>
        <v>Рулевой - база &lt; Филиан из Самардейла</v>
      </c>
      <c r="U247" s="9">
        <f t="shared" si="125"/>
        <v>104.95543369772726</v>
      </c>
      <c r="V247" s="9">
        <f t="shared" ca="1" si="126"/>
        <v>182.54923728613636</v>
      </c>
      <c r="W247">
        <f t="shared" si="127"/>
        <v>262.38858424431817</v>
      </c>
      <c r="X247" s="10">
        <f>'Книги профессий'!M9</f>
        <v>11</v>
      </c>
    </row>
    <row r="248" spans="1:24" x14ac:dyDescent="0.25">
      <c r="A248" s="23" t="str">
        <f>'Книги профессий'!K10&amp;" &lt; "&amp;'Книги профессий'!L10</f>
        <v>Рулевой - база &lt; Фиора из Гвадекуры</v>
      </c>
      <c r="B248">
        <f>'Книги профессий'!N10</f>
        <v>114.41087817499998</v>
      </c>
      <c r="C248">
        <f>'Книги профессий'!I10</f>
        <v>11</v>
      </c>
      <c r="D248">
        <f t="shared" si="108"/>
        <v>14</v>
      </c>
      <c r="E248" t="str">
        <f t="shared" si="134"/>
        <v>$N$11</v>
      </c>
      <c r="F248">
        <f t="shared" ca="1" si="135"/>
        <v>880</v>
      </c>
      <c r="G248">
        <f t="shared" ca="1" si="136"/>
        <v>2.75</v>
      </c>
      <c r="H248">
        <f>'Модель v2 базовая'!$G$84</f>
        <v>500</v>
      </c>
      <c r="I248">
        <f t="shared" ca="1" si="137"/>
        <v>45.833333333333336</v>
      </c>
      <c r="J248">
        <v>10</v>
      </c>
      <c r="K248">
        <f>'Модель v2 базовая'!$E$84</f>
        <v>1.6666666666666667</v>
      </c>
      <c r="L248">
        <v>0.7</v>
      </c>
      <c r="M248">
        <f t="shared" si="105"/>
        <v>0</v>
      </c>
      <c r="N248">
        <f t="shared" ca="1" si="138"/>
        <v>1992.4849289749995</v>
      </c>
      <c r="O248">
        <f t="shared" ca="1" si="139"/>
        <v>199.24849289749994</v>
      </c>
      <c r="T248" s="3" t="str">
        <f t="shared" si="119"/>
        <v>Рулевой - база &lt; Фиора из Гвадекуры</v>
      </c>
      <c r="U248" s="9">
        <f t="shared" si="125"/>
        <v>114.41087817499998</v>
      </c>
      <c r="V248" s="9">
        <f t="shared" ca="1" si="126"/>
        <v>199.24849289749994</v>
      </c>
      <c r="W248">
        <f t="shared" si="127"/>
        <v>286.02719543749993</v>
      </c>
      <c r="X248" s="10">
        <f>'Книги профессий'!M10</f>
        <v>10</v>
      </c>
    </row>
    <row r="249" spans="1:24" x14ac:dyDescent="0.25">
      <c r="A249" s="23" t="str">
        <f>'Книги профессий'!K11&amp;" &lt; "&amp;'Книги профессий'!L11</f>
        <v>Рулевой - база &lt; Таэлин из Ранджар-ара</v>
      </c>
      <c r="B249">
        <f>'Книги профессий'!N11</f>
        <v>125.96753253611109</v>
      </c>
      <c r="C249">
        <f>'Книги профессий'!I11</f>
        <v>12</v>
      </c>
      <c r="D249">
        <f t="shared" si="108"/>
        <v>14</v>
      </c>
      <c r="E249" t="str">
        <f t="shared" si="134"/>
        <v>$N$12</v>
      </c>
      <c r="F249">
        <f t="shared" ca="1" si="135"/>
        <v>400</v>
      </c>
      <c r="G249">
        <f t="shared" ca="1" si="136"/>
        <v>1.25</v>
      </c>
      <c r="H249">
        <f>'Модель v2 базовая'!$G$84</f>
        <v>500</v>
      </c>
      <c r="I249">
        <f t="shared" ca="1" si="137"/>
        <v>20.833333333333336</v>
      </c>
      <c r="J249">
        <v>10</v>
      </c>
      <c r="K249">
        <f>'Модель v2 базовая'!$E$84</f>
        <v>1.6666666666666667</v>
      </c>
      <c r="L249">
        <v>0.7</v>
      </c>
      <c r="M249">
        <f t="shared" si="105"/>
        <v>0</v>
      </c>
      <c r="N249">
        <f t="shared" ca="1" si="138"/>
        <v>2163.9480531138888</v>
      </c>
      <c r="O249">
        <f t="shared" ca="1" si="139"/>
        <v>216.39480531138889</v>
      </c>
      <c r="T249" s="3" t="str">
        <f t="shared" si="119"/>
        <v>Рулевой - база &lt; Таэлин из Ранджар-ара</v>
      </c>
      <c r="U249" s="9">
        <f t="shared" si="125"/>
        <v>125.96753253611109</v>
      </c>
      <c r="V249" s="9">
        <f t="shared" ca="1" si="126"/>
        <v>216.39480531138889</v>
      </c>
      <c r="W249">
        <f t="shared" si="127"/>
        <v>314.91883134027773</v>
      </c>
      <c r="X249" s="10">
        <f>'Книги профессий'!M11</f>
        <v>9</v>
      </c>
    </row>
    <row r="250" spans="1:24" x14ac:dyDescent="0.25">
      <c r="A250" s="23" t="str">
        <f>'Книги профессий'!K12&amp;" &lt; "&amp;'Книги профессий'!L12</f>
        <v>Рулевой - база &lt; Фиалара из Садата</v>
      </c>
      <c r="B250">
        <f>'Книги профессий'!N12</f>
        <v>140.4133504875</v>
      </c>
      <c r="C250">
        <f>'Книги профессий'!I12</f>
        <v>13</v>
      </c>
      <c r="D250">
        <f t="shared" si="108"/>
        <v>14</v>
      </c>
      <c r="E250" t="str">
        <f t="shared" si="134"/>
        <v>$N$13</v>
      </c>
      <c r="F250">
        <f t="shared" ca="1" si="135"/>
        <v>880</v>
      </c>
      <c r="G250">
        <f t="shared" ca="1" si="136"/>
        <v>2.75</v>
      </c>
      <c r="H250">
        <f>'Модель v2 базовая'!$G$84</f>
        <v>500</v>
      </c>
      <c r="I250">
        <f t="shared" ca="1" si="137"/>
        <v>45.833333333333336</v>
      </c>
      <c r="J250">
        <v>10</v>
      </c>
      <c r="K250">
        <f>'Модель v2 базовая'!$E$84</f>
        <v>1.6666666666666667</v>
      </c>
      <c r="L250">
        <v>0.7</v>
      </c>
      <c r="M250">
        <f t="shared" si="105"/>
        <v>0</v>
      </c>
      <c r="N250">
        <f t="shared" ca="1" si="138"/>
        <v>2434.5269582874998</v>
      </c>
      <c r="O250">
        <f t="shared" ca="1" si="139"/>
        <v>243.45269582875</v>
      </c>
      <c r="T250" s="3" t="str">
        <f t="shared" si="119"/>
        <v>Рулевой - база &lt; Фиалара из Садата</v>
      </c>
      <c r="U250" s="9">
        <f t="shared" si="125"/>
        <v>140.4133504875</v>
      </c>
      <c r="V250" s="9">
        <f t="shared" ca="1" si="126"/>
        <v>243.45269582875</v>
      </c>
      <c r="W250">
        <f t="shared" si="127"/>
        <v>351.03337621874999</v>
      </c>
      <c r="X250" s="10">
        <f>'Книги профессий'!M12</f>
        <v>8</v>
      </c>
    </row>
    <row r="251" spans="1:24" x14ac:dyDescent="0.25">
      <c r="A251" s="23" t="str">
        <f>'Книги профессий'!K13&amp;" &lt; "&amp;'Книги профессий'!L13</f>
        <v>Рулевой - база &lt; Лиссандра из Столицы</v>
      </c>
      <c r="B251">
        <f>'Книги профессий'!N13</f>
        <v>158.98654499642853</v>
      </c>
      <c r="C251">
        <f>'Книги профессий'!I13</f>
        <v>14</v>
      </c>
      <c r="D251">
        <f t="shared" si="108"/>
        <v>14</v>
      </c>
      <c r="E251" t="str">
        <f t="shared" si="134"/>
        <v>$N$14</v>
      </c>
      <c r="F251">
        <f t="shared" ca="1" si="135"/>
        <v>0</v>
      </c>
      <c r="G251">
        <f t="shared" ca="1" si="136"/>
        <v>0</v>
      </c>
      <c r="H251">
        <f>'Модель v2 базовая'!$G$84</f>
        <v>500</v>
      </c>
      <c r="I251">
        <f t="shared" ca="1" si="137"/>
        <v>0</v>
      </c>
      <c r="J251">
        <v>10</v>
      </c>
      <c r="K251">
        <f>'Модель v2 базовая'!$E$84</f>
        <v>1.6666666666666667</v>
      </c>
      <c r="L251">
        <v>0.7</v>
      </c>
      <c r="M251">
        <f t="shared" si="105"/>
        <v>0</v>
      </c>
      <c r="N251">
        <f t="shared" ca="1" si="138"/>
        <v>1589.8654499642853</v>
      </c>
      <c r="O251">
        <f t="shared" ca="1" si="139"/>
        <v>158.98654499642853</v>
      </c>
      <c r="T251" s="3" t="str">
        <f t="shared" si="119"/>
        <v>Рулевой - база &lt; Лиссандра из Столицы</v>
      </c>
      <c r="U251" s="9">
        <f t="shared" si="125"/>
        <v>158.98654499642853</v>
      </c>
      <c r="V251" s="9">
        <f t="shared" ca="1" si="126"/>
        <v>158.98654499642853</v>
      </c>
      <c r="W251">
        <f t="shared" si="127"/>
        <v>397.46636249107132</v>
      </c>
      <c r="X251" s="10">
        <f>'Книги профессий'!M13</f>
        <v>7</v>
      </c>
    </row>
    <row r="252" spans="1:24" x14ac:dyDescent="0.25">
      <c r="A252" s="23" t="str">
        <f>'Книги профессий'!K14&amp;" &lt; "&amp;'Книги профессий'!L14</f>
        <v>Рулевой продвинутый &lt; Элориан из Люг-о-дана</v>
      </c>
      <c r="B252">
        <f>'Книги профессий'!N14</f>
        <v>166.41582279999997</v>
      </c>
      <c r="C252">
        <f>'Книги профессий'!I14</f>
        <v>3</v>
      </c>
      <c r="D252">
        <f t="shared" si="108"/>
        <v>14</v>
      </c>
      <c r="E252" t="str">
        <f t="shared" si="134"/>
        <v>$N$3</v>
      </c>
      <c r="F252">
        <f t="shared" ca="1" si="135"/>
        <v>680</v>
      </c>
      <c r="G252">
        <f t="shared" ca="1" si="136"/>
        <v>2.125</v>
      </c>
      <c r="H252">
        <f>'Модель v2 базовая'!$G$84</f>
        <v>500</v>
      </c>
      <c r="I252">
        <f t="shared" ca="1" si="137"/>
        <v>35.416666666666671</v>
      </c>
      <c r="J252">
        <v>10</v>
      </c>
      <c r="K252">
        <f>'Модель v2 базовая'!$E$84</f>
        <v>1.6666666666666667</v>
      </c>
      <c r="L252">
        <v>0.7</v>
      </c>
      <c r="M252">
        <f t="shared" si="105"/>
        <v>10</v>
      </c>
      <c r="N252">
        <f t="shared" ca="1" si="138"/>
        <v>2866.1523209333327</v>
      </c>
      <c r="O252">
        <f t="shared" ca="1" si="139"/>
        <v>286.61523209333325</v>
      </c>
      <c r="T252" s="3" t="str">
        <f t="shared" si="119"/>
        <v>Рулевой продвинутый &lt; Элориан из Люг-о-дана</v>
      </c>
      <c r="U252" s="9">
        <f t="shared" si="125"/>
        <v>166.41582279999997</v>
      </c>
      <c r="V252" s="9">
        <f t="shared" ca="1" si="126"/>
        <v>286.61523209333325</v>
      </c>
      <c r="W252">
        <f t="shared" si="127"/>
        <v>416.03955699999995</v>
      </c>
      <c r="X252" s="10">
        <f>'Книги профессий'!M14</f>
        <v>20</v>
      </c>
    </row>
    <row r="253" spans="1:24" x14ac:dyDescent="0.25">
      <c r="A253" s="23" t="str">
        <f>'Книги профессий'!K15&amp;" &lt; "&amp;'Книги профессий'!L15</f>
        <v>Рулевой продвинутый &lt; Тиандор из Шихона</v>
      </c>
      <c r="B253">
        <f>'Книги профессий'!N15</f>
        <v>174.62712984605258</v>
      </c>
      <c r="C253">
        <f>'Книги профессий'!I15</f>
        <v>4</v>
      </c>
      <c r="D253">
        <f t="shared" si="108"/>
        <v>14</v>
      </c>
      <c r="E253" t="str">
        <f t="shared" si="134"/>
        <v>$N$4</v>
      </c>
      <c r="F253">
        <f t="shared" ca="1" si="135"/>
        <v>900</v>
      </c>
      <c r="G253">
        <f t="shared" ca="1" si="136"/>
        <v>2.8125</v>
      </c>
      <c r="H253">
        <f>'Модель v2 базовая'!$G$84</f>
        <v>500</v>
      </c>
      <c r="I253">
        <f t="shared" ca="1" si="137"/>
        <v>46.875</v>
      </c>
      <c r="J253">
        <v>10</v>
      </c>
      <c r="K253">
        <f>'Модель v2 базовая'!$E$84</f>
        <v>1.6666666666666667</v>
      </c>
      <c r="L253">
        <v>0.7</v>
      </c>
      <c r="M253">
        <f t="shared" si="105"/>
        <v>10</v>
      </c>
      <c r="N253">
        <f t="shared" ca="1" si="138"/>
        <v>3017.2028740495603</v>
      </c>
      <c r="O253">
        <f t="shared" ca="1" si="139"/>
        <v>301.72028740495603</v>
      </c>
      <c r="T253" s="3" t="str">
        <f t="shared" si="119"/>
        <v>Рулевой продвинутый &lt; Тиандор из Шихона</v>
      </c>
      <c r="U253" s="9">
        <f t="shared" si="125"/>
        <v>174.62712984605258</v>
      </c>
      <c r="V253" s="9">
        <f t="shared" ca="1" si="126"/>
        <v>301.72028740495603</v>
      </c>
      <c r="W253">
        <f t="shared" si="127"/>
        <v>436.56782461513149</v>
      </c>
      <c r="X253" s="10">
        <f>'Книги профессий'!M15</f>
        <v>19</v>
      </c>
    </row>
    <row r="254" spans="1:24" x14ac:dyDescent="0.25">
      <c r="A254" s="23" t="str">
        <f>'Книги профессий'!K16&amp;" &lt; "&amp;'Книги профессий'!L16</f>
        <v>Рулевой продвинутый &lt; Исиллиэль из Готуна</v>
      </c>
      <c r="B254">
        <f>'Книги профессий'!N16</f>
        <v>183.75080434166665</v>
      </c>
      <c r="C254">
        <f>'Книги профессий'!I16</f>
        <v>5</v>
      </c>
      <c r="D254">
        <f t="shared" si="108"/>
        <v>14</v>
      </c>
      <c r="E254" t="str">
        <f t="shared" si="134"/>
        <v>$N$5</v>
      </c>
      <c r="F254">
        <f t="shared" ca="1" si="135"/>
        <v>980</v>
      </c>
      <c r="G254">
        <f t="shared" ca="1" si="136"/>
        <v>3.0625</v>
      </c>
      <c r="H254">
        <f>'Модель v2 базовая'!$G$84</f>
        <v>500</v>
      </c>
      <c r="I254">
        <f t="shared" ca="1" si="137"/>
        <v>51.041666666666671</v>
      </c>
      <c r="J254">
        <v>10</v>
      </c>
      <c r="K254">
        <f>'Модель v2 базовая'!$E$84</f>
        <v>1.6666666666666667</v>
      </c>
      <c r="L254">
        <v>0.7</v>
      </c>
      <c r="M254">
        <f t="shared" si="105"/>
        <v>10</v>
      </c>
      <c r="N254">
        <f t="shared" ca="1" si="138"/>
        <v>3176.4720071416659</v>
      </c>
      <c r="O254">
        <f t="shared" ca="1" si="139"/>
        <v>317.64720071416662</v>
      </c>
      <c r="T254" s="3" t="str">
        <f t="shared" si="119"/>
        <v>Рулевой продвинутый &lt; Исиллиэль из Готуна</v>
      </c>
      <c r="U254" s="9">
        <f t="shared" si="125"/>
        <v>183.75080434166665</v>
      </c>
      <c r="V254" s="9">
        <f t="shared" ca="1" si="126"/>
        <v>317.64720071416662</v>
      </c>
      <c r="W254">
        <f t="shared" si="127"/>
        <v>459.37701085416666</v>
      </c>
      <c r="X254" s="10">
        <f>'Книги профессий'!M16</f>
        <v>18</v>
      </c>
    </row>
    <row r="255" spans="1:24" x14ac:dyDescent="0.25">
      <c r="A255" s="23" t="str">
        <f>'Книги профессий'!K17&amp;" &lt; "&amp;'Книги профессий'!L17</f>
        <v>Рулевой продвинутый &lt; Тирентис из Фидваго</v>
      </c>
      <c r="B255">
        <f>'Книги профессий'!N17</f>
        <v>193.94785230735295</v>
      </c>
      <c r="C255">
        <f>'Книги профессий'!I17</f>
        <v>6</v>
      </c>
      <c r="D255">
        <f t="shared" si="108"/>
        <v>14</v>
      </c>
      <c r="E255" t="str">
        <f t="shared" si="134"/>
        <v>$N$6</v>
      </c>
      <c r="F255">
        <f t="shared" ca="1" si="135"/>
        <v>1460</v>
      </c>
      <c r="G255">
        <f t="shared" ca="1" si="136"/>
        <v>4.5625</v>
      </c>
      <c r="H255">
        <f>'Модель v2 базовая'!$G$84</f>
        <v>500</v>
      </c>
      <c r="I255">
        <f t="shared" ca="1" si="137"/>
        <v>76.041666666666671</v>
      </c>
      <c r="J255">
        <v>10</v>
      </c>
      <c r="K255">
        <f>'Модель v2 базовая'!$E$84</f>
        <v>1.6666666666666667</v>
      </c>
      <c r="L255">
        <v>0.7</v>
      </c>
      <c r="M255">
        <f t="shared" si="105"/>
        <v>10</v>
      </c>
      <c r="N255">
        <f t="shared" ca="1" si="138"/>
        <v>3374.8218225583332</v>
      </c>
      <c r="O255">
        <f t="shared" ca="1" si="139"/>
        <v>337.48218225583332</v>
      </c>
      <c r="T255" s="3" t="str">
        <f t="shared" si="119"/>
        <v>Рулевой продвинутый &lt; Тирентис из Фидваго</v>
      </c>
      <c r="U255" s="9">
        <f t="shared" si="125"/>
        <v>193.94785230735295</v>
      </c>
      <c r="V255" s="9">
        <f t="shared" ca="1" si="126"/>
        <v>337.48218225583332</v>
      </c>
      <c r="W255">
        <f t="shared" si="127"/>
        <v>484.86963076838236</v>
      </c>
      <c r="X255" s="10">
        <f>'Книги профессий'!M17</f>
        <v>17</v>
      </c>
    </row>
    <row r="256" spans="1:24" x14ac:dyDescent="0.25">
      <c r="A256" s="23" t="str">
        <f>'Книги профессий'!K18&amp;" &lt; "&amp;'Книги профессий'!L18</f>
        <v>Рулевой продвинутый &lt; Иллирон из Дарутана</v>
      </c>
      <c r="B256">
        <f>'Книги профессий'!N18</f>
        <v>205.41953126874998</v>
      </c>
      <c r="C256">
        <f>'Книги профессий'!I18</f>
        <v>7</v>
      </c>
      <c r="D256">
        <f t="shared" si="108"/>
        <v>14</v>
      </c>
      <c r="E256" t="str">
        <f t="shared" si="134"/>
        <v>$N$7</v>
      </c>
      <c r="F256">
        <f t="shared" ca="1" si="135"/>
        <v>880</v>
      </c>
      <c r="G256">
        <f t="shared" ca="1" si="136"/>
        <v>2.75</v>
      </c>
      <c r="H256">
        <f>'Модель v2 базовая'!$G$84</f>
        <v>500</v>
      </c>
      <c r="I256">
        <f t="shared" ca="1" si="137"/>
        <v>45.833333333333336</v>
      </c>
      <c r="J256">
        <v>10</v>
      </c>
      <c r="K256">
        <f>'Модель v2 базовая'!$E$84</f>
        <v>1.6666666666666667</v>
      </c>
      <c r="L256">
        <v>0.7</v>
      </c>
      <c r="M256">
        <f t="shared" si="105"/>
        <v>10</v>
      </c>
      <c r="N256">
        <f t="shared" ca="1" si="138"/>
        <v>3539.632031568749</v>
      </c>
      <c r="O256">
        <f t="shared" ca="1" si="139"/>
        <v>353.9632031568749</v>
      </c>
      <c r="T256" s="3" t="str">
        <f t="shared" si="119"/>
        <v>Рулевой продвинутый &lt; Иллирон из Дарутана</v>
      </c>
      <c r="U256" s="9">
        <f t="shared" si="125"/>
        <v>205.41953126874998</v>
      </c>
      <c r="V256" s="9">
        <f t="shared" ca="1" si="126"/>
        <v>353.9632031568749</v>
      </c>
      <c r="W256">
        <f t="shared" si="127"/>
        <v>513.5488281718749</v>
      </c>
      <c r="X256" s="10">
        <f>'Книги профессий'!M18</f>
        <v>16</v>
      </c>
    </row>
    <row r="257" spans="1:24" x14ac:dyDescent="0.25">
      <c r="A257" s="23" t="str">
        <f>'Книги профессий'!K19&amp;" &lt; "&amp;'Книги профессий'!L19</f>
        <v>Рулевой продвинутый &lt; Фелиос из Сарухана</v>
      </c>
      <c r="B257">
        <f>'Книги профессий'!N19</f>
        <v>218.42076742499998</v>
      </c>
      <c r="C257">
        <f>'Книги профессий'!I19</f>
        <v>8</v>
      </c>
      <c r="D257">
        <f t="shared" si="108"/>
        <v>14</v>
      </c>
      <c r="E257" t="str">
        <f t="shared" si="134"/>
        <v>$N$8</v>
      </c>
      <c r="F257">
        <f t="shared" ca="1" si="135"/>
        <v>1100</v>
      </c>
      <c r="G257">
        <f t="shared" ca="1" si="136"/>
        <v>3.4375</v>
      </c>
      <c r="H257">
        <f>'Модель v2 базовая'!$G$84</f>
        <v>500</v>
      </c>
      <c r="I257">
        <f t="shared" ca="1" si="137"/>
        <v>57.291666666666671</v>
      </c>
      <c r="J257">
        <v>10</v>
      </c>
      <c r="K257">
        <f>'Модель v2 базовая'!$E$84</f>
        <v>1.6666666666666667</v>
      </c>
      <c r="L257">
        <v>0.7</v>
      </c>
      <c r="M257">
        <f t="shared" si="105"/>
        <v>10</v>
      </c>
      <c r="N257">
        <f t="shared" ca="1" si="138"/>
        <v>3772.1113795583324</v>
      </c>
      <c r="O257">
        <f t="shared" ca="1" si="139"/>
        <v>377.21113795583324</v>
      </c>
      <c r="T257" s="3" t="str">
        <f t="shared" si="119"/>
        <v>Рулевой продвинутый &lt; Фелиос из Сарухана</v>
      </c>
      <c r="U257" s="9">
        <f t="shared" si="125"/>
        <v>218.42076742499998</v>
      </c>
      <c r="V257" s="9">
        <f t="shared" ca="1" si="126"/>
        <v>377.21113795583324</v>
      </c>
      <c r="W257">
        <f t="shared" si="127"/>
        <v>546.05191856249996</v>
      </c>
      <c r="X257" s="10">
        <f>'Книги профессий'!M19</f>
        <v>15</v>
      </c>
    </row>
    <row r="258" spans="1:24" x14ac:dyDescent="0.25">
      <c r="A258" s="23" t="str">
        <f>'Книги профессий'!K20&amp;" &lt; "&amp;'Книги профессий'!L20</f>
        <v>Рулевой продвинутый &lt; Элиндор из Лорена</v>
      </c>
      <c r="B258">
        <f>'Книги профессий'!N20</f>
        <v>233.2793230321428</v>
      </c>
      <c r="C258">
        <f>'Книги профессий'!I20</f>
        <v>9</v>
      </c>
      <c r="D258">
        <f t="shared" si="108"/>
        <v>14</v>
      </c>
      <c r="E258" t="str">
        <f t="shared" si="134"/>
        <v>$N$9</v>
      </c>
      <c r="F258">
        <f t="shared" ca="1" si="135"/>
        <v>1300</v>
      </c>
      <c r="G258">
        <f t="shared" ca="1" si="136"/>
        <v>4.0625</v>
      </c>
      <c r="H258">
        <f>'Модель v2 базовая'!$G$84</f>
        <v>500</v>
      </c>
      <c r="I258">
        <f t="shared" ca="1" si="137"/>
        <v>67.708333333333343</v>
      </c>
      <c r="J258">
        <v>10</v>
      </c>
      <c r="K258">
        <f>'Модель v2 базовая'!$E$84</f>
        <v>1.6666666666666667</v>
      </c>
      <c r="L258">
        <v>0.7</v>
      </c>
      <c r="M258">
        <f t="shared" si="105"/>
        <v>10</v>
      </c>
      <c r="N258">
        <f t="shared" ca="1" si="138"/>
        <v>4035.1234915464274</v>
      </c>
      <c r="O258">
        <f t="shared" ca="1" si="139"/>
        <v>403.51234915464272</v>
      </c>
      <c r="T258" s="3" t="str">
        <f t="shared" si="119"/>
        <v>Рулевой продвинутый &lt; Элиндор из Лорена</v>
      </c>
      <c r="U258" s="9">
        <f t="shared" si="125"/>
        <v>233.2793230321428</v>
      </c>
      <c r="V258" s="9">
        <f t="shared" ca="1" si="126"/>
        <v>403.51234915464272</v>
      </c>
      <c r="W258">
        <f t="shared" si="127"/>
        <v>583.19830758035698</v>
      </c>
      <c r="X258" s="10">
        <f>'Книги профессий'!M20</f>
        <v>14</v>
      </c>
    </row>
    <row r="259" spans="1:24" x14ac:dyDescent="0.25">
      <c r="A259" s="23" t="str">
        <f>'Книги профессий'!K21&amp;" &lt; "&amp;'Книги профессий'!L21</f>
        <v>Рулевой продвинутый &lt; Лиресса из Самардейла</v>
      </c>
      <c r="B259">
        <f>'Книги профессий'!N21</f>
        <v>250.4238102711538</v>
      </c>
      <c r="C259">
        <f>'Книги профессий'!I21</f>
        <v>10</v>
      </c>
      <c r="D259">
        <f t="shared" si="108"/>
        <v>14</v>
      </c>
      <c r="E259" t="str">
        <f t="shared" si="134"/>
        <v>$N$10</v>
      </c>
      <c r="F259">
        <f t="shared" ca="1" si="135"/>
        <v>760</v>
      </c>
      <c r="G259">
        <f t="shared" ca="1" si="136"/>
        <v>2.375</v>
      </c>
      <c r="H259">
        <f>'Модель v2 базовая'!$G$84</f>
        <v>500</v>
      </c>
      <c r="I259">
        <f t="shared" ca="1" si="137"/>
        <v>39.583333333333336</v>
      </c>
      <c r="J259">
        <v>10</v>
      </c>
      <c r="K259">
        <f>'Модель v2 базовая'!$E$84</f>
        <v>1.6666666666666667</v>
      </c>
      <c r="L259">
        <v>0.7</v>
      </c>
      <c r="M259">
        <f t="shared" si="105"/>
        <v>0</v>
      </c>
      <c r="N259">
        <f t="shared" ca="1" si="138"/>
        <v>4298.4547746096141</v>
      </c>
      <c r="O259">
        <f t="shared" ca="1" si="139"/>
        <v>429.84547746096143</v>
      </c>
      <c r="T259" s="3" t="str">
        <f t="shared" si="119"/>
        <v>Рулевой продвинутый &lt; Лиресса из Самардейла</v>
      </c>
      <c r="U259" s="9">
        <f t="shared" si="125"/>
        <v>250.4238102711538</v>
      </c>
      <c r="V259" s="9">
        <f t="shared" ca="1" si="126"/>
        <v>429.84547746096143</v>
      </c>
      <c r="W259">
        <f t="shared" si="127"/>
        <v>626.05952567788449</v>
      </c>
      <c r="X259" s="10">
        <f>'Книги профессий'!M21</f>
        <v>13</v>
      </c>
    </row>
    <row r="260" spans="1:24" x14ac:dyDescent="0.25">
      <c r="A260" s="23" t="str">
        <f>'Книги профессий'!K22&amp;" &lt; "&amp;'Книги профессий'!L22</f>
        <v>Рулевой продвинутый &lt; Элиндор из Гвадекуры</v>
      </c>
      <c r="B260">
        <f>'Книги профессий'!N22</f>
        <v>270.42571204999996</v>
      </c>
      <c r="C260">
        <f>'Книги профессий'!I22</f>
        <v>11</v>
      </c>
      <c r="D260">
        <f t="shared" si="108"/>
        <v>14</v>
      </c>
      <c r="E260" t="str">
        <f t="shared" si="134"/>
        <v>$N$11</v>
      </c>
      <c r="F260">
        <f t="shared" ca="1" si="135"/>
        <v>880</v>
      </c>
      <c r="G260">
        <f t="shared" ca="1" si="136"/>
        <v>2.75</v>
      </c>
      <c r="H260">
        <f>'Модель v2 базовая'!$G$84</f>
        <v>500</v>
      </c>
      <c r="I260">
        <f t="shared" ca="1" si="137"/>
        <v>45.833333333333336</v>
      </c>
      <c r="J260">
        <v>10</v>
      </c>
      <c r="K260">
        <f>'Модель v2 базовая'!$E$84</f>
        <v>1.6666666666666667</v>
      </c>
      <c r="L260">
        <v>0.7</v>
      </c>
      <c r="M260">
        <f t="shared" si="105"/>
        <v>0</v>
      </c>
      <c r="N260">
        <f t="shared" ca="1" si="138"/>
        <v>4644.737104849999</v>
      </c>
      <c r="O260">
        <f t="shared" ca="1" si="139"/>
        <v>464.47371048499991</v>
      </c>
      <c r="T260" s="3" t="str">
        <f t="shared" si="119"/>
        <v>Рулевой продвинутый &lt; Элиндор из Гвадекуры</v>
      </c>
      <c r="U260" s="9">
        <f t="shared" si="125"/>
        <v>270.42571204999996</v>
      </c>
      <c r="V260" s="9">
        <f t="shared" ca="1" si="126"/>
        <v>464.47371048499991</v>
      </c>
      <c r="W260">
        <f t="shared" si="127"/>
        <v>676.06428012499987</v>
      </c>
      <c r="X260" s="10">
        <f>'Книги профессий'!M22</f>
        <v>12</v>
      </c>
    </row>
    <row r="261" spans="1:24" x14ac:dyDescent="0.25">
      <c r="A261" s="23" t="str">
        <f>'Книги профессий'!K23&amp;" &lt; "&amp;'Книги профессий'!L23</f>
        <v>Рулевой продвинутый &lt; Аркантус из Ранджар-ара</v>
      </c>
      <c r="B261">
        <f>'Книги профессий'!N23</f>
        <v>294.06432324318172</v>
      </c>
      <c r="C261">
        <f>'Книги профессий'!I23</f>
        <v>12</v>
      </c>
      <c r="D261">
        <f t="shared" si="108"/>
        <v>14</v>
      </c>
      <c r="E261" t="str">
        <f t="shared" si="134"/>
        <v>$N$12</v>
      </c>
      <c r="F261">
        <f t="shared" ca="1" si="135"/>
        <v>400</v>
      </c>
      <c r="G261">
        <f t="shared" ca="1" si="136"/>
        <v>1.25</v>
      </c>
      <c r="H261">
        <f>'Модель v2 базовая'!$G$84</f>
        <v>500</v>
      </c>
      <c r="I261">
        <f t="shared" ca="1" si="137"/>
        <v>20.833333333333336</v>
      </c>
      <c r="J261">
        <v>10</v>
      </c>
      <c r="K261">
        <f>'Модель v2 базовая'!$E$84</f>
        <v>1.6666666666666667</v>
      </c>
      <c r="L261">
        <v>0.7</v>
      </c>
      <c r="M261">
        <f t="shared" si="105"/>
        <v>0</v>
      </c>
      <c r="N261">
        <f t="shared" ca="1" si="138"/>
        <v>5021.5934951340887</v>
      </c>
      <c r="O261">
        <f t="shared" ca="1" si="139"/>
        <v>502.15934951340887</v>
      </c>
      <c r="T261" s="3" t="str">
        <f t="shared" si="119"/>
        <v>Рулевой продвинутый &lt; Аркантус из Ранджар-ара</v>
      </c>
      <c r="U261" s="9">
        <f t="shared" si="125"/>
        <v>294.06432324318172</v>
      </c>
      <c r="V261" s="9">
        <f t="shared" ca="1" si="126"/>
        <v>502.15934951340887</v>
      </c>
      <c r="W261">
        <f t="shared" si="127"/>
        <v>735.16080810795427</v>
      </c>
      <c r="X261" s="10">
        <f>'Книги профессий'!M23</f>
        <v>11</v>
      </c>
    </row>
    <row r="262" spans="1:24" x14ac:dyDescent="0.25">
      <c r="A262" s="23" t="str">
        <f>'Книги профессий'!K24&amp;" &lt; "&amp;'Книги профессий'!L24</f>
        <v>Рулевой продвинутый &lt; Тиандор из Садата</v>
      </c>
      <c r="B262">
        <f>'Книги профессий'!N24</f>
        <v>322.43065667499991</v>
      </c>
      <c r="C262">
        <f>'Книги профессий'!I24</f>
        <v>13</v>
      </c>
      <c r="D262">
        <f t="shared" si="108"/>
        <v>14</v>
      </c>
      <c r="E262" t="str">
        <f t="shared" ref="E262:E307" si="140" xml:space="preserve"> ADDRESS(C262,D262)</f>
        <v>$N$13</v>
      </c>
      <c r="F262">
        <f t="shared" ref="F262:F307" ca="1" si="141">INDIRECT(E262)</f>
        <v>880</v>
      </c>
      <c r="G262">
        <f t="shared" ref="G262:G307" ca="1" si="142">F262/320</f>
        <v>2.75</v>
      </c>
      <c r="H262">
        <f>'Модель v2 базовая'!$G$84</f>
        <v>500</v>
      </c>
      <c r="I262">
        <f t="shared" ref="I262:I307" ca="1" si="143">H262/30*G262</f>
        <v>45.833333333333336</v>
      </c>
      <c r="J262">
        <v>10</v>
      </c>
      <c r="K262">
        <f>'Модель v2 базовая'!$E$84</f>
        <v>1.6666666666666667</v>
      </c>
      <c r="L262">
        <v>0.7</v>
      </c>
      <c r="M262">
        <f t="shared" si="105"/>
        <v>0</v>
      </c>
      <c r="N262">
        <f t="shared" ref="N262:N307" ca="1" si="144">IF(G262=0, B262*J262, B262*J262+(B262*J262*L262)+I262+K262)</f>
        <v>5528.8211634749987</v>
      </c>
      <c r="O262">
        <f t="shared" ref="O262:O307" ca="1" si="145">N262/J262</f>
        <v>552.88211634749985</v>
      </c>
      <c r="T262" s="3" t="str">
        <f t="shared" si="119"/>
        <v>Рулевой продвинутый &lt; Тиандор из Садата</v>
      </c>
      <c r="U262" s="9">
        <f t="shared" si="125"/>
        <v>322.43065667499991</v>
      </c>
      <c r="V262" s="9">
        <f t="shared" ca="1" si="126"/>
        <v>552.88211634749985</v>
      </c>
      <c r="W262">
        <f t="shared" si="127"/>
        <v>806.07664168749977</v>
      </c>
      <c r="X262" s="10">
        <f>'Книги профессий'!M24</f>
        <v>10</v>
      </c>
    </row>
    <row r="263" spans="1:24" x14ac:dyDescent="0.25">
      <c r="A263" s="23" t="str">
        <f>'Книги профессий'!K25&amp;" &lt; "&amp;'Книги профессий'!L25</f>
        <v>Рулевой продвинутый &lt; Фейлиндор из Столицы</v>
      </c>
      <c r="B263">
        <f>'Книги профессий'!N25</f>
        <v>357.10061975833327</v>
      </c>
      <c r="C263">
        <f>'Книги профессий'!I25</f>
        <v>14</v>
      </c>
      <c r="D263">
        <f t="shared" si="108"/>
        <v>14</v>
      </c>
      <c r="E263" t="str">
        <f t="shared" si="140"/>
        <v>$N$14</v>
      </c>
      <c r="F263">
        <f t="shared" ca="1" si="141"/>
        <v>0</v>
      </c>
      <c r="G263">
        <f t="shared" ca="1" si="142"/>
        <v>0</v>
      </c>
      <c r="H263">
        <f>'Модель v2 базовая'!$G$84</f>
        <v>500</v>
      </c>
      <c r="I263">
        <f t="shared" ca="1" si="143"/>
        <v>0</v>
      </c>
      <c r="J263">
        <v>10</v>
      </c>
      <c r="K263">
        <f>'Модель v2 базовая'!$E$84</f>
        <v>1.6666666666666667</v>
      </c>
      <c r="L263">
        <v>0.7</v>
      </c>
      <c r="M263">
        <f t="shared" si="105"/>
        <v>0</v>
      </c>
      <c r="N263">
        <f t="shared" ca="1" si="144"/>
        <v>3571.0061975833328</v>
      </c>
      <c r="O263">
        <f t="shared" ca="1" si="145"/>
        <v>357.10061975833327</v>
      </c>
      <c r="T263" s="3" t="str">
        <f t="shared" si="119"/>
        <v>Рулевой продвинутый &lt; Фейлиндор из Столицы</v>
      </c>
      <c r="U263" s="9">
        <f t="shared" si="125"/>
        <v>357.10061975833327</v>
      </c>
      <c r="V263" s="9">
        <f t="shared" ca="1" si="126"/>
        <v>357.10061975833327</v>
      </c>
      <c r="W263">
        <f t="shared" si="127"/>
        <v>892.75154939583319</v>
      </c>
      <c r="X263" s="10">
        <f>'Книги профессий'!M25</f>
        <v>9</v>
      </c>
    </row>
    <row r="264" spans="1:24" x14ac:dyDescent="0.25">
      <c r="A264" s="23" t="str">
        <f>'Книги профессий'!K26&amp;" &lt; "&amp;'Книги профессий'!L26</f>
        <v>Рулевой мастер &lt; Арвос из Люг-о-дана</v>
      </c>
      <c r="B264">
        <f>'Книги профессий'!N26</f>
        <v>246.78710085681817</v>
      </c>
      <c r="C264">
        <f>'Книги профессий'!I26</f>
        <v>3</v>
      </c>
      <c r="D264">
        <f t="shared" si="108"/>
        <v>14</v>
      </c>
      <c r="E264" t="str">
        <f t="shared" si="140"/>
        <v>$N$3</v>
      </c>
      <c r="F264">
        <f t="shared" ca="1" si="141"/>
        <v>680</v>
      </c>
      <c r="G264">
        <f t="shared" ca="1" si="142"/>
        <v>2.125</v>
      </c>
      <c r="H264">
        <f>'Модель v2 базовая'!$G$84</f>
        <v>500</v>
      </c>
      <c r="I264">
        <f t="shared" ca="1" si="143"/>
        <v>35.416666666666671</v>
      </c>
      <c r="J264">
        <v>10</v>
      </c>
      <c r="K264">
        <f>'Модель v2 базовая'!$E$84</f>
        <v>1.6666666666666667</v>
      </c>
      <c r="L264">
        <v>0.7</v>
      </c>
      <c r="M264">
        <f t="shared" si="105"/>
        <v>10</v>
      </c>
      <c r="N264">
        <f t="shared" ca="1" si="144"/>
        <v>4232.4640478992433</v>
      </c>
      <c r="O264">
        <f t="shared" ca="1" si="145"/>
        <v>423.24640478992433</v>
      </c>
      <c r="T264" s="3" t="str">
        <f t="shared" si="119"/>
        <v>Рулевой мастер &lt; Арвос из Люг-о-дана</v>
      </c>
      <c r="U264" s="9">
        <f t="shared" si="125"/>
        <v>246.78710085681817</v>
      </c>
      <c r="V264" s="9">
        <f t="shared" ca="1" si="126"/>
        <v>423.24640478992433</v>
      </c>
      <c r="W264">
        <f t="shared" si="127"/>
        <v>616.96775214204547</v>
      </c>
      <c r="X264" s="10">
        <f>'Книги профессий'!M26</f>
        <v>22</v>
      </c>
    </row>
    <row r="265" spans="1:24" x14ac:dyDescent="0.25">
      <c r="A265" s="23" t="str">
        <f>'Книги профессий'!K27&amp;" &lt; "&amp;'Книги профессий'!L27</f>
        <v>Рулевой мастер &lt; Эльмарин из Шихона</v>
      </c>
      <c r="B265">
        <f>'Книги профессий'!N27</f>
        <v>258.04358237738086</v>
      </c>
      <c r="C265">
        <f>'Книги профессий'!I27</f>
        <v>4</v>
      </c>
      <c r="D265">
        <f t="shared" si="108"/>
        <v>14</v>
      </c>
      <c r="E265" t="str">
        <f t="shared" si="140"/>
        <v>$N$4</v>
      </c>
      <c r="F265">
        <f t="shared" ca="1" si="141"/>
        <v>900</v>
      </c>
      <c r="G265">
        <f t="shared" ca="1" si="142"/>
        <v>2.8125</v>
      </c>
      <c r="H265">
        <f>'Модель v2 базовая'!$G$84</f>
        <v>500</v>
      </c>
      <c r="I265">
        <f t="shared" ca="1" si="143"/>
        <v>46.875</v>
      </c>
      <c r="J265">
        <v>10</v>
      </c>
      <c r="K265">
        <f>'Модель v2 базовая'!$E$84</f>
        <v>1.6666666666666667</v>
      </c>
      <c r="L265">
        <v>0.7</v>
      </c>
      <c r="M265">
        <f t="shared" si="105"/>
        <v>10</v>
      </c>
      <c r="N265">
        <f t="shared" ca="1" si="144"/>
        <v>4435.2825670821421</v>
      </c>
      <c r="O265">
        <f t="shared" ca="1" si="145"/>
        <v>443.5282567082142</v>
      </c>
      <c r="T265" s="3" t="str">
        <f t="shared" si="119"/>
        <v>Рулевой мастер &lt; Эльмарин из Шихона</v>
      </c>
      <c r="U265" s="9">
        <f t="shared" si="125"/>
        <v>258.04358237738086</v>
      </c>
      <c r="V265" s="9">
        <f t="shared" ca="1" si="126"/>
        <v>443.5282567082142</v>
      </c>
      <c r="W265">
        <f t="shared" si="127"/>
        <v>645.1089559434522</v>
      </c>
      <c r="X265" s="10">
        <f>'Книги профессий'!M27</f>
        <v>21</v>
      </c>
    </row>
    <row r="266" spans="1:24" x14ac:dyDescent="0.25">
      <c r="A266" s="23" t="str">
        <f>'Книги профессий'!K28&amp;" &lt; "&amp;'Книги профессий'!L28</f>
        <v>Рулевой мастер &lt; Эриния из Готуна</v>
      </c>
      <c r="B266">
        <f>'Книги профессий'!N28</f>
        <v>270.42571204999996</v>
      </c>
      <c r="C266">
        <f>'Книги профессий'!I28</f>
        <v>5</v>
      </c>
      <c r="D266">
        <f t="shared" si="108"/>
        <v>14</v>
      </c>
      <c r="E266" t="str">
        <f t="shared" si="140"/>
        <v>$N$5</v>
      </c>
      <c r="F266">
        <f t="shared" ca="1" si="141"/>
        <v>980</v>
      </c>
      <c r="G266">
        <f t="shared" ca="1" si="142"/>
        <v>3.0625</v>
      </c>
      <c r="H266">
        <f>'Модель v2 базовая'!$G$84</f>
        <v>500</v>
      </c>
      <c r="I266">
        <f t="shared" ca="1" si="143"/>
        <v>51.041666666666671</v>
      </c>
      <c r="J266">
        <v>10</v>
      </c>
      <c r="K266">
        <f>'Модель v2 базовая'!$E$84</f>
        <v>1.6666666666666667</v>
      </c>
      <c r="L266">
        <v>0.7</v>
      </c>
      <c r="M266">
        <f t="shared" si="105"/>
        <v>10</v>
      </c>
      <c r="N266">
        <f t="shared" ca="1" si="144"/>
        <v>4649.945438183333</v>
      </c>
      <c r="O266">
        <f t="shared" ca="1" si="145"/>
        <v>464.99454381833328</v>
      </c>
      <c r="T266" s="3" t="str">
        <f t="shared" si="119"/>
        <v>Рулевой мастер &lt; Эриния из Готуна</v>
      </c>
      <c r="U266" s="9">
        <f t="shared" si="125"/>
        <v>270.42571204999996</v>
      </c>
      <c r="V266" s="9">
        <f t="shared" ca="1" si="126"/>
        <v>464.99454381833328</v>
      </c>
      <c r="W266">
        <f t="shared" si="127"/>
        <v>676.06428012499987</v>
      </c>
      <c r="X266" s="10">
        <f>'Книги профессий'!M28</f>
        <v>20</v>
      </c>
    </row>
    <row r="267" spans="1:24" x14ac:dyDescent="0.25">
      <c r="A267" s="23" t="str">
        <f>'Книги профессий'!K29&amp;" &lt; "&amp;'Книги профессий'!L29</f>
        <v>Рулевой мастер &lt; Силиндра из Фидваго</v>
      </c>
      <c r="B267">
        <f>'Книги профессий'!N29</f>
        <v>284.111223793421</v>
      </c>
      <c r="C267">
        <f>'Книги профессий'!I29</f>
        <v>6</v>
      </c>
      <c r="D267">
        <f t="shared" si="108"/>
        <v>14</v>
      </c>
      <c r="E267" t="str">
        <f t="shared" si="140"/>
        <v>$N$6</v>
      </c>
      <c r="F267">
        <f t="shared" ca="1" si="141"/>
        <v>1460</v>
      </c>
      <c r="G267">
        <f t="shared" ca="1" si="142"/>
        <v>4.5625</v>
      </c>
      <c r="H267">
        <f>'Модель v2 базовая'!$G$84</f>
        <v>500</v>
      </c>
      <c r="I267">
        <f t="shared" ca="1" si="143"/>
        <v>76.041666666666671</v>
      </c>
      <c r="J267">
        <v>10</v>
      </c>
      <c r="K267">
        <f>'Модель v2 базовая'!$E$84</f>
        <v>1.6666666666666667</v>
      </c>
      <c r="L267">
        <v>0.7</v>
      </c>
      <c r="M267">
        <f t="shared" si="105"/>
        <v>10</v>
      </c>
      <c r="N267">
        <f t="shared" ca="1" si="144"/>
        <v>4907.5991378214912</v>
      </c>
      <c r="O267">
        <f t="shared" ca="1" si="145"/>
        <v>490.75991378214911</v>
      </c>
      <c r="T267" s="3" t="str">
        <f t="shared" si="119"/>
        <v>Рулевой мастер &lt; Силиндра из Фидваго</v>
      </c>
      <c r="U267" s="9">
        <f t="shared" si="125"/>
        <v>284.111223793421</v>
      </c>
      <c r="V267" s="9">
        <f t="shared" ca="1" si="126"/>
        <v>490.75991378214911</v>
      </c>
      <c r="W267">
        <f t="shared" si="127"/>
        <v>710.27805948355251</v>
      </c>
      <c r="X267" s="10">
        <f>'Книги профессий'!M29</f>
        <v>19</v>
      </c>
    </row>
    <row r="268" spans="1:24" x14ac:dyDescent="0.25">
      <c r="A268" s="23" t="str">
        <f>'Книги профессий'!K30&amp;" &lt; "&amp;'Книги профессий'!L30</f>
        <v>Рулевой мастер &lt; Аркантус из Дарутана</v>
      </c>
      <c r="B268">
        <f>'Книги профессий'!N30</f>
        <v>299.31734795277771</v>
      </c>
      <c r="C268">
        <f>'Книги профессий'!I30</f>
        <v>7</v>
      </c>
      <c r="D268">
        <f t="shared" si="108"/>
        <v>14</v>
      </c>
      <c r="E268" t="str">
        <f t="shared" si="140"/>
        <v>$N$7</v>
      </c>
      <c r="F268">
        <f t="shared" ca="1" si="141"/>
        <v>880</v>
      </c>
      <c r="G268">
        <f t="shared" ca="1" si="142"/>
        <v>2.75</v>
      </c>
      <c r="H268">
        <f>'Модель v2 базовая'!$G$84</f>
        <v>500</v>
      </c>
      <c r="I268">
        <f t="shared" ca="1" si="143"/>
        <v>45.833333333333336</v>
      </c>
      <c r="J268">
        <v>10</v>
      </c>
      <c r="K268">
        <f>'Модель v2 базовая'!$E$84</f>
        <v>1.6666666666666667</v>
      </c>
      <c r="L268">
        <v>0.7</v>
      </c>
      <c r="M268">
        <f t="shared" si="105"/>
        <v>10</v>
      </c>
      <c r="N268">
        <f t="shared" ca="1" si="144"/>
        <v>5135.8949151972211</v>
      </c>
      <c r="O268">
        <f t="shared" ca="1" si="145"/>
        <v>513.58949151972206</v>
      </c>
      <c r="T268" s="3" t="str">
        <f t="shared" si="119"/>
        <v>Рулевой мастер &lt; Аркантус из Дарутана</v>
      </c>
      <c r="U268" s="9">
        <f t="shared" si="125"/>
        <v>299.31734795277771</v>
      </c>
      <c r="V268" s="9">
        <f t="shared" ca="1" si="126"/>
        <v>513.58949151972206</v>
      </c>
      <c r="W268">
        <f t="shared" si="127"/>
        <v>748.29336988194427</v>
      </c>
      <c r="X268" s="10">
        <f>'Книги профессий'!M30</f>
        <v>18</v>
      </c>
    </row>
    <row r="269" spans="1:24" x14ac:dyDescent="0.25">
      <c r="A269" s="23" t="str">
        <f>'Книги профессий'!K31&amp;" &lt; "&amp;'Книги профессий'!L31</f>
        <v>Рулевой мастер &lt; Фиалара из Сарухана</v>
      </c>
      <c r="B269">
        <f>'Книги профессий'!N31</f>
        <v>316.31242789558814</v>
      </c>
      <c r="C269">
        <f>'Книги профессий'!I31</f>
        <v>8</v>
      </c>
      <c r="D269">
        <f t="shared" si="108"/>
        <v>14</v>
      </c>
      <c r="E269" t="str">
        <f t="shared" si="140"/>
        <v>$N$8</v>
      </c>
      <c r="F269">
        <f t="shared" ca="1" si="141"/>
        <v>1100</v>
      </c>
      <c r="G269">
        <f t="shared" ca="1" si="142"/>
        <v>3.4375</v>
      </c>
      <c r="H269">
        <f>'Модель v2 базовая'!$G$84</f>
        <v>500</v>
      </c>
      <c r="I269">
        <f t="shared" ca="1" si="143"/>
        <v>57.291666666666671</v>
      </c>
      <c r="J269">
        <v>10</v>
      </c>
      <c r="K269">
        <f>'Модель v2 базовая'!$E$84</f>
        <v>1.6666666666666667</v>
      </c>
      <c r="L269">
        <v>0.7</v>
      </c>
      <c r="M269">
        <f t="shared" si="105"/>
        <v>10</v>
      </c>
      <c r="N269">
        <f t="shared" ca="1" si="144"/>
        <v>5436.2696075583317</v>
      </c>
      <c r="O269">
        <f t="shared" ca="1" si="145"/>
        <v>543.62696075583312</v>
      </c>
      <c r="T269" s="3" t="str">
        <f t="shared" si="119"/>
        <v>Рулевой мастер &lt; Фиалара из Сарухана</v>
      </c>
      <c r="U269" s="9">
        <f t="shared" si="125"/>
        <v>316.31242789558814</v>
      </c>
      <c r="V269" s="9">
        <f t="shared" ca="1" si="126"/>
        <v>543.62696075583312</v>
      </c>
      <c r="W269">
        <f t="shared" si="127"/>
        <v>790.78106973897036</v>
      </c>
      <c r="X269" s="10">
        <f>'Книги профессий'!M31</f>
        <v>17</v>
      </c>
    </row>
    <row r="270" spans="1:24" x14ac:dyDescent="0.25">
      <c r="A270" s="23" t="str">
        <f>'Книги профессий'!K32&amp;" &lt; "&amp;'Книги профессий'!L32</f>
        <v>Рулевой мастер &lt; Ворантис из Лорена</v>
      </c>
      <c r="B270">
        <f>'Книги профессий'!N32</f>
        <v>335.43189283124991</v>
      </c>
      <c r="C270">
        <f>'Книги профессий'!I32</f>
        <v>9</v>
      </c>
      <c r="D270">
        <f t="shared" si="108"/>
        <v>14</v>
      </c>
      <c r="E270" t="str">
        <f t="shared" si="140"/>
        <v>$N$9</v>
      </c>
      <c r="F270">
        <f t="shared" ca="1" si="141"/>
        <v>1300</v>
      </c>
      <c r="G270">
        <f t="shared" ca="1" si="142"/>
        <v>4.0625</v>
      </c>
      <c r="H270">
        <f>'Модель v2 базовая'!$G$84</f>
        <v>500</v>
      </c>
      <c r="I270">
        <f t="shared" ca="1" si="143"/>
        <v>67.708333333333343</v>
      </c>
      <c r="J270">
        <v>10</v>
      </c>
      <c r="K270">
        <f>'Модель v2 базовая'!$E$84</f>
        <v>1.6666666666666667</v>
      </c>
      <c r="L270">
        <v>0.7</v>
      </c>
      <c r="M270">
        <f t="shared" si="105"/>
        <v>10</v>
      </c>
      <c r="N270">
        <f t="shared" ca="1" si="144"/>
        <v>5771.7171781312481</v>
      </c>
      <c r="O270">
        <f t="shared" ca="1" si="145"/>
        <v>577.17171781312481</v>
      </c>
      <c r="T270" s="3" t="str">
        <f t="shared" si="119"/>
        <v>Рулевой мастер &lt; Ворантис из Лорена</v>
      </c>
      <c r="U270" s="9">
        <f t="shared" si="125"/>
        <v>335.43189283124991</v>
      </c>
      <c r="V270" s="9">
        <f t="shared" ca="1" si="126"/>
        <v>577.17171781312481</v>
      </c>
      <c r="W270">
        <f t="shared" si="127"/>
        <v>838.57973207812483</v>
      </c>
      <c r="X270" s="10">
        <f>'Книги профессий'!M32</f>
        <v>16</v>
      </c>
    </row>
    <row r="271" spans="1:24" x14ac:dyDescent="0.25">
      <c r="A271" s="23" t="str">
        <f>'Книги профессий'!K33&amp;" &lt; "&amp;'Книги профессий'!L33</f>
        <v>Рулевой мастер &lt; Алэрион из Самардейла</v>
      </c>
      <c r="B271">
        <f>'Книги профессий'!N33</f>
        <v>357.10061975833327</v>
      </c>
      <c r="C271">
        <f>'Книги профессий'!I33</f>
        <v>10</v>
      </c>
      <c r="D271">
        <f t="shared" si="108"/>
        <v>14</v>
      </c>
      <c r="E271" t="str">
        <f t="shared" si="140"/>
        <v>$N$10</v>
      </c>
      <c r="F271">
        <f t="shared" ca="1" si="141"/>
        <v>760</v>
      </c>
      <c r="G271">
        <f t="shared" ca="1" si="142"/>
        <v>2.375</v>
      </c>
      <c r="H271">
        <f>'Модель v2 базовая'!$G$84</f>
        <v>500</v>
      </c>
      <c r="I271">
        <f t="shared" ca="1" si="143"/>
        <v>39.583333333333336</v>
      </c>
      <c r="J271">
        <v>10</v>
      </c>
      <c r="K271">
        <f>'Модель v2 базовая'!$E$84</f>
        <v>1.6666666666666667</v>
      </c>
      <c r="L271">
        <v>0.7</v>
      </c>
      <c r="M271">
        <f t="shared" si="105"/>
        <v>0</v>
      </c>
      <c r="N271">
        <f t="shared" ca="1" si="144"/>
        <v>6111.9605358916651</v>
      </c>
      <c r="O271">
        <f t="shared" ca="1" si="145"/>
        <v>611.19605358916647</v>
      </c>
      <c r="T271" s="3" t="str">
        <f t="shared" si="119"/>
        <v>Рулевой мастер &lt; Алэрион из Самардейла</v>
      </c>
      <c r="U271" s="9">
        <f t="shared" si="125"/>
        <v>357.10061975833327</v>
      </c>
      <c r="V271" s="9">
        <f t="shared" ca="1" si="126"/>
        <v>611.19605358916647</v>
      </c>
      <c r="W271">
        <f t="shared" si="127"/>
        <v>892.75154939583319</v>
      </c>
      <c r="X271" s="10">
        <f>'Книги профессий'!M33</f>
        <v>15</v>
      </c>
    </row>
    <row r="272" spans="1:24" x14ac:dyDescent="0.25">
      <c r="A272" s="23" t="str">
        <f>'Книги профессий'!K34&amp;" &lt; "&amp;'Книги профессий'!L34</f>
        <v>Рулевой мастер &lt; Аркантус из Гвадекуры</v>
      </c>
      <c r="B272">
        <f>'Книги профессий'!N34</f>
        <v>381.86487910357135</v>
      </c>
      <c r="C272">
        <f>'Книги профессий'!I34</f>
        <v>11</v>
      </c>
      <c r="D272">
        <f t="shared" si="108"/>
        <v>14</v>
      </c>
      <c r="E272" t="str">
        <f t="shared" si="140"/>
        <v>$N$11</v>
      </c>
      <c r="F272">
        <f t="shared" ca="1" si="141"/>
        <v>880</v>
      </c>
      <c r="G272">
        <f t="shared" ca="1" si="142"/>
        <v>2.75</v>
      </c>
      <c r="H272">
        <f>'Модель v2 базовая'!$G$84</f>
        <v>500</v>
      </c>
      <c r="I272">
        <f t="shared" ca="1" si="143"/>
        <v>45.833333333333336</v>
      </c>
      <c r="J272">
        <v>10</v>
      </c>
      <c r="K272">
        <f>'Модель v2 базовая'!$E$84</f>
        <v>1.6666666666666667</v>
      </c>
      <c r="L272">
        <v>0.7</v>
      </c>
      <c r="M272">
        <f t="shared" si="105"/>
        <v>0</v>
      </c>
      <c r="N272">
        <f t="shared" ca="1" si="144"/>
        <v>6539.2029447607129</v>
      </c>
      <c r="O272">
        <f t="shared" ca="1" si="145"/>
        <v>653.92029447607126</v>
      </c>
      <c r="T272" s="3" t="str">
        <f t="shared" si="119"/>
        <v>Рулевой мастер &lt; Аркантус из Гвадекуры</v>
      </c>
      <c r="U272" s="9">
        <f t="shared" si="125"/>
        <v>381.86487910357135</v>
      </c>
      <c r="V272" s="9">
        <f t="shared" ca="1" si="126"/>
        <v>653.92029447607126</v>
      </c>
      <c r="W272">
        <f t="shared" si="127"/>
        <v>954.66219775892841</v>
      </c>
      <c r="X272" s="10">
        <f>'Книги профессий'!M34</f>
        <v>14</v>
      </c>
    </row>
    <row r="273" spans="1:24" x14ac:dyDescent="0.25">
      <c r="A273" s="23" t="str">
        <f>'Книги профессий'!K35&amp;" &lt; "&amp;'Книги профессий'!L35</f>
        <v>Рулевой мастер &lt; Финдорил из Ранджар-ара</v>
      </c>
      <c r="B273">
        <f>'Книги профессий'!N35</f>
        <v>410.43902450192297</v>
      </c>
      <c r="C273">
        <f>'Книги профессий'!I35</f>
        <v>12</v>
      </c>
      <c r="D273">
        <f t="shared" si="108"/>
        <v>14</v>
      </c>
      <c r="E273" t="str">
        <f t="shared" si="140"/>
        <v>$N$12</v>
      </c>
      <c r="F273">
        <f t="shared" ca="1" si="141"/>
        <v>400</v>
      </c>
      <c r="G273">
        <f t="shared" ca="1" si="142"/>
        <v>1.25</v>
      </c>
      <c r="H273">
        <f>'Модель v2 базовая'!$G$84</f>
        <v>500</v>
      </c>
      <c r="I273">
        <f t="shared" ca="1" si="143"/>
        <v>20.833333333333336</v>
      </c>
      <c r="J273">
        <v>10</v>
      </c>
      <c r="K273">
        <f>'Модель v2 базовая'!$E$84</f>
        <v>1.6666666666666667</v>
      </c>
      <c r="L273">
        <v>0.7</v>
      </c>
      <c r="M273">
        <f t="shared" si="105"/>
        <v>0</v>
      </c>
      <c r="N273">
        <f t="shared" ca="1" si="144"/>
        <v>6999.9634165326906</v>
      </c>
      <c r="O273">
        <f t="shared" ca="1" si="145"/>
        <v>699.99634165326904</v>
      </c>
      <c r="T273" s="3" t="str">
        <f t="shared" si="119"/>
        <v>Рулевой мастер &lt; Финдорил из Ранджар-ара</v>
      </c>
      <c r="U273" s="9">
        <f t="shared" si="125"/>
        <v>410.43902450192297</v>
      </c>
      <c r="V273" s="9">
        <f t="shared" ca="1" si="126"/>
        <v>699.99634165326904</v>
      </c>
      <c r="W273">
        <f t="shared" si="127"/>
        <v>1026.0975612548075</v>
      </c>
      <c r="X273" s="10">
        <f>'Книги профессий'!M35</f>
        <v>13</v>
      </c>
    </row>
    <row r="274" spans="1:24" x14ac:dyDescent="0.25">
      <c r="A274" s="23" t="str">
        <f>'Книги профессий'!K36&amp;" &lt; "&amp;'Книги профессий'!L36</f>
        <v>Рулевой мастер &lt; Сианора из Садата</v>
      </c>
      <c r="B274">
        <f>'Книги профессий'!N36</f>
        <v>443.77552746666657</v>
      </c>
      <c r="C274">
        <f>'Книги профессий'!I36</f>
        <v>13</v>
      </c>
      <c r="D274">
        <f t="shared" si="108"/>
        <v>14</v>
      </c>
      <c r="E274" t="str">
        <f t="shared" si="140"/>
        <v>$N$13</v>
      </c>
      <c r="F274">
        <f t="shared" ca="1" si="141"/>
        <v>880</v>
      </c>
      <c r="G274">
        <f t="shared" ca="1" si="142"/>
        <v>2.75</v>
      </c>
      <c r="H274">
        <f>'Модель v2 базовая'!$G$84</f>
        <v>500</v>
      </c>
      <c r="I274">
        <f t="shared" ca="1" si="143"/>
        <v>45.833333333333336</v>
      </c>
      <c r="J274">
        <v>10</v>
      </c>
      <c r="K274">
        <f>'Модель v2 базовая'!$E$84</f>
        <v>1.6666666666666667</v>
      </c>
      <c r="L274">
        <v>0.7</v>
      </c>
      <c r="M274">
        <f t="shared" si="105"/>
        <v>0</v>
      </c>
      <c r="N274">
        <f t="shared" ca="1" si="144"/>
        <v>7591.6839669333322</v>
      </c>
      <c r="O274">
        <f t="shared" ca="1" si="145"/>
        <v>759.16839669333319</v>
      </c>
      <c r="T274" s="3" t="str">
        <f t="shared" si="119"/>
        <v>Рулевой мастер &lt; Сианора из Садата</v>
      </c>
      <c r="U274" s="9">
        <f t="shared" si="125"/>
        <v>443.77552746666657</v>
      </c>
      <c r="V274" s="9">
        <f t="shared" ca="1" si="126"/>
        <v>759.16839669333319</v>
      </c>
      <c r="W274">
        <f t="shared" si="127"/>
        <v>1109.4388186666665</v>
      </c>
      <c r="X274" s="10">
        <f>'Книги профессий'!M36</f>
        <v>12</v>
      </c>
    </row>
    <row r="275" spans="1:24" x14ac:dyDescent="0.25">
      <c r="A275" s="23" t="str">
        <f>'Книги профессий'!K37&amp;" &lt; "&amp;'Книги профессий'!L37</f>
        <v>Рулевой мастер &lt; Алэрион из Столицы</v>
      </c>
      <c r="B275">
        <f>'Книги профессий'!N37</f>
        <v>483.17321278863631</v>
      </c>
      <c r="C275">
        <f>'Книги профессий'!I37</f>
        <v>14</v>
      </c>
      <c r="D275">
        <f t="shared" si="108"/>
        <v>14</v>
      </c>
      <c r="E275" t="str">
        <f t="shared" si="140"/>
        <v>$N$14</v>
      </c>
      <c r="F275">
        <f t="shared" ca="1" si="141"/>
        <v>0</v>
      </c>
      <c r="G275">
        <f t="shared" ca="1" si="142"/>
        <v>0</v>
      </c>
      <c r="H275">
        <f>'Модель v2 базовая'!$G$84</f>
        <v>500</v>
      </c>
      <c r="I275">
        <f t="shared" ca="1" si="143"/>
        <v>0</v>
      </c>
      <c r="J275">
        <v>10</v>
      </c>
      <c r="K275">
        <f>'Модель v2 базовая'!$E$84</f>
        <v>1.6666666666666667</v>
      </c>
      <c r="L275">
        <v>0.7</v>
      </c>
      <c r="M275">
        <f t="shared" si="105"/>
        <v>0</v>
      </c>
      <c r="N275">
        <f t="shared" ca="1" si="144"/>
        <v>4831.7321278863628</v>
      </c>
      <c r="O275">
        <f t="shared" ca="1" si="145"/>
        <v>483.17321278863631</v>
      </c>
      <c r="T275" s="3" t="str">
        <f t="shared" si="119"/>
        <v>Рулевой мастер &lt; Алэрион из Столицы</v>
      </c>
      <c r="U275" s="9">
        <f t="shared" si="125"/>
        <v>483.17321278863631</v>
      </c>
      <c r="V275" s="9">
        <f t="shared" ca="1" si="126"/>
        <v>483.17321278863631</v>
      </c>
      <c r="W275">
        <f t="shared" si="127"/>
        <v>1207.9330319715907</v>
      </c>
      <c r="X275" s="10">
        <f>'Книги профессий'!M37</f>
        <v>11</v>
      </c>
    </row>
    <row r="276" spans="1:24" x14ac:dyDescent="0.25">
      <c r="A276" s="23" t="str">
        <f>'Книги профессий'!K38&amp;" &lt; "&amp;'Книги профессий'!L38</f>
        <v>Штурман - база &lt; Зефирос из Люг-о-дана</v>
      </c>
      <c r="B276">
        <f>'Книги профессий'!N38</f>
        <v>208.51506368690474</v>
      </c>
      <c r="C276">
        <f>'Книги профессий'!I38</f>
        <v>3</v>
      </c>
      <c r="D276">
        <f t="shared" si="108"/>
        <v>14</v>
      </c>
      <c r="E276" t="str">
        <f t="shared" si="140"/>
        <v>$N$3</v>
      </c>
      <c r="F276">
        <f t="shared" ca="1" si="141"/>
        <v>680</v>
      </c>
      <c r="G276">
        <f t="shared" ca="1" si="142"/>
        <v>2.125</v>
      </c>
      <c r="H276">
        <f>'Модель v2 базовая'!$G$84</f>
        <v>500</v>
      </c>
      <c r="I276">
        <f t="shared" ca="1" si="143"/>
        <v>35.416666666666671</v>
      </c>
      <c r="J276">
        <v>10</v>
      </c>
      <c r="K276">
        <f>'Модель v2 базовая'!$E$84</f>
        <v>1.6666666666666667</v>
      </c>
      <c r="L276">
        <v>0.7</v>
      </c>
      <c r="M276">
        <f t="shared" si="105"/>
        <v>10</v>
      </c>
      <c r="N276">
        <f t="shared" ca="1" si="144"/>
        <v>3581.8394160107136</v>
      </c>
      <c r="O276">
        <f t="shared" ca="1" si="145"/>
        <v>358.18394160107135</v>
      </c>
      <c r="T276" s="3" t="str">
        <f t="shared" si="119"/>
        <v>Штурман - база &lt; Зефирос из Люг-о-дана</v>
      </c>
      <c r="U276" s="9">
        <f t="shared" si="125"/>
        <v>208.51506368690474</v>
      </c>
      <c r="V276" s="9">
        <f t="shared" ca="1" si="126"/>
        <v>358.18394160107135</v>
      </c>
      <c r="W276">
        <f t="shared" si="127"/>
        <v>521.28765921726188</v>
      </c>
      <c r="X276" s="10">
        <f>'Книги профессий'!M38</f>
        <v>21</v>
      </c>
    </row>
    <row r="277" spans="1:24" x14ac:dyDescent="0.25">
      <c r="A277" s="23" t="str">
        <f>'Книги профессий'!K39&amp;" &lt; "&amp;'Книги профессий'!L39</f>
        <v>Штурман - база &lt; Таурелор из Шихона</v>
      </c>
      <c r="B277">
        <f>'Книги профессий'!N39</f>
        <v>218.42076742499998</v>
      </c>
      <c r="C277">
        <f>'Книги профессий'!I39</f>
        <v>4</v>
      </c>
      <c r="D277">
        <f t="shared" si="108"/>
        <v>14</v>
      </c>
      <c r="E277" t="str">
        <f t="shared" si="140"/>
        <v>$N$4</v>
      </c>
      <c r="F277">
        <f t="shared" ca="1" si="141"/>
        <v>900</v>
      </c>
      <c r="G277">
        <f t="shared" ca="1" si="142"/>
        <v>2.8125</v>
      </c>
      <c r="H277">
        <f>'Модель v2 базовая'!$G$84</f>
        <v>500</v>
      </c>
      <c r="I277">
        <f t="shared" ca="1" si="143"/>
        <v>46.875</v>
      </c>
      <c r="J277">
        <v>10</v>
      </c>
      <c r="K277">
        <f>'Модель v2 базовая'!$E$84</f>
        <v>1.6666666666666667</v>
      </c>
      <c r="L277">
        <v>0.7</v>
      </c>
      <c r="M277">
        <f t="shared" si="105"/>
        <v>10</v>
      </c>
      <c r="N277">
        <f t="shared" ca="1" si="144"/>
        <v>3761.6947128916659</v>
      </c>
      <c r="O277">
        <f t="shared" ca="1" si="145"/>
        <v>376.16947128916661</v>
      </c>
      <c r="T277" s="3" t="str">
        <f t="shared" si="119"/>
        <v>Штурман - база &lt; Таурелор из Шихона</v>
      </c>
      <c r="U277" s="9">
        <f t="shared" si="125"/>
        <v>218.42076742499998</v>
      </c>
      <c r="V277" s="9">
        <f t="shared" ca="1" si="126"/>
        <v>376.16947128916661</v>
      </c>
      <c r="W277">
        <f t="shared" si="127"/>
        <v>546.05191856249996</v>
      </c>
      <c r="X277" s="10">
        <f>'Книги профессий'!M39</f>
        <v>20</v>
      </c>
    </row>
    <row r="278" spans="1:24" x14ac:dyDescent="0.25">
      <c r="A278" s="23" t="str">
        <f>'Книги профессий'!K40&amp;" &lt; "&amp;'Книги профессий'!L40</f>
        <v>Штурман - база &lt; Теландрис из Готуна</v>
      </c>
      <c r="B278">
        <f>'Книги профессий'!N40</f>
        <v>229.36917681973679</v>
      </c>
      <c r="C278">
        <f>'Книги профессий'!I40</f>
        <v>5</v>
      </c>
      <c r="D278">
        <f t="shared" si="108"/>
        <v>14</v>
      </c>
      <c r="E278" t="str">
        <f t="shared" si="140"/>
        <v>$N$5</v>
      </c>
      <c r="F278">
        <f t="shared" ca="1" si="141"/>
        <v>980</v>
      </c>
      <c r="G278">
        <f t="shared" ca="1" si="142"/>
        <v>3.0625</v>
      </c>
      <c r="H278">
        <f>'Модель v2 базовая'!$G$84</f>
        <v>500</v>
      </c>
      <c r="I278">
        <f t="shared" ca="1" si="143"/>
        <v>51.041666666666671</v>
      </c>
      <c r="J278">
        <v>10</v>
      </c>
      <c r="K278">
        <f>'Модель v2 базовая'!$E$84</f>
        <v>1.6666666666666667</v>
      </c>
      <c r="L278">
        <v>0.7</v>
      </c>
      <c r="M278">
        <f t="shared" ref="M278:M341" si="146">IF(OR(AND(D278&gt;9,C278&lt;=9),AND(D278&lt;9,C278&gt;=9)),10,0)</f>
        <v>10</v>
      </c>
      <c r="N278">
        <f t="shared" ca="1" si="144"/>
        <v>3951.9843392688581</v>
      </c>
      <c r="O278">
        <f t="shared" ca="1" si="145"/>
        <v>395.1984339268858</v>
      </c>
      <c r="T278" s="3" t="str">
        <f t="shared" si="119"/>
        <v>Штурман - база &lt; Теландрис из Готуна</v>
      </c>
      <c r="U278" s="9">
        <f t="shared" si="125"/>
        <v>229.36917681973679</v>
      </c>
      <c r="V278" s="9">
        <f t="shared" ca="1" si="126"/>
        <v>395.1984339268858</v>
      </c>
      <c r="W278">
        <f t="shared" si="127"/>
        <v>573.42294204934194</v>
      </c>
      <c r="X278" s="10">
        <f>'Книги профессий'!M40</f>
        <v>19</v>
      </c>
    </row>
    <row r="279" spans="1:24" x14ac:dyDescent="0.25">
      <c r="A279" s="23" t="str">
        <f>'Книги профессий'!K41&amp;" &lt; "&amp;'Книги профессий'!L41</f>
        <v>Штурман - база &lt; Эллисар из Фидваго</v>
      </c>
      <c r="B279">
        <f>'Книги профессий'!N41</f>
        <v>241.53407614722221</v>
      </c>
      <c r="C279">
        <f>'Книги профессий'!I41</f>
        <v>6</v>
      </c>
      <c r="D279">
        <f t="shared" si="108"/>
        <v>14</v>
      </c>
      <c r="E279" t="str">
        <f t="shared" si="140"/>
        <v>$N$6</v>
      </c>
      <c r="F279">
        <f t="shared" ca="1" si="141"/>
        <v>1460</v>
      </c>
      <c r="G279">
        <f t="shared" ca="1" si="142"/>
        <v>4.5625</v>
      </c>
      <c r="H279">
        <f>'Модель v2 базовая'!$G$84</f>
        <v>500</v>
      </c>
      <c r="I279">
        <f t="shared" ca="1" si="143"/>
        <v>76.041666666666671</v>
      </c>
      <c r="J279">
        <v>10</v>
      </c>
      <c r="K279">
        <f>'Модель v2 базовая'!$E$84</f>
        <v>1.6666666666666667</v>
      </c>
      <c r="L279">
        <v>0.7</v>
      </c>
      <c r="M279">
        <f t="shared" si="146"/>
        <v>10</v>
      </c>
      <c r="N279">
        <f t="shared" ca="1" si="144"/>
        <v>4183.7876278361109</v>
      </c>
      <c r="O279">
        <f t="shared" ca="1" si="145"/>
        <v>418.37876278361108</v>
      </c>
      <c r="T279" s="3" t="str">
        <f t="shared" si="119"/>
        <v>Штурман - база &lt; Эллисар из Фидваго</v>
      </c>
      <c r="U279" s="9">
        <f t="shared" si="125"/>
        <v>241.53407614722221</v>
      </c>
      <c r="V279" s="9">
        <f t="shared" ca="1" si="126"/>
        <v>418.37876278361108</v>
      </c>
      <c r="W279">
        <f t="shared" si="127"/>
        <v>603.83519036805546</v>
      </c>
      <c r="X279" s="10">
        <f>'Книги профессий'!M41</f>
        <v>18</v>
      </c>
    </row>
    <row r="280" spans="1:24" x14ac:dyDescent="0.25">
      <c r="A280" s="23" t="str">
        <f>'Книги профессий'!K42&amp;" &lt; "&amp;'Книги профессий'!L42</f>
        <v>Штурман - база &lt; Тирандор из Дарутана</v>
      </c>
      <c r="B280">
        <f>'Книги профессий'!N42</f>
        <v>255.13014010147057</v>
      </c>
      <c r="C280">
        <f>'Книги профессий'!I42</f>
        <v>7</v>
      </c>
      <c r="D280">
        <f t="shared" si="108"/>
        <v>14</v>
      </c>
      <c r="E280" t="str">
        <f t="shared" si="140"/>
        <v>$N$7</v>
      </c>
      <c r="F280">
        <f t="shared" ca="1" si="141"/>
        <v>880</v>
      </c>
      <c r="G280">
        <f t="shared" ca="1" si="142"/>
        <v>2.75</v>
      </c>
      <c r="H280">
        <f>'Модель v2 базовая'!$G$84</f>
        <v>500</v>
      </c>
      <c r="I280">
        <f t="shared" ca="1" si="143"/>
        <v>45.833333333333336</v>
      </c>
      <c r="J280">
        <v>10</v>
      </c>
      <c r="K280">
        <f>'Модель v2 базовая'!$E$84</f>
        <v>1.6666666666666667</v>
      </c>
      <c r="L280">
        <v>0.7</v>
      </c>
      <c r="M280">
        <f t="shared" si="146"/>
        <v>10</v>
      </c>
      <c r="N280">
        <f t="shared" ca="1" si="144"/>
        <v>4384.7123817249994</v>
      </c>
      <c r="O280">
        <f t="shared" ca="1" si="145"/>
        <v>438.47123817249997</v>
      </c>
      <c r="T280" s="3" t="str">
        <f t="shared" si="119"/>
        <v>Штурман - база &lt; Тирандор из Дарутана</v>
      </c>
      <c r="U280" s="9">
        <f t="shared" si="125"/>
        <v>255.13014010147057</v>
      </c>
      <c r="V280" s="9">
        <f t="shared" ca="1" si="126"/>
        <v>438.47123817249997</v>
      </c>
      <c r="W280">
        <f t="shared" si="127"/>
        <v>637.82535025367645</v>
      </c>
      <c r="X280" s="10">
        <f>'Книги профессий'!M42</f>
        <v>17</v>
      </c>
    </row>
    <row r="281" spans="1:24" x14ac:dyDescent="0.25">
      <c r="A281" s="23" t="str">
        <f>'Книги профессий'!K43&amp;" &lt; "&amp;'Книги профессий'!L43</f>
        <v>Штурман - база &lt; Телестра из Сарухана</v>
      </c>
      <c r="B281">
        <f>'Книги профессий'!N43</f>
        <v>270.42571204999996</v>
      </c>
      <c r="C281">
        <f>'Книги профессий'!I43</f>
        <v>8</v>
      </c>
      <c r="D281">
        <f t="shared" si="108"/>
        <v>14</v>
      </c>
      <c r="E281" t="str">
        <f t="shared" si="140"/>
        <v>$N$8</v>
      </c>
      <c r="F281">
        <f t="shared" ca="1" si="141"/>
        <v>1100</v>
      </c>
      <c r="G281">
        <f t="shared" ca="1" si="142"/>
        <v>3.4375</v>
      </c>
      <c r="H281">
        <f>'Модель v2 базовая'!$G$84</f>
        <v>500</v>
      </c>
      <c r="I281">
        <f t="shared" ca="1" si="143"/>
        <v>57.291666666666671</v>
      </c>
      <c r="J281">
        <v>10</v>
      </c>
      <c r="K281">
        <f>'Модель v2 базовая'!$E$84</f>
        <v>1.6666666666666667</v>
      </c>
      <c r="L281">
        <v>0.7</v>
      </c>
      <c r="M281">
        <f t="shared" si="146"/>
        <v>10</v>
      </c>
      <c r="N281">
        <f t="shared" ca="1" si="144"/>
        <v>4656.195438183333</v>
      </c>
      <c r="O281">
        <f t="shared" ca="1" si="145"/>
        <v>465.61954381833328</v>
      </c>
      <c r="T281" s="3" t="str">
        <f t="shared" si="119"/>
        <v>Штурман - база &lt; Телестра из Сарухана</v>
      </c>
      <c r="U281" s="9">
        <f t="shared" si="125"/>
        <v>270.42571204999996</v>
      </c>
      <c r="V281" s="9">
        <f t="shared" ca="1" si="126"/>
        <v>465.61954381833328</v>
      </c>
      <c r="W281">
        <f t="shared" si="127"/>
        <v>676.06428012499987</v>
      </c>
      <c r="X281" s="10">
        <f>'Книги профессий'!M43</f>
        <v>16</v>
      </c>
    </row>
    <row r="282" spans="1:24" x14ac:dyDescent="0.25">
      <c r="A282" s="23" t="str">
        <f>'Книги профессий'!K44&amp;" &lt; "&amp;'Книги профессий'!L44</f>
        <v>Штурман - база &lt; Ворантис из Лорена</v>
      </c>
      <c r="B282">
        <f>'Книги профессий'!N44</f>
        <v>287.76069359166661</v>
      </c>
      <c r="C282">
        <f>'Книги профессий'!I44</f>
        <v>9</v>
      </c>
      <c r="D282">
        <f t="shared" si="108"/>
        <v>14</v>
      </c>
      <c r="E282" t="str">
        <f t="shared" si="140"/>
        <v>$N$9</v>
      </c>
      <c r="F282">
        <f t="shared" ca="1" si="141"/>
        <v>1300</v>
      </c>
      <c r="G282">
        <f t="shared" ca="1" si="142"/>
        <v>4.0625</v>
      </c>
      <c r="H282">
        <f>'Модель v2 базовая'!$G$84</f>
        <v>500</v>
      </c>
      <c r="I282">
        <f t="shared" ca="1" si="143"/>
        <v>67.708333333333343</v>
      </c>
      <c r="J282">
        <v>10</v>
      </c>
      <c r="K282">
        <f>'Модель v2 базовая'!$E$84</f>
        <v>1.6666666666666667</v>
      </c>
      <c r="L282">
        <v>0.7</v>
      </c>
      <c r="M282">
        <f t="shared" si="146"/>
        <v>10</v>
      </c>
      <c r="N282">
        <f t="shared" ca="1" si="144"/>
        <v>4961.3067910583322</v>
      </c>
      <c r="O282">
        <f t="shared" ca="1" si="145"/>
        <v>496.13067910583322</v>
      </c>
      <c r="T282" s="3" t="str">
        <f t="shared" si="119"/>
        <v>Штурман - база &lt; Ворантис из Лорена</v>
      </c>
      <c r="U282" s="9">
        <f t="shared" si="125"/>
        <v>287.76069359166661</v>
      </c>
      <c r="V282" s="9">
        <f t="shared" ca="1" si="126"/>
        <v>496.13067910583322</v>
      </c>
      <c r="W282">
        <f t="shared" si="127"/>
        <v>719.40173397916647</v>
      </c>
      <c r="X282" s="10">
        <f>'Книги профессий'!M44</f>
        <v>15</v>
      </c>
    </row>
    <row r="283" spans="1:24" x14ac:dyDescent="0.25">
      <c r="A283" s="23" t="str">
        <f>'Книги профессий'!K45&amp;" &lt; "&amp;'Книги профессий'!L45</f>
        <v>Штурман - база &lt; Сиранда из Самардейла</v>
      </c>
      <c r="B283">
        <f>'Книги профессий'!N45</f>
        <v>307.57210106785703</v>
      </c>
      <c r="C283">
        <f>'Книги профессий'!I45</f>
        <v>10</v>
      </c>
      <c r="D283">
        <f t="shared" si="108"/>
        <v>14</v>
      </c>
      <c r="E283" t="str">
        <f t="shared" si="140"/>
        <v>$N$10</v>
      </c>
      <c r="F283">
        <f t="shared" ca="1" si="141"/>
        <v>760</v>
      </c>
      <c r="G283">
        <f t="shared" ca="1" si="142"/>
        <v>2.375</v>
      </c>
      <c r="H283">
        <f>'Модель v2 базовая'!$G$84</f>
        <v>500</v>
      </c>
      <c r="I283">
        <f t="shared" ca="1" si="143"/>
        <v>39.583333333333336</v>
      </c>
      <c r="J283">
        <v>10</v>
      </c>
      <c r="K283">
        <f>'Модель v2 базовая'!$E$84</f>
        <v>1.6666666666666667</v>
      </c>
      <c r="L283">
        <v>0.7</v>
      </c>
      <c r="M283">
        <f t="shared" si="146"/>
        <v>0</v>
      </c>
      <c r="N283">
        <f t="shared" ca="1" si="144"/>
        <v>5269.9757181535697</v>
      </c>
      <c r="O283">
        <f t="shared" ca="1" si="145"/>
        <v>526.99757181535699</v>
      </c>
      <c r="T283" s="3" t="str">
        <f t="shared" si="119"/>
        <v>Штурман - база &lt; Сиранда из Самардейла</v>
      </c>
      <c r="U283" s="9">
        <f t="shared" si="125"/>
        <v>307.57210106785703</v>
      </c>
      <c r="V283" s="9">
        <f t="shared" ca="1" si="126"/>
        <v>526.99757181535699</v>
      </c>
      <c r="W283">
        <f t="shared" si="127"/>
        <v>768.93025266964264</v>
      </c>
      <c r="X283" s="10">
        <f>'Книги профессий'!M45</f>
        <v>14</v>
      </c>
    </row>
    <row r="284" spans="1:24" x14ac:dyDescent="0.25">
      <c r="A284" s="23" t="str">
        <f>'Книги профессий'!K46&amp;" &lt; "&amp;'Книги профессий'!L46</f>
        <v>Штурман - база &lt; Элестрия из Гвадекуры</v>
      </c>
      <c r="B284">
        <f>'Книги профессий'!N46</f>
        <v>330.43141738653839</v>
      </c>
      <c r="C284">
        <f>'Книги профессий'!I46</f>
        <v>11</v>
      </c>
      <c r="D284">
        <f t="shared" si="108"/>
        <v>14</v>
      </c>
      <c r="E284" t="str">
        <f t="shared" si="140"/>
        <v>$N$11</v>
      </c>
      <c r="F284">
        <f t="shared" ca="1" si="141"/>
        <v>880</v>
      </c>
      <c r="G284">
        <f t="shared" ca="1" si="142"/>
        <v>2.75</v>
      </c>
      <c r="H284">
        <f>'Модель v2 базовая'!$G$84</f>
        <v>500</v>
      </c>
      <c r="I284">
        <f t="shared" ca="1" si="143"/>
        <v>45.833333333333336</v>
      </c>
      <c r="J284">
        <v>10</v>
      </c>
      <c r="K284">
        <f>'Модель v2 базовая'!$E$84</f>
        <v>1.6666666666666667</v>
      </c>
      <c r="L284">
        <v>0.7</v>
      </c>
      <c r="M284">
        <f t="shared" si="146"/>
        <v>0</v>
      </c>
      <c r="N284">
        <f t="shared" ca="1" si="144"/>
        <v>5664.8340955711519</v>
      </c>
      <c r="O284">
        <f t="shared" ca="1" si="145"/>
        <v>566.48340955711524</v>
      </c>
      <c r="T284" s="3" t="str">
        <f t="shared" si="119"/>
        <v>Штурман - база &lt; Элестрия из Гвадекуры</v>
      </c>
      <c r="U284" s="9">
        <f t="shared" si="125"/>
        <v>330.43141738653839</v>
      </c>
      <c r="V284" s="9">
        <f t="shared" ca="1" si="126"/>
        <v>566.48340955711524</v>
      </c>
      <c r="W284">
        <f t="shared" si="127"/>
        <v>826.07854346634599</v>
      </c>
      <c r="X284" s="10">
        <f>'Книги профессий'!M46</f>
        <v>13</v>
      </c>
    </row>
    <row r="285" spans="1:24" x14ac:dyDescent="0.25">
      <c r="A285" s="23" t="str">
        <f>'Книги профессий'!K47&amp;" &lt; "&amp;'Книги профессий'!L47</f>
        <v>Штурман - база &lt; Лиресса из Ранджар-ара</v>
      </c>
      <c r="B285">
        <f>'Книги профессий'!N47</f>
        <v>357.10061975833327</v>
      </c>
      <c r="C285">
        <f>'Книги профессий'!I47</f>
        <v>12</v>
      </c>
      <c r="D285">
        <f t="shared" si="108"/>
        <v>14</v>
      </c>
      <c r="E285" t="str">
        <f t="shared" si="140"/>
        <v>$N$12</v>
      </c>
      <c r="F285">
        <f t="shared" ca="1" si="141"/>
        <v>400</v>
      </c>
      <c r="G285">
        <f t="shared" ca="1" si="142"/>
        <v>1.25</v>
      </c>
      <c r="H285">
        <f>'Модель v2 базовая'!$G$84</f>
        <v>500</v>
      </c>
      <c r="I285">
        <f t="shared" ca="1" si="143"/>
        <v>20.833333333333336</v>
      </c>
      <c r="J285">
        <v>10</v>
      </c>
      <c r="K285">
        <f>'Модель v2 базовая'!$E$84</f>
        <v>1.6666666666666667</v>
      </c>
      <c r="L285">
        <v>0.7</v>
      </c>
      <c r="M285">
        <f t="shared" si="146"/>
        <v>0</v>
      </c>
      <c r="N285">
        <f t="shared" ca="1" si="144"/>
        <v>6093.2105358916651</v>
      </c>
      <c r="O285">
        <f t="shared" ca="1" si="145"/>
        <v>609.32105358916647</v>
      </c>
      <c r="T285" s="3" t="str">
        <f t="shared" si="119"/>
        <v>Штурман - база &lt; Лиресса из Ранджар-ара</v>
      </c>
      <c r="U285" s="9">
        <f t="shared" si="125"/>
        <v>357.10061975833327</v>
      </c>
      <c r="V285" s="9">
        <f t="shared" ca="1" si="126"/>
        <v>609.32105358916647</v>
      </c>
      <c r="W285">
        <f t="shared" si="127"/>
        <v>892.75154939583319</v>
      </c>
      <c r="X285" s="10">
        <f>'Книги профессий'!M47</f>
        <v>12</v>
      </c>
    </row>
    <row r="286" spans="1:24" x14ac:dyDescent="0.25">
      <c r="A286" s="23" t="str">
        <f>'Книги профессий'!K48&amp;" &lt; "&amp;'Книги профессий'!L48</f>
        <v>Штурман - база &lt; Тирентис из Садата</v>
      </c>
      <c r="B286">
        <f>'Книги профессий'!N48</f>
        <v>388.61876801590904</v>
      </c>
      <c r="C286">
        <f>'Книги профессий'!I48</f>
        <v>13</v>
      </c>
      <c r="D286">
        <f t="shared" si="108"/>
        <v>14</v>
      </c>
      <c r="E286" t="str">
        <f t="shared" si="140"/>
        <v>$N$13</v>
      </c>
      <c r="F286">
        <f t="shared" ca="1" si="141"/>
        <v>880</v>
      </c>
      <c r="G286">
        <f t="shared" ca="1" si="142"/>
        <v>2.75</v>
      </c>
      <c r="H286">
        <f>'Модель v2 базовая'!$G$84</f>
        <v>500</v>
      </c>
      <c r="I286">
        <f t="shared" ca="1" si="143"/>
        <v>45.833333333333336</v>
      </c>
      <c r="J286">
        <v>10</v>
      </c>
      <c r="K286">
        <f>'Модель v2 базовая'!$E$84</f>
        <v>1.6666666666666667</v>
      </c>
      <c r="L286">
        <v>0.7</v>
      </c>
      <c r="M286">
        <f t="shared" si="146"/>
        <v>0</v>
      </c>
      <c r="N286">
        <f t="shared" ca="1" si="144"/>
        <v>6654.0190562704538</v>
      </c>
      <c r="O286">
        <f t="shared" ca="1" si="145"/>
        <v>665.40190562704538</v>
      </c>
      <c r="T286" s="3" t="str">
        <f t="shared" si="119"/>
        <v>Штурман - база &lt; Тирентис из Садата</v>
      </c>
      <c r="U286" s="9">
        <f t="shared" si="125"/>
        <v>388.61876801590904</v>
      </c>
      <c r="V286" s="9">
        <f t="shared" ca="1" si="126"/>
        <v>665.40190562704538</v>
      </c>
      <c r="W286">
        <f t="shared" si="127"/>
        <v>971.54692003977266</v>
      </c>
      <c r="X286" s="10">
        <f>'Книги профессий'!M48</f>
        <v>11</v>
      </c>
    </row>
    <row r="287" spans="1:24" x14ac:dyDescent="0.25">
      <c r="A287" s="23" t="str">
        <f>'Книги профессий'!K49&amp;" &lt; "&amp;'Книги профессий'!L49</f>
        <v>Штурман - база &lt; Галендор из Столицы</v>
      </c>
      <c r="B287">
        <f>'Книги профессий'!N49</f>
        <v>426.44054592499992</v>
      </c>
      <c r="C287">
        <f>'Книги профессий'!I49</f>
        <v>14</v>
      </c>
      <c r="D287">
        <f t="shared" si="108"/>
        <v>14</v>
      </c>
      <c r="E287" t="str">
        <f t="shared" si="140"/>
        <v>$N$14</v>
      </c>
      <c r="F287">
        <f t="shared" ca="1" si="141"/>
        <v>0</v>
      </c>
      <c r="G287">
        <f t="shared" ca="1" si="142"/>
        <v>0</v>
      </c>
      <c r="H287">
        <f>'Модель v2 базовая'!$G$84</f>
        <v>500</v>
      </c>
      <c r="I287">
        <f t="shared" ca="1" si="143"/>
        <v>0</v>
      </c>
      <c r="J287">
        <v>10</v>
      </c>
      <c r="K287">
        <f>'Модель v2 базовая'!$E$84</f>
        <v>1.6666666666666667</v>
      </c>
      <c r="L287">
        <v>0.7</v>
      </c>
      <c r="M287">
        <f t="shared" si="146"/>
        <v>0</v>
      </c>
      <c r="N287">
        <f t="shared" ca="1" si="144"/>
        <v>4264.4054592499997</v>
      </c>
      <c r="O287">
        <f t="shared" ca="1" si="145"/>
        <v>426.44054592499998</v>
      </c>
      <c r="T287" s="3" t="str">
        <f t="shared" si="119"/>
        <v>Штурман - база &lt; Галендор из Столицы</v>
      </c>
      <c r="U287" s="9">
        <f t="shared" si="125"/>
        <v>426.44054592499992</v>
      </c>
      <c r="V287" s="9">
        <f t="shared" ca="1" si="126"/>
        <v>426.44054592499998</v>
      </c>
      <c r="W287">
        <f t="shared" si="127"/>
        <v>1066.1013648124999</v>
      </c>
      <c r="X287" s="10">
        <f>'Книги профессий'!M49</f>
        <v>10</v>
      </c>
    </row>
    <row r="288" spans="1:24" x14ac:dyDescent="0.25">
      <c r="A288" s="23" t="str">
        <f>'Книги профессий'!K50&amp;" &lt; "&amp;'Книги профессий'!L50</f>
        <v>Штурман продвинутый &lt; Лорелия из Люг-о-дана</v>
      </c>
      <c r="B288">
        <f>'Книги профессий'!N50</f>
        <v>281.73113479456515</v>
      </c>
      <c r="C288">
        <f>'Книги профессий'!I50</f>
        <v>3</v>
      </c>
      <c r="D288">
        <f t="shared" si="108"/>
        <v>14</v>
      </c>
      <c r="E288" t="str">
        <f t="shared" si="140"/>
        <v>$N$3</v>
      </c>
      <c r="F288">
        <f t="shared" ca="1" si="141"/>
        <v>680</v>
      </c>
      <c r="G288">
        <f t="shared" ca="1" si="142"/>
        <v>2.125</v>
      </c>
      <c r="H288">
        <f>'Модель v2 базовая'!$G$84</f>
        <v>500</v>
      </c>
      <c r="I288">
        <f t="shared" ca="1" si="143"/>
        <v>35.416666666666671</v>
      </c>
      <c r="J288">
        <v>10</v>
      </c>
      <c r="K288">
        <f>'Модель v2 базовая'!$E$84</f>
        <v>1.6666666666666667</v>
      </c>
      <c r="L288">
        <v>0.7</v>
      </c>
      <c r="M288">
        <f t="shared" si="146"/>
        <v>10</v>
      </c>
      <c r="N288">
        <f t="shared" ca="1" si="144"/>
        <v>4826.5126248409415</v>
      </c>
      <c r="O288">
        <f t="shared" ca="1" si="145"/>
        <v>482.65126248409416</v>
      </c>
      <c r="T288" s="3" t="str">
        <f t="shared" si="119"/>
        <v>Штурман продвинутый &lt; Лорелия из Люг-о-дана</v>
      </c>
      <c r="U288" s="9">
        <f t="shared" si="125"/>
        <v>281.73113479456515</v>
      </c>
      <c r="V288" s="9">
        <f t="shared" ca="1" si="126"/>
        <v>482.65126248409416</v>
      </c>
      <c r="W288">
        <f t="shared" si="127"/>
        <v>704.32783698641288</v>
      </c>
      <c r="X288" s="10">
        <f>'Книги профессий'!M50</f>
        <v>23</v>
      </c>
    </row>
    <row r="289" spans="1:24" x14ac:dyDescent="0.25">
      <c r="A289" s="23" t="str">
        <f>'Книги профессий'!K51&amp;" &lt; "&amp;'Книги профессий'!L51</f>
        <v>Штурман продвинутый &lt; Алиандра из Шихона</v>
      </c>
      <c r="B289">
        <f>'Книги профессий'!N51</f>
        <v>294.06432324318172</v>
      </c>
      <c r="C289">
        <f>'Книги профессий'!I51</f>
        <v>4</v>
      </c>
      <c r="D289">
        <f t="shared" si="108"/>
        <v>14</v>
      </c>
      <c r="E289" t="str">
        <f t="shared" si="140"/>
        <v>$N$4</v>
      </c>
      <c r="F289">
        <f t="shared" ca="1" si="141"/>
        <v>900</v>
      </c>
      <c r="G289">
        <f t="shared" ca="1" si="142"/>
        <v>2.8125</v>
      </c>
      <c r="H289">
        <f>'Модель v2 базовая'!$G$84</f>
        <v>500</v>
      </c>
      <c r="I289">
        <f t="shared" ca="1" si="143"/>
        <v>46.875</v>
      </c>
      <c r="J289">
        <v>10</v>
      </c>
      <c r="K289">
        <f>'Модель v2 базовая'!$E$84</f>
        <v>1.6666666666666667</v>
      </c>
      <c r="L289">
        <v>0.7</v>
      </c>
      <c r="M289">
        <f t="shared" si="146"/>
        <v>10</v>
      </c>
      <c r="N289">
        <f t="shared" ca="1" si="144"/>
        <v>5047.6351618007557</v>
      </c>
      <c r="O289">
        <f t="shared" ca="1" si="145"/>
        <v>504.76351618007556</v>
      </c>
      <c r="T289" s="3" t="str">
        <f t="shared" si="119"/>
        <v>Штурман продвинутый &lt; Алиандра из Шихона</v>
      </c>
      <c r="U289" s="9">
        <f t="shared" si="125"/>
        <v>294.06432324318172</v>
      </c>
      <c r="V289" s="9">
        <f t="shared" ca="1" si="126"/>
        <v>504.76351618007556</v>
      </c>
      <c r="W289">
        <f t="shared" si="127"/>
        <v>735.16080810795427</v>
      </c>
      <c r="X289" s="10">
        <f>'Книги профессий'!M51</f>
        <v>22</v>
      </c>
    </row>
    <row r="290" spans="1:24" x14ac:dyDescent="0.25">
      <c r="A290" s="23" t="str">
        <f>'Книги профессий'!K52&amp;" &lt; "&amp;'Книги профессий'!L52</f>
        <v>Штурман продвинутый &lt; Кирантель из Готуна</v>
      </c>
      <c r="B290">
        <f>'Книги профессий'!N52</f>
        <v>307.57210106785703</v>
      </c>
      <c r="C290">
        <f>'Книги профессий'!I52</f>
        <v>5</v>
      </c>
      <c r="D290">
        <f t="shared" si="108"/>
        <v>14</v>
      </c>
      <c r="E290" t="str">
        <f t="shared" si="140"/>
        <v>$N$5</v>
      </c>
      <c r="F290">
        <f t="shared" ca="1" si="141"/>
        <v>980</v>
      </c>
      <c r="G290">
        <f t="shared" ca="1" si="142"/>
        <v>3.0625</v>
      </c>
      <c r="H290">
        <f>'Модель v2 базовая'!$G$84</f>
        <v>500</v>
      </c>
      <c r="I290">
        <f t="shared" ca="1" si="143"/>
        <v>51.041666666666671</v>
      </c>
      <c r="J290">
        <v>10</v>
      </c>
      <c r="K290">
        <f>'Модель v2 базовая'!$E$84</f>
        <v>1.6666666666666667</v>
      </c>
      <c r="L290">
        <v>0.7</v>
      </c>
      <c r="M290">
        <f t="shared" si="146"/>
        <v>10</v>
      </c>
      <c r="N290">
        <f t="shared" ca="1" si="144"/>
        <v>5281.4340514869036</v>
      </c>
      <c r="O290">
        <f t="shared" ca="1" si="145"/>
        <v>528.14340514869036</v>
      </c>
      <c r="T290" s="3" t="str">
        <f t="shared" si="119"/>
        <v>Штурман продвинутый &lt; Кирантель из Готуна</v>
      </c>
      <c r="U290" s="9">
        <f t="shared" si="125"/>
        <v>307.57210106785703</v>
      </c>
      <c r="V290" s="9">
        <f t="shared" ca="1" si="126"/>
        <v>528.14340514869036</v>
      </c>
      <c r="W290">
        <f t="shared" si="127"/>
        <v>768.93025266964264</v>
      </c>
      <c r="X290" s="10">
        <f>'Книги профессий'!M52</f>
        <v>21</v>
      </c>
    </row>
    <row r="291" spans="1:24" x14ac:dyDescent="0.25">
      <c r="A291" s="23" t="str">
        <f>'Книги профессий'!K53&amp;" &lt; "&amp;'Книги профессий'!L53</f>
        <v>Штурман продвинутый &lt; Элиндор из Фидваго</v>
      </c>
      <c r="B291">
        <f>'Книги профессий'!N53</f>
        <v>322.43065667499991</v>
      </c>
      <c r="C291">
        <f>'Книги профессий'!I53</f>
        <v>6</v>
      </c>
      <c r="D291">
        <f t="shared" si="108"/>
        <v>14</v>
      </c>
      <c r="E291" t="str">
        <f t="shared" si="140"/>
        <v>$N$6</v>
      </c>
      <c r="F291">
        <f t="shared" ca="1" si="141"/>
        <v>1460</v>
      </c>
      <c r="G291">
        <f t="shared" ca="1" si="142"/>
        <v>4.5625</v>
      </c>
      <c r="H291">
        <f>'Модель v2 базовая'!$G$84</f>
        <v>500</v>
      </c>
      <c r="I291">
        <f t="shared" ca="1" si="143"/>
        <v>76.041666666666671</v>
      </c>
      <c r="J291">
        <v>10</v>
      </c>
      <c r="K291">
        <f>'Модель v2 базовая'!$E$84</f>
        <v>1.6666666666666667</v>
      </c>
      <c r="L291">
        <v>0.7</v>
      </c>
      <c r="M291">
        <f t="shared" si="146"/>
        <v>10</v>
      </c>
      <c r="N291">
        <f t="shared" ca="1" si="144"/>
        <v>5559.0294968083326</v>
      </c>
      <c r="O291">
        <f t="shared" ca="1" si="145"/>
        <v>555.90294968083322</v>
      </c>
      <c r="T291" s="3" t="str">
        <f t="shared" si="119"/>
        <v>Штурман продвинутый &lt; Элиндор из Фидваго</v>
      </c>
      <c r="U291" s="9">
        <f t="shared" si="125"/>
        <v>322.43065667499991</v>
      </c>
      <c r="V291" s="9">
        <f t="shared" ca="1" si="126"/>
        <v>555.90294968083322</v>
      </c>
      <c r="W291">
        <f t="shared" si="127"/>
        <v>806.07664168749977</v>
      </c>
      <c r="X291" s="10">
        <f>'Книги профессий'!M53</f>
        <v>20</v>
      </c>
    </row>
    <row r="292" spans="1:24" x14ac:dyDescent="0.25">
      <c r="A292" s="23" t="str">
        <f>'Книги профессий'!K54&amp;" &lt; "&amp;'Книги профессий'!L54</f>
        <v>Штурман продвинутый &lt; Элестрия из Дарутана</v>
      </c>
      <c r="B292">
        <f>'Книги профессий'!N54</f>
        <v>338.85327076710513</v>
      </c>
      <c r="C292">
        <f>'Книги профессий'!I54</f>
        <v>7</v>
      </c>
      <c r="D292">
        <f t="shared" si="108"/>
        <v>14</v>
      </c>
      <c r="E292" t="str">
        <f t="shared" si="140"/>
        <v>$N$7</v>
      </c>
      <c r="F292">
        <f t="shared" ca="1" si="141"/>
        <v>880</v>
      </c>
      <c r="G292">
        <f t="shared" ca="1" si="142"/>
        <v>2.75</v>
      </c>
      <c r="H292">
        <f>'Модель v2 базовая'!$G$84</f>
        <v>500</v>
      </c>
      <c r="I292">
        <f t="shared" ca="1" si="143"/>
        <v>45.833333333333336</v>
      </c>
      <c r="J292">
        <v>10</v>
      </c>
      <c r="K292">
        <f>'Модель v2 базовая'!$E$84</f>
        <v>1.6666666666666667</v>
      </c>
      <c r="L292">
        <v>0.7</v>
      </c>
      <c r="M292">
        <f t="shared" si="146"/>
        <v>10</v>
      </c>
      <c r="N292">
        <f t="shared" ca="1" si="144"/>
        <v>5808.0056030407868</v>
      </c>
      <c r="O292">
        <f t="shared" ca="1" si="145"/>
        <v>580.80056030407866</v>
      </c>
      <c r="T292" s="3" t="str">
        <f t="shared" si="119"/>
        <v>Штурман продвинутый &lt; Элестрия из Дарутана</v>
      </c>
      <c r="U292" s="9">
        <f t="shared" si="125"/>
        <v>338.85327076710513</v>
      </c>
      <c r="V292" s="9">
        <f t="shared" ca="1" si="126"/>
        <v>580.80056030407866</v>
      </c>
      <c r="W292">
        <f t="shared" si="127"/>
        <v>847.13317691776285</v>
      </c>
      <c r="X292" s="10">
        <f>'Книги профессий'!M54</f>
        <v>19</v>
      </c>
    </row>
    <row r="293" spans="1:24" x14ac:dyDescent="0.25">
      <c r="A293" s="23" t="str">
        <f>'Книги профессий'!K55&amp;" &lt; "&amp;'Книги профессий'!L55</f>
        <v>Штурман продвинутый &lt; Аркантус из Сарухана</v>
      </c>
      <c r="B293">
        <f>'Книги профессий'!N55</f>
        <v>357.10061975833327</v>
      </c>
      <c r="C293">
        <f>'Книги профессий'!I55</f>
        <v>8</v>
      </c>
      <c r="D293">
        <f t="shared" si="108"/>
        <v>14</v>
      </c>
      <c r="E293" t="str">
        <f t="shared" si="140"/>
        <v>$N$8</v>
      </c>
      <c r="F293">
        <f t="shared" ca="1" si="141"/>
        <v>1100</v>
      </c>
      <c r="G293">
        <f t="shared" ca="1" si="142"/>
        <v>3.4375</v>
      </c>
      <c r="H293">
        <f>'Модель v2 базовая'!$G$84</f>
        <v>500</v>
      </c>
      <c r="I293">
        <f t="shared" ca="1" si="143"/>
        <v>57.291666666666671</v>
      </c>
      <c r="J293">
        <v>10</v>
      </c>
      <c r="K293">
        <f>'Модель v2 базовая'!$E$84</f>
        <v>1.6666666666666667</v>
      </c>
      <c r="L293">
        <v>0.7</v>
      </c>
      <c r="M293">
        <f t="shared" si="146"/>
        <v>10</v>
      </c>
      <c r="N293">
        <f t="shared" ca="1" si="144"/>
        <v>6129.6688692249991</v>
      </c>
      <c r="O293">
        <f t="shared" ca="1" si="145"/>
        <v>612.96688692249995</v>
      </c>
      <c r="T293" s="3" t="str">
        <f t="shared" si="119"/>
        <v>Штурман продвинутый &lt; Аркантус из Сарухана</v>
      </c>
      <c r="U293" s="9">
        <f t="shared" si="125"/>
        <v>357.10061975833327</v>
      </c>
      <c r="V293" s="9">
        <f t="shared" ca="1" si="126"/>
        <v>612.96688692249995</v>
      </c>
      <c r="W293">
        <f t="shared" si="127"/>
        <v>892.75154939583319</v>
      </c>
      <c r="X293" s="10">
        <f>'Книги профессий'!M55</f>
        <v>18</v>
      </c>
    </row>
    <row r="294" spans="1:24" x14ac:dyDescent="0.25">
      <c r="A294" s="23" t="str">
        <f>'Книги профессий'!K56&amp;" &lt; "&amp;'Книги профессий'!L56</f>
        <v>Штурман продвинутый &lt; Солиндор из Лорена</v>
      </c>
      <c r="B294">
        <f>'Книги профессий'!N56</f>
        <v>377.49471568970586</v>
      </c>
      <c r="C294">
        <f>'Книги профессий'!I56</f>
        <v>9</v>
      </c>
      <c r="D294">
        <f t="shared" si="108"/>
        <v>14</v>
      </c>
      <c r="E294" t="str">
        <f t="shared" si="140"/>
        <v>$N$9</v>
      </c>
      <c r="F294">
        <f t="shared" ca="1" si="141"/>
        <v>1300</v>
      </c>
      <c r="G294">
        <f t="shared" ca="1" si="142"/>
        <v>4.0625</v>
      </c>
      <c r="H294">
        <f>'Модель v2 базовая'!$G$84</f>
        <v>500</v>
      </c>
      <c r="I294">
        <f t="shared" ca="1" si="143"/>
        <v>67.708333333333343</v>
      </c>
      <c r="J294">
        <v>10</v>
      </c>
      <c r="K294">
        <f>'Модель v2 базовая'!$E$84</f>
        <v>1.6666666666666667</v>
      </c>
      <c r="L294">
        <v>0.7</v>
      </c>
      <c r="M294">
        <f t="shared" si="146"/>
        <v>10</v>
      </c>
      <c r="N294">
        <f t="shared" ca="1" si="144"/>
        <v>6486.7851667249997</v>
      </c>
      <c r="O294">
        <f t="shared" ca="1" si="145"/>
        <v>648.6785166725</v>
      </c>
      <c r="T294" s="3" t="str">
        <f t="shared" si="119"/>
        <v>Штурман продвинутый &lt; Солиндор из Лорена</v>
      </c>
      <c r="U294" s="9">
        <f t="shared" si="125"/>
        <v>377.49471568970586</v>
      </c>
      <c r="V294" s="9">
        <f t="shared" ca="1" si="126"/>
        <v>648.6785166725</v>
      </c>
      <c r="W294">
        <f t="shared" si="127"/>
        <v>943.73678922426461</v>
      </c>
      <c r="X294" s="10">
        <f>'Книги профессий'!M56</f>
        <v>17</v>
      </c>
    </row>
    <row r="295" spans="1:24" x14ac:dyDescent="0.25">
      <c r="A295" s="23" t="str">
        <f>'Книги профессий'!K57&amp;" &lt; "&amp;'Книги профессий'!L57</f>
        <v>Штурман продвинутый &lt; Лиссандра из Самардейла</v>
      </c>
      <c r="B295">
        <f>'Книги профессий'!N57</f>
        <v>400.43807361249992</v>
      </c>
      <c r="C295">
        <f>'Книги профессий'!I57</f>
        <v>10</v>
      </c>
      <c r="D295">
        <f t="shared" si="108"/>
        <v>14</v>
      </c>
      <c r="E295" t="str">
        <f t="shared" si="140"/>
        <v>$N$10</v>
      </c>
      <c r="F295">
        <f t="shared" ca="1" si="141"/>
        <v>760</v>
      </c>
      <c r="G295">
        <f t="shared" ca="1" si="142"/>
        <v>2.375</v>
      </c>
      <c r="H295">
        <f>'Модель v2 базовая'!$G$84</f>
        <v>500</v>
      </c>
      <c r="I295">
        <f t="shared" ca="1" si="143"/>
        <v>39.583333333333336</v>
      </c>
      <c r="J295">
        <v>10</v>
      </c>
      <c r="K295">
        <f>'Модель v2 базовая'!$E$84</f>
        <v>1.6666666666666667</v>
      </c>
      <c r="L295">
        <v>0.7</v>
      </c>
      <c r="M295">
        <f t="shared" si="146"/>
        <v>0</v>
      </c>
      <c r="N295">
        <f t="shared" ca="1" si="144"/>
        <v>6848.6972514124991</v>
      </c>
      <c r="O295">
        <f t="shared" ca="1" si="145"/>
        <v>684.86972514124989</v>
      </c>
      <c r="T295" s="3" t="str">
        <f t="shared" si="119"/>
        <v>Штурман продвинутый &lt; Лиссандра из Самардейла</v>
      </c>
      <c r="U295" s="9">
        <f t="shared" si="125"/>
        <v>400.43807361249992</v>
      </c>
      <c r="V295" s="9">
        <f t="shared" ca="1" si="126"/>
        <v>684.86972514124989</v>
      </c>
      <c r="W295">
        <f t="shared" si="127"/>
        <v>1001.0951840312498</v>
      </c>
      <c r="X295" s="10">
        <f>'Книги профессий'!M57</f>
        <v>16</v>
      </c>
    </row>
    <row r="296" spans="1:24" x14ac:dyDescent="0.25">
      <c r="A296" s="23" t="str">
        <f>'Книги профессий'!K58&amp;" &lt; "&amp;'Книги профессий'!L58</f>
        <v>Штурман продвинутый &lt; Таэлин из Гвадекуры</v>
      </c>
      <c r="B296">
        <f>'Книги профессий'!N58</f>
        <v>426.44054592499992</v>
      </c>
      <c r="C296">
        <f>'Книги профессий'!I58</f>
        <v>11</v>
      </c>
      <c r="D296">
        <f t="shared" si="108"/>
        <v>14</v>
      </c>
      <c r="E296" t="str">
        <f t="shared" si="140"/>
        <v>$N$11</v>
      </c>
      <c r="F296">
        <f t="shared" ca="1" si="141"/>
        <v>880</v>
      </c>
      <c r="G296">
        <f t="shared" ca="1" si="142"/>
        <v>2.75</v>
      </c>
      <c r="H296">
        <f>'Модель v2 базовая'!$G$84</f>
        <v>500</v>
      </c>
      <c r="I296">
        <f t="shared" ca="1" si="143"/>
        <v>45.833333333333336</v>
      </c>
      <c r="J296">
        <v>10</v>
      </c>
      <c r="K296">
        <f>'Модель v2 базовая'!$E$84</f>
        <v>1.6666666666666667</v>
      </c>
      <c r="L296">
        <v>0.7</v>
      </c>
      <c r="M296">
        <f t="shared" si="146"/>
        <v>0</v>
      </c>
      <c r="N296">
        <f t="shared" ca="1" si="144"/>
        <v>7296.9892807249998</v>
      </c>
      <c r="O296">
        <f t="shared" ca="1" si="145"/>
        <v>729.69892807249994</v>
      </c>
      <c r="T296" s="3" t="str">
        <f t="shared" si="119"/>
        <v>Штурман продвинутый &lt; Таэлин из Гвадекуры</v>
      </c>
      <c r="U296" s="9">
        <f t="shared" si="125"/>
        <v>426.44054592499992</v>
      </c>
      <c r="V296" s="9">
        <f t="shared" ca="1" si="126"/>
        <v>729.69892807249994</v>
      </c>
      <c r="W296">
        <f t="shared" si="127"/>
        <v>1066.1013648124999</v>
      </c>
      <c r="X296" s="10">
        <f>'Книги профессий'!M58</f>
        <v>15</v>
      </c>
    </row>
    <row r="297" spans="1:24" x14ac:dyDescent="0.25">
      <c r="A297" s="23" t="str">
        <f>'Книги профессий'!K59&amp;" &lt; "&amp;'Книги профессий'!L59</f>
        <v>Штурман продвинутый &lt; Эльрион из Ранджар-ара</v>
      </c>
      <c r="B297">
        <f>'Книги профессий'!N59</f>
        <v>456.15765713928556</v>
      </c>
      <c r="C297">
        <f>'Книги профессий'!I59</f>
        <v>12</v>
      </c>
      <c r="D297">
        <f t="shared" si="108"/>
        <v>14</v>
      </c>
      <c r="E297" t="str">
        <f t="shared" si="140"/>
        <v>$N$12</v>
      </c>
      <c r="F297">
        <f t="shared" ca="1" si="141"/>
        <v>400</v>
      </c>
      <c r="G297">
        <f t="shared" ca="1" si="142"/>
        <v>1.25</v>
      </c>
      <c r="H297">
        <f>'Модель v2 базовая'!$G$84</f>
        <v>500</v>
      </c>
      <c r="I297">
        <f t="shared" ca="1" si="143"/>
        <v>20.833333333333336</v>
      </c>
      <c r="J297">
        <v>10</v>
      </c>
      <c r="K297">
        <f>'Модель v2 базовая'!$E$84</f>
        <v>1.6666666666666667</v>
      </c>
      <c r="L297">
        <v>0.7</v>
      </c>
      <c r="M297">
        <f t="shared" si="146"/>
        <v>0</v>
      </c>
      <c r="N297">
        <f t="shared" ca="1" si="144"/>
        <v>7777.1801713678542</v>
      </c>
      <c r="O297">
        <f t="shared" ca="1" si="145"/>
        <v>777.71801713678542</v>
      </c>
      <c r="T297" s="3" t="str">
        <f t="shared" si="119"/>
        <v>Штурман продвинутый &lt; Эльрион из Ранджар-ара</v>
      </c>
      <c r="U297" s="9">
        <f t="shared" si="125"/>
        <v>456.15765713928556</v>
      </c>
      <c r="V297" s="9">
        <f t="shared" ca="1" si="126"/>
        <v>777.71801713678542</v>
      </c>
      <c r="W297">
        <f t="shared" si="127"/>
        <v>1140.394142848214</v>
      </c>
      <c r="X297" s="10">
        <f>'Книги профессий'!M59</f>
        <v>14</v>
      </c>
    </row>
    <row r="298" spans="1:24" x14ac:dyDescent="0.25">
      <c r="A298" s="23" t="str">
        <f>'Книги профессий'!K60&amp;" &lt; "&amp;'Книги профессий'!L60</f>
        <v>Штурман продвинутый &lt; Элориан из Садата</v>
      </c>
      <c r="B298">
        <f>'Книги профессий'!N60</f>
        <v>490.44663161730756</v>
      </c>
      <c r="C298">
        <f>'Книги профессий'!I60</f>
        <v>13</v>
      </c>
      <c r="D298">
        <f t="shared" si="108"/>
        <v>14</v>
      </c>
      <c r="E298" t="str">
        <f t="shared" si="140"/>
        <v>$N$13</v>
      </c>
      <c r="F298">
        <f t="shared" ca="1" si="141"/>
        <v>880</v>
      </c>
      <c r="G298">
        <f t="shared" ca="1" si="142"/>
        <v>2.75</v>
      </c>
      <c r="H298">
        <f>'Модель v2 базовая'!$G$84</f>
        <v>500</v>
      </c>
      <c r="I298">
        <f t="shared" ca="1" si="143"/>
        <v>45.833333333333336</v>
      </c>
      <c r="J298">
        <v>10</v>
      </c>
      <c r="K298">
        <f>'Модель v2 базовая'!$E$84</f>
        <v>1.6666666666666667</v>
      </c>
      <c r="L298">
        <v>0.7</v>
      </c>
      <c r="M298">
        <f t="shared" si="146"/>
        <v>0</v>
      </c>
      <c r="N298">
        <f t="shared" ca="1" si="144"/>
        <v>8385.0927374942294</v>
      </c>
      <c r="O298">
        <f t="shared" ca="1" si="145"/>
        <v>838.50927374942296</v>
      </c>
      <c r="T298" s="3" t="str">
        <f t="shared" si="119"/>
        <v>Штурман продвинутый &lt; Элориан из Садата</v>
      </c>
      <c r="U298" s="9">
        <f t="shared" si="125"/>
        <v>490.44663161730756</v>
      </c>
      <c r="V298" s="9">
        <f t="shared" ca="1" si="126"/>
        <v>838.50927374942296</v>
      </c>
      <c r="W298">
        <f t="shared" si="127"/>
        <v>1226.116579043269</v>
      </c>
      <c r="X298" s="10">
        <f>'Книги профессий'!M60</f>
        <v>13</v>
      </c>
    </row>
    <row r="299" spans="1:24" x14ac:dyDescent="0.25">
      <c r="A299" s="23" t="str">
        <f>'Книги профессий'!K61&amp;" &lt; "&amp;'Книги профессий'!L61</f>
        <v>Штурман продвинутый &lt; Аринтейн из Столицы</v>
      </c>
      <c r="B299">
        <f>'Книги профессий'!N61</f>
        <v>530.45043517499994</v>
      </c>
      <c r="C299">
        <f>'Книги профессий'!I61</f>
        <v>14</v>
      </c>
      <c r="D299">
        <f t="shared" si="108"/>
        <v>14</v>
      </c>
      <c r="E299" t="str">
        <f t="shared" si="140"/>
        <v>$N$14</v>
      </c>
      <c r="F299">
        <f t="shared" ca="1" si="141"/>
        <v>0</v>
      </c>
      <c r="G299">
        <f t="shared" ca="1" si="142"/>
        <v>0</v>
      </c>
      <c r="H299">
        <f>'Модель v2 базовая'!$G$84</f>
        <v>500</v>
      </c>
      <c r="I299">
        <f t="shared" ca="1" si="143"/>
        <v>0</v>
      </c>
      <c r="J299">
        <v>10</v>
      </c>
      <c r="K299">
        <f>'Модель v2 базовая'!$E$84</f>
        <v>1.6666666666666667</v>
      </c>
      <c r="L299">
        <v>0.7</v>
      </c>
      <c r="M299">
        <f t="shared" si="146"/>
        <v>0</v>
      </c>
      <c r="N299">
        <f t="shared" ca="1" si="144"/>
        <v>5304.5043517499998</v>
      </c>
      <c r="O299">
        <f t="shared" ca="1" si="145"/>
        <v>530.45043517499994</v>
      </c>
      <c r="T299" s="3" t="str">
        <f t="shared" si="119"/>
        <v>Штурман продвинутый &lt; Аринтейн из Столицы</v>
      </c>
      <c r="U299" s="9">
        <f t="shared" si="125"/>
        <v>530.45043517499994</v>
      </c>
      <c r="V299" s="9">
        <f t="shared" ca="1" si="126"/>
        <v>530.45043517499994</v>
      </c>
      <c r="W299">
        <f t="shared" si="127"/>
        <v>1326.1260879375</v>
      </c>
      <c r="X299" s="10">
        <f>'Книги профессий'!M61</f>
        <v>12</v>
      </c>
    </row>
    <row r="300" spans="1:24" x14ac:dyDescent="0.25">
      <c r="A300" s="23" t="str">
        <f>'Книги профессий'!K62&amp;" &lt; "&amp;'Книги профессий'!L62</f>
        <v>Штурман мастер &lt; Тирандор из Люг-о-дана</v>
      </c>
      <c r="B300">
        <f>'Книги профессий'!N62</f>
        <v>370.43522094423065</v>
      </c>
      <c r="C300">
        <f>'Книги профессий'!I62</f>
        <v>3</v>
      </c>
      <c r="D300">
        <f t="shared" si="108"/>
        <v>14</v>
      </c>
      <c r="E300" t="str">
        <f t="shared" si="140"/>
        <v>$N$3</v>
      </c>
      <c r="F300">
        <f t="shared" ca="1" si="141"/>
        <v>680</v>
      </c>
      <c r="G300">
        <f t="shared" ca="1" si="142"/>
        <v>2.125</v>
      </c>
      <c r="H300">
        <f>'Модель v2 базовая'!$G$84</f>
        <v>500</v>
      </c>
      <c r="I300">
        <f t="shared" ca="1" si="143"/>
        <v>35.416666666666671</v>
      </c>
      <c r="J300">
        <v>10</v>
      </c>
      <c r="K300">
        <f>'Модель v2 базовая'!$E$84</f>
        <v>1.6666666666666667</v>
      </c>
      <c r="L300">
        <v>0.7</v>
      </c>
      <c r="M300">
        <f t="shared" si="146"/>
        <v>10</v>
      </c>
      <c r="N300">
        <f t="shared" ca="1" si="144"/>
        <v>6334.4820893852548</v>
      </c>
      <c r="O300">
        <f t="shared" ca="1" si="145"/>
        <v>633.44820893852545</v>
      </c>
      <c r="T300" s="3" t="str">
        <f t="shared" si="119"/>
        <v>Штурман мастер &lt; Тирандор из Люг-о-дана</v>
      </c>
      <c r="U300" s="9">
        <f t="shared" si="125"/>
        <v>370.43522094423065</v>
      </c>
      <c r="V300" s="9">
        <f t="shared" ca="1" si="126"/>
        <v>633.44820893852545</v>
      </c>
      <c r="W300">
        <f t="shared" si="127"/>
        <v>926.08805236057663</v>
      </c>
      <c r="X300" s="10">
        <f>'Книги профессий'!M62</f>
        <v>26</v>
      </c>
    </row>
    <row r="301" spans="1:24" x14ac:dyDescent="0.25">
      <c r="A301" s="23" t="str">
        <f>'Книги профессий'!K63&amp;" &lt; "&amp;'Книги профессий'!L63</f>
        <v>Штурман мастер &lt; Арелиос из Шихона</v>
      </c>
      <c r="B301">
        <f>'Книги профессий'!N63</f>
        <v>384.8365902249999</v>
      </c>
      <c r="C301">
        <f>'Книги профессий'!I63</f>
        <v>4</v>
      </c>
      <c r="D301">
        <f t="shared" si="108"/>
        <v>14</v>
      </c>
      <c r="E301" t="str">
        <f t="shared" si="140"/>
        <v>$N$4</v>
      </c>
      <c r="F301">
        <f t="shared" ca="1" si="141"/>
        <v>900</v>
      </c>
      <c r="G301">
        <f t="shared" ca="1" si="142"/>
        <v>2.8125</v>
      </c>
      <c r="H301">
        <f>'Модель v2 базовая'!$G$84</f>
        <v>500</v>
      </c>
      <c r="I301">
        <f t="shared" ca="1" si="143"/>
        <v>46.875</v>
      </c>
      <c r="J301">
        <v>10</v>
      </c>
      <c r="K301">
        <f>'Модель v2 базовая'!$E$84</f>
        <v>1.6666666666666667</v>
      </c>
      <c r="L301">
        <v>0.7</v>
      </c>
      <c r="M301">
        <f t="shared" si="146"/>
        <v>10</v>
      </c>
      <c r="N301">
        <f t="shared" ca="1" si="144"/>
        <v>6590.7637004916642</v>
      </c>
      <c r="O301">
        <f t="shared" ca="1" si="145"/>
        <v>659.07637004916637</v>
      </c>
      <c r="T301" s="3" t="str">
        <f t="shared" si="119"/>
        <v>Штурман мастер &lt; Арелиос из Шихона</v>
      </c>
      <c r="U301" s="9">
        <f t="shared" si="125"/>
        <v>384.8365902249999</v>
      </c>
      <c r="V301" s="9">
        <f t="shared" ca="1" si="126"/>
        <v>659.07637004916637</v>
      </c>
      <c r="W301">
        <f t="shared" si="127"/>
        <v>962.09147556249968</v>
      </c>
      <c r="X301" s="10">
        <f>'Книги профессий'!M63</f>
        <v>25</v>
      </c>
    </row>
    <row r="302" spans="1:24" x14ac:dyDescent="0.25">
      <c r="A302" s="23" t="str">
        <f>'Книги профессий'!K64&amp;" &lt; "&amp;'Книги профессий'!L64</f>
        <v>Штурман мастер &lt; Сирентис из Готуна</v>
      </c>
      <c r="B302">
        <f>'Книги профессий'!N64</f>
        <v>400.43807361249992</v>
      </c>
      <c r="C302">
        <f>'Книги профессий'!I64</f>
        <v>5</v>
      </c>
      <c r="D302">
        <f t="shared" si="108"/>
        <v>14</v>
      </c>
      <c r="E302" t="str">
        <f t="shared" si="140"/>
        <v>$N$5</v>
      </c>
      <c r="F302">
        <f t="shared" ca="1" si="141"/>
        <v>980</v>
      </c>
      <c r="G302">
        <f t="shared" ca="1" si="142"/>
        <v>3.0625</v>
      </c>
      <c r="H302">
        <f>'Модель v2 базовая'!$G$84</f>
        <v>500</v>
      </c>
      <c r="I302">
        <f t="shared" ca="1" si="143"/>
        <v>51.041666666666671</v>
      </c>
      <c r="J302">
        <v>10</v>
      </c>
      <c r="K302">
        <f>'Модель v2 базовая'!$E$84</f>
        <v>1.6666666666666667</v>
      </c>
      <c r="L302">
        <v>0.7</v>
      </c>
      <c r="M302">
        <f t="shared" si="146"/>
        <v>10</v>
      </c>
      <c r="N302">
        <f t="shared" ca="1" si="144"/>
        <v>6860.155584745833</v>
      </c>
      <c r="O302">
        <f t="shared" ca="1" si="145"/>
        <v>686.01555847458326</v>
      </c>
      <c r="T302" s="3" t="str">
        <f t="shared" si="119"/>
        <v>Штурман мастер &lt; Сирентис из Готуна</v>
      </c>
      <c r="U302" s="9">
        <f t="shared" si="125"/>
        <v>400.43807361249992</v>
      </c>
      <c r="V302" s="9">
        <f t="shared" ca="1" si="126"/>
        <v>686.01555847458326</v>
      </c>
      <c r="W302">
        <f t="shared" si="127"/>
        <v>1001.0951840312498</v>
      </c>
      <c r="X302" s="10">
        <f>'Книги профессий'!M64</f>
        <v>24</v>
      </c>
    </row>
    <row r="303" spans="1:24" x14ac:dyDescent="0.25">
      <c r="A303" s="23" t="str">
        <f>'Книги профессий'!K65&amp;" &lt; "&amp;'Книги профессий'!L65</f>
        <v>Штурман мастер &lt; Фиреллия из Фидваго</v>
      </c>
      <c r="B303">
        <f>'Книги профессий'!N65</f>
        <v>417.39620772934774</v>
      </c>
      <c r="C303">
        <f>'Книги профессий'!I65</f>
        <v>6</v>
      </c>
      <c r="D303">
        <f t="shared" si="108"/>
        <v>14</v>
      </c>
      <c r="E303" t="str">
        <f t="shared" si="140"/>
        <v>$N$6</v>
      </c>
      <c r="F303">
        <f t="shared" ca="1" si="141"/>
        <v>1460</v>
      </c>
      <c r="G303">
        <f t="shared" ca="1" si="142"/>
        <v>4.5625</v>
      </c>
      <c r="H303">
        <f>'Модель v2 базовая'!$G$84</f>
        <v>500</v>
      </c>
      <c r="I303">
        <f t="shared" ca="1" si="143"/>
        <v>76.041666666666671</v>
      </c>
      <c r="J303">
        <v>10</v>
      </c>
      <c r="K303">
        <f>'Модель v2 базовая'!$E$84</f>
        <v>1.6666666666666667</v>
      </c>
      <c r="L303">
        <v>0.7</v>
      </c>
      <c r="M303">
        <f t="shared" si="146"/>
        <v>10</v>
      </c>
      <c r="N303">
        <f t="shared" ca="1" si="144"/>
        <v>7173.4438647322459</v>
      </c>
      <c r="O303">
        <f t="shared" ca="1" si="145"/>
        <v>717.34438647322463</v>
      </c>
      <c r="T303" s="3" t="str">
        <f t="shared" ref="T303:T366" si="147">A303</f>
        <v>Штурман мастер &lt; Фиреллия из Фидваго</v>
      </c>
      <c r="U303" s="9">
        <f t="shared" ref="U303:U366" si="148">B303</f>
        <v>417.39620772934774</v>
      </c>
      <c r="V303" s="9">
        <f t="shared" ref="V303:V366" ca="1" si="149">O303</f>
        <v>717.34438647322463</v>
      </c>
      <c r="W303">
        <f t="shared" ref="W303:W366" si="150">B303*2.5</f>
        <v>1043.4905193233694</v>
      </c>
      <c r="X303" s="10">
        <f>'Книги профессий'!M65</f>
        <v>23</v>
      </c>
    </row>
    <row r="304" spans="1:24" x14ac:dyDescent="0.25">
      <c r="A304" s="23" t="str">
        <f>'Книги профессий'!K66&amp;" &lt; "&amp;'Книги профессий'!L66</f>
        <v>Штурман мастер &lt; Иссиэль из Дарутана</v>
      </c>
      <c r="B304">
        <f>'Книги профессий'!N66</f>
        <v>435.89599040227267</v>
      </c>
      <c r="C304">
        <f>'Книги профессий'!I66</f>
        <v>7</v>
      </c>
      <c r="D304">
        <f t="shared" si="108"/>
        <v>14</v>
      </c>
      <c r="E304" t="str">
        <f t="shared" si="140"/>
        <v>$N$7</v>
      </c>
      <c r="F304">
        <f t="shared" ca="1" si="141"/>
        <v>880</v>
      </c>
      <c r="G304">
        <f t="shared" ca="1" si="142"/>
        <v>2.75</v>
      </c>
      <c r="H304">
        <f>'Модель v2 базовая'!$G$84</f>
        <v>500</v>
      </c>
      <c r="I304">
        <f t="shared" ca="1" si="143"/>
        <v>45.833333333333336</v>
      </c>
      <c r="J304">
        <v>10</v>
      </c>
      <c r="K304">
        <f>'Модель v2 базовая'!$E$84</f>
        <v>1.6666666666666667</v>
      </c>
      <c r="L304">
        <v>0.7</v>
      </c>
      <c r="M304">
        <f t="shared" si="146"/>
        <v>10</v>
      </c>
      <c r="N304">
        <f t="shared" ca="1" si="144"/>
        <v>7457.731836838635</v>
      </c>
      <c r="O304">
        <f t="shared" ca="1" si="145"/>
        <v>745.77318368386352</v>
      </c>
      <c r="T304" s="3" t="str">
        <f t="shared" si="147"/>
        <v>Штурман мастер &lt; Иссиэль из Дарутана</v>
      </c>
      <c r="U304" s="9">
        <f t="shared" si="148"/>
        <v>435.89599040227267</v>
      </c>
      <c r="V304" s="9">
        <f t="shared" ca="1" si="149"/>
        <v>745.77318368386352</v>
      </c>
      <c r="W304">
        <f t="shared" si="150"/>
        <v>1089.7399760056817</v>
      </c>
      <c r="X304" s="10">
        <f>'Книги профессий'!M66</f>
        <v>22</v>
      </c>
    </row>
    <row r="305" spans="1:24" x14ac:dyDescent="0.25">
      <c r="A305" s="23" t="str">
        <f>'Книги профессий'!K67&amp;" &lt; "&amp;'Книги профессий'!L67</f>
        <v>Штурман мастер &lt; Зирона из Сарухана</v>
      </c>
      <c r="B305">
        <f>'Книги профессий'!N67</f>
        <v>456.15765713928556</v>
      </c>
      <c r="C305">
        <f>'Книги профессий'!I67</f>
        <v>8</v>
      </c>
      <c r="D305">
        <f t="shared" si="108"/>
        <v>14</v>
      </c>
      <c r="E305" t="str">
        <f t="shared" si="140"/>
        <v>$N$8</v>
      </c>
      <c r="F305">
        <f t="shared" ca="1" si="141"/>
        <v>1100</v>
      </c>
      <c r="G305">
        <f t="shared" ca="1" si="142"/>
        <v>3.4375</v>
      </c>
      <c r="H305">
        <f>'Модель v2 базовая'!$G$84</f>
        <v>500</v>
      </c>
      <c r="I305">
        <f t="shared" ca="1" si="143"/>
        <v>57.291666666666671</v>
      </c>
      <c r="J305">
        <v>10</v>
      </c>
      <c r="K305">
        <f>'Модель v2 базовая'!$E$84</f>
        <v>1.6666666666666667</v>
      </c>
      <c r="L305">
        <v>0.7</v>
      </c>
      <c r="M305">
        <f t="shared" si="146"/>
        <v>10</v>
      </c>
      <c r="N305">
        <f t="shared" ca="1" si="144"/>
        <v>7813.6385047011881</v>
      </c>
      <c r="O305">
        <f t="shared" ca="1" si="145"/>
        <v>781.36385047011879</v>
      </c>
      <c r="T305" s="3" t="str">
        <f t="shared" si="147"/>
        <v>Штурман мастер &lt; Зирона из Сарухана</v>
      </c>
      <c r="U305" s="9">
        <f t="shared" si="148"/>
        <v>456.15765713928556</v>
      </c>
      <c r="V305" s="9">
        <f t="shared" ca="1" si="149"/>
        <v>781.36385047011879</v>
      </c>
      <c r="W305">
        <f t="shared" si="150"/>
        <v>1140.394142848214</v>
      </c>
      <c r="X305" s="10">
        <f>'Книги профессий'!M67</f>
        <v>21</v>
      </c>
    </row>
    <row r="306" spans="1:24" x14ac:dyDescent="0.25">
      <c r="A306" s="23" t="str">
        <f>'Книги профессий'!K68&amp;" &lt; "&amp;'Книги профессий'!L68</f>
        <v>Штурман мастер &lt; Эмбриан из Лорена</v>
      </c>
      <c r="B306">
        <f>'Книги профессий'!N68</f>
        <v>478.44549054999993</v>
      </c>
      <c r="C306">
        <f>'Книги профессий'!I68</f>
        <v>9</v>
      </c>
      <c r="D306">
        <f t="shared" si="108"/>
        <v>14</v>
      </c>
      <c r="E306" t="str">
        <f t="shared" si="140"/>
        <v>$N$9</v>
      </c>
      <c r="F306">
        <f t="shared" ca="1" si="141"/>
        <v>1300</v>
      </c>
      <c r="G306">
        <f t="shared" ca="1" si="142"/>
        <v>4.0625</v>
      </c>
      <c r="H306">
        <f>'Модель v2 базовая'!$G$84</f>
        <v>500</v>
      </c>
      <c r="I306">
        <f t="shared" ca="1" si="143"/>
        <v>67.708333333333343</v>
      </c>
      <c r="J306">
        <v>10</v>
      </c>
      <c r="K306">
        <f>'Модель v2 базовая'!$E$84</f>
        <v>1.6666666666666667</v>
      </c>
      <c r="L306">
        <v>0.7</v>
      </c>
      <c r="M306">
        <f t="shared" si="146"/>
        <v>10</v>
      </c>
      <c r="N306">
        <f t="shared" ca="1" si="144"/>
        <v>8202.9483393499977</v>
      </c>
      <c r="O306">
        <f t="shared" ca="1" si="145"/>
        <v>820.29483393499982</v>
      </c>
      <c r="T306" s="3" t="str">
        <f t="shared" si="147"/>
        <v>Штурман мастер &lt; Эмбриан из Лорена</v>
      </c>
      <c r="U306" s="9">
        <f t="shared" si="148"/>
        <v>478.44549054999993</v>
      </c>
      <c r="V306" s="9">
        <f t="shared" ca="1" si="149"/>
        <v>820.29483393499982</v>
      </c>
      <c r="W306">
        <f t="shared" si="150"/>
        <v>1196.1137263749997</v>
      </c>
      <c r="X306" s="10">
        <f>'Книги профессий'!M68</f>
        <v>20</v>
      </c>
    </row>
    <row r="307" spans="1:24" x14ac:dyDescent="0.25">
      <c r="A307" s="23" t="str">
        <f>'Книги профессий'!K69&amp;" &lt; "&amp;'Книги профессий'!L69</f>
        <v>Штурман мастер &lt; Силмарин из Самардейла</v>
      </c>
      <c r="B307">
        <f>'Книги профессий'!N69</f>
        <v>503.07941168815779</v>
      </c>
      <c r="C307">
        <f>'Книги профессий'!I69</f>
        <v>10</v>
      </c>
      <c r="D307">
        <f t="shared" si="108"/>
        <v>14</v>
      </c>
      <c r="E307" t="str">
        <f t="shared" si="140"/>
        <v>$N$10</v>
      </c>
      <c r="F307">
        <f t="shared" ca="1" si="141"/>
        <v>760</v>
      </c>
      <c r="G307">
        <f t="shared" ca="1" si="142"/>
        <v>2.375</v>
      </c>
      <c r="H307">
        <f>'Модель v2 базовая'!$G$84</f>
        <v>500</v>
      </c>
      <c r="I307">
        <f t="shared" ca="1" si="143"/>
        <v>39.583333333333336</v>
      </c>
      <c r="J307">
        <v>10</v>
      </c>
      <c r="K307">
        <f>'Модель v2 базовая'!$E$84</f>
        <v>1.6666666666666667</v>
      </c>
      <c r="L307">
        <v>0.7</v>
      </c>
      <c r="M307">
        <f t="shared" si="146"/>
        <v>0</v>
      </c>
      <c r="N307">
        <f t="shared" ca="1" si="144"/>
        <v>8593.5999986986826</v>
      </c>
      <c r="O307">
        <f t="shared" ca="1" si="145"/>
        <v>859.35999986986826</v>
      </c>
      <c r="T307" s="3" t="str">
        <f t="shared" si="147"/>
        <v>Штурман мастер &lt; Силмарин из Самардейла</v>
      </c>
      <c r="U307" s="9">
        <f t="shared" si="148"/>
        <v>503.07941168815779</v>
      </c>
      <c r="V307" s="9">
        <f t="shared" ca="1" si="149"/>
        <v>859.35999986986826</v>
      </c>
      <c r="W307">
        <f t="shared" si="150"/>
        <v>1257.6985292203944</v>
      </c>
      <c r="X307" s="10">
        <f>'Книги профессий'!M69</f>
        <v>19</v>
      </c>
    </row>
    <row r="308" spans="1:24" x14ac:dyDescent="0.25">
      <c r="A308" s="23" t="str">
        <f>'Книги профессий'!K70&amp;" &lt; "&amp;'Книги профессий'!L70</f>
        <v>Штурман мастер &lt; Аресса из Гвадекуры</v>
      </c>
      <c r="B308">
        <f>'Книги профессий'!N70</f>
        <v>530.45043517499994</v>
      </c>
      <c r="C308">
        <f>'Книги профессий'!I70</f>
        <v>11</v>
      </c>
      <c r="D308">
        <f t="shared" si="108"/>
        <v>14</v>
      </c>
      <c r="E308" t="str">
        <f t="shared" ref="E308:E330" si="151" xml:space="preserve"> ADDRESS(C308,D308)</f>
        <v>$N$11</v>
      </c>
      <c r="F308">
        <f t="shared" ref="F308:F330" ca="1" si="152">INDIRECT(E308)</f>
        <v>880</v>
      </c>
      <c r="G308">
        <f t="shared" ref="G308:G330" ca="1" si="153">F308/320</f>
        <v>2.75</v>
      </c>
      <c r="H308">
        <f>'Модель v2 базовая'!$G$84</f>
        <v>500</v>
      </c>
      <c r="I308">
        <f t="shared" ref="I308:I330" ca="1" si="154">H308/30*G308</f>
        <v>45.833333333333336</v>
      </c>
      <c r="J308">
        <v>10</v>
      </c>
      <c r="K308">
        <f>'Модель v2 базовая'!$E$84</f>
        <v>1.6666666666666667</v>
      </c>
      <c r="L308">
        <v>0.7</v>
      </c>
      <c r="M308">
        <f t="shared" si="146"/>
        <v>0</v>
      </c>
      <c r="N308">
        <f t="shared" ref="N308:N330" ca="1" si="155">IF(G308=0, B308*J308, B308*J308+(B308*J308*L308)+I308+K308)</f>
        <v>9065.1573979749992</v>
      </c>
      <c r="O308">
        <f t="shared" ref="O308:O330" ca="1" si="156">N308/J308</f>
        <v>906.51573979749992</v>
      </c>
      <c r="T308" s="3" t="str">
        <f t="shared" si="147"/>
        <v>Штурман мастер &lt; Аресса из Гвадекуры</v>
      </c>
      <c r="U308" s="9">
        <f t="shared" si="148"/>
        <v>530.45043517499994</v>
      </c>
      <c r="V308" s="9">
        <f t="shared" ca="1" si="149"/>
        <v>906.51573979749992</v>
      </c>
      <c r="W308">
        <f t="shared" si="150"/>
        <v>1326.1260879375</v>
      </c>
      <c r="X308" s="10">
        <f>'Книги профессий'!M70</f>
        <v>18</v>
      </c>
    </row>
    <row r="309" spans="1:24" x14ac:dyDescent="0.25">
      <c r="A309" s="23" t="str">
        <f>'Книги профессий'!K71&amp;" &lt; "&amp;'Книги профессий'!L71</f>
        <v>Штурман мастер &lt; Дрейкор из Ранджар-ара</v>
      </c>
      <c r="B309">
        <f>'Книги профессий'!N71</f>
        <v>561.04157907205865</v>
      </c>
      <c r="C309">
        <f>'Книги профессий'!I71</f>
        <v>12</v>
      </c>
      <c r="D309">
        <f t="shared" si="108"/>
        <v>14</v>
      </c>
      <c r="E309" t="str">
        <f t="shared" si="151"/>
        <v>$N$12</v>
      </c>
      <c r="F309">
        <f t="shared" ca="1" si="152"/>
        <v>400</v>
      </c>
      <c r="G309">
        <f t="shared" ca="1" si="153"/>
        <v>1.25</v>
      </c>
      <c r="H309">
        <f>'Модель v2 базовая'!$G$84</f>
        <v>500</v>
      </c>
      <c r="I309">
        <f t="shared" ca="1" si="154"/>
        <v>20.833333333333336</v>
      </c>
      <c r="J309">
        <v>10</v>
      </c>
      <c r="K309">
        <f>'Модель v2 базовая'!$E$84</f>
        <v>1.6666666666666667</v>
      </c>
      <c r="L309">
        <v>0.7</v>
      </c>
      <c r="M309">
        <f t="shared" si="146"/>
        <v>0</v>
      </c>
      <c r="N309">
        <f t="shared" ca="1" si="155"/>
        <v>9560.2068442249965</v>
      </c>
      <c r="O309">
        <f t="shared" ca="1" si="156"/>
        <v>956.0206844224997</v>
      </c>
      <c r="T309" s="3" t="str">
        <f t="shared" si="147"/>
        <v>Штурман мастер &lt; Дрейкор из Ранджар-ара</v>
      </c>
      <c r="U309" s="9">
        <f t="shared" si="148"/>
        <v>561.04157907205865</v>
      </c>
      <c r="V309" s="9">
        <f t="shared" ca="1" si="149"/>
        <v>956.0206844224997</v>
      </c>
      <c r="W309">
        <f t="shared" si="150"/>
        <v>1402.6039476801466</v>
      </c>
      <c r="X309" s="10">
        <f>'Книги профессий'!M71</f>
        <v>17</v>
      </c>
    </row>
    <row r="310" spans="1:24" x14ac:dyDescent="0.25">
      <c r="A310" s="23" t="str">
        <f>'Книги профессий'!K72&amp;" &lt; "&amp;'Книги профессий'!L72</f>
        <v>Штурман мастер &lt; Фейлура из Садата</v>
      </c>
      <c r="B310">
        <f>'Книги профессий'!N72</f>
        <v>595.45661595624983</v>
      </c>
      <c r="C310">
        <f>'Книги профессий'!I72</f>
        <v>13</v>
      </c>
      <c r="D310">
        <f t="shared" si="108"/>
        <v>14</v>
      </c>
      <c r="E310" t="str">
        <f t="shared" si="151"/>
        <v>$N$13</v>
      </c>
      <c r="F310">
        <f t="shared" ca="1" si="152"/>
        <v>880</v>
      </c>
      <c r="G310">
        <f t="shared" ca="1" si="153"/>
        <v>2.75</v>
      </c>
      <c r="H310">
        <f>'Модель v2 базовая'!$G$84</f>
        <v>500</v>
      </c>
      <c r="I310">
        <f t="shared" ca="1" si="154"/>
        <v>45.833333333333336</v>
      </c>
      <c r="J310">
        <v>10</v>
      </c>
      <c r="K310">
        <f>'Модель v2 базовая'!$E$84</f>
        <v>1.6666666666666667</v>
      </c>
      <c r="L310">
        <v>0.7</v>
      </c>
      <c r="M310">
        <f t="shared" si="146"/>
        <v>0</v>
      </c>
      <c r="N310">
        <f t="shared" ca="1" si="155"/>
        <v>10170.262471256246</v>
      </c>
      <c r="O310">
        <f t="shared" ca="1" si="156"/>
        <v>1017.0262471256246</v>
      </c>
      <c r="T310" s="3" t="str">
        <f t="shared" si="147"/>
        <v>Штурман мастер &lt; Фейлура из Садата</v>
      </c>
      <c r="U310" s="9">
        <f t="shared" si="148"/>
        <v>595.45661595624983</v>
      </c>
      <c r="V310" s="9">
        <f t="shared" ca="1" si="149"/>
        <v>1017.0262471256246</v>
      </c>
      <c r="W310">
        <f t="shared" si="150"/>
        <v>1488.6415398906247</v>
      </c>
      <c r="X310" s="10">
        <f>'Книги профессий'!M72</f>
        <v>16</v>
      </c>
    </row>
    <row r="311" spans="1:24" x14ac:dyDescent="0.25">
      <c r="A311" s="23" t="str">
        <f>'Книги профессий'!K73&amp;" &lt; "&amp;'Книги профессий'!L73</f>
        <v>Штурман мастер &lt; Фиора из Столицы</v>
      </c>
      <c r="B311">
        <f>'Книги профессий'!N73</f>
        <v>634.46032442499984</v>
      </c>
      <c r="C311">
        <f>'Книги профессий'!I73</f>
        <v>14</v>
      </c>
      <c r="D311">
        <f t="shared" si="108"/>
        <v>14</v>
      </c>
      <c r="E311" t="str">
        <f t="shared" si="151"/>
        <v>$N$14</v>
      </c>
      <c r="F311">
        <f t="shared" ca="1" si="152"/>
        <v>0</v>
      </c>
      <c r="G311">
        <f t="shared" ca="1" si="153"/>
        <v>0</v>
      </c>
      <c r="H311">
        <f>'Модель v2 базовая'!$G$84</f>
        <v>500</v>
      </c>
      <c r="I311">
        <f t="shared" ca="1" si="154"/>
        <v>0</v>
      </c>
      <c r="J311">
        <v>10</v>
      </c>
      <c r="K311">
        <f>'Модель v2 базовая'!$E$84</f>
        <v>1.6666666666666667</v>
      </c>
      <c r="L311">
        <v>0.7</v>
      </c>
      <c r="M311">
        <f t="shared" si="146"/>
        <v>0</v>
      </c>
      <c r="N311">
        <f t="shared" ca="1" si="155"/>
        <v>6344.6032442499982</v>
      </c>
      <c r="O311">
        <f t="shared" ca="1" si="156"/>
        <v>634.46032442499984</v>
      </c>
      <c r="T311" s="3" t="str">
        <f t="shared" si="147"/>
        <v>Штурман мастер &lt; Фиора из Столицы</v>
      </c>
      <c r="U311" s="9">
        <f t="shared" si="148"/>
        <v>634.46032442499984</v>
      </c>
      <c r="V311" s="9">
        <f t="shared" ca="1" si="149"/>
        <v>634.46032442499984</v>
      </c>
      <c r="W311">
        <f t="shared" si="150"/>
        <v>1586.1508110624995</v>
      </c>
      <c r="X311" s="10">
        <f>'Книги профессий'!M73</f>
        <v>15</v>
      </c>
    </row>
    <row r="312" spans="1:24" x14ac:dyDescent="0.25">
      <c r="A312" s="23" t="str">
        <f>'Книги профессий'!K74&amp;" &lt; "&amp;'Книги профессий'!L74</f>
        <v>Марсовый - база &lt; Сильвания из Люг-о-дана</v>
      </c>
      <c r="B312">
        <f>'Книги профессий'!N74</f>
        <v>68.18426073055555</v>
      </c>
      <c r="C312">
        <f>'Книги профессий'!I74</f>
        <v>3</v>
      </c>
      <c r="D312">
        <f t="shared" si="108"/>
        <v>14</v>
      </c>
      <c r="E312" t="str">
        <f t="shared" si="151"/>
        <v>$N$3</v>
      </c>
      <c r="F312">
        <f t="shared" ca="1" si="152"/>
        <v>680</v>
      </c>
      <c r="G312">
        <f t="shared" ca="1" si="153"/>
        <v>2.125</v>
      </c>
      <c r="H312">
        <f>'Модель v2 базовая'!$G$84</f>
        <v>500</v>
      </c>
      <c r="I312">
        <f t="shared" ca="1" si="154"/>
        <v>35.416666666666671</v>
      </c>
      <c r="J312">
        <v>10</v>
      </c>
      <c r="K312">
        <f>'Модель v2 базовая'!$E$84</f>
        <v>1.6666666666666667</v>
      </c>
      <c r="L312">
        <v>0.7</v>
      </c>
      <c r="M312">
        <f t="shared" si="146"/>
        <v>10</v>
      </c>
      <c r="N312">
        <f t="shared" ca="1" si="155"/>
        <v>1196.2157657527778</v>
      </c>
      <c r="O312">
        <f t="shared" ca="1" si="156"/>
        <v>119.62157657527777</v>
      </c>
      <c r="T312" s="3" t="str">
        <f t="shared" si="147"/>
        <v>Марсовый - база &lt; Сильвания из Люг-о-дана</v>
      </c>
      <c r="U312" s="9">
        <f t="shared" si="148"/>
        <v>68.18426073055555</v>
      </c>
      <c r="V312" s="9">
        <f t="shared" ca="1" si="149"/>
        <v>119.62157657527777</v>
      </c>
      <c r="W312">
        <f t="shared" si="150"/>
        <v>170.46065182638887</v>
      </c>
      <c r="X312" s="10">
        <f>'Книги профессий'!M74</f>
        <v>18</v>
      </c>
    </row>
    <row r="313" spans="1:24" x14ac:dyDescent="0.25">
      <c r="A313" s="23" t="str">
        <f>'Книги профессий'!K75&amp;" &lt; "&amp;'Книги профессий'!L75</f>
        <v>Марсовый - база &lt; Иллуминар из Шихона</v>
      </c>
      <c r="B313">
        <f>'Книги профессий'!N75</f>
        <v>71.583276719117634</v>
      </c>
      <c r="C313">
        <f>'Книги профессий'!I75</f>
        <v>4</v>
      </c>
      <c r="D313">
        <f t="shared" si="108"/>
        <v>14</v>
      </c>
      <c r="E313" t="str">
        <f t="shared" si="151"/>
        <v>$N$4</v>
      </c>
      <c r="F313">
        <f t="shared" ca="1" si="152"/>
        <v>900</v>
      </c>
      <c r="G313">
        <f t="shared" ca="1" si="153"/>
        <v>2.8125</v>
      </c>
      <c r="H313">
        <f>'Модель v2 базовая'!$G$84</f>
        <v>500</v>
      </c>
      <c r="I313">
        <f t="shared" ca="1" si="154"/>
        <v>46.875</v>
      </c>
      <c r="J313">
        <v>10</v>
      </c>
      <c r="K313">
        <f>'Модель v2 базовая'!$E$84</f>
        <v>1.6666666666666667</v>
      </c>
      <c r="L313">
        <v>0.7</v>
      </c>
      <c r="M313">
        <f t="shared" si="146"/>
        <v>10</v>
      </c>
      <c r="N313">
        <f t="shared" ca="1" si="155"/>
        <v>1265.4573708916664</v>
      </c>
      <c r="O313">
        <f t="shared" ca="1" si="156"/>
        <v>126.54573708916664</v>
      </c>
      <c r="T313" s="3" t="str">
        <f t="shared" si="147"/>
        <v>Марсовый - база &lt; Иллуминар из Шихона</v>
      </c>
      <c r="U313" s="9">
        <f t="shared" si="148"/>
        <v>71.583276719117634</v>
      </c>
      <c r="V313" s="9">
        <f t="shared" ca="1" si="149"/>
        <v>126.54573708916664</v>
      </c>
      <c r="W313">
        <f t="shared" si="150"/>
        <v>178.95819179779409</v>
      </c>
      <c r="X313" s="10">
        <f>'Книги профессий'!M75</f>
        <v>17</v>
      </c>
    </row>
    <row r="314" spans="1:24" x14ac:dyDescent="0.25">
      <c r="A314" s="23" t="str">
        <f>'Книги профессий'!K76&amp;" &lt; "&amp;'Книги профессий'!L76</f>
        <v>Марсовый - база &lt; Аэллесар из Готуна</v>
      </c>
      <c r="B314">
        <f>'Книги профессий'!N76</f>
        <v>75.407169706249988</v>
      </c>
      <c r="C314">
        <f>'Книги профессий'!I76</f>
        <v>5</v>
      </c>
      <c r="D314">
        <f t="shared" si="108"/>
        <v>14</v>
      </c>
      <c r="E314" t="str">
        <f t="shared" si="151"/>
        <v>$N$5</v>
      </c>
      <c r="F314">
        <f t="shared" ca="1" si="152"/>
        <v>980</v>
      </c>
      <c r="G314">
        <f t="shared" ca="1" si="153"/>
        <v>3.0625</v>
      </c>
      <c r="H314">
        <f>'Модель v2 базовая'!$G$84</f>
        <v>500</v>
      </c>
      <c r="I314">
        <f t="shared" ca="1" si="154"/>
        <v>51.041666666666671</v>
      </c>
      <c r="J314">
        <v>10</v>
      </c>
      <c r="K314">
        <f>'Модель v2 базовая'!$E$84</f>
        <v>1.6666666666666667</v>
      </c>
      <c r="L314">
        <v>0.7</v>
      </c>
      <c r="M314">
        <f t="shared" si="146"/>
        <v>10</v>
      </c>
      <c r="N314">
        <f t="shared" ca="1" si="155"/>
        <v>1334.6302183395833</v>
      </c>
      <c r="O314">
        <f t="shared" ca="1" si="156"/>
        <v>133.46302183395832</v>
      </c>
      <c r="T314" s="3" t="str">
        <f t="shared" si="147"/>
        <v>Марсовый - база &lt; Аэллесар из Готуна</v>
      </c>
      <c r="U314" s="9">
        <f t="shared" si="148"/>
        <v>75.407169706249988</v>
      </c>
      <c r="V314" s="9">
        <f t="shared" ca="1" si="149"/>
        <v>133.46302183395832</v>
      </c>
      <c r="W314">
        <f t="shared" si="150"/>
        <v>188.51792426562497</v>
      </c>
      <c r="X314" s="10">
        <f>'Книги профессий'!M76</f>
        <v>16</v>
      </c>
    </row>
    <row r="315" spans="1:24" x14ac:dyDescent="0.25">
      <c r="A315" s="23" t="str">
        <f>'Книги профессий'!K77&amp;" &lt; "&amp;'Книги профессий'!L77</f>
        <v>Марсовый - база &lt; Эриния из Фидваго</v>
      </c>
      <c r="B315">
        <f>'Книги профессий'!N77</f>
        <v>79.74091509166665</v>
      </c>
      <c r="C315">
        <f>'Книги профессий'!I77</f>
        <v>6</v>
      </c>
      <c r="D315">
        <f t="shared" si="108"/>
        <v>14</v>
      </c>
      <c r="E315" t="str">
        <f t="shared" si="151"/>
        <v>$N$6</v>
      </c>
      <c r="F315">
        <f t="shared" ca="1" si="152"/>
        <v>1460</v>
      </c>
      <c r="G315">
        <f t="shared" ca="1" si="153"/>
        <v>4.5625</v>
      </c>
      <c r="H315">
        <f>'Модель v2 базовая'!$G$84</f>
        <v>500</v>
      </c>
      <c r="I315">
        <f t="shared" ca="1" si="154"/>
        <v>76.041666666666671</v>
      </c>
      <c r="J315">
        <v>10</v>
      </c>
      <c r="K315">
        <f>'Модель v2 базовая'!$E$84</f>
        <v>1.6666666666666667</v>
      </c>
      <c r="L315">
        <v>0.7</v>
      </c>
      <c r="M315">
        <f t="shared" si="146"/>
        <v>10</v>
      </c>
      <c r="N315">
        <f t="shared" ca="1" si="155"/>
        <v>1433.3038898916666</v>
      </c>
      <c r="O315">
        <f t="shared" ca="1" si="156"/>
        <v>143.33038898916666</v>
      </c>
      <c r="T315" s="3" t="str">
        <f t="shared" si="147"/>
        <v>Марсовый - база &lt; Эриния из Фидваго</v>
      </c>
      <c r="U315" s="9">
        <f t="shared" si="148"/>
        <v>79.74091509166665</v>
      </c>
      <c r="V315" s="9">
        <f t="shared" ca="1" si="149"/>
        <v>143.33038898916666</v>
      </c>
      <c r="W315">
        <f t="shared" si="150"/>
        <v>199.35228772916662</v>
      </c>
      <c r="X315" s="10">
        <f>'Книги профессий'!M77</f>
        <v>15</v>
      </c>
    </row>
    <row r="316" spans="1:24" x14ac:dyDescent="0.25">
      <c r="A316" s="23" t="str">
        <f>'Книги профессий'!K78&amp;" &lt; "&amp;'Книги профессий'!L78</f>
        <v>Марсовый - база &lt; Арданна из Дарутана</v>
      </c>
      <c r="B316">
        <f>'Книги профессий'!N78</f>
        <v>84.693766960714257</v>
      </c>
      <c r="C316">
        <f>'Книги профессий'!I78</f>
        <v>7</v>
      </c>
      <c r="D316">
        <f t="shared" si="108"/>
        <v>14</v>
      </c>
      <c r="E316" t="str">
        <f t="shared" si="151"/>
        <v>$N$7</v>
      </c>
      <c r="F316">
        <f t="shared" ca="1" si="152"/>
        <v>880</v>
      </c>
      <c r="G316">
        <f t="shared" ca="1" si="153"/>
        <v>2.75</v>
      </c>
      <c r="H316">
        <f>'Модель v2 базовая'!$G$84</f>
        <v>500</v>
      </c>
      <c r="I316">
        <f t="shared" ca="1" si="154"/>
        <v>45.833333333333336</v>
      </c>
      <c r="J316">
        <v>10</v>
      </c>
      <c r="K316">
        <f>'Модель v2 базовая'!$E$84</f>
        <v>1.6666666666666667</v>
      </c>
      <c r="L316">
        <v>0.7</v>
      </c>
      <c r="M316">
        <f t="shared" si="146"/>
        <v>10</v>
      </c>
      <c r="N316">
        <f t="shared" ca="1" si="155"/>
        <v>1487.2940383321422</v>
      </c>
      <c r="O316">
        <f t="shared" ca="1" si="156"/>
        <v>148.72940383321423</v>
      </c>
      <c r="T316" s="3" t="str">
        <f t="shared" si="147"/>
        <v>Марсовый - база &lt; Арданна из Дарутана</v>
      </c>
      <c r="U316" s="9">
        <f t="shared" si="148"/>
        <v>84.693766960714257</v>
      </c>
      <c r="V316" s="9">
        <f t="shared" ca="1" si="149"/>
        <v>148.72940383321423</v>
      </c>
      <c r="W316">
        <f t="shared" si="150"/>
        <v>211.73441740178563</v>
      </c>
      <c r="X316" s="10">
        <f>'Книги профессий'!M78</f>
        <v>14</v>
      </c>
    </row>
    <row r="317" spans="1:24" x14ac:dyDescent="0.25">
      <c r="A317" s="23" t="str">
        <f>'Книги профессий'!K79&amp;" &lt; "&amp;'Книги профессий'!L79</f>
        <v>Марсовый - база &lt; Зефирос из Сарухана</v>
      </c>
      <c r="B317">
        <f>'Книги профессий'!N79</f>
        <v>90.408596040384595</v>
      </c>
      <c r="C317">
        <f>'Книги профессий'!I79</f>
        <v>8</v>
      </c>
      <c r="D317">
        <f t="shared" si="108"/>
        <v>14</v>
      </c>
      <c r="E317" t="str">
        <f t="shared" si="151"/>
        <v>$N$8</v>
      </c>
      <c r="F317">
        <f t="shared" ca="1" si="152"/>
        <v>1100</v>
      </c>
      <c r="G317">
        <f t="shared" ca="1" si="153"/>
        <v>3.4375</v>
      </c>
      <c r="H317">
        <f>'Модель v2 базовая'!$G$84</f>
        <v>500</v>
      </c>
      <c r="I317">
        <f t="shared" ca="1" si="154"/>
        <v>57.291666666666671</v>
      </c>
      <c r="J317">
        <v>10</v>
      </c>
      <c r="K317">
        <f>'Модель v2 базовая'!$E$84</f>
        <v>1.6666666666666667</v>
      </c>
      <c r="L317">
        <v>0.7</v>
      </c>
      <c r="M317">
        <f t="shared" si="146"/>
        <v>10</v>
      </c>
      <c r="N317">
        <f t="shared" ca="1" si="155"/>
        <v>1595.9044660198715</v>
      </c>
      <c r="O317">
        <f t="shared" ca="1" si="156"/>
        <v>159.59044660198714</v>
      </c>
      <c r="T317" s="3" t="str">
        <f t="shared" si="147"/>
        <v>Марсовый - база &lt; Зефирос из Сарухана</v>
      </c>
      <c r="U317" s="9">
        <f t="shared" si="148"/>
        <v>90.408596040384595</v>
      </c>
      <c r="V317" s="9">
        <f t="shared" ca="1" si="149"/>
        <v>159.59044660198714</v>
      </c>
      <c r="W317">
        <f t="shared" si="150"/>
        <v>226.0214901009615</v>
      </c>
      <c r="X317" s="10">
        <f>'Книги профессий'!M79</f>
        <v>13</v>
      </c>
    </row>
    <row r="318" spans="1:24" x14ac:dyDescent="0.25">
      <c r="A318" s="23" t="str">
        <f>'Книги профессий'!K80&amp;" &lt; "&amp;'Книги профессий'!L80</f>
        <v>Марсовый - база &lt; Сирания из Лорена</v>
      </c>
      <c r="B318">
        <f>'Книги профессий'!N80</f>
        <v>97.075896633333315</v>
      </c>
      <c r="C318">
        <f>'Книги профессий'!I80</f>
        <v>9</v>
      </c>
      <c r="D318">
        <f t="shared" si="108"/>
        <v>14</v>
      </c>
      <c r="E318" t="str">
        <f t="shared" si="151"/>
        <v>$N$9</v>
      </c>
      <c r="F318">
        <f t="shared" ca="1" si="152"/>
        <v>1300</v>
      </c>
      <c r="G318">
        <f t="shared" ca="1" si="153"/>
        <v>4.0625</v>
      </c>
      <c r="H318">
        <f>'Модель v2 базовая'!$G$84</f>
        <v>500</v>
      </c>
      <c r="I318">
        <f t="shared" ca="1" si="154"/>
        <v>67.708333333333343</v>
      </c>
      <c r="J318">
        <v>10</v>
      </c>
      <c r="K318">
        <f>'Модель v2 базовая'!$E$84</f>
        <v>1.6666666666666667</v>
      </c>
      <c r="L318">
        <v>0.7</v>
      </c>
      <c r="M318">
        <f t="shared" si="146"/>
        <v>10</v>
      </c>
      <c r="N318">
        <f t="shared" ca="1" si="155"/>
        <v>1719.6652427666663</v>
      </c>
      <c r="O318">
        <f t="shared" ca="1" si="156"/>
        <v>171.96652427666663</v>
      </c>
      <c r="T318" s="3" t="str">
        <f t="shared" si="147"/>
        <v>Марсовый - база &lt; Сирания из Лорена</v>
      </c>
      <c r="U318" s="9">
        <f t="shared" si="148"/>
        <v>97.075896633333315</v>
      </c>
      <c r="V318" s="9">
        <f t="shared" ca="1" si="149"/>
        <v>171.96652427666663</v>
      </c>
      <c r="W318">
        <f t="shared" si="150"/>
        <v>242.68974158333327</v>
      </c>
      <c r="X318" s="10">
        <f>'Книги профессий'!M80</f>
        <v>12</v>
      </c>
    </row>
    <row r="319" spans="1:24" x14ac:dyDescent="0.25">
      <c r="A319" s="23" t="str">
        <f>'Книги профессий'!K81&amp;" &lt; "&amp;'Книги профессий'!L81</f>
        <v>Марсовый - база &lt; Исолинда из Самардейла</v>
      </c>
      <c r="B319">
        <f>'Книги профессий'!N81</f>
        <v>104.95543369772726</v>
      </c>
      <c r="C319">
        <f>'Книги профессий'!I81</f>
        <v>10</v>
      </c>
      <c r="D319">
        <f t="shared" si="108"/>
        <v>14</v>
      </c>
      <c r="E319" t="str">
        <f t="shared" si="151"/>
        <v>$N$10</v>
      </c>
      <c r="F319">
        <f t="shared" ca="1" si="152"/>
        <v>760</v>
      </c>
      <c r="G319">
        <f t="shared" ca="1" si="153"/>
        <v>2.375</v>
      </c>
      <c r="H319">
        <f>'Модель v2 базовая'!$G$84</f>
        <v>500</v>
      </c>
      <c r="I319">
        <f t="shared" ca="1" si="154"/>
        <v>39.583333333333336</v>
      </c>
      <c r="J319">
        <v>10</v>
      </c>
      <c r="K319">
        <f>'Модель v2 базовая'!$E$84</f>
        <v>1.6666666666666667</v>
      </c>
      <c r="L319">
        <v>0.7</v>
      </c>
      <c r="M319">
        <f t="shared" si="146"/>
        <v>0</v>
      </c>
      <c r="N319">
        <f t="shared" ca="1" si="155"/>
        <v>1825.4923728613635</v>
      </c>
      <c r="O319">
        <f t="shared" ca="1" si="156"/>
        <v>182.54923728613636</v>
      </c>
      <c r="T319" s="3" t="str">
        <f t="shared" si="147"/>
        <v>Марсовый - база &lt; Исолинда из Самардейла</v>
      </c>
      <c r="U319" s="9">
        <f t="shared" si="148"/>
        <v>104.95543369772726</v>
      </c>
      <c r="V319" s="9">
        <f t="shared" ca="1" si="149"/>
        <v>182.54923728613636</v>
      </c>
      <c r="W319">
        <f t="shared" si="150"/>
        <v>262.38858424431817</v>
      </c>
      <c r="X319" s="10">
        <f>'Книги профессий'!M81</f>
        <v>11</v>
      </c>
    </row>
    <row r="320" spans="1:24" x14ac:dyDescent="0.25">
      <c r="A320" s="23" t="str">
        <f>'Книги профессий'!K82&amp;" &lt; "&amp;'Книги профессий'!L82</f>
        <v>Марсовый - база &lt; Зефирос из Гвадекуры</v>
      </c>
      <c r="B320">
        <f>'Книги профессий'!N82</f>
        <v>114.41087817499998</v>
      </c>
      <c r="C320">
        <f>'Книги профессий'!I82</f>
        <v>11</v>
      </c>
      <c r="D320">
        <f t="shared" si="108"/>
        <v>14</v>
      </c>
      <c r="E320" t="str">
        <f t="shared" si="151"/>
        <v>$N$11</v>
      </c>
      <c r="F320">
        <f t="shared" ca="1" si="152"/>
        <v>880</v>
      </c>
      <c r="G320">
        <f t="shared" ca="1" si="153"/>
        <v>2.75</v>
      </c>
      <c r="H320">
        <f>'Модель v2 базовая'!$G$84</f>
        <v>500</v>
      </c>
      <c r="I320">
        <f t="shared" ca="1" si="154"/>
        <v>45.833333333333336</v>
      </c>
      <c r="J320">
        <v>10</v>
      </c>
      <c r="K320">
        <f>'Модель v2 базовая'!$E$84</f>
        <v>1.6666666666666667</v>
      </c>
      <c r="L320">
        <v>0.7</v>
      </c>
      <c r="M320">
        <f t="shared" si="146"/>
        <v>0</v>
      </c>
      <c r="N320">
        <f t="shared" ca="1" si="155"/>
        <v>1992.4849289749995</v>
      </c>
      <c r="O320">
        <f t="shared" ca="1" si="156"/>
        <v>199.24849289749994</v>
      </c>
      <c r="T320" s="3" t="str">
        <f t="shared" si="147"/>
        <v>Марсовый - база &lt; Зефирос из Гвадекуры</v>
      </c>
      <c r="U320" s="9">
        <f t="shared" si="148"/>
        <v>114.41087817499998</v>
      </c>
      <c r="V320" s="9">
        <f t="shared" ca="1" si="149"/>
        <v>199.24849289749994</v>
      </c>
      <c r="W320">
        <f t="shared" si="150"/>
        <v>286.02719543749993</v>
      </c>
      <c r="X320" s="10">
        <f>'Книги профессий'!M82</f>
        <v>10</v>
      </c>
    </row>
    <row r="321" spans="1:24" x14ac:dyDescent="0.25">
      <c r="A321" s="23" t="str">
        <f>'Книги профессий'!K83&amp;" &lt; "&amp;'Книги профессий'!L83</f>
        <v>Марсовый - база &lt; Ториндор из Ранджар-ара</v>
      </c>
      <c r="B321">
        <f>'Книги профессий'!N83</f>
        <v>125.96753253611109</v>
      </c>
      <c r="C321">
        <f>'Книги профессий'!I83</f>
        <v>12</v>
      </c>
      <c r="D321">
        <f t="shared" si="108"/>
        <v>14</v>
      </c>
      <c r="E321" t="str">
        <f t="shared" si="151"/>
        <v>$N$12</v>
      </c>
      <c r="F321">
        <f t="shared" ca="1" si="152"/>
        <v>400</v>
      </c>
      <c r="G321">
        <f t="shared" ca="1" si="153"/>
        <v>1.25</v>
      </c>
      <c r="H321">
        <f>'Модель v2 базовая'!$G$84</f>
        <v>500</v>
      </c>
      <c r="I321">
        <f t="shared" ca="1" si="154"/>
        <v>20.833333333333336</v>
      </c>
      <c r="J321">
        <v>10</v>
      </c>
      <c r="K321">
        <f>'Модель v2 базовая'!$E$84</f>
        <v>1.6666666666666667</v>
      </c>
      <c r="L321">
        <v>0.7</v>
      </c>
      <c r="M321">
        <f t="shared" si="146"/>
        <v>0</v>
      </c>
      <c r="N321">
        <f t="shared" ca="1" si="155"/>
        <v>2163.9480531138888</v>
      </c>
      <c r="O321">
        <f t="shared" ca="1" si="156"/>
        <v>216.39480531138889</v>
      </c>
      <c r="T321" s="3" t="str">
        <f t="shared" si="147"/>
        <v>Марсовый - база &lt; Ториндор из Ранджар-ара</v>
      </c>
      <c r="U321" s="9">
        <f t="shared" si="148"/>
        <v>125.96753253611109</v>
      </c>
      <c r="V321" s="9">
        <f t="shared" ca="1" si="149"/>
        <v>216.39480531138889</v>
      </c>
      <c r="W321">
        <f t="shared" si="150"/>
        <v>314.91883134027773</v>
      </c>
      <c r="X321" s="10">
        <f>'Книги профессий'!M83</f>
        <v>9</v>
      </c>
    </row>
    <row r="322" spans="1:24" x14ac:dyDescent="0.25">
      <c r="A322" s="23" t="str">
        <f>'Книги профессий'!K84&amp;" &lt; "&amp;'Книги профессий'!L84</f>
        <v>Марсовый - база &lt; Ардантир из Садата</v>
      </c>
      <c r="B322">
        <f>'Книги профессий'!N84</f>
        <v>140.4133504875</v>
      </c>
      <c r="C322">
        <f>'Книги профессий'!I84</f>
        <v>13</v>
      </c>
      <c r="D322">
        <f t="shared" si="108"/>
        <v>14</v>
      </c>
      <c r="E322" t="str">
        <f t="shared" si="151"/>
        <v>$N$13</v>
      </c>
      <c r="F322">
        <f t="shared" ca="1" si="152"/>
        <v>880</v>
      </c>
      <c r="G322">
        <f t="shared" ca="1" si="153"/>
        <v>2.75</v>
      </c>
      <c r="H322">
        <f>'Модель v2 базовая'!$G$84</f>
        <v>500</v>
      </c>
      <c r="I322">
        <f t="shared" ca="1" si="154"/>
        <v>45.833333333333336</v>
      </c>
      <c r="J322">
        <v>10</v>
      </c>
      <c r="K322">
        <f>'Модель v2 базовая'!$E$84</f>
        <v>1.6666666666666667</v>
      </c>
      <c r="L322">
        <v>0.7</v>
      </c>
      <c r="M322">
        <f t="shared" si="146"/>
        <v>0</v>
      </c>
      <c r="N322">
        <f t="shared" ca="1" si="155"/>
        <v>2434.5269582874998</v>
      </c>
      <c r="O322">
        <f t="shared" ca="1" si="156"/>
        <v>243.45269582875</v>
      </c>
      <c r="T322" s="3" t="str">
        <f t="shared" si="147"/>
        <v>Марсовый - база &lt; Ардантир из Садата</v>
      </c>
      <c r="U322" s="9">
        <f t="shared" si="148"/>
        <v>140.4133504875</v>
      </c>
      <c r="V322" s="9">
        <f t="shared" ca="1" si="149"/>
        <v>243.45269582875</v>
      </c>
      <c r="W322">
        <f t="shared" si="150"/>
        <v>351.03337621874999</v>
      </c>
      <c r="X322" s="10">
        <f>'Книги профессий'!M84</f>
        <v>8</v>
      </c>
    </row>
    <row r="323" spans="1:24" x14ac:dyDescent="0.25">
      <c r="A323" s="23" t="str">
        <f>'Книги профессий'!K85&amp;" &lt; "&amp;'Книги профессий'!L85</f>
        <v>Марсовый - база &lt; Элесиан из Столицы</v>
      </c>
      <c r="B323">
        <f>'Книги профессий'!N85</f>
        <v>158.98654499642853</v>
      </c>
      <c r="C323">
        <f>'Книги профессий'!I85</f>
        <v>14</v>
      </c>
      <c r="D323">
        <f t="shared" si="108"/>
        <v>14</v>
      </c>
      <c r="E323" t="str">
        <f t="shared" si="151"/>
        <v>$N$14</v>
      </c>
      <c r="F323">
        <f t="shared" ca="1" si="152"/>
        <v>0</v>
      </c>
      <c r="G323">
        <f t="shared" ca="1" si="153"/>
        <v>0</v>
      </c>
      <c r="H323">
        <f>'Модель v2 базовая'!$G$84</f>
        <v>500</v>
      </c>
      <c r="I323">
        <f t="shared" ca="1" si="154"/>
        <v>0</v>
      </c>
      <c r="J323">
        <v>10</v>
      </c>
      <c r="K323">
        <f>'Модель v2 базовая'!$E$84</f>
        <v>1.6666666666666667</v>
      </c>
      <c r="L323">
        <v>0.7</v>
      </c>
      <c r="M323">
        <f t="shared" si="146"/>
        <v>0</v>
      </c>
      <c r="N323">
        <f t="shared" ca="1" si="155"/>
        <v>1589.8654499642853</v>
      </c>
      <c r="O323">
        <f t="shared" ca="1" si="156"/>
        <v>158.98654499642853</v>
      </c>
      <c r="T323" s="3" t="str">
        <f t="shared" si="147"/>
        <v>Марсовый - база &lt; Элесиан из Столицы</v>
      </c>
      <c r="U323" s="9">
        <f t="shared" si="148"/>
        <v>158.98654499642853</v>
      </c>
      <c r="V323" s="9">
        <f t="shared" ca="1" si="149"/>
        <v>158.98654499642853</v>
      </c>
      <c r="W323">
        <f t="shared" si="150"/>
        <v>397.46636249107132</v>
      </c>
      <c r="X323" s="10">
        <f>'Книги профессий'!M85</f>
        <v>7</v>
      </c>
    </row>
    <row r="324" spans="1:24" x14ac:dyDescent="0.25">
      <c r="A324" s="23" t="str">
        <f>'Книги профессий'!K86&amp;" &lt; "&amp;'Книги профессий'!L86</f>
        <v>Марсовый -Продвинутый &lt; Линариус из Люг-о-дана</v>
      </c>
      <c r="B324">
        <f>'Книги профессий'!N86</f>
        <v>208.51506368690474</v>
      </c>
      <c r="C324">
        <f>'Книги профессий'!I86</f>
        <v>3</v>
      </c>
      <c r="D324">
        <f t="shared" si="108"/>
        <v>14</v>
      </c>
      <c r="E324" t="str">
        <f t="shared" si="151"/>
        <v>$N$3</v>
      </c>
      <c r="F324">
        <f t="shared" ca="1" si="152"/>
        <v>680</v>
      </c>
      <c r="G324">
        <f t="shared" ca="1" si="153"/>
        <v>2.125</v>
      </c>
      <c r="H324">
        <f>'Модель v2 базовая'!$G$84</f>
        <v>500</v>
      </c>
      <c r="I324">
        <f t="shared" ca="1" si="154"/>
        <v>35.416666666666671</v>
      </c>
      <c r="J324">
        <v>10</v>
      </c>
      <c r="K324">
        <f>'Модель v2 базовая'!$E$84</f>
        <v>1.6666666666666667</v>
      </c>
      <c r="L324">
        <v>0.7</v>
      </c>
      <c r="M324">
        <f t="shared" si="146"/>
        <v>10</v>
      </c>
      <c r="N324">
        <f t="shared" ca="1" si="155"/>
        <v>3581.8394160107136</v>
      </c>
      <c r="O324">
        <f t="shared" ca="1" si="156"/>
        <v>358.18394160107135</v>
      </c>
      <c r="T324" s="3" t="str">
        <f t="shared" si="147"/>
        <v>Марсовый -Продвинутый &lt; Линариус из Люг-о-дана</v>
      </c>
      <c r="U324" s="9">
        <f t="shared" si="148"/>
        <v>208.51506368690474</v>
      </c>
      <c r="V324" s="9">
        <f t="shared" ca="1" si="149"/>
        <v>358.18394160107135</v>
      </c>
      <c r="W324">
        <f t="shared" si="150"/>
        <v>521.28765921726188</v>
      </c>
      <c r="X324" s="10">
        <f>'Книги профессий'!M86</f>
        <v>21</v>
      </c>
    </row>
    <row r="325" spans="1:24" x14ac:dyDescent="0.25">
      <c r="A325" s="23" t="str">
        <f>'Книги профессий'!K87&amp;" &lt; "&amp;'Книги профессий'!L87</f>
        <v>Марсовый -Продвинутый &lt; Арвос из Шихона</v>
      </c>
      <c r="B325">
        <f>'Книги профессий'!N87</f>
        <v>218.42076742499998</v>
      </c>
      <c r="C325">
        <f>'Книги профессий'!I87</f>
        <v>4</v>
      </c>
      <c r="D325">
        <f t="shared" si="108"/>
        <v>14</v>
      </c>
      <c r="E325" t="str">
        <f t="shared" si="151"/>
        <v>$N$4</v>
      </c>
      <c r="F325">
        <f t="shared" ca="1" si="152"/>
        <v>900</v>
      </c>
      <c r="G325">
        <f t="shared" ca="1" si="153"/>
        <v>2.8125</v>
      </c>
      <c r="H325">
        <f>'Модель v2 базовая'!$G$84</f>
        <v>500</v>
      </c>
      <c r="I325">
        <f t="shared" ca="1" si="154"/>
        <v>46.875</v>
      </c>
      <c r="J325">
        <v>10</v>
      </c>
      <c r="K325">
        <f>'Модель v2 базовая'!$E$84</f>
        <v>1.6666666666666667</v>
      </c>
      <c r="L325">
        <v>0.7</v>
      </c>
      <c r="M325">
        <f t="shared" si="146"/>
        <v>10</v>
      </c>
      <c r="N325">
        <f t="shared" ca="1" si="155"/>
        <v>3761.6947128916659</v>
      </c>
      <c r="O325">
        <f t="shared" ca="1" si="156"/>
        <v>376.16947128916661</v>
      </c>
      <c r="T325" s="3" t="str">
        <f t="shared" si="147"/>
        <v>Марсовый -Продвинутый &lt; Арвос из Шихона</v>
      </c>
      <c r="U325" s="9">
        <f t="shared" si="148"/>
        <v>218.42076742499998</v>
      </c>
      <c r="V325" s="9">
        <f t="shared" ca="1" si="149"/>
        <v>376.16947128916661</v>
      </c>
      <c r="W325">
        <f t="shared" si="150"/>
        <v>546.05191856249996</v>
      </c>
      <c r="X325" s="10">
        <f>'Книги профессий'!M87</f>
        <v>20</v>
      </c>
    </row>
    <row r="326" spans="1:24" x14ac:dyDescent="0.25">
      <c r="A326" s="23" t="str">
        <f>'Книги профессий'!K88&amp;" &lt; "&amp;'Книги профессий'!L88</f>
        <v>Марсовый -Продвинутый &lt; Арвос из Готуна</v>
      </c>
      <c r="B326">
        <f>'Книги профессий'!N88</f>
        <v>229.36917681973679</v>
      </c>
      <c r="C326">
        <f>'Книги профессий'!I88</f>
        <v>5</v>
      </c>
      <c r="D326">
        <f t="shared" si="108"/>
        <v>14</v>
      </c>
      <c r="E326" t="str">
        <f t="shared" si="151"/>
        <v>$N$5</v>
      </c>
      <c r="F326">
        <f t="shared" ca="1" si="152"/>
        <v>980</v>
      </c>
      <c r="G326">
        <f t="shared" ca="1" si="153"/>
        <v>3.0625</v>
      </c>
      <c r="H326">
        <f>'Модель v2 базовая'!$G$84</f>
        <v>500</v>
      </c>
      <c r="I326">
        <f t="shared" ca="1" si="154"/>
        <v>51.041666666666671</v>
      </c>
      <c r="J326">
        <v>10</v>
      </c>
      <c r="K326">
        <f>'Модель v2 базовая'!$E$84</f>
        <v>1.6666666666666667</v>
      </c>
      <c r="L326">
        <v>0.7</v>
      </c>
      <c r="M326">
        <f t="shared" si="146"/>
        <v>10</v>
      </c>
      <c r="N326">
        <f t="shared" ca="1" si="155"/>
        <v>3951.9843392688581</v>
      </c>
      <c r="O326">
        <f t="shared" ca="1" si="156"/>
        <v>395.1984339268858</v>
      </c>
      <c r="T326" s="3" t="str">
        <f t="shared" si="147"/>
        <v>Марсовый -Продвинутый &lt; Арвос из Готуна</v>
      </c>
      <c r="U326" s="9">
        <f t="shared" si="148"/>
        <v>229.36917681973679</v>
      </c>
      <c r="V326" s="9">
        <f t="shared" ca="1" si="149"/>
        <v>395.1984339268858</v>
      </c>
      <c r="W326">
        <f t="shared" si="150"/>
        <v>573.42294204934194</v>
      </c>
      <c r="X326" s="10">
        <f>'Книги профессий'!M88</f>
        <v>19</v>
      </c>
    </row>
    <row r="327" spans="1:24" x14ac:dyDescent="0.25">
      <c r="A327" s="23" t="str">
        <f>'Книги профессий'!K89&amp;" &lt; "&amp;'Книги профессий'!L89</f>
        <v>Марсовый -Продвинутый &lt; Лиресса из Фидваго</v>
      </c>
      <c r="B327">
        <f>'Книги профессий'!N89</f>
        <v>241.53407614722221</v>
      </c>
      <c r="C327">
        <f>'Книги профессий'!I89</f>
        <v>6</v>
      </c>
      <c r="D327">
        <f t="shared" si="108"/>
        <v>14</v>
      </c>
      <c r="E327" t="str">
        <f t="shared" si="151"/>
        <v>$N$6</v>
      </c>
      <c r="F327">
        <f t="shared" ca="1" si="152"/>
        <v>1460</v>
      </c>
      <c r="G327">
        <f t="shared" ca="1" si="153"/>
        <v>4.5625</v>
      </c>
      <c r="H327">
        <f>'Модель v2 базовая'!$G$84</f>
        <v>500</v>
      </c>
      <c r="I327">
        <f t="shared" ca="1" si="154"/>
        <v>76.041666666666671</v>
      </c>
      <c r="J327">
        <v>10</v>
      </c>
      <c r="K327">
        <f>'Модель v2 базовая'!$E$84</f>
        <v>1.6666666666666667</v>
      </c>
      <c r="L327">
        <v>0.7</v>
      </c>
      <c r="M327">
        <f t="shared" si="146"/>
        <v>10</v>
      </c>
      <c r="N327">
        <f t="shared" ca="1" si="155"/>
        <v>4183.7876278361109</v>
      </c>
      <c r="O327">
        <f t="shared" ca="1" si="156"/>
        <v>418.37876278361108</v>
      </c>
      <c r="T327" s="3" t="str">
        <f t="shared" si="147"/>
        <v>Марсовый -Продвинутый &lt; Лиресса из Фидваго</v>
      </c>
      <c r="U327" s="9">
        <f t="shared" si="148"/>
        <v>241.53407614722221</v>
      </c>
      <c r="V327" s="9">
        <f t="shared" ca="1" si="149"/>
        <v>418.37876278361108</v>
      </c>
      <c r="W327">
        <f t="shared" si="150"/>
        <v>603.83519036805546</v>
      </c>
      <c r="X327" s="10">
        <f>'Книги профессий'!M89</f>
        <v>18</v>
      </c>
    </row>
    <row r="328" spans="1:24" x14ac:dyDescent="0.25">
      <c r="A328" s="23" t="str">
        <f>'Книги профессий'!K90&amp;" &lt; "&amp;'Книги профессий'!L90</f>
        <v>Марсовый -Продвинутый &lt; Сиранда из Дарутана</v>
      </c>
      <c r="B328">
        <f>'Книги профессий'!N90</f>
        <v>255.13014010147057</v>
      </c>
      <c r="C328">
        <f>'Книги профессий'!I90</f>
        <v>7</v>
      </c>
      <c r="D328">
        <f t="shared" si="108"/>
        <v>14</v>
      </c>
      <c r="E328" t="str">
        <f t="shared" si="151"/>
        <v>$N$7</v>
      </c>
      <c r="F328">
        <f t="shared" ca="1" si="152"/>
        <v>880</v>
      </c>
      <c r="G328">
        <f t="shared" ca="1" si="153"/>
        <v>2.75</v>
      </c>
      <c r="H328">
        <f>'Модель v2 базовая'!$G$84</f>
        <v>500</v>
      </c>
      <c r="I328">
        <f t="shared" ca="1" si="154"/>
        <v>45.833333333333336</v>
      </c>
      <c r="J328">
        <v>10</v>
      </c>
      <c r="K328">
        <f>'Модель v2 базовая'!$E$84</f>
        <v>1.6666666666666667</v>
      </c>
      <c r="L328">
        <v>0.7</v>
      </c>
      <c r="M328">
        <f t="shared" si="146"/>
        <v>10</v>
      </c>
      <c r="N328">
        <f t="shared" ca="1" si="155"/>
        <v>4384.7123817249994</v>
      </c>
      <c r="O328">
        <f t="shared" ca="1" si="156"/>
        <v>438.47123817249997</v>
      </c>
      <c r="T328" s="3" t="str">
        <f t="shared" si="147"/>
        <v>Марсовый -Продвинутый &lt; Сиранда из Дарутана</v>
      </c>
      <c r="U328" s="9">
        <f t="shared" si="148"/>
        <v>255.13014010147057</v>
      </c>
      <c r="V328" s="9">
        <f t="shared" ca="1" si="149"/>
        <v>438.47123817249997</v>
      </c>
      <c r="W328">
        <f t="shared" si="150"/>
        <v>637.82535025367645</v>
      </c>
      <c r="X328" s="10">
        <f>'Книги профессий'!M90</f>
        <v>17</v>
      </c>
    </row>
    <row r="329" spans="1:24" x14ac:dyDescent="0.25">
      <c r="A329" s="23" t="str">
        <f>'Книги профессий'!K91&amp;" &lt; "&amp;'Книги профессий'!L91</f>
        <v>Марсовый -Продвинутый &lt; Фиорелла из Сарухана</v>
      </c>
      <c r="B329">
        <f>'Книги профессий'!N91</f>
        <v>270.42571204999996</v>
      </c>
      <c r="C329">
        <f>'Книги профессий'!I91</f>
        <v>8</v>
      </c>
      <c r="D329">
        <f t="shared" si="108"/>
        <v>14</v>
      </c>
      <c r="E329" t="str">
        <f t="shared" si="151"/>
        <v>$N$8</v>
      </c>
      <c r="F329">
        <f t="shared" ca="1" si="152"/>
        <v>1100</v>
      </c>
      <c r="G329">
        <f t="shared" ca="1" si="153"/>
        <v>3.4375</v>
      </c>
      <c r="H329">
        <f>'Модель v2 базовая'!$G$84</f>
        <v>500</v>
      </c>
      <c r="I329">
        <f t="shared" ca="1" si="154"/>
        <v>57.291666666666671</v>
      </c>
      <c r="J329">
        <v>10</v>
      </c>
      <c r="K329">
        <f>'Модель v2 базовая'!$E$84</f>
        <v>1.6666666666666667</v>
      </c>
      <c r="L329">
        <v>0.7</v>
      </c>
      <c r="M329">
        <f t="shared" si="146"/>
        <v>10</v>
      </c>
      <c r="N329">
        <f t="shared" ca="1" si="155"/>
        <v>4656.195438183333</v>
      </c>
      <c r="O329">
        <f t="shared" ca="1" si="156"/>
        <v>465.61954381833328</v>
      </c>
      <c r="T329" s="3" t="str">
        <f t="shared" si="147"/>
        <v>Марсовый -Продвинутый &lt; Фиорелла из Сарухана</v>
      </c>
      <c r="U329" s="9">
        <f t="shared" si="148"/>
        <v>270.42571204999996</v>
      </c>
      <c r="V329" s="9">
        <f t="shared" ca="1" si="149"/>
        <v>465.61954381833328</v>
      </c>
      <c r="W329">
        <f t="shared" si="150"/>
        <v>676.06428012499987</v>
      </c>
      <c r="X329" s="10">
        <f>'Книги профессий'!M91</f>
        <v>16</v>
      </c>
    </row>
    <row r="330" spans="1:24" x14ac:dyDescent="0.25">
      <c r="A330" s="23" t="str">
        <f>'Книги профессий'!K92&amp;" &lt; "&amp;'Книги профессий'!L92</f>
        <v>Марсовый -Продвинутый &lt; Зафира из Лорена</v>
      </c>
      <c r="B330">
        <f>'Книги профессий'!N92</f>
        <v>287.76069359166661</v>
      </c>
      <c r="C330">
        <f>'Книги профессий'!I92</f>
        <v>9</v>
      </c>
      <c r="D330">
        <f t="shared" si="108"/>
        <v>14</v>
      </c>
      <c r="E330" t="str">
        <f t="shared" si="151"/>
        <v>$N$9</v>
      </c>
      <c r="F330">
        <f t="shared" ca="1" si="152"/>
        <v>1300</v>
      </c>
      <c r="G330">
        <f t="shared" ca="1" si="153"/>
        <v>4.0625</v>
      </c>
      <c r="H330">
        <f>'Модель v2 базовая'!$G$84</f>
        <v>500</v>
      </c>
      <c r="I330">
        <f t="shared" ca="1" si="154"/>
        <v>67.708333333333343</v>
      </c>
      <c r="J330">
        <v>10</v>
      </c>
      <c r="K330">
        <f>'Модель v2 базовая'!$E$84</f>
        <v>1.6666666666666667</v>
      </c>
      <c r="L330">
        <v>0.7</v>
      </c>
      <c r="M330">
        <f t="shared" si="146"/>
        <v>10</v>
      </c>
      <c r="N330">
        <f t="shared" ca="1" si="155"/>
        <v>4961.3067910583322</v>
      </c>
      <c r="O330">
        <f t="shared" ca="1" si="156"/>
        <v>496.13067910583322</v>
      </c>
      <c r="T330" s="3" t="str">
        <f t="shared" si="147"/>
        <v>Марсовый -Продвинутый &lt; Зафира из Лорена</v>
      </c>
      <c r="U330" s="9">
        <f t="shared" si="148"/>
        <v>287.76069359166661</v>
      </c>
      <c r="V330" s="9">
        <f t="shared" ca="1" si="149"/>
        <v>496.13067910583322</v>
      </c>
      <c r="W330">
        <f t="shared" si="150"/>
        <v>719.40173397916647</v>
      </c>
      <c r="X330" s="10">
        <f>'Книги профессий'!M92</f>
        <v>15</v>
      </c>
    </row>
    <row r="331" spans="1:24" x14ac:dyDescent="0.25">
      <c r="A331" s="23" t="str">
        <f>'Книги профессий'!K93&amp;" &lt; "&amp;'Книги профессий'!L93</f>
        <v>Марсовый -Продвинутый &lt; Лиссандра из Самардейла</v>
      </c>
      <c r="B331">
        <f>'Книги профессий'!N93</f>
        <v>307.57210106785703</v>
      </c>
      <c r="C331">
        <f>'Книги профессий'!I93</f>
        <v>10</v>
      </c>
      <c r="D331">
        <f t="shared" si="108"/>
        <v>14</v>
      </c>
      <c r="E331" t="str">
        <f t="shared" ref="E331:E394" si="157" xml:space="preserve"> ADDRESS(C331,D331)</f>
        <v>$N$10</v>
      </c>
      <c r="F331">
        <f t="shared" ref="F331:F394" ca="1" si="158">INDIRECT(E331)</f>
        <v>760</v>
      </c>
      <c r="G331">
        <f t="shared" ref="G331:G394" ca="1" si="159">F331/320</f>
        <v>2.375</v>
      </c>
      <c r="H331">
        <f>'Модель v2 базовая'!$G$84</f>
        <v>500</v>
      </c>
      <c r="I331">
        <f t="shared" ref="I331:I394" ca="1" si="160">H331/30*G331</f>
        <v>39.583333333333336</v>
      </c>
      <c r="J331">
        <v>10</v>
      </c>
      <c r="K331">
        <f>'Модель v2 базовая'!$E$84</f>
        <v>1.6666666666666667</v>
      </c>
      <c r="L331">
        <v>0.7</v>
      </c>
      <c r="M331">
        <f t="shared" si="146"/>
        <v>0</v>
      </c>
      <c r="N331">
        <f t="shared" ref="N331:N394" ca="1" si="161">IF(G331=0, B331*J331, B331*J331+(B331*J331*L331)+I331+K331)</f>
        <v>5269.9757181535697</v>
      </c>
      <c r="O331">
        <f t="shared" ref="O331:O394" ca="1" si="162">N331/J331</f>
        <v>526.99757181535699</v>
      </c>
      <c r="T331" s="3" t="str">
        <f t="shared" si="147"/>
        <v>Марсовый -Продвинутый &lt; Лиссандра из Самардейла</v>
      </c>
      <c r="U331" s="9">
        <f t="shared" si="148"/>
        <v>307.57210106785703</v>
      </c>
      <c r="V331" s="9">
        <f t="shared" ca="1" si="149"/>
        <v>526.99757181535699</v>
      </c>
      <c r="W331">
        <f t="shared" si="150"/>
        <v>768.93025266964264</v>
      </c>
      <c r="X331" s="10">
        <f>'Книги профессий'!M93</f>
        <v>14</v>
      </c>
    </row>
    <row r="332" spans="1:24" x14ac:dyDescent="0.25">
      <c r="A332" s="23" t="str">
        <f>'Книги профессий'!K94&amp;" &lt; "&amp;'Книги профессий'!L94</f>
        <v>Марсовый -Продвинутый &lt; Филиан из Гвадекуры</v>
      </c>
      <c r="B332">
        <f>'Книги профессий'!N94</f>
        <v>330.43141738653839</v>
      </c>
      <c r="C332">
        <f>'Книги профессий'!I94</f>
        <v>11</v>
      </c>
      <c r="D332">
        <f t="shared" si="108"/>
        <v>14</v>
      </c>
      <c r="E332" t="str">
        <f t="shared" si="157"/>
        <v>$N$11</v>
      </c>
      <c r="F332">
        <f t="shared" ca="1" si="158"/>
        <v>880</v>
      </c>
      <c r="G332">
        <f t="shared" ca="1" si="159"/>
        <v>2.75</v>
      </c>
      <c r="H332">
        <f>'Модель v2 базовая'!$G$84</f>
        <v>500</v>
      </c>
      <c r="I332">
        <f t="shared" ca="1" si="160"/>
        <v>45.833333333333336</v>
      </c>
      <c r="J332">
        <v>10</v>
      </c>
      <c r="K332">
        <f>'Модель v2 базовая'!$E$84</f>
        <v>1.6666666666666667</v>
      </c>
      <c r="L332">
        <v>0.7</v>
      </c>
      <c r="M332">
        <f t="shared" si="146"/>
        <v>0</v>
      </c>
      <c r="N332">
        <f t="shared" ca="1" si="161"/>
        <v>5664.8340955711519</v>
      </c>
      <c r="O332">
        <f t="shared" ca="1" si="162"/>
        <v>566.48340955711524</v>
      </c>
      <c r="T332" s="3" t="str">
        <f t="shared" si="147"/>
        <v>Марсовый -Продвинутый &lt; Филиан из Гвадекуры</v>
      </c>
      <c r="U332" s="9">
        <f t="shared" si="148"/>
        <v>330.43141738653839</v>
      </c>
      <c r="V332" s="9">
        <f t="shared" ca="1" si="149"/>
        <v>566.48340955711524</v>
      </c>
      <c r="W332">
        <f t="shared" si="150"/>
        <v>826.07854346634599</v>
      </c>
      <c r="X332" s="10">
        <f>'Книги профессий'!M94</f>
        <v>13</v>
      </c>
    </row>
    <row r="333" spans="1:24" x14ac:dyDescent="0.25">
      <c r="A333" s="23" t="str">
        <f>'Книги профессий'!K95&amp;" &lt; "&amp;'Книги профессий'!L95</f>
        <v>Марсовый -Продвинутый &lt; Эринтар из Ранджар-ара</v>
      </c>
      <c r="B333">
        <f>'Книги профессий'!N95</f>
        <v>357.10061975833327</v>
      </c>
      <c r="C333">
        <f>'Книги профессий'!I95</f>
        <v>12</v>
      </c>
      <c r="D333">
        <f t="shared" si="108"/>
        <v>14</v>
      </c>
      <c r="E333" t="str">
        <f t="shared" si="157"/>
        <v>$N$12</v>
      </c>
      <c r="F333">
        <f t="shared" ca="1" si="158"/>
        <v>400</v>
      </c>
      <c r="G333">
        <f t="shared" ca="1" si="159"/>
        <v>1.25</v>
      </c>
      <c r="H333">
        <f>'Модель v2 базовая'!$G$84</f>
        <v>500</v>
      </c>
      <c r="I333">
        <f t="shared" ca="1" si="160"/>
        <v>20.833333333333336</v>
      </c>
      <c r="J333">
        <v>10</v>
      </c>
      <c r="K333">
        <f>'Модель v2 базовая'!$E$84</f>
        <v>1.6666666666666667</v>
      </c>
      <c r="L333">
        <v>0.7</v>
      </c>
      <c r="M333">
        <f t="shared" si="146"/>
        <v>0</v>
      </c>
      <c r="N333">
        <f t="shared" ca="1" si="161"/>
        <v>6093.2105358916651</v>
      </c>
      <c r="O333">
        <f t="shared" ca="1" si="162"/>
        <v>609.32105358916647</v>
      </c>
      <c r="T333" s="3" t="str">
        <f t="shared" si="147"/>
        <v>Марсовый -Продвинутый &lt; Эринтар из Ранджар-ара</v>
      </c>
      <c r="U333" s="9">
        <f t="shared" si="148"/>
        <v>357.10061975833327</v>
      </c>
      <c r="V333" s="9">
        <f t="shared" ca="1" si="149"/>
        <v>609.32105358916647</v>
      </c>
      <c r="W333">
        <f t="shared" si="150"/>
        <v>892.75154939583319</v>
      </c>
      <c r="X333" s="10">
        <f>'Книги профессий'!M95</f>
        <v>12</v>
      </c>
    </row>
    <row r="334" spans="1:24" x14ac:dyDescent="0.25">
      <c r="A334" s="23" t="str">
        <f>'Книги профессий'!K96&amp;" &lt; "&amp;'Книги профессий'!L96</f>
        <v>Марсовый -Продвинутый &lt; Арелиос из Садата</v>
      </c>
      <c r="B334">
        <f>'Книги профессий'!N96</f>
        <v>388.61876801590904</v>
      </c>
      <c r="C334">
        <f>'Книги профессий'!I96</f>
        <v>13</v>
      </c>
      <c r="D334">
        <f t="shared" si="108"/>
        <v>14</v>
      </c>
      <c r="E334" t="str">
        <f t="shared" si="157"/>
        <v>$N$13</v>
      </c>
      <c r="F334">
        <f t="shared" ca="1" si="158"/>
        <v>880</v>
      </c>
      <c r="G334">
        <f t="shared" ca="1" si="159"/>
        <v>2.75</v>
      </c>
      <c r="H334">
        <f>'Модель v2 базовая'!$G$84</f>
        <v>500</v>
      </c>
      <c r="I334">
        <f t="shared" ca="1" si="160"/>
        <v>45.833333333333336</v>
      </c>
      <c r="J334">
        <v>10</v>
      </c>
      <c r="K334">
        <f>'Модель v2 базовая'!$E$84</f>
        <v>1.6666666666666667</v>
      </c>
      <c r="L334">
        <v>0.7</v>
      </c>
      <c r="M334">
        <f t="shared" si="146"/>
        <v>0</v>
      </c>
      <c r="N334">
        <f t="shared" ca="1" si="161"/>
        <v>6654.0190562704538</v>
      </c>
      <c r="O334">
        <f t="shared" ca="1" si="162"/>
        <v>665.40190562704538</v>
      </c>
      <c r="T334" s="3" t="str">
        <f t="shared" si="147"/>
        <v>Марсовый -Продвинутый &lt; Арелиос из Садата</v>
      </c>
      <c r="U334" s="9">
        <f t="shared" si="148"/>
        <v>388.61876801590904</v>
      </c>
      <c r="V334" s="9">
        <f t="shared" ca="1" si="149"/>
        <v>665.40190562704538</v>
      </c>
      <c r="W334">
        <f t="shared" si="150"/>
        <v>971.54692003977266</v>
      </c>
      <c r="X334" s="10">
        <f>'Книги профессий'!M96</f>
        <v>11</v>
      </c>
    </row>
    <row r="335" spans="1:24" x14ac:dyDescent="0.25">
      <c r="A335" s="23" t="str">
        <f>'Книги профессий'!K97&amp;" &lt; "&amp;'Книги профессий'!L97</f>
        <v>Марсовый -Продвинутый &lt; Фиреллия из Столицы</v>
      </c>
      <c r="B335">
        <f>'Книги профессий'!N97</f>
        <v>426.44054592499992</v>
      </c>
      <c r="C335">
        <f>'Книги профессий'!I97</f>
        <v>14</v>
      </c>
      <c r="D335">
        <f t="shared" si="108"/>
        <v>14</v>
      </c>
      <c r="E335" t="str">
        <f t="shared" si="157"/>
        <v>$N$14</v>
      </c>
      <c r="F335">
        <f t="shared" ca="1" si="158"/>
        <v>0</v>
      </c>
      <c r="G335">
        <f t="shared" ca="1" si="159"/>
        <v>0</v>
      </c>
      <c r="H335">
        <f>'Модель v2 базовая'!$G$84</f>
        <v>500</v>
      </c>
      <c r="I335">
        <f t="shared" ca="1" si="160"/>
        <v>0</v>
      </c>
      <c r="J335">
        <v>10</v>
      </c>
      <c r="K335">
        <f>'Модель v2 базовая'!$E$84</f>
        <v>1.6666666666666667</v>
      </c>
      <c r="L335">
        <v>0.7</v>
      </c>
      <c r="M335">
        <f t="shared" si="146"/>
        <v>0</v>
      </c>
      <c r="N335">
        <f t="shared" ca="1" si="161"/>
        <v>4264.4054592499997</v>
      </c>
      <c r="O335">
        <f t="shared" ca="1" si="162"/>
        <v>426.44054592499998</v>
      </c>
      <c r="T335" s="3" t="str">
        <f t="shared" si="147"/>
        <v>Марсовый -Продвинутый &lt; Фиреллия из Столицы</v>
      </c>
      <c r="U335" s="9">
        <f t="shared" si="148"/>
        <v>426.44054592499992</v>
      </c>
      <c r="V335" s="9">
        <f t="shared" ca="1" si="149"/>
        <v>426.44054592499998</v>
      </c>
      <c r="W335">
        <f t="shared" si="150"/>
        <v>1066.1013648124999</v>
      </c>
      <c r="X335" s="10">
        <f>'Книги профессий'!M97</f>
        <v>10</v>
      </c>
    </row>
    <row r="336" spans="1:24" x14ac:dyDescent="0.25">
      <c r="A336" s="23" t="str">
        <f>'Книги профессий'!K98&amp;" &lt; "&amp;'Книги профессий'!L98</f>
        <v>Марсовый - мастер &lt; Эриния из Люг-о-дана</v>
      </c>
      <c r="B336">
        <f>'Книги профессий'!N98</f>
        <v>281.73113479456515</v>
      </c>
      <c r="C336">
        <f>'Книги профессий'!I98</f>
        <v>3</v>
      </c>
      <c r="D336">
        <f t="shared" si="108"/>
        <v>14</v>
      </c>
      <c r="E336" t="str">
        <f t="shared" si="157"/>
        <v>$N$3</v>
      </c>
      <c r="F336">
        <f t="shared" ca="1" si="158"/>
        <v>680</v>
      </c>
      <c r="G336">
        <f t="shared" ca="1" si="159"/>
        <v>2.125</v>
      </c>
      <c r="H336">
        <f>'Модель v2 базовая'!$G$84</f>
        <v>500</v>
      </c>
      <c r="I336">
        <f t="shared" ca="1" si="160"/>
        <v>35.416666666666671</v>
      </c>
      <c r="J336">
        <v>10</v>
      </c>
      <c r="K336">
        <f>'Модель v2 базовая'!$E$84</f>
        <v>1.6666666666666667</v>
      </c>
      <c r="L336">
        <v>0.7</v>
      </c>
      <c r="M336">
        <f t="shared" si="146"/>
        <v>10</v>
      </c>
      <c r="N336">
        <f t="shared" ca="1" si="161"/>
        <v>4826.5126248409415</v>
      </c>
      <c r="O336">
        <f t="shared" ca="1" si="162"/>
        <v>482.65126248409416</v>
      </c>
      <c r="T336" s="3" t="str">
        <f t="shared" si="147"/>
        <v>Марсовый - мастер &lt; Эриния из Люг-о-дана</v>
      </c>
      <c r="U336" s="9">
        <f t="shared" si="148"/>
        <v>281.73113479456515</v>
      </c>
      <c r="V336" s="9">
        <f t="shared" ca="1" si="149"/>
        <v>482.65126248409416</v>
      </c>
      <c r="W336">
        <f t="shared" si="150"/>
        <v>704.32783698641288</v>
      </c>
      <c r="X336" s="10">
        <f>'Книги профессий'!M98</f>
        <v>23</v>
      </c>
    </row>
    <row r="337" spans="1:24" x14ac:dyDescent="0.25">
      <c r="A337" s="23" t="str">
        <f>'Книги профессий'!K99&amp;" &lt; "&amp;'Книги профессий'!L99</f>
        <v>Марсовый - мастер &lt; Галадрон из Шихона</v>
      </c>
      <c r="B337">
        <f>'Книги профессий'!N99</f>
        <v>294.06432324318172</v>
      </c>
      <c r="C337">
        <f>'Книги профессий'!I99</f>
        <v>4</v>
      </c>
      <c r="D337">
        <f t="shared" si="108"/>
        <v>14</v>
      </c>
      <c r="E337" t="str">
        <f t="shared" si="157"/>
        <v>$N$4</v>
      </c>
      <c r="F337">
        <f t="shared" ca="1" si="158"/>
        <v>900</v>
      </c>
      <c r="G337">
        <f t="shared" ca="1" si="159"/>
        <v>2.8125</v>
      </c>
      <c r="H337">
        <f>'Модель v2 базовая'!$G$84</f>
        <v>500</v>
      </c>
      <c r="I337">
        <f t="shared" ca="1" si="160"/>
        <v>46.875</v>
      </c>
      <c r="J337">
        <v>10</v>
      </c>
      <c r="K337">
        <f>'Модель v2 базовая'!$E$84</f>
        <v>1.6666666666666667</v>
      </c>
      <c r="L337">
        <v>0.7</v>
      </c>
      <c r="M337">
        <f t="shared" si="146"/>
        <v>10</v>
      </c>
      <c r="N337">
        <f t="shared" ca="1" si="161"/>
        <v>5047.6351618007557</v>
      </c>
      <c r="O337">
        <f t="shared" ca="1" si="162"/>
        <v>504.76351618007556</v>
      </c>
      <c r="T337" s="3" t="str">
        <f t="shared" si="147"/>
        <v>Марсовый - мастер &lt; Галадрон из Шихона</v>
      </c>
      <c r="U337" s="9">
        <f t="shared" si="148"/>
        <v>294.06432324318172</v>
      </c>
      <c r="V337" s="9">
        <f t="shared" ca="1" si="149"/>
        <v>504.76351618007556</v>
      </c>
      <c r="W337">
        <f t="shared" si="150"/>
        <v>735.16080810795427</v>
      </c>
      <c r="X337" s="10">
        <f>'Книги профессий'!M99</f>
        <v>22</v>
      </c>
    </row>
    <row r="338" spans="1:24" x14ac:dyDescent="0.25">
      <c r="A338" s="23" t="str">
        <f>'Книги профессий'!K100&amp;" &lt; "&amp;'Книги профессий'!L100</f>
        <v>Марсовый - мастер &lt; Теландрис из Готуна</v>
      </c>
      <c r="B338">
        <f>'Книги профессий'!N100</f>
        <v>307.57210106785703</v>
      </c>
      <c r="C338">
        <f>'Книги профессий'!I100</f>
        <v>5</v>
      </c>
      <c r="D338">
        <f t="shared" si="108"/>
        <v>14</v>
      </c>
      <c r="E338" t="str">
        <f t="shared" si="157"/>
        <v>$N$5</v>
      </c>
      <c r="F338">
        <f t="shared" ca="1" si="158"/>
        <v>980</v>
      </c>
      <c r="G338">
        <f t="shared" ca="1" si="159"/>
        <v>3.0625</v>
      </c>
      <c r="H338">
        <f>'Модель v2 базовая'!$G$84</f>
        <v>500</v>
      </c>
      <c r="I338">
        <f t="shared" ca="1" si="160"/>
        <v>51.041666666666671</v>
      </c>
      <c r="J338">
        <v>10</v>
      </c>
      <c r="K338">
        <f>'Модель v2 базовая'!$E$84</f>
        <v>1.6666666666666667</v>
      </c>
      <c r="L338">
        <v>0.7</v>
      </c>
      <c r="M338">
        <f t="shared" si="146"/>
        <v>10</v>
      </c>
      <c r="N338">
        <f t="shared" ca="1" si="161"/>
        <v>5281.4340514869036</v>
      </c>
      <c r="O338">
        <f t="shared" ca="1" si="162"/>
        <v>528.14340514869036</v>
      </c>
      <c r="T338" s="3" t="str">
        <f t="shared" si="147"/>
        <v>Марсовый - мастер &lt; Теландрис из Готуна</v>
      </c>
      <c r="U338" s="9">
        <f t="shared" si="148"/>
        <v>307.57210106785703</v>
      </c>
      <c r="V338" s="9">
        <f t="shared" ca="1" si="149"/>
        <v>528.14340514869036</v>
      </c>
      <c r="W338">
        <f t="shared" si="150"/>
        <v>768.93025266964264</v>
      </c>
      <c r="X338" s="10">
        <f>'Книги профессий'!M100</f>
        <v>21</v>
      </c>
    </row>
    <row r="339" spans="1:24" x14ac:dyDescent="0.25">
      <c r="A339" s="23" t="str">
        <f>'Книги профессий'!K101&amp;" &lt; "&amp;'Книги профессий'!L101</f>
        <v>Марсовый - мастер &lt; Эльсара из Фидваго</v>
      </c>
      <c r="B339">
        <f>'Книги профессий'!N101</f>
        <v>322.43065667499991</v>
      </c>
      <c r="C339">
        <f>'Книги профессий'!I101</f>
        <v>6</v>
      </c>
      <c r="D339">
        <f t="shared" si="108"/>
        <v>14</v>
      </c>
      <c r="E339" t="str">
        <f t="shared" si="157"/>
        <v>$N$6</v>
      </c>
      <c r="F339">
        <f t="shared" ca="1" si="158"/>
        <v>1460</v>
      </c>
      <c r="G339">
        <f t="shared" ca="1" si="159"/>
        <v>4.5625</v>
      </c>
      <c r="H339">
        <f>'Модель v2 базовая'!$G$84</f>
        <v>500</v>
      </c>
      <c r="I339">
        <f t="shared" ca="1" si="160"/>
        <v>76.041666666666671</v>
      </c>
      <c r="J339">
        <v>10</v>
      </c>
      <c r="K339">
        <f>'Модель v2 базовая'!$E$84</f>
        <v>1.6666666666666667</v>
      </c>
      <c r="L339">
        <v>0.7</v>
      </c>
      <c r="M339">
        <f t="shared" si="146"/>
        <v>10</v>
      </c>
      <c r="N339">
        <f t="shared" ca="1" si="161"/>
        <v>5559.0294968083326</v>
      </c>
      <c r="O339">
        <f t="shared" ca="1" si="162"/>
        <v>555.90294968083322</v>
      </c>
      <c r="T339" s="3" t="str">
        <f t="shared" si="147"/>
        <v>Марсовый - мастер &lt; Эльсара из Фидваго</v>
      </c>
      <c r="U339" s="9">
        <f t="shared" si="148"/>
        <v>322.43065667499991</v>
      </c>
      <c r="V339" s="9">
        <f t="shared" ca="1" si="149"/>
        <v>555.90294968083322</v>
      </c>
      <c r="W339">
        <f t="shared" si="150"/>
        <v>806.07664168749977</v>
      </c>
      <c r="X339" s="10">
        <f>'Книги профессий'!M101</f>
        <v>20</v>
      </c>
    </row>
    <row r="340" spans="1:24" x14ac:dyDescent="0.25">
      <c r="A340" s="23" t="str">
        <f>'Книги профессий'!K102&amp;" &lt; "&amp;'Книги профессий'!L102</f>
        <v>Марсовый - мастер &lt; Илириана из Дарутана</v>
      </c>
      <c r="B340">
        <f>'Книги профессий'!N102</f>
        <v>338.85327076710513</v>
      </c>
      <c r="C340">
        <f>'Книги профессий'!I102</f>
        <v>7</v>
      </c>
      <c r="D340">
        <f t="shared" si="108"/>
        <v>14</v>
      </c>
      <c r="E340" t="str">
        <f t="shared" si="157"/>
        <v>$N$7</v>
      </c>
      <c r="F340">
        <f t="shared" ca="1" si="158"/>
        <v>880</v>
      </c>
      <c r="G340">
        <f t="shared" ca="1" si="159"/>
        <v>2.75</v>
      </c>
      <c r="H340">
        <f>'Модель v2 базовая'!$G$84</f>
        <v>500</v>
      </c>
      <c r="I340">
        <f t="shared" ca="1" si="160"/>
        <v>45.833333333333336</v>
      </c>
      <c r="J340">
        <v>10</v>
      </c>
      <c r="K340">
        <f>'Модель v2 базовая'!$E$84</f>
        <v>1.6666666666666667</v>
      </c>
      <c r="L340">
        <v>0.7</v>
      </c>
      <c r="M340">
        <f t="shared" si="146"/>
        <v>10</v>
      </c>
      <c r="N340">
        <f t="shared" ca="1" si="161"/>
        <v>5808.0056030407868</v>
      </c>
      <c r="O340">
        <f t="shared" ca="1" si="162"/>
        <v>580.80056030407866</v>
      </c>
      <c r="T340" s="3" t="str">
        <f t="shared" si="147"/>
        <v>Марсовый - мастер &lt; Илириана из Дарутана</v>
      </c>
      <c r="U340" s="9">
        <f t="shared" si="148"/>
        <v>338.85327076710513</v>
      </c>
      <c r="V340" s="9">
        <f t="shared" ca="1" si="149"/>
        <v>580.80056030407866</v>
      </c>
      <c r="W340">
        <f t="shared" si="150"/>
        <v>847.13317691776285</v>
      </c>
      <c r="X340" s="10">
        <f>'Книги профессий'!M102</f>
        <v>19</v>
      </c>
    </row>
    <row r="341" spans="1:24" x14ac:dyDescent="0.25">
      <c r="A341" s="23" t="str">
        <f>'Книги профессий'!K103&amp;" &lt; "&amp;'Книги профессий'!L103</f>
        <v>Марсовый - мастер &lt; Силиндра из Сарухана</v>
      </c>
      <c r="B341">
        <f>'Книги профессий'!N103</f>
        <v>357.10061975833327</v>
      </c>
      <c r="C341">
        <f>'Книги профессий'!I103</f>
        <v>8</v>
      </c>
      <c r="D341">
        <f t="shared" si="108"/>
        <v>14</v>
      </c>
      <c r="E341" t="str">
        <f t="shared" si="157"/>
        <v>$N$8</v>
      </c>
      <c r="F341">
        <f t="shared" ca="1" si="158"/>
        <v>1100</v>
      </c>
      <c r="G341">
        <f t="shared" ca="1" si="159"/>
        <v>3.4375</v>
      </c>
      <c r="H341">
        <f>'Модель v2 базовая'!$G$84</f>
        <v>500</v>
      </c>
      <c r="I341">
        <f t="shared" ca="1" si="160"/>
        <v>57.291666666666671</v>
      </c>
      <c r="J341">
        <v>10</v>
      </c>
      <c r="K341">
        <f>'Модель v2 базовая'!$E$84</f>
        <v>1.6666666666666667</v>
      </c>
      <c r="L341">
        <v>0.7</v>
      </c>
      <c r="M341">
        <f t="shared" si="146"/>
        <v>10</v>
      </c>
      <c r="N341">
        <f t="shared" ca="1" si="161"/>
        <v>6129.6688692249991</v>
      </c>
      <c r="O341">
        <f t="shared" ca="1" si="162"/>
        <v>612.96688692249995</v>
      </c>
      <c r="T341" s="3" t="str">
        <f t="shared" si="147"/>
        <v>Марсовый - мастер &lt; Силиндра из Сарухана</v>
      </c>
      <c r="U341" s="9">
        <f t="shared" si="148"/>
        <v>357.10061975833327</v>
      </c>
      <c r="V341" s="9">
        <f t="shared" ca="1" si="149"/>
        <v>612.96688692249995</v>
      </c>
      <c r="W341">
        <f t="shared" si="150"/>
        <v>892.75154939583319</v>
      </c>
      <c r="X341" s="10">
        <f>'Книги профессий'!M103</f>
        <v>18</v>
      </c>
    </row>
    <row r="342" spans="1:24" x14ac:dyDescent="0.25">
      <c r="A342" s="23" t="str">
        <f>'Книги профессий'!K104&amp;" &lt; "&amp;'Книги профессий'!L104</f>
        <v>Марсовый - мастер &lt; Армидор из Лорена</v>
      </c>
      <c r="B342">
        <f>'Книги профессий'!N104</f>
        <v>377.49471568970586</v>
      </c>
      <c r="C342">
        <f>'Книги профессий'!I104</f>
        <v>9</v>
      </c>
      <c r="D342">
        <f t="shared" si="108"/>
        <v>14</v>
      </c>
      <c r="E342" t="str">
        <f t="shared" si="157"/>
        <v>$N$9</v>
      </c>
      <c r="F342">
        <f t="shared" ca="1" si="158"/>
        <v>1300</v>
      </c>
      <c r="G342">
        <f t="shared" ca="1" si="159"/>
        <v>4.0625</v>
      </c>
      <c r="H342">
        <f>'Модель v2 базовая'!$G$84</f>
        <v>500</v>
      </c>
      <c r="I342">
        <f t="shared" ca="1" si="160"/>
        <v>67.708333333333343</v>
      </c>
      <c r="J342">
        <v>10</v>
      </c>
      <c r="K342">
        <f>'Модель v2 базовая'!$E$84</f>
        <v>1.6666666666666667</v>
      </c>
      <c r="L342">
        <v>0.7</v>
      </c>
      <c r="M342">
        <f t="shared" ref="M342:M405" si="163">IF(OR(AND(D342&gt;9,C342&lt;=9),AND(D342&lt;9,C342&gt;=9)),10,0)</f>
        <v>10</v>
      </c>
      <c r="N342">
        <f t="shared" ca="1" si="161"/>
        <v>6486.7851667249997</v>
      </c>
      <c r="O342">
        <f t="shared" ca="1" si="162"/>
        <v>648.6785166725</v>
      </c>
      <c r="T342" s="3" t="str">
        <f t="shared" si="147"/>
        <v>Марсовый - мастер &lt; Армидор из Лорена</v>
      </c>
      <c r="U342" s="9">
        <f t="shared" si="148"/>
        <v>377.49471568970586</v>
      </c>
      <c r="V342" s="9">
        <f t="shared" ca="1" si="149"/>
        <v>648.6785166725</v>
      </c>
      <c r="W342">
        <f t="shared" si="150"/>
        <v>943.73678922426461</v>
      </c>
      <c r="X342" s="10">
        <f>'Книги профессий'!M104</f>
        <v>17</v>
      </c>
    </row>
    <row r="343" spans="1:24" x14ac:dyDescent="0.25">
      <c r="A343" s="23" t="str">
        <f>'Книги профессий'!K105&amp;" &lt; "&amp;'Книги профессий'!L105</f>
        <v>Марсовый - мастер &lt; Сианора из Самардейла</v>
      </c>
      <c r="B343">
        <f>'Книги профессий'!N105</f>
        <v>400.43807361249992</v>
      </c>
      <c r="C343">
        <f>'Книги профессий'!I105</f>
        <v>10</v>
      </c>
      <c r="D343">
        <f t="shared" si="108"/>
        <v>14</v>
      </c>
      <c r="E343" t="str">
        <f t="shared" si="157"/>
        <v>$N$10</v>
      </c>
      <c r="F343">
        <f t="shared" ca="1" si="158"/>
        <v>760</v>
      </c>
      <c r="G343">
        <f t="shared" ca="1" si="159"/>
        <v>2.375</v>
      </c>
      <c r="H343">
        <f>'Модель v2 базовая'!$G$84</f>
        <v>500</v>
      </c>
      <c r="I343">
        <f t="shared" ca="1" si="160"/>
        <v>39.583333333333336</v>
      </c>
      <c r="J343">
        <v>10</v>
      </c>
      <c r="K343">
        <f>'Модель v2 базовая'!$E$84</f>
        <v>1.6666666666666667</v>
      </c>
      <c r="L343">
        <v>0.7</v>
      </c>
      <c r="M343">
        <f t="shared" si="163"/>
        <v>0</v>
      </c>
      <c r="N343">
        <f t="shared" ca="1" si="161"/>
        <v>6848.6972514124991</v>
      </c>
      <c r="O343">
        <f t="shared" ca="1" si="162"/>
        <v>684.86972514124989</v>
      </c>
      <c r="T343" s="3" t="str">
        <f t="shared" si="147"/>
        <v>Марсовый - мастер &lt; Сианора из Самардейла</v>
      </c>
      <c r="U343" s="9">
        <f t="shared" si="148"/>
        <v>400.43807361249992</v>
      </c>
      <c r="V343" s="9">
        <f t="shared" ca="1" si="149"/>
        <v>684.86972514124989</v>
      </c>
      <c r="W343">
        <f t="shared" si="150"/>
        <v>1001.0951840312498</v>
      </c>
      <c r="X343" s="10">
        <f>'Книги профессий'!M105</f>
        <v>16</v>
      </c>
    </row>
    <row r="344" spans="1:24" x14ac:dyDescent="0.25">
      <c r="A344" s="23" t="str">
        <f>'Книги профессий'!K106&amp;" &lt; "&amp;'Книги профессий'!L106</f>
        <v>Марсовый - мастер &lt; Сильвания из Гвадекуры</v>
      </c>
      <c r="B344">
        <f>'Книги профессий'!N106</f>
        <v>426.44054592499992</v>
      </c>
      <c r="C344">
        <f>'Книги профессий'!I106</f>
        <v>11</v>
      </c>
      <c r="D344">
        <f t="shared" si="108"/>
        <v>14</v>
      </c>
      <c r="E344" t="str">
        <f t="shared" si="157"/>
        <v>$N$11</v>
      </c>
      <c r="F344">
        <f t="shared" ca="1" si="158"/>
        <v>880</v>
      </c>
      <c r="G344">
        <f t="shared" ca="1" si="159"/>
        <v>2.75</v>
      </c>
      <c r="H344">
        <f>'Модель v2 базовая'!$G$84</f>
        <v>500</v>
      </c>
      <c r="I344">
        <f t="shared" ca="1" si="160"/>
        <v>45.833333333333336</v>
      </c>
      <c r="J344">
        <v>10</v>
      </c>
      <c r="K344">
        <f>'Модель v2 базовая'!$E$84</f>
        <v>1.6666666666666667</v>
      </c>
      <c r="L344">
        <v>0.7</v>
      </c>
      <c r="M344">
        <f t="shared" si="163"/>
        <v>0</v>
      </c>
      <c r="N344">
        <f t="shared" ca="1" si="161"/>
        <v>7296.9892807249998</v>
      </c>
      <c r="O344">
        <f t="shared" ca="1" si="162"/>
        <v>729.69892807249994</v>
      </c>
      <c r="T344" s="3" t="str">
        <f t="shared" si="147"/>
        <v>Марсовый - мастер &lt; Сильвания из Гвадекуры</v>
      </c>
      <c r="U344" s="9">
        <f t="shared" si="148"/>
        <v>426.44054592499992</v>
      </c>
      <c r="V344" s="9">
        <f t="shared" ca="1" si="149"/>
        <v>729.69892807249994</v>
      </c>
      <c r="W344">
        <f t="shared" si="150"/>
        <v>1066.1013648124999</v>
      </c>
      <c r="X344" s="10">
        <f>'Книги профессий'!M106</f>
        <v>15</v>
      </c>
    </row>
    <row r="345" spans="1:24" x14ac:dyDescent="0.25">
      <c r="A345" s="23" t="str">
        <f>'Книги профессий'!K107&amp;" &lt; "&amp;'Книги профессий'!L107</f>
        <v>Марсовый - мастер &lt; Кирантель из Ранджар-ара</v>
      </c>
      <c r="B345">
        <f>'Книги профессий'!N107</f>
        <v>456.15765713928556</v>
      </c>
      <c r="C345">
        <f>'Книги профессий'!I107</f>
        <v>12</v>
      </c>
      <c r="D345">
        <f t="shared" si="108"/>
        <v>14</v>
      </c>
      <c r="E345" t="str">
        <f t="shared" si="157"/>
        <v>$N$12</v>
      </c>
      <c r="F345">
        <f t="shared" ca="1" si="158"/>
        <v>400</v>
      </c>
      <c r="G345">
        <f t="shared" ca="1" si="159"/>
        <v>1.25</v>
      </c>
      <c r="H345">
        <f>'Модель v2 базовая'!$G$84</f>
        <v>500</v>
      </c>
      <c r="I345">
        <f t="shared" ca="1" si="160"/>
        <v>20.833333333333336</v>
      </c>
      <c r="J345">
        <v>10</v>
      </c>
      <c r="K345">
        <f>'Модель v2 базовая'!$E$84</f>
        <v>1.6666666666666667</v>
      </c>
      <c r="L345">
        <v>0.7</v>
      </c>
      <c r="M345">
        <f t="shared" si="163"/>
        <v>0</v>
      </c>
      <c r="N345">
        <f t="shared" ca="1" si="161"/>
        <v>7777.1801713678542</v>
      </c>
      <c r="O345">
        <f t="shared" ca="1" si="162"/>
        <v>777.71801713678542</v>
      </c>
      <c r="T345" s="3" t="str">
        <f t="shared" si="147"/>
        <v>Марсовый - мастер &lt; Кирантель из Ранджар-ара</v>
      </c>
      <c r="U345" s="9">
        <f t="shared" si="148"/>
        <v>456.15765713928556</v>
      </c>
      <c r="V345" s="9">
        <f t="shared" ca="1" si="149"/>
        <v>777.71801713678542</v>
      </c>
      <c r="W345">
        <f t="shared" si="150"/>
        <v>1140.394142848214</v>
      </c>
      <c r="X345" s="10">
        <f>'Книги профессий'!M107</f>
        <v>14</v>
      </c>
    </row>
    <row r="346" spans="1:24" x14ac:dyDescent="0.25">
      <c r="A346" s="23" t="str">
        <f>'Книги профессий'!K108&amp;" &lt; "&amp;'Книги профессий'!L108</f>
        <v>Марсовый - мастер &lt; Аресса из Садата</v>
      </c>
      <c r="B346">
        <f>'Книги профессий'!N108</f>
        <v>490.44663161730756</v>
      </c>
      <c r="C346">
        <f>'Книги профессий'!I108</f>
        <v>13</v>
      </c>
      <c r="D346">
        <f t="shared" si="108"/>
        <v>14</v>
      </c>
      <c r="E346" t="str">
        <f t="shared" si="157"/>
        <v>$N$13</v>
      </c>
      <c r="F346">
        <f t="shared" ca="1" si="158"/>
        <v>880</v>
      </c>
      <c r="G346">
        <f t="shared" ca="1" si="159"/>
        <v>2.75</v>
      </c>
      <c r="H346">
        <f>'Модель v2 базовая'!$G$84</f>
        <v>500</v>
      </c>
      <c r="I346">
        <f t="shared" ca="1" si="160"/>
        <v>45.833333333333336</v>
      </c>
      <c r="J346">
        <v>10</v>
      </c>
      <c r="K346">
        <f>'Модель v2 базовая'!$E$84</f>
        <v>1.6666666666666667</v>
      </c>
      <c r="L346">
        <v>0.7</v>
      </c>
      <c r="M346">
        <f t="shared" si="163"/>
        <v>0</v>
      </c>
      <c r="N346">
        <f t="shared" ca="1" si="161"/>
        <v>8385.0927374942294</v>
      </c>
      <c r="O346">
        <f t="shared" ca="1" si="162"/>
        <v>838.50927374942296</v>
      </c>
      <c r="T346" s="3" t="str">
        <f t="shared" si="147"/>
        <v>Марсовый - мастер &lt; Аресса из Садата</v>
      </c>
      <c r="U346" s="9">
        <f t="shared" si="148"/>
        <v>490.44663161730756</v>
      </c>
      <c r="V346" s="9">
        <f t="shared" ca="1" si="149"/>
        <v>838.50927374942296</v>
      </c>
      <c r="W346">
        <f t="shared" si="150"/>
        <v>1226.116579043269</v>
      </c>
      <c r="X346" s="10">
        <f>'Книги профессий'!M108</f>
        <v>13</v>
      </c>
    </row>
    <row r="347" spans="1:24" x14ac:dyDescent="0.25">
      <c r="A347" s="23" t="str">
        <f>'Книги профессий'!K109&amp;" &lt; "&amp;'Книги профессий'!L109</f>
        <v>Марсовый - мастер &lt; Таэлин из Столицы</v>
      </c>
      <c r="B347">
        <f>'Книги профессий'!N109</f>
        <v>530.45043517499994</v>
      </c>
      <c r="C347">
        <f>'Книги профессий'!I109</f>
        <v>14</v>
      </c>
      <c r="D347">
        <f t="shared" si="108"/>
        <v>14</v>
      </c>
      <c r="E347" t="str">
        <f t="shared" si="157"/>
        <v>$N$14</v>
      </c>
      <c r="F347">
        <f t="shared" ca="1" si="158"/>
        <v>0</v>
      </c>
      <c r="G347">
        <f t="shared" ca="1" si="159"/>
        <v>0</v>
      </c>
      <c r="H347">
        <f>'Модель v2 базовая'!$G$84</f>
        <v>500</v>
      </c>
      <c r="I347">
        <f t="shared" ca="1" si="160"/>
        <v>0</v>
      </c>
      <c r="J347">
        <v>10</v>
      </c>
      <c r="K347">
        <f>'Модель v2 базовая'!$E$84</f>
        <v>1.6666666666666667</v>
      </c>
      <c r="L347">
        <v>0.7</v>
      </c>
      <c r="M347">
        <f t="shared" si="163"/>
        <v>0</v>
      </c>
      <c r="N347">
        <f t="shared" ca="1" si="161"/>
        <v>5304.5043517499998</v>
      </c>
      <c r="O347">
        <f t="shared" ca="1" si="162"/>
        <v>530.45043517499994</v>
      </c>
      <c r="T347" s="3" t="str">
        <f t="shared" si="147"/>
        <v>Марсовый - мастер &lt; Таэлин из Столицы</v>
      </c>
      <c r="U347" s="9">
        <f t="shared" si="148"/>
        <v>530.45043517499994</v>
      </c>
      <c r="V347" s="9">
        <f t="shared" ca="1" si="149"/>
        <v>530.45043517499994</v>
      </c>
      <c r="W347">
        <f t="shared" si="150"/>
        <v>1326.1260879375</v>
      </c>
      <c r="X347" s="10">
        <f>'Книги профессий'!M109</f>
        <v>12</v>
      </c>
    </row>
    <row r="348" spans="1:24" x14ac:dyDescent="0.25">
      <c r="A348" s="23" t="str">
        <f>'Книги профессий'!K110&amp;" &lt; "&amp;'Книги профессий'!L110</f>
        <v>Канонир - база &lt; Тирентис из Люг-о-дана</v>
      </c>
      <c r="B348">
        <f>'Книги профессий'!N110</f>
        <v>246.78710085681817</v>
      </c>
      <c r="C348">
        <f>'Книги профессий'!I110</f>
        <v>3</v>
      </c>
      <c r="D348">
        <f t="shared" si="108"/>
        <v>14</v>
      </c>
      <c r="E348" t="str">
        <f t="shared" si="157"/>
        <v>$N$3</v>
      </c>
      <c r="F348">
        <f t="shared" ca="1" si="158"/>
        <v>680</v>
      </c>
      <c r="G348">
        <f t="shared" ca="1" si="159"/>
        <v>2.125</v>
      </c>
      <c r="H348">
        <f>'Модель v2 базовая'!$G$84</f>
        <v>500</v>
      </c>
      <c r="I348">
        <f t="shared" ca="1" si="160"/>
        <v>35.416666666666671</v>
      </c>
      <c r="J348">
        <v>10</v>
      </c>
      <c r="K348">
        <f>'Модель v2 базовая'!$E$84</f>
        <v>1.6666666666666667</v>
      </c>
      <c r="L348">
        <v>0.7</v>
      </c>
      <c r="M348">
        <f t="shared" si="163"/>
        <v>10</v>
      </c>
      <c r="N348">
        <f t="shared" ca="1" si="161"/>
        <v>4232.4640478992433</v>
      </c>
      <c r="O348">
        <f t="shared" ca="1" si="162"/>
        <v>423.24640478992433</v>
      </c>
      <c r="T348" s="3" t="str">
        <f t="shared" si="147"/>
        <v>Канонир - база &lt; Тирентис из Люг-о-дана</v>
      </c>
      <c r="U348" s="9">
        <f t="shared" si="148"/>
        <v>246.78710085681817</v>
      </c>
      <c r="V348" s="9">
        <f t="shared" ca="1" si="149"/>
        <v>423.24640478992433</v>
      </c>
      <c r="W348">
        <f t="shared" si="150"/>
        <v>616.96775214204547</v>
      </c>
      <c r="X348" s="10">
        <f>'Книги профессий'!M110</f>
        <v>22</v>
      </c>
    </row>
    <row r="349" spans="1:24" x14ac:dyDescent="0.25">
      <c r="A349" s="23" t="str">
        <f>'Книги профессий'!K111&amp;" &lt; "&amp;'Книги профессий'!L111</f>
        <v>Канонир - база &lt; Теландрис из Шихона</v>
      </c>
      <c r="B349">
        <f>'Книги профессий'!N111</f>
        <v>258.04358237738086</v>
      </c>
      <c r="C349">
        <f>'Книги профессий'!I111</f>
        <v>4</v>
      </c>
      <c r="D349">
        <f t="shared" si="108"/>
        <v>14</v>
      </c>
      <c r="E349" t="str">
        <f t="shared" si="157"/>
        <v>$N$4</v>
      </c>
      <c r="F349">
        <f t="shared" ca="1" si="158"/>
        <v>900</v>
      </c>
      <c r="G349">
        <f t="shared" ca="1" si="159"/>
        <v>2.8125</v>
      </c>
      <c r="H349">
        <f>'Модель v2 базовая'!$G$84</f>
        <v>500</v>
      </c>
      <c r="I349">
        <f t="shared" ca="1" si="160"/>
        <v>46.875</v>
      </c>
      <c r="J349">
        <v>10</v>
      </c>
      <c r="K349">
        <f>'Модель v2 базовая'!$E$84</f>
        <v>1.6666666666666667</v>
      </c>
      <c r="L349">
        <v>0.7</v>
      </c>
      <c r="M349">
        <f t="shared" si="163"/>
        <v>10</v>
      </c>
      <c r="N349">
        <f t="shared" ca="1" si="161"/>
        <v>4435.2825670821421</v>
      </c>
      <c r="O349">
        <f t="shared" ca="1" si="162"/>
        <v>443.5282567082142</v>
      </c>
      <c r="T349" s="3" t="str">
        <f t="shared" si="147"/>
        <v>Канонир - база &lt; Теландрис из Шихона</v>
      </c>
      <c r="U349" s="9">
        <f t="shared" si="148"/>
        <v>258.04358237738086</v>
      </c>
      <c r="V349" s="9">
        <f t="shared" ca="1" si="149"/>
        <v>443.5282567082142</v>
      </c>
      <c r="W349">
        <f t="shared" si="150"/>
        <v>645.1089559434522</v>
      </c>
      <c r="X349" s="10">
        <f>'Книги профессий'!M111</f>
        <v>21</v>
      </c>
    </row>
    <row r="350" spans="1:24" x14ac:dyDescent="0.25">
      <c r="A350" s="23" t="str">
        <f>'Книги профессий'!K112&amp;" &lt; "&amp;'Книги профессий'!L112</f>
        <v>Канонир - база &lt; Таэлин из Готуна</v>
      </c>
      <c r="B350">
        <f>'Книги профессий'!N112</f>
        <v>270.42571204999996</v>
      </c>
      <c r="C350">
        <f>'Книги профессий'!I112</f>
        <v>5</v>
      </c>
      <c r="D350">
        <f t="shared" si="108"/>
        <v>14</v>
      </c>
      <c r="E350" t="str">
        <f t="shared" si="157"/>
        <v>$N$5</v>
      </c>
      <c r="F350">
        <f t="shared" ca="1" si="158"/>
        <v>980</v>
      </c>
      <c r="G350">
        <f t="shared" ca="1" si="159"/>
        <v>3.0625</v>
      </c>
      <c r="H350">
        <f>'Модель v2 базовая'!$G$84</f>
        <v>500</v>
      </c>
      <c r="I350">
        <f t="shared" ca="1" si="160"/>
        <v>51.041666666666671</v>
      </c>
      <c r="J350">
        <v>10</v>
      </c>
      <c r="K350">
        <f>'Модель v2 базовая'!$E$84</f>
        <v>1.6666666666666667</v>
      </c>
      <c r="L350">
        <v>0.7</v>
      </c>
      <c r="M350">
        <f t="shared" si="163"/>
        <v>10</v>
      </c>
      <c r="N350">
        <f t="shared" ca="1" si="161"/>
        <v>4649.945438183333</v>
      </c>
      <c r="O350">
        <f t="shared" ca="1" si="162"/>
        <v>464.99454381833328</v>
      </c>
      <c r="T350" s="3" t="str">
        <f t="shared" si="147"/>
        <v>Канонир - база &lt; Таэлин из Готуна</v>
      </c>
      <c r="U350" s="9">
        <f t="shared" si="148"/>
        <v>270.42571204999996</v>
      </c>
      <c r="V350" s="9">
        <f t="shared" ca="1" si="149"/>
        <v>464.99454381833328</v>
      </c>
      <c r="W350">
        <f t="shared" si="150"/>
        <v>676.06428012499987</v>
      </c>
      <c r="X350" s="10">
        <f>'Книги профессий'!M112</f>
        <v>20</v>
      </c>
    </row>
    <row r="351" spans="1:24" x14ac:dyDescent="0.25">
      <c r="A351" s="23" t="str">
        <f>'Книги профессий'!K113&amp;" &lt; "&amp;'Книги профессий'!L113</f>
        <v>Канонир - база &lt; Телестра из Фидваго</v>
      </c>
      <c r="B351">
        <f>'Книги профессий'!N113</f>
        <v>284.111223793421</v>
      </c>
      <c r="C351">
        <f>'Книги профессий'!I113</f>
        <v>6</v>
      </c>
      <c r="D351">
        <f t="shared" si="108"/>
        <v>14</v>
      </c>
      <c r="E351" t="str">
        <f t="shared" si="157"/>
        <v>$N$6</v>
      </c>
      <c r="F351">
        <f t="shared" ca="1" si="158"/>
        <v>1460</v>
      </c>
      <c r="G351">
        <f t="shared" ca="1" si="159"/>
        <v>4.5625</v>
      </c>
      <c r="H351">
        <f>'Модель v2 базовая'!$G$84</f>
        <v>500</v>
      </c>
      <c r="I351">
        <f t="shared" ca="1" si="160"/>
        <v>76.041666666666671</v>
      </c>
      <c r="J351">
        <v>10</v>
      </c>
      <c r="K351">
        <f>'Модель v2 базовая'!$E$84</f>
        <v>1.6666666666666667</v>
      </c>
      <c r="L351">
        <v>0.7</v>
      </c>
      <c r="M351">
        <f t="shared" si="163"/>
        <v>10</v>
      </c>
      <c r="N351">
        <f t="shared" ca="1" si="161"/>
        <v>4907.5991378214912</v>
      </c>
      <c r="O351">
        <f t="shared" ca="1" si="162"/>
        <v>490.75991378214911</v>
      </c>
      <c r="T351" s="3" t="str">
        <f t="shared" si="147"/>
        <v>Канонир - база &lt; Телестра из Фидваго</v>
      </c>
      <c r="U351" s="9">
        <f t="shared" si="148"/>
        <v>284.111223793421</v>
      </c>
      <c r="V351" s="9">
        <f t="shared" ca="1" si="149"/>
        <v>490.75991378214911</v>
      </c>
      <c r="W351">
        <f t="shared" si="150"/>
        <v>710.27805948355251</v>
      </c>
      <c r="X351" s="10">
        <f>'Книги профессий'!M113</f>
        <v>19</v>
      </c>
    </row>
    <row r="352" spans="1:24" x14ac:dyDescent="0.25">
      <c r="A352" s="23" t="str">
        <f>'Книги профессий'!K114&amp;" &lt; "&amp;'Книги профессий'!L114</f>
        <v>Канонир - база &lt; Галадрон из Дарутана</v>
      </c>
      <c r="B352">
        <f>'Книги профессий'!N114</f>
        <v>299.31734795277771</v>
      </c>
      <c r="C352">
        <f>'Книги профессий'!I114</f>
        <v>7</v>
      </c>
      <c r="D352">
        <f t="shared" si="108"/>
        <v>14</v>
      </c>
      <c r="E352" t="str">
        <f t="shared" si="157"/>
        <v>$N$7</v>
      </c>
      <c r="F352">
        <f t="shared" ca="1" si="158"/>
        <v>880</v>
      </c>
      <c r="G352">
        <f t="shared" ca="1" si="159"/>
        <v>2.75</v>
      </c>
      <c r="H352">
        <f>'Модель v2 базовая'!$G$84</f>
        <v>500</v>
      </c>
      <c r="I352">
        <f t="shared" ca="1" si="160"/>
        <v>45.833333333333336</v>
      </c>
      <c r="J352">
        <v>10</v>
      </c>
      <c r="K352">
        <f>'Модель v2 базовая'!$E$84</f>
        <v>1.6666666666666667</v>
      </c>
      <c r="L352">
        <v>0.7</v>
      </c>
      <c r="M352">
        <f t="shared" si="163"/>
        <v>10</v>
      </c>
      <c r="N352">
        <f t="shared" ca="1" si="161"/>
        <v>5135.8949151972211</v>
      </c>
      <c r="O352">
        <f t="shared" ca="1" si="162"/>
        <v>513.58949151972206</v>
      </c>
      <c r="T352" s="3" t="str">
        <f t="shared" si="147"/>
        <v>Канонир - база &lt; Галадрон из Дарутана</v>
      </c>
      <c r="U352" s="9">
        <f t="shared" si="148"/>
        <v>299.31734795277771</v>
      </c>
      <c r="V352" s="9">
        <f t="shared" ca="1" si="149"/>
        <v>513.58949151972206</v>
      </c>
      <c r="W352">
        <f t="shared" si="150"/>
        <v>748.29336988194427</v>
      </c>
      <c r="X352" s="10">
        <f>'Книги профессий'!M114</f>
        <v>18</v>
      </c>
    </row>
    <row r="353" spans="1:24" x14ac:dyDescent="0.25">
      <c r="A353" s="23" t="str">
        <f>'Книги профессий'!K115&amp;" &lt; "&amp;'Книги профессий'!L115</f>
        <v>Канонир - база &lt; Аринтейн из Сарухана</v>
      </c>
      <c r="B353">
        <f>'Книги профессий'!N115</f>
        <v>316.31242789558814</v>
      </c>
      <c r="C353">
        <f>'Книги профессий'!I115</f>
        <v>8</v>
      </c>
      <c r="D353">
        <f t="shared" si="108"/>
        <v>14</v>
      </c>
      <c r="E353" t="str">
        <f t="shared" si="157"/>
        <v>$N$8</v>
      </c>
      <c r="F353">
        <f t="shared" ca="1" si="158"/>
        <v>1100</v>
      </c>
      <c r="G353">
        <f t="shared" ca="1" si="159"/>
        <v>3.4375</v>
      </c>
      <c r="H353">
        <f>'Модель v2 базовая'!$G$84</f>
        <v>500</v>
      </c>
      <c r="I353">
        <f t="shared" ca="1" si="160"/>
        <v>57.291666666666671</v>
      </c>
      <c r="J353">
        <v>10</v>
      </c>
      <c r="K353">
        <f>'Модель v2 базовая'!$E$84</f>
        <v>1.6666666666666667</v>
      </c>
      <c r="L353">
        <v>0.7</v>
      </c>
      <c r="M353">
        <f t="shared" si="163"/>
        <v>10</v>
      </c>
      <c r="N353">
        <f t="shared" ca="1" si="161"/>
        <v>5436.2696075583317</v>
      </c>
      <c r="O353">
        <f t="shared" ca="1" si="162"/>
        <v>543.62696075583312</v>
      </c>
      <c r="T353" s="3" t="str">
        <f t="shared" si="147"/>
        <v>Канонир - база &lt; Аринтейн из Сарухана</v>
      </c>
      <c r="U353" s="9">
        <f t="shared" si="148"/>
        <v>316.31242789558814</v>
      </c>
      <c r="V353" s="9">
        <f t="shared" ca="1" si="149"/>
        <v>543.62696075583312</v>
      </c>
      <c r="W353">
        <f t="shared" si="150"/>
        <v>790.78106973897036</v>
      </c>
      <c r="X353" s="10">
        <f>'Книги профессий'!M115</f>
        <v>17</v>
      </c>
    </row>
    <row r="354" spans="1:24" x14ac:dyDescent="0.25">
      <c r="A354" s="23" t="str">
        <f>'Книги профессий'!K116&amp;" &lt; "&amp;'Книги профессий'!L116</f>
        <v>Канонир - база &lt; Арэлис из Лорена</v>
      </c>
      <c r="B354">
        <f>'Книги профессий'!N116</f>
        <v>335.43189283124991</v>
      </c>
      <c r="C354">
        <f>'Книги профессий'!I116</f>
        <v>9</v>
      </c>
      <c r="D354">
        <f t="shared" si="108"/>
        <v>14</v>
      </c>
      <c r="E354" t="str">
        <f t="shared" si="157"/>
        <v>$N$9</v>
      </c>
      <c r="F354">
        <f t="shared" ca="1" si="158"/>
        <v>1300</v>
      </c>
      <c r="G354">
        <f t="shared" ca="1" si="159"/>
        <v>4.0625</v>
      </c>
      <c r="H354">
        <f>'Модель v2 базовая'!$G$84</f>
        <v>500</v>
      </c>
      <c r="I354">
        <f t="shared" ca="1" si="160"/>
        <v>67.708333333333343</v>
      </c>
      <c r="J354">
        <v>10</v>
      </c>
      <c r="K354">
        <f>'Модель v2 базовая'!$E$84</f>
        <v>1.6666666666666667</v>
      </c>
      <c r="L354">
        <v>0.7</v>
      </c>
      <c r="M354">
        <f t="shared" si="163"/>
        <v>10</v>
      </c>
      <c r="N354">
        <f t="shared" ca="1" si="161"/>
        <v>5771.7171781312481</v>
      </c>
      <c r="O354">
        <f t="shared" ca="1" si="162"/>
        <v>577.17171781312481</v>
      </c>
      <c r="T354" s="3" t="str">
        <f t="shared" si="147"/>
        <v>Канонир - база &lt; Арэлис из Лорена</v>
      </c>
      <c r="U354" s="9">
        <f t="shared" si="148"/>
        <v>335.43189283124991</v>
      </c>
      <c r="V354" s="9">
        <f t="shared" ca="1" si="149"/>
        <v>577.17171781312481</v>
      </c>
      <c r="W354">
        <f t="shared" si="150"/>
        <v>838.57973207812483</v>
      </c>
      <c r="X354" s="10">
        <f>'Книги профессий'!M116</f>
        <v>16</v>
      </c>
    </row>
    <row r="355" spans="1:24" x14ac:dyDescent="0.25">
      <c r="A355" s="23" t="str">
        <f>'Книги профессий'!K117&amp;" &lt; "&amp;'Книги профессий'!L117</f>
        <v>Канонир - база &lt; Иландрия из Самардейла</v>
      </c>
      <c r="B355">
        <f>'Книги профессий'!N117</f>
        <v>357.10061975833327</v>
      </c>
      <c r="C355">
        <f>'Книги профессий'!I117</f>
        <v>10</v>
      </c>
      <c r="D355">
        <f t="shared" si="108"/>
        <v>14</v>
      </c>
      <c r="E355" t="str">
        <f t="shared" si="157"/>
        <v>$N$10</v>
      </c>
      <c r="F355">
        <f t="shared" ca="1" si="158"/>
        <v>760</v>
      </c>
      <c r="G355">
        <f t="shared" ca="1" si="159"/>
        <v>2.375</v>
      </c>
      <c r="H355">
        <f>'Модель v2 базовая'!$G$84</f>
        <v>500</v>
      </c>
      <c r="I355">
        <f t="shared" ca="1" si="160"/>
        <v>39.583333333333336</v>
      </c>
      <c r="J355">
        <v>10</v>
      </c>
      <c r="K355">
        <f>'Модель v2 базовая'!$E$84</f>
        <v>1.6666666666666667</v>
      </c>
      <c r="L355">
        <v>0.7</v>
      </c>
      <c r="M355">
        <f t="shared" si="163"/>
        <v>0</v>
      </c>
      <c r="N355">
        <f t="shared" ca="1" si="161"/>
        <v>6111.9605358916651</v>
      </c>
      <c r="O355">
        <f t="shared" ca="1" si="162"/>
        <v>611.19605358916647</v>
      </c>
      <c r="T355" s="3" t="str">
        <f t="shared" si="147"/>
        <v>Канонир - база &lt; Иландрия из Самардейла</v>
      </c>
      <c r="U355" s="9">
        <f t="shared" si="148"/>
        <v>357.10061975833327</v>
      </c>
      <c r="V355" s="9">
        <f t="shared" ca="1" si="149"/>
        <v>611.19605358916647</v>
      </c>
      <c r="W355">
        <f t="shared" si="150"/>
        <v>892.75154939583319</v>
      </c>
      <c r="X355" s="10">
        <f>'Книги профессий'!M117</f>
        <v>15</v>
      </c>
    </row>
    <row r="356" spans="1:24" x14ac:dyDescent="0.25">
      <c r="A356" s="23" t="str">
        <f>'Книги профессий'!K118&amp;" &lt; "&amp;'Книги профессий'!L118</f>
        <v>Канонир - база &lt; Арэлис из Гвадекуры</v>
      </c>
      <c r="B356">
        <f>'Книги профессий'!N118</f>
        <v>381.86487910357135</v>
      </c>
      <c r="C356">
        <f>'Книги профессий'!I118</f>
        <v>11</v>
      </c>
      <c r="D356">
        <f t="shared" si="108"/>
        <v>14</v>
      </c>
      <c r="E356" t="str">
        <f t="shared" si="157"/>
        <v>$N$11</v>
      </c>
      <c r="F356">
        <f t="shared" ca="1" si="158"/>
        <v>880</v>
      </c>
      <c r="G356">
        <f t="shared" ca="1" si="159"/>
        <v>2.75</v>
      </c>
      <c r="H356">
        <f>'Модель v2 базовая'!$G$84</f>
        <v>500</v>
      </c>
      <c r="I356">
        <f t="shared" ca="1" si="160"/>
        <v>45.833333333333336</v>
      </c>
      <c r="J356">
        <v>10</v>
      </c>
      <c r="K356">
        <f>'Модель v2 базовая'!$E$84</f>
        <v>1.6666666666666667</v>
      </c>
      <c r="L356">
        <v>0.7</v>
      </c>
      <c r="M356">
        <f t="shared" si="163"/>
        <v>0</v>
      </c>
      <c r="N356">
        <f t="shared" ca="1" si="161"/>
        <v>6539.2029447607129</v>
      </c>
      <c r="O356">
        <f t="shared" ca="1" si="162"/>
        <v>653.92029447607126</v>
      </c>
      <c r="T356" s="3" t="str">
        <f t="shared" si="147"/>
        <v>Канонир - база &lt; Арэлис из Гвадекуры</v>
      </c>
      <c r="U356" s="9">
        <f t="shared" si="148"/>
        <v>381.86487910357135</v>
      </c>
      <c r="V356" s="9">
        <f t="shared" ca="1" si="149"/>
        <v>653.92029447607126</v>
      </c>
      <c r="W356">
        <f t="shared" si="150"/>
        <v>954.66219775892841</v>
      </c>
      <c r="X356" s="10">
        <f>'Книги профессий'!M118</f>
        <v>14</v>
      </c>
    </row>
    <row r="357" spans="1:24" x14ac:dyDescent="0.25">
      <c r="A357" s="23" t="str">
        <f>'Книги профессий'!K119&amp;" &lt; "&amp;'Книги профессий'!L119</f>
        <v>Канонир - база &lt; Эльрион из Ранджар-ара</v>
      </c>
      <c r="B357">
        <f>'Книги профессий'!N119</f>
        <v>410.43902450192297</v>
      </c>
      <c r="C357">
        <f>'Книги профессий'!I119</f>
        <v>12</v>
      </c>
      <c r="D357">
        <f t="shared" si="108"/>
        <v>14</v>
      </c>
      <c r="E357" t="str">
        <f t="shared" si="157"/>
        <v>$N$12</v>
      </c>
      <c r="F357">
        <f t="shared" ca="1" si="158"/>
        <v>400</v>
      </c>
      <c r="G357">
        <f t="shared" ca="1" si="159"/>
        <v>1.25</v>
      </c>
      <c r="H357">
        <f>'Модель v2 базовая'!$G$84</f>
        <v>500</v>
      </c>
      <c r="I357">
        <f t="shared" ca="1" si="160"/>
        <v>20.833333333333336</v>
      </c>
      <c r="J357">
        <v>10</v>
      </c>
      <c r="K357">
        <f>'Модель v2 базовая'!$E$84</f>
        <v>1.6666666666666667</v>
      </c>
      <c r="L357">
        <v>0.7</v>
      </c>
      <c r="M357">
        <f t="shared" si="163"/>
        <v>0</v>
      </c>
      <c r="N357">
        <f t="shared" ca="1" si="161"/>
        <v>6999.9634165326906</v>
      </c>
      <c r="O357">
        <f t="shared" ca="1" si="162"/>
        <v>699.99634165326904</v>
      </c>
      <c r="T357" s="3" t="str">
        <f t="shared" si="147"/>
        <v>Канонир - база &lt; Эльрион из Ранджар-ара</v>
      </c>
      <c r="U357" s="9">
        <f t="shared" si="148"/>
        <v>410.43902450192297</v>
      </c>
      <c r="V357" s="9">
        <f t="shared" ca="1" si="149"/>
        <v>699.99634165326904</v>
      </c>
      <c r="W357">
        <f t="shared" si="150"/>
        <v>1026.0975612548075</v>
      </c>
      <c r="X357" s="10">
        <f>'Книги профессий'!M119</f>
        <v>13</v>
      </c>
    </row>
    <row r="358" spans="1:24" x14ac:dyDescent="0.25">
      <c r="A358" s="23" t="str">
        <f>'Книги профессий'!K120&amp;" &lt; "&amp;'Книги профессий'!L120</f>
        <v>Канонир - база &lt; Фаралин из Садата</v>
      </c>
      <c r="B358">
        <f>'Книги профессий'!N120</f>
        <v>443.77552746666657</v>
      </c>
      <c r="C358">
        <f>'Книги профессий'!I120</f>
        <v>13</v>
      </c>
      <c r="D358">
        <f t="shared" si="108"/>
        <v>14</v>
      </c>
      <c r="E358" t="str">
        <f t="shared" si="157"/>
        <v>$N$13</v>
      </c>
      <c r="F358">
        <f t="shared" ca="1" si="158"/>
        <v>880</v>
      </c>
      <c r="G358">
        <f t="shared" ca="1" si="159"/>
        <v>2.75</v>
      </c>
      <c r="H358">
        <f>'Модель v2 базовая'!$G$84</f>
        <v>500</v>
      </c>
      <c r="I358">
        <f t="shared" ca="1" si="160"/>
        <v>45.833333333333336</v>
      </c>
      <c r="J358">
        <v>10</v>
      </c>
      <c r="K358">
        <f>'Модель v2 базовая'!$E$84</f>
        <v>1.6666666666666667</v>
      </c>
      <c r="L358">
        <v>0.7</v>
      </c>
      <c r="M358">
        <f t="shared" si="163"/>
        <v>0</v>
      </c>
      <c r="N358">
        <f t="shared" ca="1" si="161"/>
        <v>7591.6839669333322</v>
      </c>
      <c r="O358">
        <f t="shared" ca="1" si="162"/>
        <v>759.16839669333319</v>
      </c>
      <c r="T358" s="3" t="str">
        <f t="shared" si="147"/>
        <v>Канонир - база &lt; Фаралин из Садата</v>
      </c>
      <c r="U358" s="9">
        <f t="shared" si="148"/>
        <v>443.77552746666657</v>
      </c>
      <c r="V358" s="9">
        <f t="shared" ca="1" si="149"/>
        <v>759.16839669333319</v>
      </c>
      <c r="W358">
        <f t="shared" si="150"/>
        <v>1109.4388186666665</v>
      </c>
      <c r="X358" s="10">
        <f>'Книги профессий'!M120</f>
        <v>12</v>
      </c>
    </row>
    <row r="359" spans="1:24" x14ac:dyDescent="0.25">
      <c r="A359" s="23" t="str">
        <f>'Книги профессий'!K121&amp;" &lt; "&amp;'Книги профессий'!L121</f>
        <v>Канонир - база &lt; Эльсара из Столицы</v>
      </c>
      <c r="B359">
        <f>'Книги профессий'!N121</f>
        <v>483.17321278863631</v>
      </c>
      <c r="C359">
        <f>'Книги профессий'!I121</f>
        <v>14</v>
      </c>
      <c r="D359">
        <f t="shared" si="108"/>
        <v>14</v>
      </c>
      <c r="E359" t="str">
        <f t="shared" si="157"/>
        <v>$N$14</v>
      </c>
      <c r="F359">
        <f t="shared" ca="1" si="158"/>
        <v>0</v>
      </c>
      <c r="G359">
        <f t="shared" ca="1" si="159"/>
        <v>0</v>
      </c>
      <c r="H359">
        <f>'Модель v2 базовая'!$G$84</f>
        <v>500</v>
      </c>
      <c r="I359">
        <f t="shared" ca="1" si="160"/>
        <v>0</v>
      </c>
      <c r="J359">
        <v>10</v>
      </c>
      <c r="K359">
        <f>'Модель v2 базовая'!$E$84</f>
        <v>1.6666666666666667</v>
      </c>
      <c r="L359">
        <v>0.7</v>
      </c>
      <c r="M359">
        <f t="shared" si="163"/>
        <v>0</v>
      </c>
      <c r="N359">
        <f t="shared" ca="1" si="161"/>
        <v>4831.7321278863628</v>
      </c>
      <c r="O359">
        <f t="shared" ca="1" si="162"/>
        <v>483.17321278863631</v>
      </c>
      <c r="T359" s="3" t="str">
        <f t="shared" si="147"/>
        <v>Канонир - база &lt; Эльсара из Столицы</v>
      </c>
      <c r="U359" s="9">
        <f t="shared" si="148"/>
        <v>483.17321278863631</v>
      </c>
      <c r="V359" s="9">
        <f t="shared" ca="1" si="149"/>
        <v>483.17321278863631</v>
      </c>
      <c r="W359">
        <f t="shared" si="150"/>
        <v>1207.9330319715907</v>
      </c>
      <c r="X359" s="10">
        <f>'Книги профессий'!M121</f>
        <v>11</v>
      </c>
    </row>
    <row r="360" spans="1:24" x14ac:dyDescent="0.25">
      <c r="A360" s="23" t="str">
        <f>'Книги профессий'!K122&amp;" &lt; "&amp;'Книги профессий'!L122</f>
        <v>Канонир - Прод &lt; Эмелиан из Люг-о-дана</v>
      </c>
      <c r="B360">
        <f>'Книги профессий'!N122</f>
        <v>313.76316590416661</v>
      </c>
      <c r="C360">
        <f>'Книги профессий'!I122</f>
        <v>3</v>
      </c>
      <c r="D360">
        <f t="shared" si="108"/>
        <v>14</v>
      </c>
      <c r="E360" t="str">
        <f t="shared" si="157"/>
        <v>$N$3</v>
      </c>
      <c r="F360">
        <f t="shared" ca="1" si="158"/>
        <v>680</v>
      </c>
      <c r="G360">
        <f t="shared" ca="1" si="159"/>
        <v>2.125</v>
      </c>
      <c r="H360">
        <f>'Модель v2 базовая'!$G$84</f>
        <v>500</v>
      </c>
      <c r="I360">
        <f t="shared" ca="1" si="160"/>
        <v>35.416666666666671</v>
      </c>
      <c r="J360">
        <v>10</v>
      </c>
      <c r="K360">
        <f>'Модель v2 базовая'!$E$84</f>
        <v>1.6666666666666667</v>
      </c>
      <c r="L360">
        <v>0.7</v>
      </c>
      <c r="M360">
        <f t="shared" si="163"/>
        <v>10</v>
      </c>
      <c r="N360">
        <f t="shared" ca="1" si="161"/>
        <v>5371.0571537041669</v>
      </c>
      <c r="O360">
        <f t="shared" ca="1" si="162"/>
        <v>537.10571537041665</v>
      </c>
      <c r="T360" s="3" t="str">
        <f t="shared" si="147"/>
        <v>Канонир - Прод &lt; Эмелиан из Люг-о-дана</v>
      </c>
      <c r="U360" s="9">
        <f t="shared" si="148"/>
        <v>313.76316590416661</v>
      </c>
      <c r="V360" s="9">
        <f t="shared" ca="1" si="149"/>
        <v>537.10571537041665</v>
      </c>
      <c r="W360">
        <f t="shared" si="150"/>
        <v>784.40791476041659</v>
      </c>
      <c r="X360" s="10">
        <f>'Книги профессий'!M122</f>
        <v>24</v>
      </c>
    </row>
    <row r="361" spans="1:24" x14ac:dyDescent="0.25">
      <c r="A361" s="23" t="str">
        <f>'Книги профессий'!K123&amp;" &lt; "&amp;'Книги профессий'!L123</f>
        <v>Канонир - Прод &lt; Элориан из Шихона</v>
      </c>
      <c r="B361">
        <f>'Книги профессий'!N123</f>
        <v>326.95282577282603</v>
      </c>
      <c r="C361">
        <f>'Книги профессий'!I123</f>
        <v>4</v>
      </c>
      <c r="D361">
        <f t="shared" si="108"/>
        <v>14</v>
      </c>
      <c r="E361" t="str">
        <f t="shared" si="157"/>
        <v>$N$4</v>
      </c>
      <c r="F361">
        <f t="shared" ca="1" si="158"/>
        <v>900</v>
      </c>
      <c r="G361">
        <f t="shared" ca="1" si="159"/>
        <v>2.8125</v>
      </c>
      <c r="H361">
        <f>'Модель v2 базовая'!$G$84</f>
        <v>500</v>
      </c>
      <c r="I361">
        <f t="shared" ca="1" si="160"/>
        <v>46.875</v>
      </c>
      <c r="J361">
        <v>10</v>
      </c>
      <c r="K361">
        <f>'Модель v2 базовая'!$E$84</f>
        <v>1.6666666666666667</v>
      </c>
      <c r="L361">
        <v>0.7</v>
      </c>
      <c r="M361">
        <f t="shared" si="163"/>
        <v>10</v>
      </c>
      <c r="N361">
        <f t="shared" ca="1" si="161"/>
        <v>5606.7397048047096</v>
      </c>
      <c r="O361">
        <f t="shared" ca="1" si="162"/>
        <v>560.67397048047098</v>
      </c>
      <c r="T361" s="3" t="str">
        <f t="shared" si="147"/>
        <v>Канонир - Прод &lt; Элориан из Шихона</v>
      </c>
      <c r="U361" s="9">
        <f t="shared" si="148"/>
        <v>326.95282577282603</v>
      </c>
      <c r="V361" s="9">
        <f t="shared" ca="1" si="149"/>
        <v>560.67397048047098</v>
      </c>
      <c r="W361">
        <f t="shared" si="150"/>
        <v>817.38206443206514</v>
      </c>
      <c r="X361" s="10">
        <f>'Книги профессий'!M123</f>
        <v>23</v>
      </c>
    </row>
    <row r="362" spans="1:24" x14ac:dyDescent="0.25">
      <c r="A362" s="23" t="str">
        <f>'Книги профессий'!K124&amp;" &lt; "&amp;'Книги профессий'!L124</f>
        <v>Канонир - Прод &lt; 10,400988925 из Готуна</v>
      </c>
      <c r="B362">
        <f>'Книги профессий'!N124</f>
        <v>341.34154562954541</v>
      </c>
      <c r="C362">
        <f>'Книги профессий'!I124</f>
        <v>5</v>
      </c>
      <c r="D362">
        <f t="shared" si="108"/>
        <v>14</v>
      </c>
      <c r="E362" t="str">
        <f t="shared" si="157"/>
        <v>$N$5</v>
      </c>
      <c r="F362">
        <f t="shared" ca="1" si="158"/>
        <v>980</v>
      </c>
      <c r="G362">
        <f t="shared" ca="1" si="159"/>
        <v>3.0625</v>
      </c>
      <c r="H362">
        <f>'Модель v2 базовая'!$G$84</f>
        <v>500</v>
      </c>
      <c r="I362">
        <f t="shared" ca="1" si="160"/>
        <v>51.041666666666671</v>
      </c>
      <c r="J362">
        <v>10</v>
      </c>
      <c r="K362">
        <f>'Модель v2 базовая'!$E$84</f>
        <v>1.6666666666666667</v>
      </c>
      <c r="L362">
        <v>0.7</v>
      </c>
      <c r="M362">
        <f t="shared" si="163"/>
        <v>10</v>
      </c>
      <c r="N362">
        <f t="shared" ca="1" si="161"/>
        <v>5855.5146090356056</v>
      </c>
      <c r="O362">
        <f t="shared" ca="1" si="162"/>
        <v>585.55146090356061</v>
      </c>
      <c r="T362" s="3" t="str">
        <f t="shared" si="147"/>
        <v>Канонир - Прод &lt; 10,400988925 из Готуна</v>
      </c>
      <c r="U362" s="9">
        <f t="shared" si="148"/>
        <v>341.34154562954541</v>
      </c>
      <c r="V362" s="9">
        <f t="shared" ca="1" si="149"/>
        <v>585.55146090356061</v>
      </c>
      <c r="W362">
        <f t="shared" si="150"/>
        <v>853.35386407386352</v>
      </c>
      <c r="X362" s="10">
        <f>'Книги профессий'!M124</f>
        <v>22</v>
      </c>
    </row>
    <row r="363" spans="1:24" x14ac:dyDescent="0.25">
      <c r="A363" s="23" t="str">
        <f>'Книги профессий'!K125&amp;" &lt; "&amp;'Книги профессий'!L125</f>
        <v>Канонир - Прод &lt; Арэлис из Фидваго</v>
      </c>
      <c r="B363">
        <f>'Книги профессий'!N125</f>
        <v>357.10061975833327</v>
      </c>
      <c r="C363">
        <f>'Книги профессий'!I125</f>
        <v>6</v>
      </c>
      <c r="D363">
        <f t="shared" si="108"/>
        <v>14</v>
      </c>
      <c r="E363" t="str">
        <f t="shared" si="157"/>
        <v>$N$6</v>
      </c>
      <c r="F363">
        <f t="shared" ca="1" si="158"/>
        <v>1460</v>
      </c>
      <c r="G363">
        <f t="shared" ca="1" si="159"/>
        <v>4.5625</v>
      </c>
      <c r="H363">
        <f>'Модель v2 базовая'!$G$84</f>
        <v>500</v>
      </c>
      <c r="I363">
        <f t="shared" ca="1" si="160"/>
        <v>76.041666666666671</v>
      </c>
      <c r="J363">
        <v>10</v>
      </c>
      <c r="K363">
        <f>'Модель v2 базовая'!$E$84</f>
        <v>1.6666666666666667</v>
      </c>
      <c r="L363">
        <v>0.7</v>
      </c>
      <c r="M363">
        <f t="shared" si="163"/>
        <v>10</v>
      </c>
      <c r="N363">
        <f t="shared" ca="1" si="161"/>
        <v>6148.4188692249991</v>
      </c>
      <c r="O363">
        <f t="shared" ca="1" si="162"/>
        <v>614.84188692249995</v>
      </c>
      <c r="T363" s="3" t="str">
        <f t="shared" si="147"/>
        <v>Канонир - Прод &lt; Арэлис из Фидваго</v>
      </c>
      <c r="U363" s="9">
        <f t="shared" si="148"/>
        <v>357.10061975833327</v>
      </c>
      <c r="V363" s="9">
        <f t="shared" ca="1" si="149"/>
        <v>614.84188692249995</v>
      </c>
      <c r="W363">
        <f t="shared" si="150"/>
        <v>892.75154939583319</v>
      </c>
      <c r="X363" s="10">
        <f>'Книги профессий'!M125</f>
        <v>21</v>
      </c>
    </row>
    <row r="364" spans="1:24" x14ac:dyDescent="0.25">
      <c r="A364" s="23" t="str">
        <f>'Книги профессий'!K126&amp;" &lt; "&amp;'Книги профессий'!L126</f>
        <v>Канонир - Прод &lt; Исиллиэль из Дарутана</v>
      </c>
      <c r="B364">
        <f>'Книги профессий'!N126</f>
        <v>374.43560129999992</v>
      </c>
      <c r="C364">
        <f>'Книги профессий'!I126</f>
        <v>7</v>
      </c>
      <c r="D364">
        <f t="shared" si="108"/>
        <v>14</v>
      </c>
      <c r="E364" t="str">
        <f t="shared" si="157"/>
        <v>$N$7</v>
      </c>
      <c r="F364">
        <f t="shared" ca="1" si="158"/>
        <v>880</v>
      </c>
      <c r="G364">
        <f t="shared" ca="1" si="159"/>
        <v>2.75</v>
      </c>
      <c r="H364">
        <f>'Модель v2 базовая'!$G$84</f>
        <v>500</v>
      </c>
      <c r="I364">
        <f t="shared" ca="1" si="160"/>
        <v>45.833333333333336</v>
      </c>
      <c r="J364">
        <v>10</v>
      </c>
      <c r="K364">
        <f>'Модель v2 базовая'!$E$84</f>
        <v>1.6666666666666667</v>
      </c>
      <c r="L364">
        <v>0.7</v>
      </c>
      <c r="M364">
        <f t="shared" si="163"/>
        <v>10</v>
      </c>
      <c r="N364">
        <f t="shared" ca="1" si="161"/>
        <v>6412.9052220999984</v>
      </c>
      <c r="O364">
        <f t="shared" ca="1" si="162"/>
        <v>641.29052220999984</v>
      </c>
      <c r="T364" s="3" t="str">
        <f t="shared" si="147"/>
        <v>Канонир - Прод &lt; Исиллиэль из Дарутана</v>
      </c>
      <c r="U364" s="9">
        <f t="shared" si="148"/>
        <v>374.43560129999992</v>
      </c>
      <c r="V364" s="9">
        <f t="shared" ca="1" si="149"/>
        <v>641.29052220999984</v>
      </c>
      <c r="W364">
        <f t="shared" si="150"/>
        <v>936.08900324999979</v>
      </c>
      <c r="X364" s="10">
        <f>'Книги профессий'!M126</f>
        <v>20</v>
      </c>
    </row>
    <row r="365" spans="1:24" x14ac:dyDescent="0.25">
      <c r="A365" s="23" t="str">
        <f>'Книги профессий'!K127&amp;" &lt; "&amp;'Книги профессий'!L127</f>
        <v>Канонир - Прод &lt; Альтиран из Сарухана</v>
      </c>
      <c r="B365">
        <f>'Книги профессий'!N127</f>
        <v>393.59531774078937</v>
      </c>
      <c r="C365">
        <f>'Книги профессий'!I127</f>
        <v>8</v>
      </c>
      <c r="D365">
        <f t="shared" si="108"/>
        <v>14</v>
      </c>
      <c r="E365" t="str">
        <f t="shared" si="157"/>
        <v>$N$8</v>
      </c>
      <c r="F365">
        <f t="shared" ca="1" si="158"/>
        <v>1100</v>
      </c>
      <c r="G365">
        <f t="shared" ca="1" si="159"/>
        <v>3.4375</v>
      </c>
      <c r="H365">
        <f>'Модель v2 базовая'!$G$84</f>
        <v>500</v>
      </c>
      <c r="I365">
        <f t="shared" ca="1" si="160"/>
        <v>57.291666666666671</v>
      </c>
      <c r="J365">
        <v>10</v>
      </c>
      <c r="K365">
        <f>'Модель v2 базовая'!$E$84</f>
        <v>1.6666666666666667</v>
      </c>
      <c r="L365">
        <v>0.7</v>
      </c>
      <c r="M365">
        <f t="shared" si="163"/>
        <v>10</v>
      </c>
      <c r="N365">
        <f t="shared" ca="1" si="161"/>
        <v>6750.078734926753</v>
      </c>
      <c r="O365">
        <f t="shared" ca="1" si="162"/>
        <v>675.00787349267534</v>
      </c>
      <c r="T365" s="3" t="str">
        <f t="shared" si="147"/>
        <v>Канонир - Прод &lt; Альтиран из Сарухана</v>
      </c>
      <c r="U365" s="9">
        <f t="shared" si="148"/>
        <v>393.59531774078937</v>
      </c>
      <c r="V365" s="9">
        <f t="shared" ca="1" si="149"/>
        <v>675.00787349267534</v>
      </c>
      <c r="W365">
        <f t="shared" si="150"/>
        <v>983.98829435197342</v>
      </c>
      <c r="X365" s="10">
        <f>'Книги профессий'!M127</f>
        <v>19</v>
      </c>
    </row>
    <row r="366" spans="1:24" x14ac:dyDescent="0.25">
      <c r="A366" s="23" t="str">
        <f>'Книги профессий'!K128&amp;" &lt; "&amp;'Книги профессий'!L128</f>
        <v>Канонир - Прод &lt; Фейлура из Лорена</v>
      </c>
      <c r="B366">
        <f>'Книги профессий'!N128</f>
        <v>414.88389156388882</v>
      </c>
      <c r="C366">
        <f>'Книги профессий'!I128</f>
        <v>9</v>
      </c>
      <c r="D366">
        <f t="shared" si="108"/>
        <v>14</v>
      </c>
      <c r="E366" t="str">
        <f t="shared" si="157"/>
        <v>$N$9</v>
      </c>
      <c r="F366">
        <f t="shared" ca="1" si="158"/>
        <v>1300</v>
      </c>
      <c r="G366">
        <f t="shared" ca="1" si="159"/>
        <v>4.0625</v>
      </c>
      <c r="H366">
        <f>'Модель v2 базовая'!$G$84</f>
        <v>500</v>
      </c>
      <c r="I366">
        <f t="shared" ca="1" si="160"/>
        <v>67.708333333333343</v>
      </c>
      <c r="J366">
        <v>10</v>
      </c>
      <c r="K366">
        <f>'Модель v2 базовая'!$E$84</f>
        <v>1.6666666666666667</v>
      </c>
      <c r="L366">
        <v>0.7</v>
      </c>
      <c r="M366">
        <f t="shared" si="163"/>
        <v>10</v>
      </c>
      <c r="N366">
        <f t="shared" ca="1" si="161"/>
        <v>7122.4011565861101</v>
      </c>
      <c r="O366">
        <f t="shared" ca="1" si="162"/>
        <v>712.24011565861099</v>
      </c>
      <c r="T366" s="3" t="str">
        <f t="shared" si="147"/>
        <v>Канонир - Прод &lt; Фейлура из Лорена</v>
      </c>
      <c r="U366" s="9">
        <f t="shared" si="148"/>
        <v>414.88389156388882</v>
      </c>
      <c r="V366" s="9">
        <f t="shared" ca="1" si="149"/>
        <v>712.24011565861099</v>
      </c>
      <c r="W366">
        <f t="shared" si="150"/>
        <v>1037.2097289097221</v>
      </c>
      <c r="X366" s="10">
        <f>'Книги профессий'!M128</f>
        <v>18</v>
      </c>
    </row>
    <row r="367" spans="1:24" x14ac:dyDescent="0.25">
      <c r="A367" s="23" t="str">
        <f>'Книги профессий'!K129&amp;" &lt; "&amp;'Книги профессий'!L129</f>
        <v>Канонир - Прод &lt; Эльмарин из Самардейла</v>
      </c>
      <c r="B367">
        <f>'Книги профессий'!N129</f>
        <v>438.67700348382346</v>
      </c>
      <c r="C367">
        <f>'Книги профессий'!I129</f>
        <v>10</v>
      </c>
      <c r="D367">
        <f t="shared" si="108"/>
        <v>14</v>
      </c>
      <c r="E367" t="str">
        <f t="shared" si="157"/>
        <v>$N$10</v>
      </c>
      <c r="F367">
        <f t="shared" ca="1" si="158"/>
        <v>760</v>
      </c>
      <c r="G367">
        <f t="shared" ca="1" si="159"/>
        <v>2.375</v>
      </c>
      <c r="H367">
        <f>'Модель v2 базовая'!$G$84</f>
        <v>500</v>
      </c>
      <c r="I367">
        <f t="shared" ca="1" si="160"/>
        <v>39.583333333333336</v>
      </c>
      <c r="J367">
        <v>10</v>
      </c>
      <c r="K367">
        <f>'Модель v2 базовая'!$E$84</f>
        <v>1.6666666666666667</v>
      </c>
      <c r="L367">
        <v>0.7</v>
      </c>
      <c r="M367">
        <f t="shared" si="163"/>
        <v>0</v>
      </c>
      <c r="N367">
        <f t="shared" ca="1" si="161"/>
        <v>7498.7590592249999</v>
      </c>
      <c r="O367">
        <f t="shared" ca="1" si="162"/>
        <v>749.87590592250001</v>
      </c>
      <c r="T367" s="3" t="str">
        <f t="shared" ref="T367:T430" si="164">A367</f>
        <v>Канонир - Прод &lt; Эльмарин из Самардейла</v>
      </c>
      <c r="U367" s="9">
        <f t="shared" ref="U367:U430" si="165">B367</f>
        <v>438.67700348382346</v>
      </c>
      <c r="V367" s="9">
        <f t="shared" ref="V367:V430" ca="1" si="166">O367</f>
        <v>749.87590592250001</v>
      </c>
      <c r="W367">
        <f t="shared" ref="W367:W430" si="167">B367*2.5</f>
        <v>1096.6925087095588</v>
      </c>
      <c r="X367" s="10">
        <f>'Книги профессий'!M129</f>
        <v>17</v>
      </c>
    </row>
    <row r="368" spans="1:24" x14ac:dyDescent="0.25">
      <c r="A368" s="23" t="str">
        <f>'Книги профессий'!K130&amp;" &lt; "&amp;'Книги профессий'!L130</f>
        <v>Канонир - Прод &lt; Теландрис из Гвадекуры</v>
      </c>
      <c r="B368">
        <f>'Книги профессий'!N130</f>
        <v>465.44425439374993</v>
      </c>
      <c r="C368">
        <f>'Книги профессий'!I130</f>
        <v>11</v>
      </c>
      <c r="D368">
        <f t="shared" si="108"/>
        <v>14</v>
      </c>
      <c r="E368" t="str">
        <f t="shared" si="157"/>
        <v>$N$11</v>
      </c>
      <c r="F368">
        <f t="shared" ca="1" si="158"/>
        <v>880</v>
      </c>
      <c r="G368">
        <f t="shared" ca="1" si="159"/>
        <v>2.75</v>
      </c>
      <c r="H368">
        <f>'Модель v2 базовая'!$G$84</f>
        <v>500</v>
      </c>
      <c r="I368">
        <f t="shared" ca="1" si="160"/>
        <v>45.833333333333336</v>
      </c>
      <c r="J368">
        <v>10</v>
      </c>
      <c r="K368">
        <f>'Модель v2 базовая'!$E$84</f>
        <v>1.6666666666666667</v>
      </c>
      <c r="L368">
        <v>0.7</v>
      </c>
      <c r="M368">
        <f t="shared" si="163"/>
        <v>0</v>
      </c>
      <c r="N368">
        <f t="shared" ca="1" si="161"/>
        <v>7960.0523246937482</v>
      </c>
      <c r="O368">
        <f t="shared" ca="1" si="162"/>
        <v>796.00523246937485</v>
      </c>
      <c r="T368" s="3" t="str">
        <f t="shared" si="164"/>
        <v>Канонир - Прод &lt; Теландрис из Гвадекуры</v>
      </c>
      <c r="U368" s="9">
        <f t="shared" si="165"/>
        <v>465.44425439374993</v>
      </c>
      <c r="V368" s="9">
        <f t="shared" ca="1" si="166"/>
        <v>796.00523246937485</v>
      </c>
      <c r="W368">
        <f t="shared" si="167"/>
        <v>1163.6106359843748</v>
      </c>
      <c r="X368" s="10">
        <f>'Книги профессий'!M130</f>
        <v>16</v>
      </c>
    </row>
    <row r="369" spans="1:24" x14ac:dyDescent="0.25">
      <c r="A369" s="23" t="str">
        <f>'Книги профессий'!K131&amp;" &lt; "&amp;'Книги профессий'!L131</f>
        <v>Канонир - Прод &lt; Элиндор из Ранджар-ара</v>
      </c>
      <c r="B369">
        <f>'Книги профессий'!N131</f>
        <v>495.78047209166658</v>
      </c>
      <c r="C369">
        <f>'Книги профессий'!I131</f>
        <v>12</v>
      </c>
      <c r="D369">
        <f t="shared" si="108"/>
        <v>14</v>
      </c>
      <c r="E369" t="str">
        <f t="shared" si="157"/>
        <v>$N$12</v>
      </c>
      <c r="F369">
        <f t="shared" ca="1" si="158"/>
        <v>400</v>
      </c>
      <c r="G369">
        <f t="shared" ca="1" si="159"/>
        <v>1.25</v>
      </c>
      <c r="H369">
        <f>'Модель v2 базовая'!$G$84</f>
        <v>500</v>
      </c>
      <c r="I369">
        <f t="shared" ca="1" si="160"/>
        <v>20.833333333333336</v>
      </c>
      <c r="J369">
        <v>10</v>
      </c>
      <c r="K369">
        <f>'Модель v2 базовая'!$E$84</f>
        <v>1.6666666666666667</v>
      </c>
      <c r="L369">
        <v>0.7</v>
      </c>
      <c r="M369">
        <f t="shared" si="163"/>
        <v>0</v>
      </c>
      <c r="N369">
        <f t="shared" ca="1" si="161"/>
        <v>8450.7680255583327</v>
      </c>
      <c r="O369">
        <f t="shared" ca="1" si="162"/>
        <v>845.0768025558333</v>
      </c>
      <c r="T369" s="3" t="str">
        <f t="shared" si="164"/>
        <v>Канонир - Прод &lt; Элиндор из Ранджар-ара</v>
      </c>
      <c r="U369" s="9">
        <f t="shared" si="165"/>
        <v>495.78047209166658</v>
      </c>
      <c r="V369" s="9">
        <f t="shared" ca="1" si="166"/>
        <v>845.0768025558333</v>
      </c>
      <c r="W369">
        <f t="shared" si="167"/>
        <v>1239.4511802291665</v>
      </c>
      <c r="X369" s="10">
        <f>'Книги профессий'!M131</f>
        <v>15</v>
      </c>
    </row>
    <row r="370" spans="1:24" x14ac:dyDescent="0.25">
      <c r="A370" s="23" t="str">
        <f>'Книги профессий'!K132&amp;" &lt; "&amp;'Книги профессий'!L132</f>
        <v>Канонир - Прод &lt; Эльмарин из Садата</v>
      </c>
      <c r="B370">
        <f>'Книги профессий'!N132</f>
        <v>530.45043517499994</v>
      </c>
      <c r="C370">
        <f>'Книги профессий'!I132</f>
        <v>13</v>
      </c>
      <c r="D370">
        <f t="shared" si="108"/>
        <v>14</v>
      </c>
      <c r="E370" t="str">
        <f t="shared" si="157"/>
        <v>$N$13</v>
      </c>
      <c r="F370">
        <f t="shared" ca="1" si="158"/>
        <v>880</v>
      </c>
      <c r="G370">
        <f t="shared" ca="1" si="159"/>
        <v>2.75</v>
      </c>
      <c r="H370">
        <f>'Модель v2 базовая'!$G$84</f>
        <v>500</v>
      </c>
      <c r="I370">
        <f t="shared" ca="1" si="160"/>
        <v>45.833333333333336</v>
      </c>
      <c r="J370">
        <v>10</v>
      </c>
      <c r="K370">
        <f>'Модель v2 базовая'!$E$84</f>
        <v>1.6666666666666667</v>
      </c>
      <c r="L370">
        <v>0.7</v>
      </c>
      <c r="M370">
        <f t="shared" si="163"/>
        <v>0</v>
      </c>
      <c r="N370">
        <f t="shared" ca="1" si="161"/>
        <v>9065.1573979749992</v>
      </c>
      <c r="O370">
        <f t="shared" ca="1" si="162"/>
        <v>906.51573979749992</v>
      </c>
      <c r="T370" s="3" t="str">
        <f t="shared" si="164"/>
        <v>Канонир - Прод &lt; Эльмарин из Садата</v>
      </c>
      <c r="U370" s="9">
        <f t="shared" si="165"/>
        <v>530.45043517499994</v>
      </c>
      <c r="V370" s="9">
        <f t="shared" ca="1" si="166"/>
        <v>906.51573979749992</v>
      </c>
      <c r="W370">
        <f t="shared" si="167"/>
        <v>1326.1260879375</v>
      </c>
      <c r="X370" s="10">
        <f>'Книги профессий'!M132</f>
        <v>14</v>
      </c>
    </row>
    <row r="371" spans="1:24" x14ac:dyDescent="0.25">
      <c r="A371" s="23" t="str">
        <f>'Книги профессий'!K133&amp;" &lt; "&amp;'Книги профессий'!L133</f>
        <v>Канонир - Прод &lt; Тиандор из Столицы</v>
      </c>
      <c r="B371">
        <f>'Книги профессий'!N133</f>
        <v>570.45423873269215</v>
      </c>
      <c r="C371">
        <f>'Книги профессий'!I133</f>
        <v>14</v>
      </c>
      <c r="D371">
        <f t="shared" si="108"/>
        <v>14</v>
      </c>
      <c r="E371" t="str">
        <f t="shared" si="157"/>
        <v>$N$14</v>
      </c>
      <c r="F371">
        <f t="shared" ca="1" si="158"/>
        <v>0</v>
      </c>
      <c r="G371">
        <f t="shared" ca="1" si="159"/>
        <v>0</v>
      </c>
      <c r="H371">
        <f>'Модель v2 базовая'!$G$84</f>
        <v>500</v>
      </c>
      <c r="I371">
        <f t="shared" ca="1" si="160"/>
        <v>0</v>
      </c>
      <c r="J371">
        <v>10</v>
      </c>
      <c r="K371">
        <f>'Модель v2 базовая'!$E$84</f>
        <v>1.6666666666666667</v>
      </c>
      <c r="L371">
        <v>0.7</v>
      </c>
      <c r="M371">
        <f t="shared" si="163"/>
        <v>0</v>
      </c>
      <c r="N371">
        <f t="shared" ca="1" si="161"/>
        <v>5704.542387326921</v>
      </c>
      <c r="O371">
        <f t="shared" ca="1" si="162"/>
        <v>570.45423873269215</v>
      </c>
      <c r="T371" s="3" t="str">
        <f t="shared" si="164"/>
        <v>Канонир - Прод &lt; Тиандор из Столицы</v>
      </c>
      <c r="U371" s="9">
        <f t="shared" si="165"/>
        <v>570.45423873269215</v>
      </c>
      <c r="V371" s="9">
        <f t="shared" ca="1" si="166"/>
        <v>570.45423873269215</v>
      </c>
      <c r="W371">
        <f t="shared" si="167"/>
        <v>1426.1355968317303</v>
      </c>
      <c r="X371" s="10">
        <f>'Книги профессий'!M133</f>
        <v>13</v>
      </c>
    </row>
    <row r="372" spans="1:24" x14ac:dyDescent="0.25">
      <c r="A372" s="23" t="str">
        <f>'Книги профессий'!K134&amp;" &lt; "&amp;'Книги профессий'!L134</f>
        <v>Канонир - Мастер &lt; Аэллесар из Люг-о-дана</v>
      </c>
      <c r="B372">
        <f>'Книги профессий'!N134</f>
        <v>395.62280096203693</v>
      </c>
      <c r="C372">
        <f>'Книги профессий'!I134</f>
        <v>3</v>
      </c>
      <c r="D372">
        <f t="shared" si="108"/>
        <v>14</v>
      </c>
      <c r="E372" t="str">
        <f t="shared" si="157"/>
        <v>$N$3</v>
      </c>
      <c r="F372">
        <f t="shared" ca="1" si="158"/>
        <v>680</v>
      </c>
      <c r="G372">
        <f t="shared" ca="1" si="159"/>
        <v>2.125</v>
      </c>
      <c r="H372">
        <f>'Модель v2 базовая'!$G$84</f>
        <v>500</v>
      </c>
      <c r="I372">
        <f t="shared" ca="1" si="160"/>
        <v>35.416666666666671</v>
      </c>
      <c r="J372">
        <v>10</v>
      </c>
      <c r="K372">
        <f>'Модель v2 базовая'!$E$84</f>
        <v>1.6666666666666667</v>
      </c>
      <c r="L372">
        <v>0.7</v>
      </c>
      <c r="M372">
        <f t="shared" si="163"/>
        <v>10</v>
      </c>
      <c r="N372">
        <f t="shared" ca="1" si="161"/>
        <v>6762.6709496879612</v>
      </c>
      <c r="O372">
        <f t="shared" ca="1" si="162"/>
        <v>676.26709496879607</v>
      </c>
      <c r="T372" s="3" t="str">
        <f t="shared" si="164"/>
        <v>Канонир - Мастер &lt; Аэллесар из Люг-о-дана</v>
      </c>
      <c r="U372" s="9">
        <f t="shared" si="165"/>
        <v>395.62280096203693</v>
      </c>
      <c r="V372" s="9">
        <f t="shared" ca="1" si="166"/>
        <v>676.26709496879607</v>
      </c>
      <c r="W372">
        <f t="shared" si="167"/>
        <v>989.05700240509236</v>
      </c>
      <c r="X372" s="10">
        <f>'Книги профессий'!M134</f>
        <v>27</v>
      </c>
    </row>
    <row r="373" spans="1:24" x14ac:dyDescent="0.25">
      <c r="A373" s="23" t="str">
        <f>'Книги профессий'!K135&amp;" &lt; "&amp;'Книги профессий'!L135</f>
        <v>Канонир - Мастер &lt; Арданна из Шихона</v>
      </c>
      <c r="B373">
        <f>'Книги профессий'!N135</f>
        <v>410.43902450192297</v>
      </c>
      <c r="C373">
        <f>'Книги профессий'!I135</f>
        <v>4</v>
      </c>
      <c r="D373">
        <f t="shared" si="108"/>
        <v>14</v>
      </c>
      <c r="E373" t="str">
        <f t="shared" si="157"/>
        <v>$N$4</v>
      </c>
      <c r="F373">
        <f t="shared" ca="1" si="158"/>
        <v>900</v>
      </c>
      <c r="G373">
        <f t="shared" ca="1" si="159"/>
        <v>2.8125</v>
      </c>
      <c r="H373">
        <f>'Модель v2 базовая'!$G$84</f>
        <v>500</v>
      </c>
      <c r="I373">
        <f t="shared" ca="1" si="160"/>
        <v>46.875</v>
      </c>
      <c r="J373">
        <v>10</v>
      </c>
      <c r="K373">
        <f>'Модель v2 базовая'!$E$84</f>
        <v>1.6666666666666667</v>
      </c>
      <c r="L373">
        <v>0.7</v>
      </c>
      <c r="M373">
        <f t="shared" si="163"/>
        <v>10</v>
      </c>
      <c r="N373">
        <f t="shared" ca="1" si="161"/>
        <v>7026.0050831993576</v>
      </c>
      <c r="O373">
        <f t="shared" ca="1" si="162"/>
        <v>702.60050831993578</v>
      </c>
      <c r="T373" s="3" t="str">
        <f t="shared" si="164"/>
        <v>Канонир - Мастер &lt; Арданна из Шихона</v>
      </c>
      <c r="U373" s="9">
        <f t="shared" si="165"/>
        <v>410.43902450192297</v>
      </c>
      <c r="V373" s="9">
        <f t="shared" ca="1" si="166"/>
        <v>702.60050831993578</v>
      </c>
      <c r="W373">
        <f t="shared" si="167"/>
        <v>1026.0975612548075</v>
      </c>
      <c r="X373" s="10">
        <f>'Книги профессий'!M135</f>
        <v>26</v>
      </c>
    </row>
    <row r="374" spans="1:24" x14ac:dyDescent="0.25">
      <c r="A374" s="23" t="str">
        <f>'Книги профессий'!K136&amp;" &lt; "&amp;'Книги профессий'!L136</f>
        <v>Канонир - Мастер &lt; Фейлиндор из Готуна</v>
      </c>
      <c r="B374">
        <f>'Книги профессий'!N136</f>
        <v>426.44054592499992</v>
      </c>
      <c r="C374">
        <f>'Книги профессий'!I136</f>
        <v>5</v>
      </c>
      <c r="D374">
        <f t="shared" si="108"/>
        <v>14</v>
      </c>
      <c r="E374" t="str">
        <f t="shared" si="157"/>
        <v>$N$5</v>
      </c>
      <c r="F374">
        <f t="shared" ca="1" si="158"/>
        <v>980</v>
      </c>
      <c r="G374">
        <f t="shared" ca="1" si="159"/>
        <v>3.0625</v>
      </c>
      <c r="H374">
        <f>'Модель v2 базовая'!$G$84</f>
        <v>500</v>
      </c>
      <c r="I374">
        <f t="shared" ca="1" si="160"/>
        <v>51.041666666666671</v>
      </c>
      <c r="J374">
        <v>10</v>
      </c>
      <c r="K374">
        <f>'Модель v2 базовая'!$E$84</f>
        <v>1.6666666666666667</v>
      </c>
      <c r="L374">
        <v>0.7</v>
      </c>
      <c r="M374">
        <f t="shared" si="163"/>
        <v>10</v>
      </c>
      <c r="N374">
        <f t="shared" ca="1" si="161"/>
        <v>7302.1976140583338</v>
      </c>
      <c r="O374">
        <f t="shared" ca="1" si="162"/>
        <v>730.21976140583342</v>
      </c>
      <c r="T374" s="3" t="str">
        <f t="shared" si="164"/>
        <v>Канонир - Мастер &lt; Фейлиндор из Готуна</v>
      </c>
      <c r="U374" s="9">
        <f t="shared" si="165"/>
        <v>426.44054592499992</v>
      </c>
      <c r="V374" s="9">
        <f t="shared" ca="1" si="166"/>
        <v>730.21976140583342</v>
      </c>
      <c r="W374">
        <f t="shared" si="167"/>
        <v>1066.1013648124999</v>
      </c>
      <c r="X374" s="10">
        <f>'Книги профессий'!M136</f>
        <v>25</v>
      </c>
    </row>
    <row r="375" spans="1:24" x14ac:dyDescent="0.25">
      <c r="A375" s="23" t="str">
        <f>'Книги профессий'!K137&amp;" &lt; "&amp;'Книги профессий'!L137</f>
        <v>Канонир - Мастер &lt; Алиандра из Фидваго</v>
      </c>
      <c r="B375">
        <f>'Книги профессий'!N137</f>
        <v>443.77552746666657</v>
      </c>
      <c r="C375">
        <f>'Книги профессий'!I137</f>
        <v>6</v>
      </c>
      <c r="D375">
        <f t="shared" si="108"/>
        <v>14</v>
      </c>
      <c r="E375" t="str">
        <f t="shared" si="157"/>
        <v>$N$6</v>
      </c>
      <c r="F375">
        <f t="shared" ca="1" si="158"/>
        <v>1460</v>
      </c>
      <c r="G375">
        <f t="shared" ca="1" si="159"/>
        <v>4.5625</v>
      </c>
      <c r="H375">
        <f>'Модель v2 базовая'!$G$84</f>
        <v>500</v>
      </c>
      <c r="I375">
        <f t="shared" ca="1" si="160"/>
        <v>76.041666666666671</v>
      </c>
      <c r="J375">
        <v>10</v>
      </c>
      <c r="K375">
        <f>'Модель v2 базовая'!$E$84</f>
        <v>1.6666666666666667</v>
      </c>
      <c r="L375">
        <v>0.7</v>
      </c>
      <c r="M375">
        <f t="shared" si="163"/>
        <v>10</v>
      </c>
      <c r="N375">
        <f t="shared" ca="1" si="161"/>
        <v>7621.8923002666661</v>
      </c>
      <c r="O375">
        <f t="shared" ca="1" si="162"/>
        <v>762.18923002666656</v>
      </c>
      <c r="T375" s="3" t="str">
        <f t="shared" si="164"/>
        <v>Канонир - Мастер &lt; Алиандра из Фидваго</v>
      </c>
      <c r="U375" s="9">
        <f t="shared" si="165"/>
        <v>443.77552746666657</v>
      </c>
      <c r="V375" s="9">
        <f t="shared" ca="1" si="166"/>
        <v>762.18923002666656</v>
      </c>
      <c r="W375">
        <f t="shared" si="167"/>
        <v>1109.4388186666665</v>
      </c>
      <c r="X375" s="10">
        <f>'Книги профессий'!M137</f>
        <v>24</v>
      </c>
    </row>
    <row r="376" spans="1:24" x14ac:dyDescent="0.25">
      <c r="A376" s="23" t="str">
        <f>'Книги профессий'!K138&amp;" &lt; "&amp;'Книги профессий'!L138</f>
        <v>Канонир - Мастер &lt; Алиандра из Дарутана</v>
      </c>
      <c r="B376">
        <f>'Книги профессий'!N138</f>
        <v>462.61789870760856</v>
      </c>
      <c r="C376">
        <f>'Книги профессий'!I138</f>
        <v>7</v>
      </c>
      <c r="D376">
        <f t="shared" si="108"/>
        <v>14</v>
      </c>
      <c r="E376" t="str">
        <f t="shared" si="157"/>
        <v>$N$7</v>
      </c>
      <c r="F376">
        <f t="shared" ca="1" si="158"/>
        <v>880</v>
      </c>
      <c r="G376">
        <f t="shared" ca="1" si="159"/>
        <v>2.75</v>
      </c>
      <c r="H376">
        <f>'Модель v2 базовая'!$G$84</f>
        <v>500</v>
      </c>
      <c r="I376">
        <f t="shared" ca="1" si="160"/>
        <v>45.833333333333336</v>
      </c>
      <c r="J376">
        <v>10</v>
      </c>
      <c r="K376">
        <f>'Модель v2 базовая'!$E$84</f>
        <v>1.6666666666666667</v>
      </c>
      <c r="L376">
        <v>0.7</v>
      </c>
      <c r="M376">
        <f t="shared" si="163"/>
        <v>10</v>
      </c>
      <c r="N376">
        <f t="shared" ca="1" si="161"/>
        <v>7912.0042780293461</v>
      </c>
      <c r="O376">
        <f t="shared" ca="1" si="162"/>
        <v>791.20042780293466</v>
      </c>
      <c r="T376" s="3" t="str">
        <f t="shared" si="164"/>
        <v>Канонир - Мастер &lt; Алиандра из Дарутана</v>
      </c>
      <c r="U376" s="9">
        <f t="shared" si="165"/>
        <v>462.61789870760856</v>
      </c>
      <c r="V376" s="9">
        <f t="shared" ca="1" si="166"/>
        <v>791.20042780293466</v>
      </c>
      <c r="W376">
        <f t="shared" si="167"/>
        <v>1156.5447467690215</v>
      </c>
      <c r="X376" s="10">
        <f>'Книги профессий'!M138</f>
        <v>23</v>
      </c>
    </row>
    <row r="377" spans="1:24" x14ac:dyDescent="0.25">
      <c r="A377" s="23" t="str">
        <f>'Книги профессий'!K139&amp;" &lt; "&amp;'Книги профессий'!L139</f>
        <v>Канонир - Мастер &lt; Фэрэлия из Сарухана</v>
      </c>
      <c r="B377">
        <f>'Книги профессий'!N139</f>
        <v>483.17321278863631</v>
      </c>
      <c r="C377">
        <f>'Книги профессий'!I139</f>
        <v>8</v>
      </c>
      <c r="D377">
        <f t="shared" si="108"/>
        <v>14</v>
      </c>
      <c r="E377" t="str">
        <f t="shared" si="157"/>
        <v>$N$8</v>
      </c>
      <c r="F377">
        <f t="shared" ca="1" si="158"/>
        <v>1100</v>
      </c>
      <c r="G377">
        <f t="shared" ca="1" si="159"/>
        <v>3.4375</v>
      </c>
      <c r="H377">
        <f>'Модель v2 базовая'!$G$84</f>
        <v>500</v>
      </c>
      <c r="I377">
        <f t="shared" ca="1" si="160"/>
        <v>57.291666666666671</v>
      </c>
      <c r="J377">
        <v>10</v>
      </c>
      <c r="K377">
        <f>'Модель v2 базовая'!$E$84</f>
        <v>1.6666666666666667</v>
      </c>
      <c r="L377">
        <v>0.7</v>
      </c>
      <c r="M377">
        <f t="shared" si="163"/>
        <v>10</v>
      </c>
      <c r="N377">
        <f t="shared" ca="1" si="161"/>
        <v>8272.9029507401483</v>
      </c>
      <c r="O377">
        <f t="shared" ca="1" si="162"/>
        <v>827.29029507401481</v>
      </c>
      <c r="T377" s="3" t="str">
        <f t="shared" si="164"/>
        <v>Канонир - Мастер &lt; Фэрэлия из Сарухана</v>
      </c>
      <c r="U377" s="9">
        <f t="shared" si="165"/>
        <v>483.17321278863631</v>
      </c>
      <c r="V377" s="9">
        <f t="shared" ca="1" si="166"/>
        <v>827.29029507401481</v>
      </c>
      <c r="W377">
        <f t="shared" si="167"/>
        <v>1207.9330319715907</v>
      </c>
      <c r="X377" s="10">
        <f>'Книги профессий'!M139</f>
        <v>22</v>
      </c>
    </row>
    <row r="378" spans="1:24" x14ac:dyDescent="0.25">
      <c r="A378" s="23" t="str">
        <f>'Книги профессий'!K140&amp;" &lt; "&amp;'Книги профессий'!L140</f>
        <v>Канонир - Мастер &lt; Эмбриан из Лорена</v>
      </c>
      <c r="B378">
        <f>'Книги профессий'!N140</f>
        <v>505.68617582976174</v>
      </c>
      <c r="C378">
        <f>'Книги профессий'!I140</f>
        <v>9</v>
      </c>
      <c r="D378">
        <f t="shared" si="108"/>
        <v>14</v>
      </c>
      <c r="E378" t="str">
        <f t="shared" si="157"/>
        <v>$N$9</v>
      </c>
      <c r="F378">
        <f t="shared" ca="1" si="158"/>
        <v>1300</v>
      </c>
      <c r="G378">
        <f t="shared" ca="1" si="159"/>
        <v>4.0625</v>
      </c>
      <c r="H378">
        <f>'Модель v2 базовая'!$G$84</f>
        <v>500</v>
      </c>
      <c r="I378">
        <f t="shared" ca="1" si="160"/>
        <v>67.708333333333343</v>
      </c>
      <c r="J378">
        <v>10</v>
      </c>
      <c r="K378">
        <f>'Модель v2 базовая'!$E$84</f>
        <v>1.6666666666666667</v>
      </c>
      <c r="L378">
        <v>0.7</v>
      </c>
      <c r="M378">
        <f t="shared" si="163"/>
        <v>10</v>
      </c>
      <c r="N378">
        <f t="shared" ca="1" si="161"/>
        <v>8666.0399891059496</v>
      </c>
      <c r="O378">
        <f t="shared" ca="1" si="162"/>
        <v>866.60399891059501</v>
      </c>
      <c r="T378" s="3" t="str">
        <f t="shared" si="164"/>
        <v>Канонир - Мастер &lt; Эмбриан из Лорена</v>
      </c>
      <c r="U378" s="9">
        <f t="shared" si="165"/>
        <v>505.68617582976174</v>
      </c>
      <c r="V378" s="9">
        <f t="shared" ca="1" si="166"/>
        <v>866.60399891059501</v>
      </c>
      <c r="W378">
        <f t="shared" si="167"/>
        <v>1264.2154395744044</v>
      </c>
      <c r="X378" s="10">
        <f>'Книги профессий'!M140</f>
        <v>21</v>
      </c>
    </row>
    <row r="379" spans="1:24" x14ac:dyDescent="0.25">
      <c r="A379" s="23" t="str">
        <f>'Книги профессий'!K141&amp;" &lt; "&amp;'Книги профессий'!L141</f>
        <v>Канонир - Мастер &lt; Арданна из Самардейла</v>
      </c>
      <c r="B379">
        <f>'Книги профессий'!N141</f>
        <v>530.45043517499994</v>
      </c>
      <c r="C379">
        <f>'Книги профессий'!I141</f>
        <v>10</v>
      </c>
      <c r="D379">
        <f t="shared" si="108"/>
        <v>14</v>
      </c>
      <c r="E379" t="str">
        <f t="shared" si="157"/>
        <v>$N$10</v>
      </c>
      <c r="F379">
        <f t="shared" ca="1" si="158"/>
        <v>760</v>
      </c>
      <c r="G379">
        <f t="shared" ca="1" si="159"/>
        <v>2.375</v>
      </c>
      <c r="H379">
        <f>'Модель v2 базовая'!$G$84</f>
        <v>500</v>
      </c>
      <c r="I379">
        <f t="shared" ca="1" si="160"/>
        <v>39.583333333333336</v>
      </c>
      <c r="J379">
        <v>10</v>
      </c>
      <c r="K379">
        <f>'Модель v2 базовая'!$E$84</f>
        <v>1.6666666666666667</v>
      </c>
      <c r="L379">
        <v>0.7</v>
      </c>
      <c r="M379">
        <f t="shared" si="163"/>
        <v>0</v>
      </c>
      <c r="N379">
        <f t="shared" ca="1" si="161"/>
        <v>9058.9073979749992</v>
      </c>
      <c r="O379">
        <f t="shared" ca="1" si="162"/>
        <v>905.89073979749992</v>
      </c>
      <c r="T379" s="3" t="str">
        <f t="shared" si="164"/>
        <v>Канонир - Мастер &lt; Арданна из Самардейла</v>
      </c>
      <c r="U379" s="9">
        <f t="shared" si="165"/>
        <v>530.45043517499994</v>
      </c>
      <c r="V379" s="9">
        <f t="shared" ca="1" si="166"/>
        <v>905.89073979749992</v>
      </c>
      <c r="W379">
        <f t="shared" si="167"/>
        <v>1326.1260879375</v>
      </c>
      <c r="X379" s="10">
        <f>'Книги профессий'!M141</f>
        <v>20</v>
      </c>
    </row>
    <row r="380" spans="1:24" x14ac:dyDescent="0.25">
      <c r="A380" s="23" t="str">
        <f>'Книги профессий'!K142&amp;" &lt; "&amp;'Книги профессий'!L142</f>
        <v>Канонир - Мастер &lt; 10,400988925 из Гвадекуры</v>
      </c>
      <c r="B380">
        <f>'Книги профессий'!N142</f>
        <v>557.82145866184203</v>
      </c>
      <c r="C380">
        <f>'Книги профессий'!I142</f>
        <v>11</v>
      </c>
      <c r="D380">
        <f t="shared" si="108"/>
        <v>14</v>
      </c>
      <c r="E380" t="str">
        <f t="shared" si="157"/>
        <v>$N$11</v>
      </c>
      <c r="F380">
        <f t="shared" ca="1" si="158"/>
        <v>880</v>
      </c>
      <c r="G380">
        <f t="shared" ca="1" si="159"/>
        <v>2.75</v>
      </c>
      <c r="H380">
        <f>'Модель v2 базовая'!$G$84</f>
        <v>500</v>
      </c>
      <c r="I380">
        <f t="shared" ca="1" si="160"/>
        <v>45.833333333333336</v>
      </c>
      <c r="J380">
        <v>10</v>
      </c>
      <c r="K380">
        <f>'Модель v2 базовая'!$E$84</f>
        <v>1.6666666666666667</v>
      </c>
      <c r="L380">
        <v>0.7</v>
      </c>
      <c r="M380">
        <f t="shared" si="163"/>
        <v>0</v>
      </c>
      <c r="N380">
        <f t="shared" ca="1" si="161"/>
        <v>9530.4647972513139</v>
      </c>
      <c r="O380">
        <f t="shared" ca="1" si="162"/>
        <v>953.04647972513135</v>
      </c>
      <c r="T380" s="3" t="str">
        <f t="shared" si="164"/>
        <v>Канонир - Мастер &lt; 10,400988925 из Гвадекуры</v>
      </c>
      <c r="U380" s="9">
        <f t="shared" si="165"/>
        <v>557.82145866184203</v>
      </c>
      <c r="V380" s="9">
        <f t="shared" ca="1" si="166"/>
        <v>953.04647972513135</v>
      </c>
      <c r="W380">
        <f t="shared" si="167"/>
        <v>1394.553646654605</v>
      </c>
      <c r="X380" s="10">
        <f>'Книги профессий'!M142</f>
        <v>19</v>
      </c>
    </row>
    <row r="381" spans="1:24" x14ac:dyDescent="0.25">
      <c r="A381" s="23" t="str">
        <f>'Книги профессий'!K143&amp;" &lt; "&amp;'Книги профессий'!L143</f>
        <v>Канонир - Мастер &lt; Арелиос из Ранджар-ара</v>
      </c>
      <c r="B381">
        <f>'Книги профессий'!N143</f>
        <v>588.23370698055544</v>
      </c>
      <c r="C381">
        <f>'Книги профессий'!I143</f>
        <v>12</v>
      </c>
      <c r="D381">
        <f t="shared" si="108"/>
        <v>14</v>
      </c>
      <c r="E381" t="str">
        <f t="shared" si="157"/>
        <v>$N$12</v>
      </c>
      <c r="F381">
        <f t="shared" ca="1" si="158"/>
        <v>400</v>
      </c>
      <c r="G381">
        <f t="shared" ca="1" si="159"/>
        <v>1.25</v>
      </c>
      <c r="H381">
        <f>'Модель v2 базовая'!$G$84</f>
        <v>500</v>
      </c>
      <c r="I381">
        <f t="shared" ca="1" si="160"/>
        <v>20.833333333333336</v>
      </c>
      <c r="J381">
        <v>10</v>
      </c>
      <c r="K381">
        <f>'Модель v2 базовая'!$E$84</f>
        <v>1.6666666666666667</v>
      </c>
      <c r="L381">
        <v>0.7</v>
      </c>
      <c r="M381">
        <f t="shared" si="163"/>
        <v>0</v>
      </c>
      <c r="N381">
        <f t="shared" ca="1" si="161"/>
        <v>10022.473018669441</v>
      </c>
      <c r="O381">
        <f t="shared" ca="1" si="162"/>
        <v>1002.2473018669441</v>
      </c>
      <c r="T381" s="3" t="str">
        <f t="shared" si="164"/>
        <v>Канонир - Мастер &lt; Арелиос из Ранджар-ара</v>
      </c>
      <c r="U381" s="9">
        <f t="shared" si="165"/>
        <v>588.23370698055544</v>
      </c>
      <c r="V381" s="9">
        <f t="shared" ca="1" si="166"/>
        <v>1002.2473018669441</v>
      </c>
      <c r="W381">
        <f t="shared" si="167"/>
        <v>1470.5842674513885</v>
      </c>
      <c r="X381" s="10">
        <f>'Книги профессий'!M143</f>
        <v>18</v>
      </c>
    </row>
    <row r="382" spans="1:24" x14ac:dyDescent="0.25">
      <c r="A382" s="23" t="str">
        <f>'Книги профессий'!K144&amp;" &lt; "&amp;'Книги профессий'!L144</f>
        <v>Канонир - Мастер &lt; Элесиан из Садата</v>
      </c>
      <c r="B382">
        <f>'Книги профессий'!N144</f>
        <v>622.22386686617631</v>
      </c>
      <c r="C382">
        <f>'Книги профессий'!I144</f>
        <v>13</v>
      </c>
      <c r="D382">
        <f t="shared" si="108"/>
        <v>14</v>
      </c>
      <c r="E382" t="str">
        <f t="shared" si="157"/>
        <v>$N$13</v>
      </c>
      <c r="F382">
        <f t="shared" ca="1" si="158"/>
        <v>880</v>
      </c>
      <c r="G382">
        <f t="shared" ca="1" si="159"/>
        <v>2.75</v>
      </c>
      <c r="H382">
        <f>'Модель v2 базовая'!$G$84</f>
        <v>500</v>
      </c>
      <c r="I382">
        <f t="shared" ca="1" si="160"/>
        <v>45.833333333333336</v>
      </c>
      <c r="J382">
        <v>10</v>
      </c>
      <c r="K382">
        <f>'Модель v2 базовая'!$E$84</f>
        <v>1.6666666666666667</v>
      </c>
      <c r="L382">
        <v>0.7</v>
      </c>
      <c r="M382">
        <f t="shared" si="163"/>
        <v>0</v>
      </c>
      <c r="N382">
        <f t="shared" ca="1" si="161"/>
        <v>10625.305736724997</v>
      </c>
      <c r="O382">
        <f t="shared" ca="1" si="162"/>
        <v>1062.5305736724997</v>
      </c>
      <c r="T382" s="3" t="str">
        <f t="shared" si="164"/>
        <v>Канонир - Мастер &lt; Элесиан из Садата</v>
      </c>
      <c r="U382" s="9">
        <f t="shared" si="165"/>
        <v>622.22386686617631</v>
      </c>
      <c r="V382" s="9">
        <f t="shared" ca="1" si="166"/>
        <v>1062.5305736724997</v>
      </c>
      <c r="W382">
        <f t="shared" si="167"/>
        <v>1555.5596671654407</v>
      </c>
      <c r="X382" s="10">
        <f>'Книги профессий'!M144</f>
        <v>17</v>
      </c>
    </row>
    <row r="383" spans="1:24" x14ac:dyDescent="0.25">
      <c r="A383" s="23" t="str">
        <f>'Книги профессий'!K145&amp;" &lt; "&amp;'Книги профессий'!L145</f>
        <v>Канонир - Мастер &lt; Арвандор из Столицы</v>
      </c>
      <c r="B383">
        <f>'Книги профессий'!N145</f>
        <v>660.46279673749984</v>
      </c>
      <c r="C383">
        <f>'Книги профессий'!I145</f>
        <v>14</v>
      </c>
      <c r="D383">
        <f t="shared" si="108"/>
        <v>14</v>
      </c>
      <c r="E383" t="str">
        <f t="shared" si="157"/>
        <v>$N$14</v>
      </c>
      <c r="F383">
        <f t="shared" ca="1" si="158"/>
        <v>0</v>
      </c>
      <c r="G383">
        <f t="shared" ca="1" si="159"/>
        <v>0</v>
      </c>
      <c r="H383">
        <f>'Модель v2 базовая'!$G$84</f>
        <v>500</v>
      </c>
      <c r="I383">
        <f t="shared" ca="1" si="160"/>
        <v>0</v>
      </c>
      <c r="J383">
        <v>10</v>
      </c>
      <c r="K383">
        <f>'Модель v2 базовая'!$E$84</f>
        <v>1.6666666666666667</v>
      </c>
      <c r="L383">
        <v>0.7</v>
      </c>
      <c r="M383">
        <f t="shared" si="163"/>
        <v>0</v>
      </c>
      <c r="N383">
        <f t="shared" ca="1" si="161"/>
        <v>6604.6279673749987</v>
      </c>
      <c r="O383">
        <f t="shared" ca="1" si="162"/>
        <v>660.46279673749984</v>
      </c>
      <c r="T383" s="3" t="str">
        <f t="shared" si="164"/>
        <v>Канонир - Мастер &lt; Арвандор из Столицы</v>
      </c>
      <c r="U383" s="9">
        <f t="shared" si="165"/>
        <v>660.46279673749984</v>
      </c>
      <c r="V383" s="9">
        <f t="shared" ca="1" si="166"/>
        <v>660.46279673749984</v>
      </c>
      <c r="W383">
        <f t="shared" si="167"/>
        <v>1651.1569918437497</v>
      </c>
      <c r="X383" s="10">
        <f>'Книги профессий'!M145</f>
        <v>16</v>
      </c>
    </row>
    <row r="384" spans="1:24" x14ac:dyDescent="0.25">
      <c r="A384" s="23" t="str">
        <f>'Книги профессий'!K146&amp;" &lt; "&amp;'Книги профессий'!L146</f>
        <v>Магинарий - база &lt; Сиренна из Люг-о-дана</v>
      </c>
      <c r="B384">
        <f>'Книги профессий'!N146</f>
        <v>343.23263452499992</v>
      </c>
      <c r="C384">
        <f>'Книги профессий'!I146</f>
        <v>3</v>
      </c>
      <c r="D384">
        <f t="shared" si="108"/>
        <v>14</v>
      </c>
      <c r="E384" t="str">
        <f t="shared" si="157"/>
        <v>$N$3</v>
      </c>
      <c r="F384">
        <f t="shared" ca="1" si="158"/>
        <v>680</v>
      </c>
      <c r="G384">
        <f t="shared" ca="1" si="159"/>
        <v>2.125</v>
      </c>
      <c r="H384">
        <f>'Модель v2 базовая'!$G$84</f>
        <v>500</v>
      </c>
      <c r="I384">
        <f t="shared" ca="1" si="160"/>
        <v>35.416666666666671</v>
      </c>
      <c r="J384">
        <v>10</v>
      </c>
      <c r="K384">
        <f>'Модель v2 базовая'!$E$84</f>
        <v>1.6666666666666667</v>
      </c>
      <c r="L384">
        <v>0.7</v>
      </c>
      <c r="M384">
        <f t="shared" si="163"/>
        <v>10</v>
      </c>
      <c r="N384">
        <f t="shared" ca="1" si="161"/>
        <v>5872.0381202583321</v>
      </c>
      <c r="O384">
        <f t="shared" ca="1" si="162"/>
        <v>587.20381202583326</v>
      </c>
      <c r="T384" s="3" t="str">
        <f t="shared" si="164"/>
        <v>Магинарий - база &lt; Сиренна из Люг-о-дана</v>
      </c>
      <c r="U384" s="9">
        <f t="shared" si="165"/>
        <v>343.23263452499992</v>
      </c>
      <c r="V384" s="9">
        <f t="shared" ca="1" si="166"/>
        <v>587.20381202583326</v>
      </c>
      <c r="W384">
        <f t="shared" si="167"/>
        <v>858.08158631249978</v>
      </c>
      <c r="X384" s="10">
        <f>'Книги профессий'!M146</f>
        <v>25</v>
      </c>
    </row>
    <row r="385" spans="1:24" x14ac:dyDescent="0.25">
      <c r="A385" s="23" t="str">
        <f>'Книги профессий'!K147&amp;" &lt; "&amp;'Книги профессий'!L147</f>
        <v>Магинарий - база &lt; Леонардис из Шихона</v>
      </c>
      <c r="B385">
        <f>'Книги профессий'!N147</f>
        <v>357.10061975833327</v>
      </c>
      <c r="C385">
        <f>'Книги профессий'!I147</f>
        <v>4</v>
      </c>
      <c r="D385">
        <f t="shared" si="108"/>
        <v>14</v>
      </c>
      <c r="E385" t="str">
        <f t="shared" si="157"/>
        <v>$N$4</v>
      </c>
      <c r="F385">
        <f t="shared" ca="1" si="158"/>
        <v>900</v>
      </c>
      <c r="G385">
        <f t="shared" ca="1" si="159"/>
        <v>2.8125</v>
      </c>
      <c r="H385">
        <f>'Модель v2 базовая'!$G$84</f>
        <v>500</v>
      </c>
      <c r="I385">
        <f t="shared" ca="1" si="160"/>
        <v>46.875</v>
      </c>
      <c r="J385">
        <v>10</v>
      </c>
      <c r="K385">
        <f>'Модель v2 базовая'!$E$84</f>
        <v>1.6666666666666667</v>
      </c>
      <c r="L385">
        <v>0.7</v>
      </c>
      <c r="M385">
        <f t="shared" si="163"/>
        <v>10</v>
      </c>
      <c r="N385">
        <f t="shared" ca="1" si="161"/>
        <v>6119.2522025583321</v>
      </c>
      <c r="O385">
        <f t="shared" ca="1" si="162"/>
        <v>611.92522025583321</v>
      </c>
      <c r="T385" s="3" t="str">
        <f t="shared" si="164"/>
        <v>Магинарий - база &lt; Леонардис из Шихона</v>
      </c>
      <c r="U385" s="9">
        <f t="shared" si="165"/>
        <v>357.10061975833327</v>
      </c>
      <c r="V385" s="9">
        <f t="shared" ca="1" si="166"/>
        <v>611.92522025583321</v>
      </c>
      <c r="W385">
        <f t="shared" si="167"/>
        <v>892.75154939583319</v>
      </c>
      <c r="X385" s="10">
        <f>'Книги профессий'!M147</f>
        <v>24</v>
      </c>
    </row>
    <row r="386" spans="1:24" x14ac:dyDescent="0.25">
      <c r="A386" s="23" t="str">
        <f>'Книги профессий'!K148&amp;" &lt; "&amp;'Книги профессий'!L148</f>
        <v>Магинарий - база &lt; Фиреллия из Готуна</v>
      </c>
      <c r="B386">
        <f>'Книги профессий'!N148</f>
        <v>372.17451675108686</v>
      </c>
      <c r="C386">
        <f>'Книги профессий'!I148</f>
        <v>5</v>
      </c>
      <c r="D386">
        <f t="shared" si="108"/>
        <v>14</v>
      </c>
      <c r="E386" t="str">
        <f t="shared" si="157"/>
        <v>$N$5</v>
      </c>
      <c r="F386">
        <f t="shared" ca="1" si="158"/>
        <v>980</v>
      </c>
      <c r="G386">
        <f t="shared" ca="1" si="159"/>
        <v>3.0625</v>
      </c>
      <c r="H386">
        <f>'Модель v2 базовая'!$G$84</f>
        <v>500</v>
      </c>
      <c r="I386">
        <f t="shared" ca="1" si="160"/>
        <v>51.041666666666671</v>
      </c>
      <c r="J386">
        <v>10</v>
      </c>
      <c r="K386">
        <f>'Модель v2 базовая'!$E$84</f>
        <v>1.6666666666666667</v>
      </c>
      <c r="L386">
        <v>0.7</v>
      </c>
      <c r="M386">
        <f t="shared" si="163"/>
        <v>10</v>
      </c>
      <c r="N386">
        <f t="shared" ca="1" si="161"/>
        <v>6379.6751181018099</v>
      </c>
      <c r="O386">
        <f t="shared" ca="1" si="162"/>
        <v>637.96751181018101</v>
      </c>
      <c r="T386" s="3" t="str">
        <f t="shared" si="164"/>
        <v>Магинарий - база &lt; Фиреллия из Готуна</v>
      </c>
      <c r="U386" s="9">
        <f t="shared" si="165"/>
        <v>372.17451675108686</v>
      </c>
      <c r="V386" s="9">
        <f t="shared" ca="1" si="166"/>
        <v>637.96751181018101</v>
      </c>
      <c r="W386">
        <f t="shared" si="167"/>
        <v>930.43629187771717</v>
      </c>
      <c r="X386" s="10">
        <f>'Книги профессий'!M148</f>
        <v>23</v>
      </c>
    </row>
    <row r="387" spans="1:24" x14ac:dyDescent="0.25">
      <c r="A387" s="23" t="str">
        <f>'Книги профессий'!K149&amp;" &lt; "&amp;'Книги профессий'!L149</f>
        <v>Магинарий - база &lt; Элесиан из Фидваго</v>
      </c>
      <c r="B387">
        <f>'Книги профессий'!N149</f>
        <v>388.61876801590904</v>
      </c>
      <c r="C387">
        <f>'Книги профессий'!I149</f>
        <v>6</v>
      </c>
      <c r="D387">
        <f t="shared" si="108"/>
        <v>14</v>
      </c>
      <c r="E387" t="str">
        <f t="shared" si="157"/>
        <v>$N$6</v>
      </c>
      <c r="F387">
        <f t="shared" ca="1" si="158"/>
        <v>1460</v>
      </c>
      <c r="G387">
        <f t="shared" ca="1" si="159"/>
        <v>4.5625</v>
      </c>
      <c r="H387">
        <f>'Модель v2 базовая'!$G$84</f>
        <v>500</v>
      </c>
      <c r="I387">
        <f t="shared" ca="1" si="160"/>
        <v>76.041666666666671</v>
      </c>
      <c r="J387">
        <v>10</v>
      </c>
      <c r="K387">
        <f>'Модель v2 базовая'!$E$84</f>
        <v>1.6666666666666667</v>
      </c>
      <c r="L387">
        <v>0.7</v>
      </c>
      <c r="M387">
        <f t="shared" si="163"/>
        <v>10</v>
      </c>
      <c r="N387">
        <f t="shared" ca="1" si="161"/>
        <v>6684.2273896037877</v>
      </c>
      <c r="O387">
        <f t="shared" ca="1" si="162"/>
        <v>668.42273896037875</v>
      </c>
      <c r="T387" s="3" t="str">
        <f t="shared" si="164"/>
        <v>Магинарий - база &lt; Элесиан из Фидваго</v>
      </c>
      <c r="U387" s="9">
        <f t="shared" si="165"/>
        <v>388.61876801590904</v>
      </c>
      <c r="V387" s="9">
        <f t="shared" ca="1" si="166"/>
        <v>668.42273896037875</v>
      </c>
      <c r="W387">
        <f t="shared" si="167"/>
        <v>971.54692003977266</v>
      </c>
      <c r="X387" s="10">
        <f>'Книги профессий'!M149</f>
        <v>22</v>
      </c>
    </row>
    <row r="388" spans="1:24" x14ac:dyDescent="0.25">
      <c r="A388" s="23" t="str">
        <f>'Книги профессий'!K150&amp;" &lt; "&amp;'Книги профессий'!L150</f>
        <v>Магинарий - база &lt; Сирентис из Дарутана</v>
      </c>
      <c r="B388">
        <f>'Книги профессий'!N150</f>
        <v>406.62913844880944</v>
      </c>
      <c r="C388">
        <f>'Книги профессий'!I150</f>
        <v>7</v>
      </c>
      <c r="D388">
        <f t="shared" si="108"/>
        <v>14</v>
      </c>
      <c r="E388" t="str">
        <f t="shared" si="157"/>
        <v>$N$7</v>
      </c>
      <c r="F388">
        <f t="shared" ca="1" si="158"/>
        <v>880</v>
      </c>
      <c r="G388">
        <f t="shared" ca="1" si="159"/>
        <v>2.75</v>
      </c>
      <c r="H388">
        <f>'Модель v2 базовая'!$G$84</f>
        <v>500</v>
      </c>
      <c r="I388">
        <f t="shared" ca="1" si="160"/>
        <v>45.833333333333336</v>
      </c>
      <c r="J388">
        <v>10</v>
      </c>
      <c r="K388">
        <f>'Модель v2 базовая'!$E$84</f>
        <v>1.6666666666666667</v>
      </c>
      <c r="L388">
        <v>0.7</v>
      </c>
      <c r="M388">
        <f t="shared" si="163"/>
        <v>10</v>
      </c>
      <c r="N388">
        <f t="shared" ca="1" si="161"/>
        <v>6960.1953536297606</v>
      </c>
      <c r="O388">
        <f t="shared" ca="1" si="162"/>
        <v>696.01953536297606</v>
      </c>
      <c r="T388" s="3" t="str">
        <f t="shared" si="164"/>
        <v>Магинарий - база &lt; Сирентис из Дарутана</v>
      </c>
      <c r="U388" s="9">
        <f t="shared" si="165"/>
        <v>406.62913844880944</v>
      </c>
      <c r="V388" s="9">
        <f t="shared" ca="1" si="166"/>
        <v>696.01953536297606</v>
      </c>
      <c r="W388">
        <f t="shared" si="167"/>
        <v>1016.5728461220236</v>
      </c>
      <c r="X388" s="10">
        <f>'Книги профессий'!M150</f>
        <v>21</v>
      </c>
    </row>
    <row r="389" spans="1:24" x14ac:dyDescent="0.25">
      <c r="A389" s="23" t="str">
        <f>'Книги профессий'!K151&amp;" &lt; "&amp;'Книги профессий'!L151</f>
        <v>Магинарий - база &lt; Исолинда из Сарухана</v>
      </c>
      <c r="B389">
        <f>'Книги профессий'!N151</f>
        <v>426.44054592499992</v>
      </c>
      <c r="C389">
        <f>'Книги профессий'!I151</f>
        <v>8</v>
      </c>
      <c r="D389">
        <f t="shared" si="108"/>
        <v>14</v>
      </c>
      <c r="E389" t="str">
        <f t="shared" si="157"/>
        <v>$N$8</v>
      </c>
      <c r="F389">
        <f t="shared" ca="1" si="158"/>
        <v>1100</v>
      </c>
      <c r="G389">
        <f t="shared" ca="1" si="159"/>
        <v>3.4375</v>
      </c>
      <c r="H389">
        <f>'Модель v2 базовая'!$G$84</f>
        <v>500</v>
      </c>
      <c r="I389">
        <f t="shared" ca="1" si="160"/>
        <v>57.291666666666671</v>
      </c>
      <c r="J389">
        <v>10</v>
      </c>
      <c r="K389">
        <f>'Модель v2 базовая'!$E$84</f>
        <v>1.6666666666666667</v>
      </c>
      <c r="L389">
        <v>0.7</v>
      </c>
      <c r="M389">
        <f t="shared" si="163"/>
        <v>10</v>
      </c>
      <c r="N389">
        <f t="shared" ca="1" si="161"/>
        <v>7308.4476140583338</v>
      </c>
      <c r="O389">
        <f t="shared" ca="1" si="162"/>
        <v>730.84476140583342</v>
      </c>
      <c r="T389" s="3" t="str">
        <f t="shared" si="164"/>
        <v>Магинарий - база &lt; Исолинда из Сарухана</v>
      </c>
      <c r="U389" s="9">
        <f t="shared" si="165"/>
        <v>426.44054592499992</v>
      </c>
      <c r="V389" s="9">
        <f t="shared" ca="1" si="166"/>
        <v>730.84476140583342</v>
      </c>
      <c r="W389">
        <f t="shared" si="167"/>
        <v>1066.1013648124999</v>
      </c>
      <c r="X389" s="10">
        <f>'Книги профессий'!M151</f>
        <v>20</v>
      </c>
    </row>
    <row r="390" spans="1:24" x14ac:dyDescent="0.25">
      <c r="A390" s="23" t="str">
        <f>'Книги профессий'!K152&amp;" &lt; "&amp;'Книги профессий'!L152</f>
        <v>Магинарий - база &lt; Тиандор из Лорена</v>
      </c>
      <c r="B390">
        <f>'Книги профессий'!N152</f>
        <v>448.33736471447355</v>
      </c>
      <c r="C390">
        <f>'Книги профессий'!I152</f>
        <v>9</v>
      </c>
      <c r="D390">
        <f t="shared" si="108"/>
        <v>14</v>
      </c>
      <c r="E390" t="str">
        <f t="shared" si="157"/>
        <v>$N$9</v>
      </c>
      <c r="F390">
        <f t="shared" ca="1" si="158"/>
        <v>1300</v>
      </c>
      <c r="G390">
        <f t="shared" ca="1" si="159"/>
        <v>4.0625</v>
      </c>
      <c r="H390">
        <f>'Модель v2 базовая'!$G$84</f>
        <v>500</v>
      </c>
      <c r="I390">
        <f t="shared" ca="1" si="160"/>
        <v>67.708333333333343</v>
      </c>
      <c r="J390">
        <v>10</v>
      </c>
      <c r="K390">
        <f>'Модель v2 базовая'!$E$84</f>
        <v>1.6666666666666667</v>
      </c>
      <c r="L390">
        <v>0.7</v>
      </c>
      <c r="M390">
        <f t="shared" si="163"/>
        <v>10</v>
      </c>
      <c r="N390">
        <f t="shared" ca="1" si="161"/>
        <v>7691.1102001460504</v>
      </c>
      <c r="O390">
        <f t="shared" ca="1" si="162"/>
        <v>769.11102001460506</v>
      </c>
      <c r="T390" s="3" t="str">
        <f t="shared" si="164"/>
        <v>Магинарий - база &lt; Тиандор из Лорена</v>
      </c>
      <c r="U390" s="9">
        <f t="shared" si="165"/>
        <v>448.33736471447355</v>
      </c>
      <c r="V390" s="9">
        <f t="shared" ca="1" si="166"/>
        <v>769.11102001460506</v>
      </c>
      <c r="W390">
        <f t="shared" si="167"/>
        <v>1120.8434117861839</v>
      </c>
      <c r="X390" s="10">
        <f>'Книги профессий'!M152</f>
        <v>19</v>
      </c>
    </row>
    <row r="391" spans="1:24" x14ac:dyDescent="0.25">
      <c r="A391" s="23" t="str">
        <f>'Книги профессий'!K153&amp;" &lt; "&amp;'Книги профессий'!L153</f>
        <v>Магинарий - база &lt; Силмарин из Самардейла</v>
      </c>
      <c r="B391">
        <f>'Книги профессий'!N153</f>
        <v>472.66716336944438</v>
      </c>
      <c r="C391">
        <f>'Книги профессий'!I153</f>
        <v>10</v>
      </c>
      <c r="D391">
        <f t="shared" si="108"/>
        <v>14</v>
      </c>
      <c r="E391" t="str">
        <f t="shared" si="157"/>
        <v>$N$10</v>
      </c>
      <c r="F391">
        <f t="shared" ca="1" si="158"/>
        <v>760</v>
      </c>
      <c r="G391">
        <f t="shared" ca="1" si="159"/>
        <v>2.375</v>
      </c>
      <c r="H391">
        <f>'Модель v2 базовая'!$G$84</f>
        <v>500</v>
      </c>
      <c r="I391">
        <f t="shared" ca="1" si="160"/>
        <v>39.583333333333336</v>
      </c>
      <c r="J391">
        <v>10</v>
      </c>
      <c r="K391">
        <f>'Модель v2 базовая'!$E$84</f>
        <v>1.6666666666666667</v>
      </c>
      <c r="L391">
        <v>0.7</v>
      </c>
      <c r="M391">
        <f t="shared" si="163"/>
        <v>0</v>
      </c>
      <c r="N391">
        <f t="shared" ca="1" si="161"/>
        <v>8076.5917772805542</v>
      </c>
      <c r="O391">
        <f t="shared" ca="1" si="162"/>
        <v>807.6591777280554</v>
      </c>
      <c r="T391" s="3" t="str">
        <f t="shared" si="164"/>
        <v>Магинарий - база &lt; Силмарин из Самардейла</v>
      </c>
      <c r="U391" s="9">
        <f t="shared" si="165"/>
        <v>472.66716336944438</v>
      </c>
      <c r="V391" s="9">
        <f t="shared" ca="1" si="166"/>
        <v>807.6591777280554</v>
      </c>
      <c r="W391">
        <f t="shared" si="167"/>
        <v>1181.6679084236109</v>
      </c>
      <c r="X391" s="10">
        <f>'Книги профессий'!M153</f>
        <v>18</v>
      </c>
    </row>
    <row r="392" spans="1:24" x14ac:dyDescent="0.25">
      <c r="A392" s="23" t="str">
        <f>'Книги профессий'!K154&amp;" &lt; "&amp;'Книги профессий'!L154</f>
        <v>Магинарий - база &lt; Кирантель из Гвадекуры</v>
      </c>
      <c r="B392">
        <f>'Книги профессий'!N154</f>
        <v>499.85929127794111</v>
      </c>
      <c r="C392">
        <f>'Книги профессий'!I154</f>
        <v>11</v>
      </c>
      <c r="D392">
        <f t="shared" si="108"/>
        <v>14</v>
      </c>
      <c r="E392" t="str">
        <f t="shared" si="157"/>
        <v>$N$11</v>
      </c>
      <c r="F392">
        <f t="shared" ca="1" si="158"/>
        <v>880</v>
      </c>
      <c r="G392">
        <f t="shared" ca="1" si="159"/>
        <v>2.75</v>
      </c>
      <c r="H392">
        <f>'Модель v2 базовая'!$G$84</f>
        <v>500</v>
      </c>
      <c r="I392">
        <f t="shared" ca="1" si="160"/>
        <v>45.833333333333336</v>
      </c>
      <c r="J392">
        <v>10</v>
      </c>
      <c r="K392">
        <f>'Модель v2 базовая'!$E$84</f>
        <v>1.6666666666666667</v>
      </c>
      <c r="L392">
        <v>0.7</v>
      </c>
      <c r="M392">
        <f t="shared" si="163"/>
        <v>0</v>
      </c>
      <c r="N392">
        <f t="shared" ca="1" si="161"/>
        <v>8545.107951725</v>
      </c>
      <c r="O392">
        <f t="shared" ca="1" si="162"/>
        <v>854.51079517250002</v>
      </c>
      <c r="T392" s="3" t="str">
        <f t="shared" si="164"/>
        <v>Магинарий - база &lt; Кирантель из Гвадекуры</v>
      </c>
      <c r="U392" s="9">
        <f t="shared" si="165"/>
        <v>499.85929127794111</v>
      </c>
      <c r="V392" s="9">
        <f t="shared" ca="1" si="166"/>
        <v>854.51079517250002</v>
      </c>
      <c r="W392">
        <f t="shared" si="167"/>
        <v>1249.6482281948529</v>
      </c>
      <c r="X392" s="10">
        <f>'Книги профессий'!M154</f>
        <v>17</v>
      </c>
    </row>
    <row r="393" spans="1:24" x14ac:dyDescent="0.25">
      <c r="A393" s="23" t="str">
        <f>'Книги профессий'!K155&amp;" &lt; "&amp;'Книги профессий'!L155</f>
        <v>Магинарий - база &lt; Финдорил из Ранджар-ара</v>
      </c>
      <c r="B393">
        <f>'Книги профессий'!N155</f>
        <v>530.45043517499994</v>
      </c>
      <c r="C393">
        <f>'Книги профессий'!I155</f>
        <v>12</v>
      </c>
      <c r="D393">
        <f t="shared" si="108"/>
        <v>14</v>
      </c>
      <c r="E393" t="str">
        <f t="shared" si="157"/>
        <v>$N$12</v>
      </c>
      <c r="F393">
        <f t="shared" ca="1" si="158"/>
        <v>400</v>
      </c>
      <c r="G393">
        <f t="shared" ca="1" si="159"/>
        <v>1.25</v>
      </c>
      <c r="H393">
        <f>'Модель v2 базовая'!$G$84</f>
        <v>500</v>
      </c>
      <c r="I393">
        <f t="shared" ca="1" si="160"/>
        <v>20.833333333333336</v>
      </c>
      <c r="J393">
        <v>10</v>
      </c>
      <c r="K393">
        <f>'Модель v2 базовая'!$E$84</f>
        <v>1.6666666666666667</v>
      </c>
      <c r="L393">
        <v>0.7</v>
      </c>
      <c r="M393">
        <f t="shared" si="163"/>
        <v>0</v>
      </c>
      <c r="N393">
        <f t="shared" ca="1" si="161"/>
        <v>9040.1573979749992</v>
      </c>
      <c r="O393">
        <f t="shared" ca="1" si="162"/>
        <v>904.01573979749992</v>
      </c>
      <c r="T393" s="3" t="str">
        <f t="shared" si="164"/>
        <v>Магинарий - база &lt; Финдорил из Ранджар-ара</v>
      </c>
      <c r="U393" s="9">
        <f t="shared" si="165"/>
        <v>530.45043517499994</v>
      </c>
      <c r="V393" s="9">
        <f t="shared" ca="1" si="166"/>
        <v>904.01573979749992</v>
      </c>
      <c r="W393">
        <f t="shared" si="167"/>
        <v>1326.1260879375</v>
      </c>
      <c r="X393" s="10">
        <f>'Книги профессий'!M155</f>
        <v>16</v>
      </c>
    </row>
    <row r="394" spans="1:24" x14ac:dyDescent="0.25">
      <c r="A394" s="23" t="str">
        <f>'Книги профессий'!K156&amp;" &lt; "&amp;'Книги профессий'!L156</f>
        <v>Магинарий - база &lt; Лиссандра из Садата</v>
      </c>
      <c r="B394">
        <f>'Книги профессий'!N156</f>
        <v>565.12039825833324</v>
      </c>
      <c r="C394">
        <f>'Книги профессий'!I156</f>
        <v>13</v>
      </c>
      <c r="D394">
        <f t="shared" si="108"/>
        <v>14</v>
      </c>
      <c r="E394" t="str">
        <f t="shared" si="157"/>
        <v>$N$13</v>
      </c>
      <c r="F394">
        <f t="shared" ca="1" si="158"/>
        <v>880</v>
      </c>
      <c r="G394">
        <f t="shared" ca="1" si="159"/>
        <v>2.75</v>
      </c>
      <c r="H394">
        <f>'Модель v2 базовая'!$G$84</f>
        <v>500</v>
      </c>
      <c r="I394">
        <f t="shared" ca="1" si="160"/>
        <v>45.833333333333336</v>
      </c>
      <c r="J394">
        <v>10</v>
      </c>
      <c r="K394">
        <f>'Модель v2 базовая'!$E$84</f>
        <v>1.6666666666666667</v>
      </c>
      <c r="L394">
        <v>0.7</v>
      </c>
      <c r="M394">
        <f t="shared" si="163"/>
        <v>0</v>
      </c>
      <c r="N394">
        <f t="shared" ca="1" si="161"/>
        <v>9654.5467703916656</v>
      </c>
      <c r="O394">
        <f t="shared" ca="1" si="162"/>
        <v>965.45467703916654</v>
      </c>
      <c r="T394" s="3" t="str">
        <f t="shared" si="164"/>
        <v>Магинарий - база &lt; Лиссандра из Садата</v>
      </c>
      <c r="U394" s="9">
        <f t="shared" si="165"/>
        <v>565.12039825833324</v>
      </c>
      <c r="V394" s="9">
        <f t="shared" ca="1" si="166"/>
        <v>965.45467703916654</v>
      </c>
      <c r="W394">
        <f t="shared" si="167"/>
        <v>1412.8009956458332</v>
      </c>
      <c r="X394" s="10">
        <f>'Книги профессий'!M156</f>
        <v>15</v>
      </c>
    </row>
    <row r="395" spans="1:24" x14ac:dyDescent="0.25">
      <c r="A395" s="23" t="str">
        <f>'Книги профессий'!K157&amp;" &lt; "&amp;'Книги профессий'!L157</f>
        <v>Магинарий - база &lt; Теландрис из Столицы</v>
      </c>
      <c r="B395">
        <f>'Книги профессий'!N157</f>
        <v>604.74321321071409</v>
      </c>
      <c r="C395">
        <f>'Книги профессий'!I157</f>
        <v>14</v>
      </c>
      <c r="D395">
        <f t="shared" si="108"/>
        <v>14</v>
      </c>
      <c r="E395" t="str">
        <f t="shared" ref="E395:E412" si="168" xml:space="preserve"> ADDRESS(C395,D395)</f>
        <v>$N$14</v>
      </c>
      <c r="F395">
        <f t="shared" ref="F395:F412" ca="1" si="169">INDIRECT(E395)</f>
        <v>0</v>
      </c>
      <c r="G395">
        <f t="shared" ref="G395:G412" ca="1" si="170">F395/320</f>
        <v>0</v>
      </c>
      <c r="H395">
        <f>'Модель v2 базовая'!$G$84</f>
        <v>500</v>
      </c>
      <c r="I395">
        <f t="shared" ref="I395:I412" ca="1" si="171">H395/30*G395</f>
        <v>0</v>
      </c>
      <c r="J395">
        <v>10</v>
      </c>
      <c r="K395">
        <f>'Модель v2 базовая'!$E$84</f>
        <v>1.6666666666666667</v>
      </c>
      <c r="L395">
        <v>0.7</v>
      </c>
      <c r="M395">
        <f t="shared" si="163"/>
        <v>0</v>
      </c>
      <c r="N395">
        <f t="shared" ref="N395:N412" ca="1" si="172">IF(G395=0, B395*J395, B395*J395+(B395*J395*L395)+I395+K395)</f>
        <v>6047.4321321071411</v>
      </c>
      <c r="O395">
        <f t="shared" ref="O395:O412" ca="1" si="173">N395/J395</f>
        <v>604.74321321071409</v>
      </c>
      <c r="T395" s="3" t="str">
        <f t="shared" si="164"/>
        <v>Магинарий - база &lt; Теландрис из Столицы</v>
      </c>
      <c r="U395" s="9">
        <f t="shared" si="165"/>
        <v>604.74321321071409</v>
      </c>
      <c r="V395" s="9">
        <f t="shared" ca="1" si="166"/>
        <v>604.74321321071409</v>
      </c>
      <c r="W395">
        <f t="shared" si="167"/>
        <v>1511.8580330267853</v>
      </c>
      <c r="X395" s="10">
        <f>'Книги профессий'!M157</f>
        <v>14</v>
      </c>
    </row>
    <row r="396" spans="1:24" x14ac:dyDescent="0.25">
      <c r="A396" s="23" t="str">
        <f>'Книги профессий'!K158&amp;" &lt; "&amp;'Книги профессий'!L158</f>
        <v>Магинарий - Прод &lt; Эльрион из Люг-о-дана</v>
      </c>
      <c r="B396">
        <f>'Книги профессий'!N158</f>
        <v>440.78673754568956</v>
      </c>
      <c r="C396">
        <f>'Книги профессий'!I158</f>
        <v>3</v>
      </c>
      <c r="D396">
        <f t="shared" si="108"/>
        <v>14</v>
      </c>
      <c r="E396" t="str">
        <f t="shared" si="168"/>
        <v>$N$3</v>
      </c>
      <c r="F396">
        <f t="shared" ca="1" si="169"/>
        <v>680</v>
      </c>
      <c r="G396">
        <f t="shared" ca="1" si="170"/>
        <v>2.125</v>
      </c>
      <c r="H396">
        <f>'Модель v2 базовая'!$G$84</f>
        <v>500</v>
      </c>
      <c r="I396">
        <f t="shared" ca="1" si="171"/>
        <v>35.416666666666671</v>
      </c>
      <c r="J396">
        <v>10</v>
      </c>
      <c r="K396">
        <f>'Модель v2 базовая'!$E$84</f>
        <v>1.6666666666666667</v>
      </c>
      <c r="L396">
        <v>0.7</v>
      </c>
      <c r="M396">
        <f t="shared" si="163"/>
        <v>10</v>
      </c>
      <c r="N396">
        <f t="shared" ca="1" si="172"/>
        <v>7530.4578716100559</v>
      </c>
      <c r="O396">
        <f t="shared" ca="1" si="173"/>
        <v>753.04578716100559</v>
      </c>
      <c r="T396" s="3" t="str">
        <f t="shared" si="164"/>
        <v>Магинарий - Прод &lt; Эльрион из Люг-о-дана</v>
      </c>
      <c r="U396" s="9">
        <f t="shared" si="165"/>
        <v>440.78673754568956</v>
      </c>
      <c r="V396" s="9">
        <f t="shared" ca="1" si="166"/>
        <v>753.04578716100559</v>
      </c>
      <c r="W396">
        <f t="shared" si="167"/>
        <v>1101.9668438642238</v>
      </c>
      <c r="X396" s="10">
        <f>'Книги профессий'!M158</f>
        <v>29</v>
      </c>
    </row>
    <row r="397" spans="1:24" x14ac:dyDescent="0.25">
      <c r="A397" s="23" t="str">
        <f>'Книги профессий'!K159&amp;" &lt; "&amp;'Книги профессий'!L159</f>
        <v>Магинарий - Прод &lt; Арелиос из Шихона</v>
      </c>
      <c r="B397">
        <f>'Книги профессий'!N159</f>
        <v>456.15765713928556</v>
      </c>
      <c r="C397">
        <f>'Книги профессий'!I159</f>
        <v>4</v>
      </c>
      <c r="D397">
        <f t="shared" si="108"/>
        <v>14</v>
      </c>
      <c r="E397" t="str">
        <f t="shared" si="168"/>
        <v>$N$4</v>
      </c>
      <c r="F397">
        <f t="shared" ca="1" si="169"/>
        <v>900</v>
      </c>
      <c r="G397">
        <f t="shared" ca="1" si="170"/>
        <v>2.8125</v>
      </c>
      <c r="H397">
        <f>'Модель v2 базовая'!$G$84</f>
        <v>500</v>
      </c>
      <c r="I397">
        <f t="shared" ca="1" si="171"/>
        <v>46.875</v>
      </c>
      <c r="J397">
        <v>10</v>
      </c>
      <c r="K397">
        <f>'Модель v2 базовая'!$E$84</f>
        <v>1.6666666666666667</v>
      </c>
      <c r="L397">
        <v>0.7</v>
      </c>
      <c r="M397">
        <f t="shared" si="163"/>
        <v>10</v>
      </c>
      <c r="N397">
        <f t="shared" ca="1" si="172"/>
        <v>7803.2218380345212</v>
      </c>
      <c r="O397">
        <f t="shared" ca="1" si="173"/>
        <v>780.32218380345216</v>
      </c>
      <c r="T397" s="3" t="str">
        <f t="shared" si="164"/>
        <v>Магинарий - Прод &lt; Арелиос из Шихона</v>
      </c>
      <c r="U397" s="9">
        <f t="shared" si="165"/>
        <v>456.15765713928556</v>
      </c>
      <c r="V397" s="9">
        <f t="shared" ca="1" si="166"/>
        <v>780.32218380345216</v>
      </c>
      <c r="W397">
        <f t="shared" si="167"/>
        <v>1140.394142848214</v>
      </c>
      <c r="X397" s="10">
        <f>'Книги профессий'!M159</f>
        <v>28</v>
      </c>
    </row>
    <row r="398" spans="1:24" x14ac:dyDescent="0.25">
      <c r="A398" s="23" t="str">
        <f>'Книги профессий'!K160&amp;" &lt; "&amp;'Книги профессий'!L160</f>
        <v>Магинарий - Прод &lt; Лиссандра из Готуна</v>
      </c>
      <c r="B398">
        <f>'Книги профессий'!N160</f>
        <v>472.66716336944438</v>
      </c>
      <c r="C398">
        <f>'Книги профессий'!I160</f>
        <v>5</v>
      </c>
      <c r="D398">
        <f t="shared" si="108"/>
        <v>14</v>
      </c>
      <c r="E398" t="str">
        <f t="shared" si="168"/>
        <v>$N$5</v>
      </c>
      <c r="F398">
        <f t="shared" ca="1" si="169"/>
        <v>980</v>
      </c>
      <c r="G398">
        <f t="shared" ca="1" si="170"/>
        <v>3.0625</v>
      </c>
      <c r="H398">
        <f>'Модель v2 базовая'!$G$84</f>
        <v>500</v>
      </c>
      <c r="I398">
        <f t="shared" ca="1" si="171"/>
        <v>51.041666666666671</v>
      </c>
      <c r="J398">
        <v>10</v>
      </c>
      <c r="K398">
        <f>'Модель v2 базовая'!$E$84</f>
        <v>1.6666666666666667</v>
      </c>
      <c r="L398">
        <v>0.7</v>
      </c>
      <c r="M398">
        <f t="shared" si="163"/>
        <v>10</v>
      </c>
      <c r="N398">
        <f t="shared" ca="1" si="172"/>
        <v>8088.0501106138881</v>
      </c>
      <c r="O398">
        <f t="shared" ca="1" si="173"/>
        <v>808.80501106138877</v>
      </c>
      <c r="T398" s="3" t="str">
        <f t="shared" si="164"/>
        <v>Магинарий - Прод &lt; Лиссандра из Готуна</v>
      </c>
      <c r="U398" s="9">
        <f t="shared" si="165"/>
        <v>472.66716336944438</v>
      </c>
      <c r="V398" s="9">
        <f t="shared" ca="1" si="166"/>
        <v>808.80501106138877</v>
      </c>
      <c r="W398">
        <f t="shared" si="167"/>
        <v>1181.6679084236109</v>
      </c>
      <c r="X398" s="10">
        <f>'Книги профессий'!M160</f>
        <v>27</v>
      </c>
    </row>
    <row r="399" spans="1:24" x14ac:dyDescent="0.25">
      <c r="A399" s="23" t="str">
        <f>'Книги профессий'!K161&amp;" &lt; "&amp;'Книги профессий'!L161</f>
        <v>Магинарий - Прод &lt; Сирания из Фидваго</v>
      </c>
      <c r="B399">
        <f>'Книги профессий'!N161</f>
        <v>490.44663161730756</v>
      </c>
      <c r="C399">
        <f>'Книги профессий'!I161</f>
        <v>6</v>
      </c>
      <c r="D399">
        <f t="shared" si="108"/>
        <v>14</v>
      </c>
      <c r="E399" t="str">
        <f t="shared" si="168"/>
        <v>$N$6</v>
      </c>
      <c r="F399">
        <f t="shared" ca="1" si="169"/>
        <v>1460</v>
      </c>
      <c r="G399">
        <f t="shared" ca="1" si="170"/>
        <v>4.5625</v>
      </c>
      <c r="H399">
        <f>'Модель v2 базовая'!$G$84</f>
        <v>500</v>
      </c>
      <c r="I399">
        <f t="shared" ca="1" si="171"/>
        <v>76.041666666666671</v>
      </c>
      <c r="J399">
        <v>10</v>
      </c>
      <c r="K399">
        <f>'Модель v2 базовая'!$E$84</f>
        <v>1.6666666666666667</v>
      </c>
      <c r="L399">
        <v>0.7</v>
      </c>
      <c r="M399">
        <f t="shared" si="163"/>
        <v>10</v>
      </c>
      <c r="N399">
        <f t="shared" ca="1" si="172"/>
        <v>8415.3010708275615</v>
      </c>
      <c r="O399">
        <f t="shared" ca="1" si="173"/>
        <v>841.5301070827561</v>
      </c>
      <c r="T399" s="3" t="str">
        <f t="shared" si="164"/>
        <v>Магинарий - Прод &lt; Сирания из Фидваго</v>
      </c>
      <c r="U399" s="9">
        <f t="shared" si="165"/>
        <v>490.44663161730756</v>
      </c>
      <c r="V399" s="9">
        <f t="shared" ca="1" si="166"/>
        <v>841.5301070827561</v>
      </c>
      <c r="W399">
        <f t="shared" si="167"/>
        <v>1226.116579043269</v>
      </c>
      <c r="X399" s="10">
        <f>'Книги профессий'!M161</f>
        <v>26</v>
      </c>
    </row>
    <row r="400" spans="1:24" x14ac:dyDescent="0.25">
      <c r="A400" s="23" t="str">
        <f>'Книги профессий'!K162&amp;" &lt; "&amp;'Книги профессий'!L162</f>
        <v>Магинарий - Прод &lt; Сирентис из Дарутана</v>
      </c>
      <c r="B400">
        <f>'Книги профессий'!N162</f>
        <v>509.64845732499992</v>
      </c>
      <c r="C400">
        <f>'Книги профессий'!I162</f>
        <v>7</v>
      </c>
      <c r="D400">
        <f t="shared" si="108"/>
        <v>14</v>
      </c>
      <c r="E400" t="str">
        <f t="shared" si="168"/>
        <v>$N$7</v>
      </c>
      <c r="F400">
        <f t="shared" ca="1" si="169"/>
        <v>880</v>
      </c>
      <c r="G400">
        <f t="shared" ca="1" si="170"/>
        <v>2.75</v>
      </c>
      <c r="H400">
        <f>'Модель v2 базовая'!$G$84</f>
        <v>500</v>
      </c>
      <c r="I400">
        <f t="shared" ca="1" si="171"/>
        <v>45.833333333333336</v>
      </c>
      <c r="J400">
        <v>10</v>
      </c>
      <c r="K400">
        <f>'Модель v2 базовая'!$E$84</f>
        <v>1.6666666666666667</v>
      </c>
      <c r="L400">
        <v>0.7</v>
      </c>
      <c r="M400">
        <f t="shared" si="163"/>
        <v>10</v>
      </c>
      <c r="N400">
        <f t="shared" ca="1" si="172"/>
        <v>8711.5237745249979</v>
      </c>
      <c r="O400">
        <f t="shared" ca="1" si="173"/>
        <v>871.15237745249976</v>
      </c>
      <c r="T400" s="3" t="str">
        <f t="shared" si="164"/>
        <v>Магинарий - Прод &lt; Сирентис из Дарутана</v>
      </c>
      <c r="U400" s="9">
        <f t="shared" si="165"/>
        <v>509.64845732499992</v>
      </c>
      <c r="V400" s="9">
        <f t="shared" ca="1" si="166"/>
        <v>871.15237745249976</v>
      </c>
      <c r="W400">
        <f t="shared" si="167"/>
        <v>1274.1211433124997</v>
      </c>
      <c r="X400" s="10">
        <f>'Книги профессий'!M162</f>
        <v>25</v>
      </c>
    </row>
    <row r="401" spans="1:24" x14ac:dyDescent="0.25">
      <c r="A401" s="23" t="str">
        <f>'Книги профессий'!K163&amp;" &lt; "&amp;'Книги профессий'!L163</f>
        <v>Магинарий - Прод &lt; Фаэрандор из Сарухана</v>
      </c>
      <c r="B401">
        <f>'Книги профессий'!N163</f>
        <v>530.45043517499994</v>
      </c>
      <c r="C401">
        <f>'Книги профессий'!I163</f>
        <v>8</v>
      </c>
      <c r="D401">
        <f t="shared" si="108"/>
        <v>14</v>
      </c>
      <c r="E401" t="str">
        <f t="shared" si="168"/>
        <v>$N$8</v>
      </c>
      <c r="F401">
        <f t="shared" ca="1" si="169"/>
        <v>1100</v>
      </c>
      <c r="G401">
        <f t="shared" ca="1" si="170"/>
        <v>3.4375</v>
      </c>
      <c r="H401">
        <f>'Модель v2 базовая'!$G$84</f>
        <v>500</v>
      </c>
      <c r="I401">
        <f t="shared" ca="1" si="171"/>
        <v>57.291666666666671</v>
      </c>
      <c r="J401">
        <v>10</v>
      </c>
      <c r="K401">
        <f>'Модель v2 базовая'!$E$84</f>
        <v>1.6666666666666667</v>
      </c>
      <c r="L401">
        <v>0.7</v>
      </c>
      <c r="M401">
        <f t="shared" si="163"/>
        <v>10</v>
      </c>
      <c r="N401">
        <f t="shared" ca="1" si="172"/>
        <v>9076.6157313083313</v>
      </c>
      <c r="O401">
        <f t="shared" ca="1" si="173"/>
        <v>907.66157313083318</v>
      </c>
      <c r="T401" s="3" t="str">
        <f t="shared" si="164"/>
        <v>Магинарий - Прод &lt; Фаэрандор из Сарухана</v>
      </c>
      <c r="U401" s="9">
        <f t="shared" si="165"/>
        <v>530.45043517499994</v>
      </c>
      <c r="V401" s="9">
        <f t="shared" ca="1" si="166"/>
        <v>907.66157313083318</v>
      </c>
      <c r="W401">
        <f t="shared" si="167"/>
        <v>1326.1260879375</v>
      </c>
      <c r="X401" s="10">
        <f>'Книги профессий'!M163</f>
        <v>24</v>
      </c>
    </row>
    <row r="402" spans="1:24" x14ac:dyDescent="0.25">
      <c r="A402" s="23" t="str">
        <f>'Книги профессий'!K164&amp;" &lt; "&amp;'Книги профессий'!L164</f>
        <v>Магинарий - Прод &lt; Алэрион из Лорена</v>
      </c>
      <c r="B402">
        <f>'Книги профессий'!N164</f>
        <v>553.06128066413032</v>
      </c>
      <c r="C402">
        <f>'Книги профессий'!I164</f>
        <v>9</v>
      </c>
      <c r="D402">
        <f t="shared" si="108"/>
        <v>14</v>
      </c>
      <c r="E402" t="str">
        <f t="shared" si="168"/>
        <v>$N$9</v>
      </c>
      <c r="F402">
        <f t="shared" ca="1" si="169"/>
        <v>1300</v>
      </c>
      <c r="G402">
        <f t="shared" ca="1" si="170"/>
        <v>4.0625</v>
      </c>
      <c r="H402">
        <f>'Модель v2 базовая'!$G$84</f>
        <v>500</v>
      </c>
      <c r="I402">
        <f t="shared" ca="1" si="171"/>
        <v>67.708333333333343</v>
      </c>
      <c r="J402">
        <v>10</v>
      </c>
      <c r="K402">
        <f>'Модель v2 базовая'!$E$84</f>
        <v>1.6666666666666667</v>
      </c>
      <c r="L402">
        <v>0.7</v>
      </c>
      <c r="M402">
        <f t="shared" si="163"/>
        <v>10</v>
      </c>
      <c r="N402">
        <f t="shared" ca="1" si="172"/>
        <v>9471.4167712902145</v>
      </c>
      <c r="O402">
        <f t="shared" ca="1" si="173"/>
        <v>947.14167712902145</v>
      </c>
      <c r="T402" s="3" t="str">
        <f t="shared" si="164"/>
        <v>Магинарий - Прод &lt; Алэрион из Лорена</v>
      </c>
      <c r="U402" s="9">
        <f t="shared" si="165"/>
        <v>553.06128066413032</v>
      </c>
      <c r="V402" s="9">
        <f t="shared" ca="1" si="166"/>
        <v>947.14167712902145</v>
      </c>
      <c r="W402">
        <f t="shared" si="167"/>
        <v>1382.6532016603257</v>
      </c>
      <c r="X402" s="10">
        <f>'Книги профессий'!M164</f>
        <v>23</v>
      </c>
    </row>
    <row r="403" spans="1:24" x14ac:dyDescent="0.25">
      <c r="A403" s="23" t="str">
        <f>'Книги профессий'!K165&amp;" &lt; "&amp;'Книги профессий'!L165</f>
        <v>Магинарий - Прод &lt; Лиресса из Самардейла</v>
      </c>
      <c r="B403">
        <f>'Книги профессий'!N165</f>
        <v>577.72765756136346</v>
      </c>
      <c r="C403">
        <f>'Книги профессий'!I165</f>
        <v>10</v>
      </c>
      <c r="D403">
        <f t="shared" si="108"/>
        <v>14</v>
      </c>
      <c r="E403" t="str">
        <f t="shared" si="168"/>
        <v>$N$10</v>
      </c>
      <c r="F403">
        <f t="shared" ca="1" si="169"/>
        <v>760</v>
      </c>
      <c r="G403">
        <f t="shared" ca="1" si="170"/>
        <v>2.375</v>
      </c>
      <c r="H403">
        <f>'Модель v2 базовая'!$G$84</f>
        <v>500</v>
      </c>
      <c r="I403">
        <f t="shared" ca="1" si="171"/>
        <v>39.583333333333336</v>
      </c>
      <c r="J403">
        <v>10</v>
      </c>
      <c r="K403">
        <f>'Модель v2 базовая'!$E$84</f>
        <v>1.6666666666666667</v>
      </c>
      <c r="L403">
        <v>0.7</v>
      </c>
      <c r="M403">
        <f t="shared" si="163"/>
        <v>0</v>
      </c>
      <c r="N403">
        <f t="shared" ca="1" si="172"/>
        <v>9862.6201785431767</v>
      </c>
      <c r="O403">
        <f t="shared" ca="1" si="173"/>
        <v>986.26201785431772</v>
      </c>
      <c r="T403" s="3" t="str">
        <f t="shared" si="164"/>
        <v>Магинарий - Прод &lt; Лиресса из Самардейла</v>
      </c>
      <c r="U403" s="9">
        <f t="shared" si="165"/>
        <v>577.72765756136346</v>
      </c>
      <c r="V403" s="9">
        <f t="shared" ca="1" si="166"/>
        <v>986.26201785431772</v>
      </c>
      <c r="W403">
        <f t="shared" si="167"/>
        <v>1444.3191439034085</v>
      </c>
      <c r="X403" s="10">
        <f>'Книги профессий'!M165</f>
        <v>22</v>
      </c>
    </row>
    <row r="404" spans="1:24" x14ac:dyDescent="0.25">
      <c r="A404" s="23" t="str">
        <f>'Книги профессий'!K166&amp;" &lt; "&amp;'Книги профессий'!L166</f>
        <v>Магинарий - Прод &lt; Фиорелла из Гвадекуры</v>
      </c>
      <c r="B404">
        <f>'Книги профессий'!N166</f>
        <v>604.74321321071409</v>
      </c>
      <c r="C404">
        <f>'Книги профессий'!I166</f>
        <v>11</v>
      </c>
      <c r="D404">
        <f t="shared" si="108"/>
        <v>14</v>
      </c>
      <c r="E404" t="str">
        <f t="shared" si="168"/>
        <v>$N$11</v>
      </c>
      <c r="F404">
        <f t="shared" ca="1" si="169"/>
        <v>880</v>
      </c>
      <c r="G404">
        <f t="shared" ca="1" si="170"/>
        <v>2.75</v>
      </c>
      <c r="H404">
        <f>'Модель v2 базовая'!$G$84</f>
        <v>500</v>
      </c>
      <c r="I404">
        <f t="shared" ca="1" si="171"/>
        <v>45.833333333333336</v>
      </c>
      <c r="J404">
        <v>10</v>
      </c>
      <c r="K404">
        <f>'Модель v2 базовая'!$E$84</f>
        <v>1.6666666666666667</v>
      </c>
      <c r="L404">
        <v>0.7</v>
      </c>
      <c r="M404">
        <f t="shared" si="163"/>
        <v>0</v>
      </c>
      <c r="N404">
        <f t="shared" ca="1" si="172"/>
        <v>10328.134624582141</v>
      </c>
      <c r="O404">
        <f t="shared" ca="1" si="173"/>
        <v>1032.813462458214</v>
      </c>
      <c r="T404" s="3" t="str">
        <f t="shared" si="164"/>
        <v>Магинарий - Прод &lt; Фиорелла из Гвадекуры</v>
      </c>
      <c r="U404" s="9">
        <f t="shared" si="165"/>
        <v>604.74321321071409</v>
      </c>
      <c r="V404" s="9">
        <f t="shared" ca="1" si="166"/>
        <v>1032.813462458214</v>
      </c>
      <c r="W404">
        <f t="shared" si="167"/>
        <v>1511.8580330267853</v>
      </c>
      <c r="X404" s="10">
        <f>'Книги профессий'!M166</f>
        <v>21</v>
      </c>
    </row>
    <row r="405" spans="1:24" x14ac:dyDescent="0.25">
      <c r="A405" s="23" t="str">
        <f>'Книги профессий'!K167&amp;" &lt; "&amp;'Книги профессий'!L167</f>
        <v>Магинарий - Прод &lt; Иллириан из Ранджар-ара</v>
      </c>
      <c r="B405">
        <f>'Книги профессий'!N167</f>
        <v>634.46032442499984</v>
      </c>
      <c r="C405">
        <f>'Книги профессий'!I167</f>
        <v>12</v>
      </c>
      <c r="D405">
        <f t="shared" si="108"/>
        <v>14</v>
      </c>
      <c r="E405" t="str">
        <f t="shared" si="168"/>
        <v>$N$12</v>
      </c>
      <c r="F405">
        <f t="shared" ca="1" si="169"/>
        <v>400</v>
      </c>
      <c r="G405">
        <f t="shared" ca="1" si="170"/>
        <v>1.25</v>
      </c>
      <c r="H405">
        <f>'Модель v2 базовая'!$G$84</f>
        <v>500</v>
      </c>
      <c r="I405">
        <f t="shared" ca="1" si="171"/>
        <v>20.833333333333336</v>
      </c>
      <c r="J405">
        <v>10</v>
      </c>
      <c r="K405">
        <f>'Модель v2 базовая'!$E$84</f>
        <v>1.6666666666666667</v>
      </c>
      <c r="L405">
        <v>0.7</v>
      </c>
      <c r="M405">
        <f t="shared" si="163"/>
        <v>0</v>
      </c>
      <c r="N405">
        <f t="shared" ca="1" si="172"/>
        <v>10808.325515224997</v>
      </c>
      <c r="O405">
        <f t="shared" ca="1" si="173"/>
        <v>1080.8325515224997</v>
      </c>
      <c r="T405" s="3" t="str">
        <f t="shared" si="164"/>
        <v>Магинарий - Прод &lt; Иллириан из Ранджар-ара</v>
      </c>
      <c r="U405" s="9">
        <f t="shared" si="165"/>
        <v>634.46032442499984</v>
      </c>
      <c r="V405" s="9">
        <f t="shared" ca="1" si="166"/>
        <v>1080.8325515224997</v>
      </c>
      <c r="W405">
        <f t="shared" si="167"/>
        <v>1586.1508110624995</v>
      </c>
      <c r="X405" s="10">
        <f>'Книги профессий'!M167</f>
        <v>20</v>
      </c>
    </row>
    <row r="406" spans="1:24" x14ac:dyDescent="0.25">
      <c r="A406" s="23" t="str">
        <f>'Книги профессий'!K168&amp;" &lt; "&amp;'Книги профессий'!L168</f>
        <v>Магинарий - Прод &lt; Тиандор из Садата</v>
      </c>
      <c r="B406">
        <f>'Книги профессий'!N168</f>
        <v>667.30555260921028</v>
      </c>
      <c r="C406">
        <f>'Книги профессий'!I168</f>
        <v>13</v>
      </c>
      <c r="D406">
        <f t="shared" si="108"/>
        <v>14</v>
      </c>
      <c r="E406" t="str">
        <f t="shared" si="168"/>
        <v>$N$13</v>
      </c>
      <c r="F406">
        <f t="shared" ca="1" si="169"/>
        <v>880</v>
      </c>
      <c r="G406">
        <f t="shared" ca="1" si="170"/>
        <v>2.75</v>
      </c>
      <c r="H406">
        <f>'Модель v2 базовая'!$G$84</f>
        <v>500</v>
      </c>
      <c r="I406">
        <f t="shared" ca="1" si="171"/>
        <v>45.833333333333336</v>
      </c>
      <c r="J406">
        <v>10</v>
      </c>
      <c r="K406">
        <f>'Модель v2 базовая'!$E$84</f>
        <v>1.6666666666666667</v>
      </c>
      <c r="L406">
        <v>0.7</v>
      </c>
      <c r="M406">
        <f t="shared" ref="M406:M469" si="174">IF(OR(AND(D406&gt;9,C406&lt;=9),AND(D406&lt;9,C406&gt;=9)),10,0)</f>
        <v>0</v>
      </c>
      <c r="N406">
        <f t="shared" ca="1" si="172"/>
        <v>11391.694394356575</v>
      </c>
      <c r="O406">
        <f t="shared" ca="1" si="173"/>
        <v>1139.1694394356575</v>
      </c>
      <c r="T406" s="3" t="str">
        <f t="shared" si="164"/>
        <v>Магинарий - Прод &lt; Тиандор из Садата</v>
      </c>
      <c r="U406" s="9">
        <f t="shared" si="165"/>
        <v>667.30555260921028</v>
      </c>
      <c r="V406" s="9">
        <f t="shared" ca="1" si="166"/>
        <v>1139.1694394356575</v>
      </c>
      <c r="W406">
        <f t="shared" si="167"/>
        <v>1668.2638815230257</v>
      </c>
      <c r="X406" s="10">
        <f>'Книги профессий'!M168</f>
        <v>19</v>
      </c>
    </row>
    <row r="407" spans="1:24" x14ac:dyDescent="0.25">
      <c r="A407" s="23" t="str">
        <f>'Книги профессий'!K169&amp;" &lt; "&amp;'Книги профессий'!L169</f>
        <v>Магинарий - Прод &lt; Галадрон из Столицы</v>
      </c>
      <c r="B407">
        <f>'Книги профессий'!N169</f>
        <v>703.80025059166655</v>
      </c>
      <c r="C407">
        <f>'Книги профессий'!I169</f>
        <v>14</v>
      </c>
      <c r="D407">
        <f t="shared" si="108"/>
        <v>14</v>
      </c>
      <c r="E407" t="str">
        <f t="shared" si="168"/>
        <v>$N$14</v>
      </c>
      <c r="F407">
        <f t="shared" ca="1" si="169"/>
        <v>0</v>
      </c>
      <c r="G407">
        <f t="shared" ca="1" si="170"/>
        <v>0</v>
      </c>
      <c r="H407">
        <f>'Модель v2 базовая'!$G$84</f>
        <v>500</v>
      </c>
      <c r="I407">
        <f t="shared" ca="1" si="171"/>
        <v>0</v>
      </c>
      <c r="J407">
        <v>10</v>
      </c>
      <c r="K407">
        <f>'Модель v2 базовая'!$E$84</f>
        <v>1.6666666666666667</v>
      </c>
      <c r="L407">
        <v>0.7</v>
      </c>
      <c r="M407">
        <f t="shared" si="174"/>
        <v>0</v>
      </c>
      <c r="N407">
        <f t="shared" ca="1" si="172"/>
        <v>7038.0025059166655</v>
      </c>
      <c r="O407">
        <f t="shared" ca="1" si="173"/>
        <v>703.80025059166655</v>
      </c>
      <c r="T407" s="3" t="str">
        <f t="shared" si="164"/>
        <v>Магинарий - Прод &lt; Галадрон из Столицы</v>
      </c>
      <c r="U407" s="9">
        <f t="shared" si="165"/>
        <v>703.80025059166655</v>
      </c>
      <c r="V407" s="9">
        <f t="shared" ca="1" si="166"/>
        <v>703.80025059166655</v>
      </c>
      <c r="W407">
        <f t="shared" si="167"/>
        <v>1759.5006264791664</v>
      </c>
      <c r="X407" s="10">
        <f>'Книги профессий'!M169</f>
        <v>18</v>
      </c>
    </row>
    <row r="408" spans="1:24" x14ac:dyDescent="0.25">
      <c r="A408" s="23" t="str">
        <f>'Книги профессий'!K170&amp;" &lt; "&amp;'Книги профессий'!L170</f>
        <v>Магинарий - Мастер &lt; Эльмарин из Люг-о-дана</v>
      </c>
      <c r="B408">
        <f>'Книги профессий'!N170</f>
        <v>480.12306940887089</v>
      </c>
      <c r="C408">
        <f>'Книги профессий'!I170</f>
        <v>3</v>
      </c>
      <c r="D408">
        <f t="shared" si="108"/>
        <v>14</v>
      </c>
      <c r="E408" t="str">
        <f t="shared" si="168"/>
        <v>$N$3</v>
      </c>
      <c r="F408">
        <f t="shared" ca="1" si="169"/>
        <v>680</v>
      </c>
      <c r="G408">
        <f t="shared" ca="1" si="170"/>
        <v>2.125</v>
      </c>
      <c r="H408">
        <f>'Модель v2 базовая'!$G$84</f>
        <v>500</v>
      </c>
      <c r="I408">
        <f t="shared" ca="1" si="171"/>
        <v>35.416666666666671</v>
      </c>
      <c r="J408">
        <v>10</v>
      </c>
      <c r="K408">
        <f>'Модель v2 базовая'!$E$84</f>
        <v>1.6666666666666667</v>
      </c>
      <c r="L408">
        <v>0.7</v>
      </c>
      <c r="M408">
        <f t="shared" si="174"/>
        <v>10</v>
      </c>
      <c r="N408">
        <f t="shared" ca="1" si="172"/>
        <v>8199.1755132841372</v>
      </c>
      <c r="O408">
        <f t="shared" ca="1" si="173"/>
        <v>819.91755132841377</v>
      </c>
      <c r="T408" s="3" t="str">
        <f t="shared" si="164"/>
        <v>Магинарий - Мастер &lt; Эльмарин из Люг-о-дана</v>
      </c>
      <c r="U408" s="9">
        <f t="shared" si="165"/>
        <v>480.12306940887089</v>
      </c>
      <c r="V408" s="9">
        <f t="shared" ca="1" si="166"/>
        <v>819.91755132841377</v>
      </c>
      <c r="W408">
        <f t="shared" si="167"/>
        <v>1200.3076735221773</v>
      </c>
      <c r="X408" s="10">
        <f>'Книги профессий'!M170</f>
        <v>31</v>
      </c>
    </row>
    <row r="409" spans="1:24" x14ac:dyDescent="0.25">
      <c r="A409" s="23" t="str">
        <f>'Книги профессий'!K171&amp;" &lt; "&amp;'Книги профессий'!L171</f>
        <v>Магинарий - Мастер &lt; Телестра из Шихона</v>
      </c>
      <c r="B409">
        <f>'Книги профессий'!N171</f>
        <v>495.78047209166658</v>
      </c>
      <c r="C409">
        <f>'Книги профессий'!I171</f>
        <v>4</v>
      </c>
      <c r="D409">
        <f t="shared" si="108"/>
        <v>14</v>
      </c>
      <c r="E409" t="str">
        <f t="shared" si="168"/>
        <v>$N$4</v>
      </c>
      <c r="F409">
        <f t="shared" ca="1" si="169"/>
        <v>900</v>
      </c>
      <c r="G409">
        <f t="shared" ca="1" si="170"/>
        <v>2.8125</v>
      </c>
      <c r="H409">
        <f>'Модель v2 базовая'!$G$84</f>
        <v>500</v>
      </c>
      <c r="I409">
        <f t="shared" ca="1" si="171"/>
        <v>46.875</v>
      </c>
      <c r="J409">
        <v>10</v>
      </c>
      <c r="K409">
        <f>'Модель v2 базовая'!$E$84</f>
        <v>1.6666666666666667</v>
      </c>
      <c r="L409">
        <v>0.7</v>
      </c>
      <c r="M409">
        <f t="shared" si="174"/>
        <v>10</v>
      </c>
      <c r="N409">
        <f t="shared" ca="1" si="172"/>
        <v>8476.8096922249988</v>
      </c>
      <c r="O409">
        <f t="shared" ca="1" si="173"/>
        <v>847.68096922249993</v>
      </c>
      <c r="T409" s="3" t="str">
        <f t="shared" si="164"/>
        <v>Магинарий - Мастер &lt; Телестра из Шихона</v>
      </c>
      <c r="U409" s="9">
        <f t="shared" si="165"/>
        <v>495.78047209166658</v>
      </c>
      <c r="V409" s="9">
        <f t="shared" ca="1" si="166"/>
        <v>847.68096922249993</v>
      </c>
      <c r="W409">
        <f t="shared" si="167"/>
        <v>1239.4511802291665</v>
      </c>
      <c r="X409" s="10">
        <f>'Книги профессий'!M171</f>
        <v>30</v>
      </c>
    </row>
    <row r="410" spans="1:24" x14ac:dyDescent="0.25">
      <c r="A410" s="23" t="str">
        <f>'Книги профессий'!K172&amp;" &lt; "&amp;'Книги профессий'!L172</f>
        <v>Магинарий - Мастер &lt; Тиандор из Готуна</v>
      </c>
      <c r="B410">
        <f>'Книги профессий'!N172</f>
        <v>512.51769564913786</v>
      </c>
      <c r="C410">
        <f>'Книги профессий'!I172</f>
        <v>5</v>
      </c>
      <c r="D410">
        <f t="shared" si="108"/>
        <v>14</v>
      </c>
      <c r="E410" t="str">
        <f t="shared" si="168"/>
        <v>$N$5</v>
      </c>
      <c r="F410">
        <f t="shared" ca="1" si="169"/>
        <v>980</v>
      </c>
      <c r="G410">
        <f t="shared" ca="1" si="170"/>
        <v>3.0625</v>
      </c>
      <c r="H410">
        <f>'Модель v2 базовая'!$G$84</f>
        <v>500</v>
      </c>
      <c r="I410">
        <f t="shared" ca="1" si="171"/>
        <v>51.041666666666671</v>
      </c>
      <c r="J410">
        <v>10</v>
      </c>
      <c r="K410">
        <f>'Модель v2 базовая'!$E$84</f>
        <v>1.6666666666666667</v>
      </c>
      <c r="L410">
        <v>0.7</v>
      </c>
      <c r="M410">
        <f t="shared" si="174"/>
        <v>10</v>
      </c>
      <c r="N410">
        <f t="shared" ca="1" si="172"/>
        <v>8765.5091593686757</v>
      </c>
      <c r="O410">
        <f t="shared" ca="1" si="173"/>
        <v>876.55091593686757</v>
      </c>
      <c r="T410" s="3" t="str">
        <f t="shared" si="164"/>
        <v>Магинарий - Мастер &lt; Тиандор из Готуна</v>
      </c>
      <c r="U410" s="9">
        <f t="shared" si="165"/>
        <v>512.51769564913786</v>
      </c>
      <c r="V410" s="9">
        <f t="shared" ca="1" si="166"/>
        <v>876.55091593686757</v>
      </c>
      <c r="W410">
        <f t="shared" si="167"/>
        <v>1281.2942391228446</v>
      </c>
      <c r="X410" s="10">
        <f>'Книги профессий'!M172</f>
        <v>29</v>
      </c>
    </row>
    <row r="411" spans="1:24" x14ac:dyDescent="0.25">
      <c r="A411" s="23" t="str">
        <f>'Книги профессий'!K173&amp;" &lt; "&amp;'Книги профессий'!L173</f>
        <v>Магинарий - Мастер &lt; Тирентис из Фидваго</v>
      </c>
      <c r="B411">
        <f>'Книги профессий'!N173</f>
        <v>530.45043517499994</v>
      </c>
      <c r="C411">
        <f>'Книги профессий'!I173</f>
        <v>6</v>
      </c>
      <c r="D411">
        <f t="shared" si="108"/>
        <v>14</v>
      </c>
      <c r="E411" t="str">
        <f t="shared" si="168"/>
        <v>$N$6</v>
      </c>
      <c r="F411">
        <f t="shared" ca="1" si="169"/>
        <v>1460</v>
      </c>
      <c r="G411">
        <f t="shared" ca="1" si="170"/>
        <v>4.5625</v>
      </c>
      <c r="H411">
        <f>'Модель v2 базовая'!$G$84</f>
        <v>500</v>
      </c>
      <c r="I411">
        <f t="shared" ca="1" si="171"/>
        <v>76.041666666666671</v>
      </c>
      <c r="J411">
        <v>10</v>
      </c>
      <c r="K411">
        <f>'Модель v2 базовая'!$E$84</f>
        <v>1.6666666666666667</v>
      </c>
      <c r="L411">
        <v>0.7</v>
      </c>
      <c r="M411">
        <f t="shared" si="174"/>
        <v>10</v>
      </c>
      <c r="N411">
        <f t="shared" ca="1" si="172"/>
        <v>9095.3657313083313</v>
      </c>
      <c r="O411">
        <f t="shared" ca="1" si="173"/>
        <v>909.53657313083318</v>
      </c>
      <c r="T411" s="3" t="str">
        <f t="shared" si="164"/>
        <v>Магинарий - Мастер &lt; Тирентис из Фидваго</v>
      </c>
      <c r="U411" s="9">
        <f t="shared" si="165"/>
        <v>530.45043517499994</v>
      </c>
      <c r="V411" s="9">
        <f t="shared" ca="1" si="166"/>
        <v>909.53657313083318</v>
      </c>
      <c r="W411">
        <f t="shared" si="167"/>
        <v>1326.1260879375</v>
      </c>
      <c r="X411" s="10">
        <f>'Книги профессий'!M173</f>
        <v>28</v>
      </c>
    </row>
    <row r="412" spans="1:24" x14ac:dyDescent="0.25">
      <c r="A412" s="23" t="str">
        <f>'Книги профессий'!K174&amp;" &lt; "&amp;'Книги профессий'!L174</f>
        <v>Магинарий - Мастер &lt; Фиора из Дарутана</v>
      </c>
      <c r="B412">
        <f>'Книги профессий'!N174</f>
        <v>549.71152577685166</v>
      </c>
      <c r="C412">
        <f>'Книги профессий'!I174</f>
        <v>7</v>
      </c>
      <c r="D412">
        <f t="shared" si="108"/>
        <v>14</v>
      </c>
      <c r="E412" t="str">
        <f t="shared" si="168"/>
        <v>$N$7</v>
      </c>
      <c r="F412">
        <f t="shared" ca="1" si="169"/>
        <v>880</v>
      </c>
      <c r="G412">
        <f t="shared" ca="1" si="170"/>
        <v>2.75</v>
      </c>
      <c r="H412">
        <f>'Модель v2 базовая'!$G$84</f>
        <v>500</v>
      </c>
      <c r="I412">
        <f t="shared" ca="1" si="171"/>
        <v>45.833333333333336</v>
      </c>
      <c r="J412">
        <v>10</v>
      </c>
      <c r="K412">
        <f>'Модель v2 базовая'!$E$84</f>
        <v>1.6666666666666667</v>
      </c>
      <c r="L412">
        <v>0.7</v>
      </c>
      <c r="M412">
        <f t="shared" si="174"/>
        <v>10</v>
      </c>
      <c r="N412">
        <f t="shared" ca="1" si="172"/>
        <v>9392.5959382064793</v>
      </c>
      <c r="O412">
        <f t="shared" ca="1" si="173"/>
        <v>939.25959382064798</v>
      </c>
      <c r="T412" s="3" t="str">
        <f t="shared" si="164"/>
        <v>Магинарий - Мастер &lt; Фиора из Дарутана</v>
      </c>
      <c r="U412" s="9">
        <f t="shared" si="165"/>
        <v>549.71152577685166</v>
      </c>
      <c r="V412" s="9">
        <f t="shared" ca="1" si="166"/>
        <v>939.25959382064798</v>
      </c>
      <c r="W412">
        <f t="shared" si="167"/>
        <v>1374.2788144421293</v>
      </c>
      <c r="X412" s="10">
        <f>'Книги профессий'!M174</f>
        <v>27</v>
      </c>
    </row>
    <row r="413" spans="1:24" x14ac:dyDescent="0.25">
      <c r="A413" s="23" t="str">
        <f>'Книги профессий'!K175&amp;" &lt; "&amp;'Книги профессий'!L175</f>
        <v>Магинарий - Мастер &lt; Иссиэль из Сарухана</v>
      </c>
      <c r="B413">
        <f>'Книги профессий'!N175</f>
        <v>570.45423873269215</v>
      </c>
      <c r="C413">
        <f>'Книги профессий'!I175</f>
        <v>8</v>
      </c>
      <c r="D413">
        <f t="shared" si="108"/>
        <v>14</v>
      </c>
      <c r="E413" t="str">
        <f t="shared" ref="E413:E443" si="175" xml:space="preserve"> ADDRESS(C413,D413)</f>
        <v>$N$8</v>
      </c>
      <c r="F413">
        <f t="shared" ref="F413:F443" ca="1" si="176">INDIRECT(E413)</f>
        <v>1100</v>
      </c>
      <c r="G413">
        <f t="shared" ref="G413:G443" ca="1" si="177">F413/320</f>
        <v>3.4375</v>
      </c>
      <c r="H413">
        <f>'Модель v2 базовая'!$G$84</f>
        <v>500</v>
      </c>
      <c r="I413">
        <f t="shared" ref="I413:I443" ca="1" si="178">H413/30*G413</f>
        <v>57.291666666666671</v>
      </c>
      <c r="J413">
        <v>10</v>
      </c>
      <c r="K413">
        <f>'Модель v2 базовая'!$E$84</f>
        <v>1.6666666666666667</v>
      </c>
      <c r="L413">
        <v>0.7</v>
      </c>
      <c r="M413">
        <f t="shared" si="174"/>
        <v>10</v>
      </c>
      <c r="N413">
        <f t="shared" ref="N413:N443" ca="1" si="179">IF(G413=0, B413*J413, B413*J413+(B413*J413*L413)+I413+K413)</f>
        <v>9756.6803917890975</v>
      </c>
      <c r="O413">
        <f t="shared" ref="O413:O443" ca="1" si="180">N413/J413</f>
        <v>975.66803917890979</v>
      </c>
      <c r="T413" s="3" t="str">
        <f t="shared" si="164"/>
        <v>Магинарий - Мастер &lt; Иссиэль из Сарухана</v>
      </c>
      <c r="U413" s="9">
        <f t="shared" si="165"/>
        <v>570.45423873269215</v>
      </c>
      <c r="V413" s="9">
        <f t="shared" ca="1" si="166"/>
        <v>975.66803917890979</v>
      </c>
      <c r="W413">
        <f t="shared" si="167"/>
        <v>1426.1355968317303</v>
      </c>
      <c r="X413" s="10">
        <f>'Книги профессий'!M175</f>
        <v>26</v>
      </c>
    </row>
    <row r="414" spans="1:24" x14ac:dyDescent="0.25">
      <c r="A414" s="23" t="str">
        <f>'Книги профессий'!K176&amp;" &lt; "&amp;'Книги профессий'!L176</f>
        <v>Магинарий - Мастер &lt; Илириана из Лорена</v>
      </c>
      <c r="B414">
        <f>'Книги профессий'!N176</f>
        <v>592.85636872499992</v>
      </c>
      <c r="C414">
        <f>'Книги профессий'!I176</f>
        <v>9</v>
      </c>
      <c r="D414">
        <f t="shared" si="108"/>
        <v>14</v>
      </c>
      <c r="E414" t="str">
        <f t="shared" si="175"/>
        <v>$N$9</v>
      </c>
      <c r="F414">
        <f t="shared" ca="1" si="176"/>
        <v>1300</v>
      </c>
      <c r="G414">
        <f t="shared" ca="1" si="177"/>
        <v>4.0625</v>
      </c>
      <c r="H414">
        <f>'Модель v2 базовая'!$G$84</f>
        <v>500</v>
      </c>
      <c r="I414">
        <f t="shared" ca="1" si="178"/>
        <v>67.708333333333343</v>
      </c>
      <c r="J414">
        <v>10</v>
      </c>
      <c r="K414">
        <f>'Модель v2 базовая'!$E$84</f>
        <v>1.6666666666666667</v>
      </c>
      <c r="L414">
        <v>0.7</v>
      </c>
      <c r="M414">
        <f t="shared" si="174"/>
        <v>10</v>
      </c>
      <c r="N414">
        <f t="shared" ca="1" si="179"/>
        <v>10147.933268324998</v>
      </c>
      <c r="O414">
        <f t="shared" ca="1" si="180"/>
        <v>1014.7933268324998</v>
      </c>
      <c r="T414" s="3" t="str">
        <f t="shared" si="164"/>
        <v>Магинарий - Мастер &lt; Илириана из Лорена</v>
      </c>
      <c r="U414" s="9">
        <f t="shared" si="165"/>
        <v>592.85636872499992</v>
      </c>
      <c r="V414" s="9">
        <f t="shared" ca="1" si="166"/>
        <v>1014.7933268324998</v>
      </c>
      <c r="W414">
        <f t="shared" si="167"/>
        <v>1482.1409218124998</v>
      </c>
      <c r="X414" s="10">
        <f>'Книги профессий'!M176</f>
        <v>25</v>
      </c>
    </row>
    <row r="415" spans="1:24" x14ac:dyDescent="0.25">
      <c r="A415" s="23" t="str">
        <f>'Книги профессий'!K177&amp;" &lt; "&amp;'Книги профессий'!L177</f>
        <v>Магинарий - Мастер &lt; Эмелиан из Самардейла</v>
      </c>
      <c r="B415">
        <f>'Книги профессий'!N177</f>
        <v>617.12534288333325</v>
      </c>
      <c r="C415">
        <f>'Книги профессий'!I177</f>
        <v>10</v>
      </c>
      <c r="D415">
        <f t="shared" si="108"/>
        <v>14</v>
      </c>
      <c r="E415" t="str">
        <f t="shared" si="175"/>
        <v>$N$10</v>
      </c>
      <c r="F415">
        <f t="shared" ca="1" si="176"/>
        <v>760</v>
      </c>
      <c r="G415">
        <f t="shared" ca="1" si="177"/>
        <v>2.375</v>
      </c>
      <c r="H415">
        <f>'Модель v2 базовая'!$G$84</f>
        <v>500</v>
      </c>
      <c r="I415">
        <f t="shared" ca="1" si="178"/>
        <v>39.583333333333336</v>
      </c>
      <c r="J415">
        <v>10</v>
      </c>
      <c r="K415">
        <f>'Модель v2 базовая'!$E$84</f>
        <v>1.6666666666666667</v>
      </c>
      <c r="L415">
        <v>0.7</v>
      </c>
      <c r="M415">
        <f t="shared" si="174"/>
        <v>0</v>
      </c>
      <c r="N415">
        <f t="shared" ca="1" si="179"/>
        <v>10532.380829016665</v>
      </c>
      <c r="O415">
        <f t="shared" ca="1" si="180"/>
        <v>1053.2380829016665</v>
      </c>
      <c r="T415" s="3" t="str">
        <f t="shared" si="164"/>
        <v>Магинарий - Мастер &lt; Эмелиан из Самардейла</v>
      </c>
      <c r="U415" s="9">
        <f t="shared" si="165"/>
        <v>617.12534288333325</v>
      </c>
      <c r="V415" s="9">
        <f t="shared" ca="1" si="166"/>
        <v>1053.2380829016665</v>
      </c>
      <c r="W415">
        <f t="shared" si="167"/>
        <v>1542.8133572083332</v>
      </c>
      <c r="X415" s="10">
        <f>'Книги профессий'!M177</f>
        <v>24</v>
      </c>
    </row>
    <row r="416" spans="1:24" x14ac:dyDescent="0.25">
      <c r="A416" s="23" t="str">
        <f>'Книги профессий'!K178&amp;" &lt; "&amp;'Книги профессий'!L178</f>
        <v>Магинарий - Мастер &lt; Сиренна из Гвадекуры</v>
      </c>
      <c r="B416">
        <f>'Книги профессий'!N178</f>
        <v>643.50466262065208</v>
      </c>
      <c r="C416">
        <f>'Книги профессий'!I178</f>
        <v>11</v>
      </c>
      <c r="D416">
        <f t="shared" si="108"/>
        <v>14</v>
      </c>
      <c r="E416" t="str">
        <f t="shared" si="175"/>
        <v>$N$11</v>
      </c>
      <c r="F416">
        <f t="shared" ca="1" si="176"/>
        <v>880</v>
      </c>
      <c r="G416">
        <f t="shared" ca="1" si="177"/>
        <v>2.75</v>
      </c>
      <c r="H416">
        <f>'Модель v2 базовая'!$G$84</f>
        <v>500</v>
      </c>
      <c r="I416">
        <f t="shared" ca="1" si="178"/>
        <v>45.833333333333336</v>
      </c>
      <c r="J416">
        <v>10</v>
      </c>
      <c r="K416">
        <f>'Модель v2 базовая'!$E$84</f>
        <v>1.6666666666666667</v>
      </c>
      <c r="L416">
        <v>0.7</v>
      </c>
      <c r="M416">
        <f t="shared" si="174"/>
        <v>0</v>
      </c>
      <c r="N416">
        <f t="shared" ca="1" si="179"/>
        <v>10987.079264551085</v>
      </c>
      <c r="O416">
        <f t="shared" ca="1" si="180"/>
        <v>1098.7079264551085</v>
      </c>
      <c r="T416" s="3" t="str">
        <f t="shared" si="164"/>
        <v>Магинарий - Мастер &lt; Сиренна из Гвадекуры</v>
      </c>
      <c r="U416" s="9">
        <f t="shared" si="165"/>
        <v>643.50466262065208</v>
      </c>
      <c r="V416" s="9">
        <f t="shared" ca="1" si="166"/>
        <v>1098.7079264551085</v>
      </c>
      <c r="W416">
        <f t="shared" si="167"/>
        <v>1608.7616565516303</v>
      </c>
      <c r="X416" s="10">
        <f>'Книги профессий'!M178</f>
        <v>23</v>
      </c>
    </row>
    <row r="417" spans="1:24" x14ac:dyDescent="0.25">
      <c r="A417" s="23" t="str">
        <f>'Книги профессий'!K179&amp;" &lt; "&amp;'Книги профессий'!L179</f>
        <v>Магинарий - Мастер &lt; Лиссандра из Ранджар-ара</v>
      </c>
      <c r="B417">
        <f>'Книги профессий'!N179</f>
        <v>672.28210233409084</v>
      </c>
      <c r="C417">
        <f>'Книги профессий'!I179</f>
        <v>12</v>
      </c>
      <c r="D417">
        <f t="shared" si="108"/>
        <v>14</v>
      </c>
      <c r="E417" t="str">
        <f t="shared" si="175"/>
        <v>$N$12</v>
      </c>
      <c r="F417">
        <f t="shared" ca="1" si="176"/>
        <v>400</v>
      </c>
      <c r="G417">
        <f t="shared" ca="1" si="177"/>
        <v>1.25</v>
      </c>
      <c r="H417">
        <f>'Модель v2 базовая'!$G$84</f>
        <v>500</v>
      </c>
      <c r="I417">
        <f t="shared" ca="1" si="178"/>
        <v>20.833333333333336</v>
      </c>
      <c r="J417">
        <v>10</v>
      </c>
      <c r="K417">
        <f>'Модель v2 базовая'!$E$84</f>
        <v>1.6666666666666667</v>
      </c>
      <c r="L417">
        <v>0.7</v>
      </c>
      <c r="M417">
        <f t="shared" si="174"/>
        <v>0</v>
      </c>
      <c r="N417">
        <f t="shared" ca="1" si="179"/>
        <v>11451.295739679543</v>
      </c>
      <c r="O417">
        <f t="shared" ca="1" si="180"/>
        <v>1145.1295739679542</v>
      </c>
      <c r="T417" s="3" t="str">
        <f t="shared" si="164"/>
        <v>Магинарий - Мастер &lt; Лиссандра из Ранджар-ара</v>
      </c>
      <c r="U417" s="9">
        <f t="shared" si="165"/>
        <v>672.28210233409084</v>
      </c>
      <c r="V417" s="9">
        <f t="shared" ca="1" si="166"/>
        <v>1145.1295739679542</v>
      </c>
      <c r="W417">
        <f t="shared" si="167"/>
        <v>1680.705255835227</v>
      </c>
      <c r="X417" s="10">
        <f>'Книги профессий'!M179</f>
        <v>22</v>
      </c>
    </row>
    <row r="418" spans="1:24" x14ac:dyDescent="0.25">
      <c r="A418" s="23" t="str">
        <f>'Книги профессий'!K180&amp;" &lt; "&amp;'Книги профессий'!L180</f>
        <v>Магинарий - Мастер &lt; Тиандор из Садата</v>
      </c>
      <c r="B418">
        <f>'Книги профессий'!N180</f>
        <v>703.80025059166655</v>
      </c>
      <c r="C418">
        <f>'Книги профессий'!I180</f>
        <v>13</v>
      </c>
      <c r="D418">
        <f t="shared" si="108"/>
        <v>14</v>
      </c>
      <c r="E418" t="str">
        <f t="shared" si="175"/>
        <v>$N$13</v>
      </c>
      <c r="F418">
        <f t="shared" ca="1" si="176"/>
        <v>880</v>
      </c>
      <c r="G418">
        <f t="shared" ca="1" si="177"/>
        <v>2.75</v>
      </c>
      <c r="H418">
        <f>'Модель v2 базовая'!$G$84</f>
        <v>500</v>
      </c>
      <c r="I418">
        <f t="shared" ca="1" si="178"/>
        <v>45.833333333333336</v>
      </c>
      <c r="J418">
        <v>10</v>
      </c>
      <c r="K418">
        <f>'Модель v2 базовая'!$E$84</f>
        <v>1.6666666666666667</v>
      </c>
      <c r="L418">
        <v>0.7</v>
      </c>
      <c r="M418">
        <f t="shared" si="174"/>
        <v>0</v>
      </c>
      <c r="N418">
        <f t="shared" ca="1" si="179"/>
        <v>12012.104260058331</v>
      </c>
      <c r="O418">
        <f t="shared" ca="1" si="180"/>
        <v>1201.2104260058331</v>
      </c>
      <c r="T418" s="3" t="str">
        <f t="shared" si="164"/>
        <v>Магинарий - Мастер &lt; Тиандор из Садата</v>
      </c>
      <c r="U418" s="9">
        <f t="shared" si="165"/>
        <v>703.80025059166655</v>
      </c>
      <c r="V418" s="9">
        <f t="shared" ca="1" si="166"/>
        <v>1201.2104260058331</v>
      </c>
      <c r="W418">
        <f t="shared" si="167"/>
        <v>1759.5006264791664</v>
      </c>
      <c r="X418" s="10">
        <f>'Книги профессий'!M180</f>
        <v>21</v>
      </c>
    </row>
    <row r="419" spans="1:24" x14ac:dyDescent="0.25">
      <c r="A419" s="23" t="str">
        <f>'Книги профессий'!K181&amp;" &lt; "&amp;'Книги профессий'!L181</f>
        <v>Магинарий - Мастер &lt; Фейлура из Столицы</v>
      </c>
      <c r="B419">
        <f>'Книги профессий'!N181</f>
        <v>738.47021367499985</v>
      </c>
      <c r="C419">
        <f>'Книги профессий'!I181</f>
        <v>14</v>
      </c>
      <c r="D419">
        <f t="shared" si="108"/>
        <v>14</v>
      </c>
      <c r="E419" t="str">
        <f t="shared" si="175"/>
        <v>$N$14</v>
      </c>
      <c r="F419">
        <f t="shared" ca="1" si="176"/>
        <v>0</v>
      </c>
      <c r="G419">
        <f t="shared" ca="1" si="177"/>
        <v>0</v>
      </c>
      <c r="H419">
        <f>'Модель v2 базовая'!$G$84</f>
        <v>500</v>
      </c>
      <c r="I419">
        <f t="shared" ca="1" si="178"/>
        <v>0</v>
      </c>
      <c r="J419">
        <v>10</v>
      </c>
      <c r="K419">
        <f>'Модель v2 базовая'!$E$84</f>
        <v>1.6666666666666667</v>
      </c>
      <c r="L419">
        <v>0.7</v>
      </c>
      <c r="M419">
        <f t="shared" si="174"/>
        <v>0</v>
      </c>
      <c r="N419">
        <f t="shared" ca="1" si="179"/>
        <v>7384.7021367499983</v>
      </c>
      <c r="O419">
        <f t="shared" ca="1" si="180"/>
        <v>738.47021367499985</v>
      </c>
      <c r="T419" s="3" t="str">
        <f t="shared" si="164"/>
        <v>Магинарий - Мастер &lt; Фейлура из Столицы</v>
      </c>
      <c r="U419" s="9">
        <f t="shared" si="165"/>
        <v>738.47021367499985</v>
      </c>
      <c r="V419" s="9">
        <f t="shared" ca="1" si="166"/>
        <v>738.47021367499985</v>
      </c>
      <c r="W419">
        <f t="shared" si="167"/>
        <v>1846.1755341874996</v>
      </c>
      <c r="X419" s="10">
        <f>'Книги профессий'!M181</f>
        <v>20</v>
      </c>
    </row>
    <row r="420" spans="1:24" x14ac:dyDescent="0.25">
      <c r="A420" s="23" t="str">
        <f>'Книги профессий'!K182&amp;" &lt; "&amp;'Книги профессий'!L182</f>
        <v>Поммаг - база &lt; Фейлура из Люг-о-дана</v>
      </c>
      <c r="B420">
        <f>'Книги профессий'!N182</f>
        <v>343.23263452499992</v>
      </c>
      <c r="C420">
        <f>'Книги профессий'!I182</f>
        <v>3</v>
      </c>
      <c r="D420">
        <f t="shared" si="108"/>
        <v>14</v>
      </c>
      <c r="E420" t="str">
        <f t="shared" si="175"/>
        <v>$N$3</v>
      </c>
      <c r="F420">
        <f t="shared" ca="1" si="176"/>
        <v>680</v>
      </c>
      <c r="G420">
        <f t="shared" ca="1" si="177"/>
        <v>2.125</v>
      </c>
      <c r="H420">
        <f>'Модель v2 базовая'!$G$84</f>
        <v>500</v>
      </c>
      <c r="I420">
        <f t="shared" ca="1" si="178"/>
        <v>35.416666666666671</v>
      </c>
      <c r="J420">
        <v>10</v>
      </c>
      <c r="K420">
        <f>'Модель v2 базовая'!$E$84</f>
        <v>1.6666666666666667</v>
      </c>
      <c r="L420">
        <v>0.7</v>
      </c>
      <c r="M420">
        <f t="shared" si="174"/>
        <v>10</v>
      </c>
      <c r="N420">
        <f t="shared" ca="1" si="179"/>
        <v>5872.0381202583321</v>
      </c>
      <c r="O420">
        <f t="shared" ca="1" si="180"/>
        <v>587.20381202583326</v>
      </c>
      <c r="T420" s="3" t="str">
        <f t="shared" si="164"/>
        <v>Поммаг - база &lt; Фейлура из Люг-о-дана</v>
      </c>
      <c r="U420" s="9">
        <f t="shared" si="165"/>
        <v>343.23263452499992</v>
      </c>
      <c r="V420" s="9">
        <f t="shared" ca="1" si="166"/>
        <v>587.20381202583326</v>
      </c>
      <c r="W420">
        <f t="shared" si="167"/>
        <v>858.08158631249978</v>
      </c>
      <c r="X420" s="10">
        <f>'Книги профессий'!M182</f>
        <v>25</v>
      </c>
    </row>
    <row r="421" spans="1:24" x14ac:dyDescent="0.25">
      <c r="A421" s="23" t="str">
        <f>'Книги профессий'!K183&amp;" &lt; "&amp;'Книги профессий'!L183</f>
        <v>Поммаг - база &lt; Линариус из Шихона</v>
      </c>
      <c r="B421">
        <f>'Книги профессий'!N183</f>
        <v>357.10061975833327</v>
      </c>
      <c r="C421">
        <f>'Книги профессий'!I183</f>
        <v>4</v>
      </c>
      <c r="D421">
        <f t="shared" si="108"/>
        <v>14</v>
      </c>
      <c r="E421" t="str">
        <f t="shared" si="175"/>
        <v>$N$4</v>
      </c>
      <c r="F421">
        <f t="shared" ca="1" si="176"/>
        <v>900</v>
      </c>
      <c r="G421">
        <f t="shared" ca="1" si="177"/>
        <v>2.8125</v>
      </c>
      <c r="H421">
        <f>'Модель v2 базовая'!$G$84</f>
        <v>500</v>
      </c>
      <c r="I421">
        <f t="shared" ca="1" si="178"/>
        <v>46.875</v>
      </c>
      <c r="J421">
        <v>10</v>
      </c>
      <c r="K421">
        <f>'Модель v2 базовая'!$E$84</f>
        <v>1.6666666666666667</v>
      </c>
      <c r="L421">
        <v>0.7</v>
      </c>
      <c r="M421">
        <f t="shared" si="174"/>
        <v>10</v>
      </c>
      <c r="N421">
        <f t="shared" ca="1" si="179"/>
        <v>6119.2522025583321</v>
      </c>
      <c r="O421">
        <f t="shared" ca="1" si="180"/>
        <v>611.92522025583321</v>
      </c>
      <c r="T421" s="3" t="str">
        <f t="shared" si="164"/>
        <v>Поммаг - база &lt; Линариус из Шихона</v>
      </c>
      <c r="U421" s="9">
        <f t="shared" si="165"/>
        <v>357.10061975833327</v>
      </c>
      <c r="V421" s="9">
        <f t="shared" ca="1" si="166"/>
        <v>611.92522025583321</v>
      </c>
      <c r="W421">
        <f t="shared" si="167"/>
        <v>892.75154939583319</v>
      </c>
      <c r="X421" s="10">
        <f>'Книги профессий'!M183</f>
        <v>24</v>
      </c>
    </row>
    <row r="422" spans="1:24" x14ac:dyDescent="0.25">
      <c r="A422" s="23" t="str">
        <f>'Книги профессий'!K184&amp;" &lt; "&amp;'Книги профессий'!L184</f>
        <v>Поммаг - база &lt; Элориан из Готуна</v>
      </c>
      <c r="B422">
        <f>'Книги профессий'!N184</f>
        <v>372.17451675108686</v>
      </c>
      <c r="C422">
        <f>'Книги профессий'!I184</f>
        <v>5</v>
      </c>
      <c r="D422">
        <f t="shared" si="108"/>
        <v>14</v>
      </c>
      <c r="E422" t="str">
        <f t="shared" si="175"/>
        <v>$N$5</v>
      </c>
      <c r="F422">
        <f t="shared" ca="1" si="176"/>
        <v>980</v>
      </c>
      <c r="G422">
        <f t="shared" ca="1" si="177"/>
        <v>3.0625</v>
      </c>
      <c r="H422">
        <f>'Модель v2 базовая'!$G$84</f>
        <v>500</v>
      </c>
      <c r="I422">
        <f t="shared" ca="1" si="178"/>
        <v>51.041666666666671</v>
      </c>
      <c r="J422">
        <v>10</v>
      </c>
      <c r="K422">
        <f>'Модель v2 базовая'!$E$84</f>
        <v>1.6666666666666667</v>
      </c>
      <c r="L422">
        <v>0.7</v>
      </c>
      <c r="M422">
        <f t="shared" si="174"/>
        <v>10</v>
      </c>
      <c r="N422">
        <f t="shared" ca="1" si="179"/>
        <v>6379.6751181018099</v>
      </c>
      <c r="O422">
        <f t="shared" ca="1" si="180"/>
        <v>637.96751181018101</v>
      </c>
      <c r="T422" s="3" t="str">
        <f t="shared" si="164"/>
        <v>Поммаг - база &lt; Элориан из Готуна</v>
      </c>
      <c r="U422" s="9">
        <f t="shared" si="165"/>
        <v>372.17451675108686</v>
      </c>
      <c r="V422" s="9">
        <f t="shared" ca="1" si="166"/>
        <v>637.96751181018101</v>
      </c>
      <c r="W422">
        <f t="shared" si="167"/>
        <v>930.43629187771717</v>
      </c>
      <c r="X422" s="10">
        <f>'Книги профессий'!M184</f>
        <v>23</v>
      </c>
    </row>
    <row r="423" spans="1:24" x14ac:dyDescent="0.25">
      <c r="A423" s="23" t="str">
        <f>'Книги профессий'!K185&amp;" &lt; "&amp;'Книги профессий'!L185</f>
        <v>Поммаг - база &lt; Фелиос из Фидваго</v>
      </c>
      <c r="B423">
        <f>'Книги профессий'!N185</f>
        <v>388.61876801590904</v>
      </c>
      <c r="C423">
        <f>'Книги профессий'!I185</f>
        <v>6</v>
      </c>
      <c r="D423">
        <f t="shared" si="108"/>
        <v>14</v>
      </c>
      <c r="E423" t="str">
        <f t="shared" si="175"/>
        <v>$N$6</v>
      </c>
      <c r="F423">
        <f t="shared" ca="1" si="176"/>
        <v>1460</v>
      </c>
      <c r="G423">
        <f t="shared" ca="1" si="177"/>
        <v>4.5625</v>
      </c>
      <c r="H423">
        <f>'Модель v2 базовая'!$G$84</f>
        <v>500</v>
      </c>
      <c r="I423">
        <f t="shared" ca="1" si="178"/>
        <v>76.041666666666671</v>
      </c>
      <c r="J423">
        <v>10</v>
      </c>
      <c r="K423">
        <f>'Модель v2 базовая'!$E$84</f>
        <v>1.6666666666666667</v>
      </c>
      <c r="L423">
        <v>0.7</v>
      </c>
      <c r="M423">
        <f t="shared" si="174"/>
        <v>10</v>
      </c>
      <c r="N423">
        <f t="shared" ca="1" si="179"/>
        <v>6684.2273896037877</v>
      </c>
      <c r="O423">
        <f t="shared" ca="1" si="180"/>
        <v>668.42273896037875</v>
      </c>
      <c r="T423" s="3" t="str">
        <f t="shared" si="164"/>
        <v>Поммаг - база &lt; Фелиос из Фидваго</v>
      </c>
      <c r="U423" s="9">
        <f t="shared" si="165"/>
        <v>388.61876801590904</v>
      </c>
      <c r="V423" s="9">
        <f t="shared" ca="1" si="166"/>
        <v>668.42273896037875</v>
      </c>
      <c r="W423">
        <f t="shared" si="167"/>
        <v>971.54692003977266</v>
      </c>
      <c r="X423" s="10">
        <f>'Книги профессий'!M185</f>
        <v>22</v>
      </c>
    </row>
    <row r="424" spans="1:24" x14ac:dyDescent="0.25">
      <c r="A424" s="23" t="str">
        <f>'Книги профессий'!K186&amp;" &lt; "&amp;'Книги профессий'!L186</f>
        <v>Поммаг - база &lt; Дрейкор из Дарутана</v>
      </c>
      <c r="B424">
        <f>'Книги профессий'!N186</f>
        <v>406.62913844880944</v>
      </c>
      <c r="C424">
        <f>'Книги профессий'!I186</f>
        <v>7</v>
      </c>
      <c r="D424">
        <f t="shared" si="108"/>
        <v>14</v>
      </c>
      <c r="E424" t="str">
        <f t="shared" si="175"/>
        <v>$N$7</v>
      </c>
      <c r="F424">
        <f t="shared" ca="1" si="176"/>
        <v>880</v>
      </c>
      <c r="G424">
        <f t="shared" ca="1" si="177"/>
        <v>2.75</v>
      </c>
      <c r="H424">
        <f>'Модель v2 базовая'!$G$84</f>
        <v>500</v>
      </c>
      <c r="I424">
        <f t="shared" ca="1" si="178"/>
        <v>45.833333333333336</v>
      </c>
      <c r="J424">
        <v>10</v>
      </c>
      <c r="K424">
        <f>'Модель v2 базовая'!$E$84</f>
        <v>1.6666666666666667</v>
      </c>
      <c r="L424">
        <v>0.7</v>
      </c>
      <c r="M424">
        <f t="shared" si="174"/>
        <v>10</v>
      </c>
      <c r="N424">
        <f t="shared" ca="1" si="179"/>
        <v>6960.1953536297606</v>
      </c>
      <c r="O424">
        <f t="shared" ca="1" si="180"/>
        <v>696.01953536297606</v>
      </c>
      <c r="T424" s="3" t="str">
        <f t="shared" si="164"/>
        <v>Поммаг - база &lt; Дрейкор из Дарутана</v>
      </c>
      <c r="U424" s="9">
        <f t="shared" si="165"/>
        <v>406.62913844880944</v>
      </c>
      <c r="V424" s="9">
        <f t="shared" ca="1" si="166"/>
        <v>696.01953536297606</v>
      </c>
      <c r="W424">
        <f t="shared" si="167"/>
        <v>1016.5728461220236</v>
      </c>
      <c r="X424" s="10">
        <f>'Книги профессий'!M186</f>
        <v>21</v>
      </c>
    </row>
    <row r="425" spans="1:24" x14ac:dyDescent="0.25">
      <c r="A425" s="23" t="str">
        <f>'Книги профессий'!K187&amp;" &lt; "&amp;'Книги профессий'!L187</f>
        <v>Поммаг - база &lt; Фелиос из Сарухана</v>
      </c>
      <c r="B425">
        <f>'Книги профессий'!N187</f>
        <v>426.44054592499992</v>
      </c>
      <c r="C425">
        <f>'Книги профессий'!I187</f>
        <v>8</v>
      </c>
      <c r="D425">
        <f t="shared" si="108"/>
        <v>14</v>
      </c>
      <c r="E425" t="str">
        <f t="shared" si="175"/>
        <v>$N$8</v>
      </c>
      <c r="F425">
        <f t="shared" ca="1" si="176"/>
        <v>1100</v>
      </c>
      <c r="G425">
        <f t="shared" ca="1" si="177"/>
        <v>3.4375</v>
      </c>
      <c r="H425">
        <f>'Модель v2 базовая'!$G$84</f>
        <v>500</v>
      </c>
      <c r="I425">
        <f t="shared" ca="1" si="178"/>
        <v>57.291666666666671</v>
      </c>
      <c r="J425">
        <v>10</v>
      </c>
      <c r="K425">
        <f>'Модель v2 базовая'!$E$84</f>
        <v>1.6666666666666667</v>
      </c>
      <c r="L425">
        <v>0.7</v>
      </c>
      <c r="M425">
        <f t="shared" si="174"/>
        <v>10</v>
      </c>
      <c r="N425">
        <f t="shared" ca="1" si="179"/>
        <v>7308.4476140583338</v>
      </c>
      <c r="O425">
        <f t="shared" ca="1" si="180"/>
        <v>730.84476140583342</v>
      </c>
      <c r="T425" s="3" t="str">
        <f t="shared" si="164"/>
        <v>Поммаг - база &lt; Фелиос из Сарухана</v>
      </c>
      <c r="U425" s="9">
        <f t="shared" si="165"/>
        <v>426.44054592499992</v>
      </c>
      <c r="V425" s="9">
        <f t="shared" ca="1" si="166"/>
        <v>730.84476140583342</v>
      </c>
      <c r="W425">
        <f t="shared" si="167"/>
        <v>1066.1013648124999</v>
      </c>
      <c r="X425" s="10">
        <f>'Книги профессий'!M187</f>
        <v>20</v>
      </c>
    </row>
    <row r="426" spans="1:24" x14ac:dyDescent="0.25">
      <c r="A426" s="23" t="str">
        <f>'Книги профессий'!K188&amp;" &lt; "&amp;'Книги профессий'!L188</f>
        <v>Поммаг - база &lt; Эльмарин из Лорена</v>
      </c>
      <c r="B426">
        <f>'Книги профессий'!N188</f>
        <v>448.33736471447355</v>
      </c>
      <c r="C426">
        <f>'Книги профессий'!I188</f>
        <v>9</v>
      </c>
      <c r="D426">
        <f t="shared" si="108"/>
        <v>14</v>
      </c>
      <c r="E426" t="str">
        <f t="shared" si="175"/>
        <v>$N$9</v>
      </c>
      <c r="F426">
        <f t="shared" ca="1" si="176"/>
        <v>1300</v>
      </c>
      <c r="G426">
        <f t="shared" ca="1" si="177"/>
        <v>4.0625</v>
      </c>
      <c r="H426">
        <f>'Модель v2 базовая'!$G$84</f>
        <v>500</v>
      </c>
      <c r="I426">
        <f t="shared" ca="1" si="178"/>
        <v>67.708333333333343</v>
      </c>
      <c r="J426">
        <v>10</v>
      </c>
      <c r="K426">
        <f>'Модель v2 базовая'!$E$84</f>
        <v>1.6666666666666667</v>
      </c>
      <c r="L426">
        <v>0.7</v>
      </c>
      <c r="M426">
        <f t="shared" si="174"/>
        <v>10</v>
      </c>
      <c r="N426">
        <f t="shared" ca="1" si="179"/>
        <v>7691.1102001460504</v>
      </c>
      <c r="O426">
        <f t="shared" ca="1" si="180"/>
        <v>769.11102001460506</v>
      </c>
      <c r="T426" s="3" t="str">
        <f t="shared" si="164"/>
        <v>Поммаг - база &lt; Эльмарин из Лорена</v>
      </c>
      <c r="U426" s="9">
        <f t="shared" si="165"/>
        <v>448.33736471447355</v>
      </c>
      <c r="V426" s="9">
        <f t="shared" ca="1" si="166"/>
        <v>769.11102001460506</v>
      </c>
      <c r="W426">
        <f t="shared" si="167"/>
        <v>1120.8434117861839</v>
      </c>
      <c r="X426" s="10">
        <f>'Книги профессий'!M188</f>
        <v>19</v>
      </c>
    </row>
    <row r="427" spans="1:24" x14ac:dyDescent="0.25">
      <c r="A427" s="23" t="str">
        <f>'Книги профессий'!K189&amp;" &lt; "&amp;'Книги профессий'!L189</f>
        <v>Поммаг - база &lt; Алэрион из Самардейла</v>
      </c>
      <c r="B427">
        <f>'Книги профессий'!N189</f>
        <v>472.66716336944438</v>
      </c>
      <c r="C427">
        <f>'Книги профессий'!I189</f>
        <v>10</v>
      </c>
      <c r="D427">
        <f t="shared" si="108"/>
        <v>14</v>
      </c>
      <c r="E427" t="str">
        <f t="shared" si="175"/>
        <v>$N$10</v>
      </c>
      <c r="F427">
        <f t="shared" ca="1" si="176"/>
        <v>760</v>
      </c>
      <c r="G427">
        <f t="shared" ca="1" si="177"/>
        <v>2.375</v>
      </c>
      <c r="H427">
        <f>'Модель v2 базовая'!$G$84</f>
        <v>500</v>
      </c>
      <c r="I427">
        <f t="shared" ca="1" si="178"/>
        <v>39.583333333333336</v>
      </c>
      <c r="J427">
        <v>10</v>
      </c>
      <c r="K427">
        <f>'Модель v2 базовая'!$E$84</f>
        <v>1.6666666666666667</v>
      </c>
      <c r="L427">
        <v>0.7</v>
      </c>
      <c r="M427">
        <f t="shared" si="174"/>
        <v>0</v>
      </c>
      <c r="N427">
        <f t="shared" ca="1" si="179"/>
        <v>8076.5917772805542</v>
      </c>
      <c r="O427">
        <f t="shared" ca="1" si="180"/>
        <v>807.6591777280554</v>
      </c>
      <c r="T427" s="3" t="str">
        <f t="shared" si="164"/>
        <v>Поммаг - база &lt; Алэрион из Самардейла</v>
      </c>
      <c r="U427" s="9">
        <f t="shared" si="165"/>
        <v>472.66716336944438</v>
      </c>
      <c r="V427" s="9">
        <f t="shared" ca="1" si="166"/>
        <v>807.6591777280554</v>
      </c>
      <c r="W427">
        <f t="shared" si="167"/>
        <v>1181.6679084236109</v>
      </c>
      <c r="X427" s="10">
        <f>'Книги профессий'!M189</f>
        <v>18</v>
      </c>
    </row>
    <row r="428" spans="1:24" x14ac:dyDescent="0.25">
      <c r="A428" s="23" t="str">
        <f>'Книги профессий'!K190&amp;" &lt; "&amp;'Книги профессий'!L190</f>
        <v>Поммаг - база &lt; Зирона из Гвадекуры</v>
      </c>
      <c r="B428">
        <f>'Книги профессий'!N190</f>
        <v>499.85929127794111</v>
      </c>
      <c r="C428">
        <f>'Книги профессий'!I190</f>
        <v>11</v>
      </c>
      <c r="D428">
        <f t="shared" si="108"/>
        <v>14</v>
      </c>
      <c r="E428" t="str">
        <f t="shared" si="175"/>
        <v>$N$11</v>
      </c>
      <c r="F428">
        <f t="shared" ca="1" si="176"/>
        <v>880</v>
      </c>
      <c r="G428">
        <f t="shared" ca="1" si="177"/>
        <v>2.75</v>
      </c>
      <c r="H428">
        <f>'Модель v2 базовая'!$G$84</f>
        <v>500</v>
      </c>
      <c r="I428">
        <f t="shared" ca="1" si="178"/>
        <v>45.833333333333336</v>
      </c>
      <c r="J428">
        <v>10</v>
      </c>
      <c r="K428">
        <f>'Модель v2 базовая'!$E$84</f>
        <v>1.6666666666666667</v>
      </c>
      <c r="L428">
        <v>0.7</v>
      </c>
      <c r="M428">
        <f t="shared" si="174"/>
        <v>0</v>
      </c>
      <c r="N428">
        <f t="shared" ca="1" si="179"/>
        <v>8545.107951725</v>
      </c>
      <c r="O428">
        <f t="shared" ca="1" si="180"/>
        <v>854.51079517250002</v>
      </c>
      <c r="T428" s="3" t="str">
        <f t="shared" si="164"/>
        <v>Поммаг - база &lt; Зирона из Гвадекуры</v>
      </c>
      <c r="U428" s="9">
        <f t="shared" si="165"/>
        <v>499.85929127794111</v>
      </c>
      <c r="V428" s="9">
        <f t="shared" ca="1" si="166"/>
        <v>854.51079517250002</v>
      </c>
      <c r="W428">
        <f t="shared" si="167"/>
        <v>1249.6482281948529</v>
      </c>
      <c r="X428" s="10">
        <f>'Книги профессий'!M190</f>
        <v>17</v>
      </c>
    </row>
    <row r="429" spans="1:24" x14ac:dyDescent="0.25">
      <c r="A429" s="23" t="str">
        <f>'Книги профессий'!K191&amp;" &lt; "&amp;'Книги профессий'!L191</f>
        <v>Поммаг - база &lt; Исиллиэль из Ранджар-ара</v>
      </c>
      <c r="B429">
        <f>'Книги профессий'!N191</f>
        <v>530.45043517499994</v>
      </c>
      <c r="C429">
        <f>'Книги профессий'!I191</f>
        <v>12</v>
      </c>
      <c r="D429">
        <f t="shared" si="108"/>
        <v>14</v>
      </c>
      <c r="E429" t="str">
        <f t="shared" si="175"/>
        <v>$N$12</v>
      </c>
      <c r="F429">
        <f t="shared" ca="1" si="176"/>
        <v>400</v>
      </c>
      <c r="G429">
        <f t="shared" ca="1" si="177"/>
        <v>1.25</v>
      </c>
      <c r="H429">
        <f>'Модель v2 базовая'!$G$84</f>
        <v>500</v>
      </c>
      <c r="I429">
        <f t="shared" ca="1" si="178"/>
        <v>20.833333333333336</v>
      </c>
      <c r="J429">
        <v>10</v>
      </c>
      <c r="K429">
        <f>'Модель v2 базовая'!$E$84</f>
        <v>1.6666666666666667</v>
      </c>
      <c r="L429">
        <v>0.7</v>
      </c>
      <c r="M429">
        <f t="shared" si="174"/>
        <v>0</v>
      </c>
      <c r="N429">
        <f t="shared" ca="1" si="179"/>
        <v>9040.1573979749992</v>
      </c>
      <c r="O429">
        <f t="shared" ca="1" si="180"/>
        <v>904.01573979749992</v>
      </c>
      <c r="T429" s="3" t="str">
        <f t="shared" si="164"/>
        <v>Поммаг - база &lt; Исиллиэль из Ранджар-ара</v>
      </c>
      <c r="U429" s="9">
        <f t="shared" si="165"/>
        <v>530.45043517499994</v>
      </c>
      <c r="V429" s="9">
        <f t="shared" ca="1" si="166"/>
        <v>904.01573979749992</v>
      </c>
      <c r="W429">
        <f t="shared" si="167"/>
        <v>1326.1260879375</v>
      </c>
      <c r="X429" s="10">
        <f>'Книги профессий'!M191</f>
        <v>16</v>
      </c>
    </row>
    <row r="430" spans="1:24" x14ac:dyDescent="0.25">
      <c r="A430" s="23" t="str">
        <f>'Книги профессий'!K192&amp;" &lt; "&amp;'Книги профессий'!L192</f>
        <v>Поммаг - база &lt; Лириндель из Садата</v>
      </c>
      <c r="B430">
        <f>'Книги профессий'!N192</f>
        <v>565.12039825833324</v>
      </c>
      <c r="C430">
        <f>'Книги профессий'!I192</f>
        <v>13</v>
      </c>
      <c r="D430">
        <f t="shared" si="108"/>
        <v>14</v>
      </c>
      <c r="E430" t="str">
        <f t="shared" si="175"/>
        <v>$N$13</v>
      </c>
      <c r="F430">
        <f t="shared" ca="1" si="176"/>
        <v>880</v>
      </c>
      <c r="G430">
        <f t="shared" ca="1" si="177"/>
        <v>2.75</v>
      </c>
      <c r="H430">
        <f>'Модель v2 базовая'!$G$84</f>
        <v>500</v>
      </c>
      <c r="I430">
        <f t="shared" ca="1" si="178"/>
        <v>45.833333333333336</v>
      </c>
      <c r="J430">
        <v>10</v>
      </c>
      <c r="K430">
        <f>'Модель v2 базовая'!$E$84</f>
        <v>1.6666666666666667</v>
      </c>
      <c r="L430">
        <v>0.7</v>
      </c>
      <c r="M430">
        <f t="shared" si="174"/>
        <v>0</v>
      </c>
      <c r="N430">
        <f t="shared" ca="1" si="179"/>
        <v>9654.5467703916656</v>
      </c>
      <c r="O430">
        <f t="shared" ca="1" si="180"/>
        <v>965.45467703916654</v>
      </c>
      <c r="T430" s="3" t="str">
        <f t="shared" si="164"/>
        <v>Поммаг - база &lt; Лириндель из Садата</v>
      </c>
      <c r="U430" s="9">
        <f t="shared" si="165"/>
        <v>565.12039825833324</v>
      </c>
      <c r="V430" s="9">
        <f t="shared" ca="1" si="166"/>
        <v>965.45467703916654</v>
      </c>
      <c r="W430">
        <f t="shared" si="167"/>
        <v>1412.8009956458332</v>
      </c>
      <c r="X430" s="10">
        <f>'Книги профессий'!M192</f>
        <v>15</v>
      </c>
    </row>
    <row r="431" spans="1:24" x14ac:dyDescent="0.25">
      <c r="A431" s="23" t="str">
        <f>'Книги профессий'!K193&amp;" &lt; "&amp;'Книги профессий'!L193</f>
        <v>Поммаг - база &lt; Сильвания из Столицы</v>
      </c>
      <c r="B431">
        <f>'Книги профессий'!N193</f>
        <v>604.74321321071409</v>
      </c>
      <c r="C431">
        <f>'Книги профессий'!I193</f>
        <v>14</v>
      </c>
      <c r="D431">
        <f t="shared" si="108"/>
        <v>14</v>
      </c>
      <c r="E431" t="str">
        <f t="shared" si="175"/>
        <v>$N$14</v>
      </c>
      <c r="F431">
        <f t="shared" ca="1" si="176"/>
        <v>0</v>
      </c>
      <c r="G431">
        <f t="shared" ca="1" si="177"/>
        <v>0</v>
      </c>
      <c r="H431">
        <f>'Модель v2 базовая'!$G$84</f>
        <v>500</v>
      </c>
      <c r="I431">
        <f t="shared" ca="1" si="178"/>
        <v>0</v>
      </c>
      <c r="J431">
        <v>10</v>
      </c>
      <c r="K431">
        <f>'Модель v2 базовая'!$E$84</f>
        <v>1.6666666666666667</v>
      </c>
      <c r="L431">
        <v>0.7</v>
      </c>
      <c r="M431">
        <f t="shared" si="174"/>
        <v>0</v>
      </c>
      <c r="N431">
        <f t="shared" ca="1" si="179"/>
        <v>6047.4321321071411</v>
      </c>
      <c r="O431">
        <f t="shared" ca="1" si="180"/>
        <v>604.74321321071409</v>
      </c>
      <c r="T431" s="3" t="str">
        <f t="shared" ref="T431:T491" si="181">A431</f>
        <v>Поммаг - база &lt; Сильвания из Столицы</v>
      </c>
      <c r="U431" s="9">
        <f t="shared" ref="U431:U491" si="182">B431</f>
        <v>604.74321321071409</v>
      </c>
      <c r="V431" s="9">
        <f t="shared" ref="V431:V491" ca="1" si="183">O431</f>
        <v>604.74321321071409</v>
      </c>
      <c r="W431">
        <f t="shared" ref="W431:W491" si="184">B431*2.5</f>
        <v>1511.8580330267853</v>
      </c>
      <c r="X431" s="10">
        <f>'Книги профессий'!M193</f>
        <v>14</v>
      </c>
    </row>
    <row r="432" spans="1:24" x14ac:dyDescent="0.25">
      <c r="A432" s="23" t="str">
        <f>'Книги профессий'!K194&amp;" &lt; "&amp;'Книги профессий'!L194</f>
        <v>Поммаг - Прод &lt; Ариадель из Люг-о-дана</v>
      </c>
      <c r="B432">
        <f>'Книги профессий'!N194</f>
        <v>440.78673754568956</v>
      </c>
      <c r="C432">
        <f>'Книги профессий'!I194</f>
        <v>3</v>
      </c>
      <c r="D432">
        <f t="shared" si="108"/>
        <v>14</v>
      </c>
      <c r="E432" t="str">
        <f t="shared" si="175"/>
        <v>$N$3</v>
      </c>
      <c r="F432">
        <f t="shared" ca="1" si="176"/>
        <v>680</v>
      </c>
      <c r="G432">
        <f t="shared" ca="1" si="177"/>
        <v>2.125</v>
      </c>
      <c r="H432">
        <f>'Модель v2 базовая'!$G$84</f>
        <v>500</v>
      </c>
      <c r="I432">
        <f t="shared" ca="1" si="178"/>
        <v>35.416666666666671</v>
      </c>
      <c r="J432">
        <v>10</v>
      </c>
      <c r="K432">
        <f>'Модель v2 базовая'!$E$84</f>
        <v>1.6666666666666667</v>
      </c>
      <c r="L432">
        <v>0.7</v>
      </c>
      <c r="M432">
        <f t="shared" si="174"/>
        <v>10</v>
      </c>
      <c r="N432">
        <f t="shared" ca="1" si="179"/>
        <v>7530.4578716100559</v>
      </c>
      <c r="O432">
        <f t="shared" ca="1" si="180"/>
        <v>753.04578716100559</v>
      </c>
      <c r="T432" s="3" t="str">
        <f t="shared" si="181"/>
        <v>Поммаг - Прод &lt; Ариадель из Люг-о-дана</v>
      </c>
      <c r="U432" s="9">
        <f t="shared" si="182"/>
        <v>440.78673754568956</v>
      </c>
      <c r="V432" s="9">
        <f t="shared" ca="1" si="183"/>
        <v>753.04578716100559</v>
      </c>
      <c r="W432">
        <f t="shared" si="184"/>
        <v>1101.9668438642238</v>
      </c>
      <c r="X432" s="10">
        <f>'Книги профессий'!M194</f>
        <v>29</v>
      </c>
    </row>
    <row r="433" spans="1:24" x14ac:dyDescent="0.25">
      <c r="A433" s="23" t="str">
        <f>'Книги профессий'!K195&amp;" &lt; "&amp;'Книги профессий'!L195</f>
        <v>Поммаг - Прод &lt; Сирель из Шихона</v>
      </c>
      <c r="B433">
        <f>'Книги профессий'!N195</f>
        <v>456.15765713928556</v>
      </c>
      <c r="C433">
        <f>'Книги профессий'!I195</f>
        <v>4</v>
      </c>
      <c r="D433">
        <f t="shared" si="108"/>
        <v>14</v>
      </c>
      <c r="E433" t="str">
        <f t="shared" si="175"/>
        <v>$N$4</v>
      </c>
      <c r="F433">
        <f t="shared" ca="1" si="176"/>
        <v>900</v>
      </c>
      <c r="G433">
        <f t="shared" ca="1" si="177"/>
        <v>2.8125</v>
      </c>
      <c r="H433">
        <f>'Модель v2 базовая'!$G$84</f>
        <v>500</v>
      </c>
      <c r="I433">
        <f t="shared" ca="1" si="178"/>
        <v>46.875</v>
      </c>
      <c r="J433">
        <v>10</v>
      </c>
      <c r="K433">
        <f>'Модель v2 базовая'!$E$84</f>
        <v>1.6666666666666667</v>
      </c>
      <c r="L433">
        <v>0.7</v>
      </c>
      <c r="M433">
        <f t="shared" si="174"/>
        <v>10</v>
      </c>
      <c r="N433">
        <f t="shared" ca="1" si="179"/>
        <v>7803.2218380345212</v>
      </c>
      <c r="O433">
        <f t="shared" ca="1" si="180"/>
        <v>780.32218380345216</v>
      </c>
      <c r="T433" s="3" t="str">
        <f t="shared" si="181"/>
        <v>Поммаг - Прод &lt; Сирель из Шихона</v>
      </c>
      <c r="U433" s="9">
        <f t="shared" si="182"/>
        <v>456.15765713928556</v>
      </c>
      <c r="V433" s="9">
        <f t="shared" ca="1" si="183"/>
        <v>780.32218380345216</v>
      </c>
      <c r="W433">
        <f t="shared" si="184"/>
        <v>1140.394142848214</v>
      </c>
      <c r="X433" s="10">
        <f>'Книги профессий'!M195</f>
        <v>28</v>
      </c>
    </row>
    <row r="434" spans="1:24" x14ac:dyDescent="0.25">
      <c r="A434" s="23" t="str">
        <f>'Книги профессий'!K196&amp;" &lt; "&amp;'Книги профессий'!L196</f>
        <v>Поммаг - Прод &lt; 10,400988925 из Готуна</v>
      </c>
      <c r="B434">
        <f>'Книги профессий'!N196</f>
        <v>472.66716336944438</v>
      </c>
      <c r="C434">
        <f>'Книги профессий'!I196</f>
        <v>5</v>
      </c>
      <c r="D434">
        <f t="shared" si="108"/>
        <v>14</v>
      </c>
      <c r="E434" t="str">
        <f t="shared" si="175"/>
        <v>$N$5</v>
      </c>
      <c r="F434">
        <f t="shared" ca="1" si="176"/>
        <v>980</v>
      </c>
      <c r="G434">
        <f t="shared" ca="1" si="177"/>
        <v>3.0625</v>
      </c>
      <c r="H434">
        <f>'Модель v2 базовая'!$G$84</f>
        <v>500</v>
      </c>
      <c r="I434">
        <f t="shared" ca="1" si="178"/>
        <v>51.041666666666671</v>
      </c>
      <c r="J434">
        <v>10</v>
      </c>
      <c r="K434">
        <f>'Модель v2 базовая'!$E$84</f>
        <v>1.6666666666666667</v>
      </c>
      <c r="L434">
        <v>0.7</v>
      </c>
      <c r="M434">
        <f t="shared" si="174"/>
        <v>10</v>
      </c>
      <c r="N434">
        <f t="shared" ca="1" si="179"/>
        <v>8088.0501106138881</v>
      </c>
      <c r="O434">
        <f t="shared" ca="1" si="180"/>
        <v>808.80501106138877</v>
      </c>
      <c r="T434" s="3" t="str">
        <f t="shared" si="181"/>
        <v>Поммаг - Прод &lt; 10,400988925 из Готуна</v>
      </c>
      <c r="U434" s="9">
        <f t="shared" si="182"/>
        <v>472.66716336944438</v>
      </c>
      <c r="V434" s="9">
        <f t="shared" ca="1" si="183"/>
        <v>808.80501106138877</v>
      </c>
      <c r="W434">
        <f t="shared" si="184"/>
        <v>1181.6679084236109</v>
      </c>
      <c r="X434" s="10">
        <f>'Книги профессий'!M196</f>
        <v>27</v>
      </c>
    </row>
    <row r="435" spans="1:24" x14ac:dyDescent="0.25">
      <c r="A435" s="23" t="str">
        <f>'Книги профессий'!K197&amp;" &lt; "&amp;'Книги профессий'!L197</f>
        <v>Поммаг - Прод &lt; Альтиран из Фидваго</v>
      </c>
      <c r="B435">
        <f>'Книги профессий'!N197</f>
        <v>490.44663161730756</v>
      </c>
      <c r="C435">
        <f>'Книги профессий'!I197</f>
        <v>6</v>
      </c>
      <c r="D435">
        <f t="shared" si="108"/>
        <v>14</v>
      </c>
      <c r="E435" t="str">
        <f t="shared" si="175"/>
        <v>$N$6</v>
      </c>
      <c r="F435">
        <f t="shared" ca="1" si="176"/>
        <v>1460</v>
      </c>
      <c r="G435">
        <f t="shared" ca="1" si="177"/>
        <v>4.5625</v>
      </c>
      <c r="H435">
        <f>'Модель v2 базовая'!$G$84</f>
        <v>500</v>
      </c>
      <c r="I435">
        <f t="shared" ca="1" si="178"/>
        <v>76.041666666666671</v>
      </c>
      <c r="J435">
        <v>10</v>
      </c>
      <c r="K435">
        <f>'Модель v2 базовая'!$E$84</f>
        <v>1.6666666666666667</v>
      </c>
      <c r="L435">
        <v>0.7</v>
      </c>
      <c r="M435">
        <f t="shared" si="174"/>
        <v>10</v>
      </c>
      <c r="N435">
        <f t="shared" ca="1" si="179"/>
        <v>8415.3010708275615</v>
      </c>
      <c r="O435">
        <f t="shared" ca="1" si="180"/>
        <v>841.5301070827561</v>
      </c>
      <c r="T435" s="3" t="str">
        <f t="shared" si="181"/>
        <v>Поммаг - Прод &lt; Альтиран из Фидваго</v>
      </c>
      <c r="U435" s="9">
        <f t="shared" si="182"/>
        <v>490.44663161730756</v>
      </c>
      <c r="V435" s="9">
        <f t="shared" ca="1" si="183"/>
        <v>841.5301070827561</v>
      </c>
      <c r="W435">
        <f t="shared" si="184"/>
        <v>1226.116579043269</v>
      </c>
      <c r="X435" s="10">
        <f>'Книги профессий'!M197</f>
        <v>26</v>
      </c>
    </row>
    <row r="436" spans="1:24" x14ac:dyDescent="0.25">
      <c r="A436" s="23" t="str">
        <f>'Книги профессий'!K198&amp;" &lt; "&amp;'Книги профессий'!L198</f>
        <v>Поммаг - Прод &lt; Лиресса из Дарутана</v>
      </c>
      <c r="B436">
        <f>'Книги профессий'!N198</f>
        <v>509.64845732499992</v>
      </c>
      <c r="C436">
        <f>'Книги профессий'!I198</f>
        <v>7</v>
      </c>
      <c r="D436">
        <f t="shared" si="108"/>
        <v>14</v>
      </c>
      <c r="E436" t="str">
        <f t="shared" si="175"/>
        <v>$N$7</v>
      </c>
      <c r="F436">
        <f t="shared" ca="1" si="176"/>
        <v>880</v>
      </c>
      <c r="G436">
        <f t="shared" ca="1" si="177"/>
        <v>2.75</v>
      </c>
      <c r="H436">
        <f>'Модель v2 базовая'!$G$84</f>
        <v>500</v>
      </c>
      <c r="I436">
        <f t="shared" ca="1" si="178"/>
        <v>45.833333333333336</v>
      </c>
      <c r="J436">
        <v>10</v>
      </c>
      <c r="K436">
        <f>'Модель v2 базовая'!$E$84</f>
        <v>1.6666666666666667</v>
      </c>
      <c r="L436">
        <v>0.7</v>
      </c>
      <c r="M436">
        <f t="shared" si="174"/>
        <v>10</v>
      </c>
      <c r="N436">
        <f t="shared" ca="1" si="179"/>
        <v>8711.5237745249979</v>
      </c>
      <c r="O436">
        <f t="shared" ca="1" si="180"/>
        <v>871.15237745249976</v>
      </c>
      <c r="T436" s="3" t="str">
        <f t="shared" si="181"/>
        <v>Поммаг - Прод &lt; Лиресса из Дарутана</v>
      </c>
      <c r="U436" s="9">
        <f t="shared" si="182"/>
        <v>509.64845732499992</v>
      </c>
      <c r="V436" s="9">
        <f t="shared" ca="1" si="183"/>
        <v>871.15237745249976</v>
      </c>
      <c r="W436">
        <f t="shared" si="184"/>
        <v>1274.1211433124997</v>
      </c>
      <c r="X436" s="10">
        <f>'Книги профессий'!M198</f>
        <v>25</v>
      </c>
    </row>
    <row r="437" spans="1:24" x14ac:dyDescent="0.25">
      <c r="A437" s="23" t="str">
        <f>'Книги профессий'!K199&amp;" &lt; "&amp;'Книги профессий'!L199</f>
        <v>Поммаг - Прод &lt; Эллисар из Сарухана</v>
      </c>
      <c r="B437">
        <f>'Книги профессий'!N199</f>
        <v>530.45043517499994</v>
      </c>
      <c r="C437">
        <f>'Книги профессий'!I199</f>
        <v>8</v>
      </c>
      <c r="D437">
        <f t="shared" si="108"/>
        <v>14</v>
      </c>
      <c r="E437" t="str">
        <f t="shared" si="175"/>
        <v>$N$8</v>
      </c>
      <c r="F437">
        <f t="shared" ca="1" si="176"/>
        <v>1100</v>
      </c>
      <c r="G437">
        <f t="shared" ca="1" si="177"/>
        <v>3.4375</v>
      </c>
      <c r="H437">
        <f>'Модель v2 базовая'!$G$84</f>
        <v>500</v>
      </c>
      <c r="I437">
        <f t="shared" ca="1" si="178"/>
        <v>57.291666666666671</v>
      </c>
      <c r="J437">
        <v>10</v>
      </c>
      <c r="K437">
        <f>'Модель v2 базовая'!$E$84</f>
        <v>1.6666666666666667</v>
      </c>
      <c r="L437">
        <v>0.7</v>
      </c>
      <c r="M437">
        <f t="shared" si="174"/>
        <v>10</v>
      </c>
      <c r="N437">
        <f t="shared" ca="1" si="179"/>
        <v>9076.6157313083313</v>
      </c>
      <c r="O437">
        <f t="shared" ca="1" si="180"/>
        <v>907.66157313083318</v>
      </c>
      <c r="T437" s="3" t="str">
        <f t="shared" si="181"/>
        <v>Поммаг - Прод &lt; Эллисар из Сарухана</v>
      </c>
      <c r="U437" s="9">
        <f t="shared" si="182"/>
        <v>530.45043517499994</v>
      </c>
      <c r="V437" s="9">
        <f t="shared" ca="1" si="183"/>
        <v>907.66157313083318</v>
      </c>
      <c r="W437">
        <f t="shared" si="184"/>
        <v>1326.1260879375</v>
      </c>
      <c r="X437" s="10">
        <f>'Книги профессий'!M199</f>
        <v>24</v>
      </c>
    </row>
    <row r="438" spans="1:24" x14ac:dyDescent="0.25">
      <c r="A438" s="23" t="str">
        <f>'Книги профессий'!K200&amp;" &lt; "&amp;'Книги профессий'!L200</f>
        <v>Поммаг - Прод &lt; Сиренна из Лорена</v>
      </c>
      <c r="B438">
        <f>'Книги профессий'!N200</f>
        <v>553.06128066413032</v>
      </c>
      <c r="C438">
        <f>'Книги профессий'!I200</f>
        <v>9</v>
      </c>
      <c r="D438">
        <f t="shared" si="108"/>
        <v>14</v>
      </c>
      <c r="E438" t="str">
        <f t="shared" si="175"/>
        <v>$N$9</v>
      </c>
      <c r="F438">
        <f t="shared" ca="1" si="176"/>
        <v>1300</v>
      </c>
      <c r="G438">
        <f t="shared" ca="1" si="177"/>
        <v>4.0625</v>
      </c>
      <c r="H438">
        <f>'Модель v2 базовая'!$G$84</f>
        <v>500</v>
      </c>
      <c r="I438">
        <f t="shared" ca="1" si="178"/>
        <v>67.708333333333343</v>
      </c>
      <c r="J438">
        <v>10</v>
      </c>
      <c r="K438">
        <f>'Модель v2 базовая'!$E$84</f>
        <v>1.6666666666666667</v>
      </c>
      <c r="L438">
        <v>0.7</v>
      </c>
      <c r="M438">
        <f t="shared" si="174"/>
        <v>10</v>
      </c>
      <c r="N438">
        <f t="shared" ca="1" si="179"/>
        <v>9471.4167712902145</v>
      </c>
      <c r="O438">
        <f t="shared" ca="1" si="180"/>
        <v>947.14167712902145</v>
      </c>
      <c r="T438" s="3" t="str">
        <f t="shared" si="181"/>
        <v>Поммаг - Прод &lt; Сиренна из Лорена</v>
      </c>
      <c r="U438" s="9">
        <f t="shared" si="182"/>
        <v>553.06128066413032</v>
      </c>
      <c r="V438" s="9">
        <f t="shared" ca="1" si="183"/>
        <v>947.14167712902145</v>
      </c>
      <c r="W438">
        <f t="shared" si="184"/>
        <v>1382.6532016603257</v>
      </c>
      <c r="X438" s="10">
        <f>'Книги профессий'!M200</f>
        <v>23</v>
      </c>
    </row>
    <row r="439" spans="1:24" x14ac:dyDescent="0.25">
      <c r="A439" s="23" t="str">
        <f>'Книги профессий'!K201&amp;" &lt; "&amp;'Книги профессий'!L201</f>
        <v>Поммаг - Прод &lt; Фейлиндор из Самардейла</v>
      </c>
      <c r="B439">
        <f>'Книги профессий'!N201</f>
        <v>577.72765756136346</v>
      </c>
      <c r="C439">
        <f>'Книги профессий'!I201</f>
        <v>10</v>
      </c>
      <c r="D439">
        <f t="shared" si="108"/>
        <v>14</v>
      </c>
      <c r="E439" t="str">
        <f t="shared" si="175"/>
        <v>$N$10</v>
      </c>
      <c r="F439">
        <f t="shared" ca="1" si="176"/>
        <v>760</v>
      </c>
      <c r="G439">
        <f t="shared" ca="1" si="177"/>
        <v>2.375</v>
      </c>
      <c r="H439">
        <f>'Модель v2 базовая'!$G$84</f>
        <v>500</v>
      </c>
      <c r="I439">
        <f t="shared" ca="1" si="178"/>
        <v>39.583333333333336</v>
      </c>
      <c r="J439">
        <v>10</v>
      </c>
      <c r="K439">
        <f>'Модель v2 базовая'!$E$84</f>
        <v>1.6666666666666667</v>
      </c>
      <c r="L439">
        <v>0.7</v>
      </c>
      <c r="M439">
        <f t="shared" si="174"/>
        <v>0</v>
      </c>
      <c r="N439">
        <f t="shared" ca="1" si="179"/>
        <v>9862.6201785431767</v>
      </c>
      <c r="O439">
        <f t="shared" ca="1" si="180"/>
        <v>986.26201785431772</v>
      </c>
      <c r="T439" s="3" t="str">
        <f t="shared" si="181"/>
        <v>Поммаг - Прод &lt; Фейлиндор из Самардейла</v>
      </c>
      <c r="U439" s="9">
        <f t="shared" si="182"/>
        <v>577.72765756136346</v>
      </c>
      <c r="V439" s="9">
        <f t="shared" ca="1" si="183"/>
        <v>986.26201785431772</v>
      </c>
      <c r="W439">
        <f t="shared" si="184"/>
        <v>1444.3191439034085</v>
      </c>
      <c r="X439" s="10">
        <f>'Книги профессий'!M201</f>
        <v>22</v>
      </c>
    </row>
    <row r="440" spans="1:24" x14ac:dyDescent="0.25">
      <c r="A440" s="23" t="str">
        <f>'Книги профессий'!K202&amp;" &lt; "&amp;'Книги профессий'!L202</f>
        <v>Поммаг - Прод &lt; Лорелия из Гвадекуры</v>
      </c>
      <c r="B440">
        <f>'Книги профессий'!N202</f>
        <v>604.74321321071409</v>
      </c>
      <c r="C440">
        <f>'Книги профессий'!I202</f>
        <v>11</v>
      </c>
      <c r="D440">
        <f t="shared" si="108"/>
        <v>14</v>
      </c>
      <c r="E440" t="str">
        <f t="shared" si="175"/>
        <v>$N$11</v>
      </c>
      <c r="F440">
        <f t="shared" ca="1" si="176"/>
        <v>880</v>
      </c>
      <c r="G440">
        <f t="shared" ca="1" si="177"/>
        <v>2.75</v>
      </c>
      <c r="H440">
        <f>'Модель v2 базовая'!$G$84</f>
        <v>500</v>
      </c>
      <c r="I440">
        <f t="shared" ca="1" si="178"/>
        <v>45.833333333333336</v>
      </c>
      <c r="J440">
        <v>10</v>
      </c>
      <c r="K440">
        <f>'Модель v2 базовая'!$E$84</f>
        <v>1.6666666666666667</v>
      </c>
      <c r="L440">
        <v>0.7</v>
      </c>
      <c r="M440">
        <f t="shared" si="174"/>
        <v>0</v>
      </c>
      <c r="N440">
        <f t="shared" ca="1" si="179"/>
        <v>10328.134624582141</v>
      </c>
      <c r="O440">
        <f t="shared" ca="1" si="180"/>
        <v>1032.813462458214</v>
      </c>
      <c r="T440" s="3" t="str">
        <f t="shared" si="181"/>
        <v>Поммаг - Прод &lt; Лорелия из Гвадекуры</v>
      </c>
      <c r="U440" s="9">
        <f t="shared" si="182"/>
        <v>604.74321321071409</v>
      </c>
      <c r="V440" s="9">
        <f t="shared" ca="1" si="183"/>
        <v>1032.813462458214</v>
      </c>
      <c r="W440">
        <f t="shared" si="184"/>
        <v>1511.8580330267853</v>
      </c>
      <c r="X440" s="10">
        <f>'Книги профессий'!M202</f>
        <v>21</v>
      </c>
    </row>
    <row r="441" spans="1:24" x14ac:dyDescent="0.25">
      <c r="A441" s="23" t="str">
        <f>'Книги профессий'!K203&amp;" &lt; "&amp;'Книги профессий'!L203</f>
        <v>Поммаг - Прод &lt; Элиндор из Ранджар-ара</v>
      </c>
      <c r="B441">
        <f>'Книги профессий'!N203</f>
        <v>634.46032442499984</v>
      </c>
      <c r="C441">
        <f>'Книги профессий'!I203</f>
        <v>12</v>
      </c>
      <c r="D441">
        <f t="shared" si="108"/>
        <v>14</v>
      </c>
      <c r="E441" t="str">
        <f t="shared" si="175"/>
        <v>$N$12</v>
      </c>
      <c r="F441">
        <f t="shared" ca="1" si="176"/>
        <v>400</v>
      </c>
      <c r="G441">
        <f t="shared" ca="1" si="177"/>
        <v>1.25</v>
      </c>
      <c r="H441">
        <f>'Модель v2 базовая'!$G$84</f>
        <v>500</v>
      </c>
      <c r="I441">
        <f t="shared" ca="1" si="178"/>
        <v>20.833333333333336</v>
      </c>
      <c r="J441">
        <v>10</v>
      </c>
      <c r="K441">
        <f>'Модель v2 базовая'!$E$84</f>
        <v>1.6666666666666667</v>
      </c>
      <c r="L441">
        <v>0.7</v>
      </c>
      <c r="M441">
        <f t="shared" si="174"/>
        <v>0</v>
      </c>
      <c r="N441">
        <f t="shared" ca="1" si="179"/>
        <v>10808.325515224997</v>
      </c>
      <c r="O441">
        <f t="shared" ca="1" si="180"/>
        <v>1080.8325515224997</v>
      </c>
      <c r="T441" s="3" t="str">
        <f t="shared" si="181"/>
        <v>Поммаг - Прод &lt; Элиндор из Ранджар-ара</v>
      </c>
      <c r="U441" s="9">
        <f t="shared" si="182"/>
        <v>634.46032442499984</v>
      </c>
      <c r="V441" s="9">
        <f t="shared" ca="1" si="183"/>
        <v>1080.8325515224997</v>
      </c>
      <c r="W441">
        <f t="shared" si="184"/>
        <v>1586.1508110624995</v>
      </c>
      <c r="X441" s="10">
        <f>'Книги профессий'!M203</f>
        <v>20</v>
      </c>
    </row>
    <row r="442" spans="1:24" x14ac:dyDescent="0.25">
      <c r="A442" s="23" t="str">
        <f>'Книги профессий'!K204&amp;" &lt; "&amp;'Книги профессий'!L204</f>
        <v>Поммаг - Прод &lt; Исиллиэль из Садата</v>
      </c>
      <c r="B442">
        <f>'Книги профессий'!N204</f>
        <v>667.30555260921028</v>
      </c>
      <c r="C442">
        <f>'Книги профессий'!I204</f>
        <v>13</v>
      </c>
      <c r="D442">
        <f t="shared" si="108"/>
        <v>14</v>
      </c>
      <c r="E442" t="str">
        <f t="shared" si="175"/>
        <v>$N$13</v>
      </c>
      <c r="F442">
        <f t="shared" ca="1" si="176"/>
        <v>880</v>
      </c>
      <c r="G442">
        <f t="shared" ca="1" si="177"/>
        <v>2.75</v>
      </c>
      <c r="H442">
        <f>'Модель v2 базовая'!$G$84</f>
        <v>500</v>
      </c>
      <c r="I442">
        <f t="shared" ca="1" si="178"/>
        <v>45.833333333333336</v>
      </c>
      <c r="J442">
        <v>10</v>
      </c>
      <c r="K442">
        <f>'Модель v2 базовая'!$E$84</f>
        <v>1.6666666666666667</v>
      </c>
      <c r="L442">
        <v>0.7</v>
      </c>
      <c r="M442">
        <f t="shared" si="174"/>
        <v>0</v>
      </c>
      <c r="N442">
        <f t="shared" ca="1" si="179"/>
        <v>11391.694394356575</v>
      </c>
      <c r="O442">
        <f t="shared" ca="1" si="180"/>
        <v>1139.1694394356575</v>
      </c>
      <c r="T442" s="3" t="str">
        <f t="shared" si="181"/>
        <v>Поммаг - Прод &lt; Исиллиэль из Садата</v>
      </c>
      <c r="U442" s="9">
        <f t="shared" si="182"/>
        <v>667.30555260921028</v>
      </c>
      <c r="V442" s="9">
        <f t="shared" ca="1" si="183"/>
        <v>1139.1694394356575</v>
      </c>
      <c r="W442">
        <f t="shared" si="184"/>
        <v>1668.2638815230257</v>
      </c>
      <c r="X442" s="10">
        <f>'Книги профессий'!M204</f>
        <v>19</v>
      </c>
    </row>
    <row r="443" spans="1:24" x14ac:dyDescent="0.25">
      <c r="A443" s="23" t="str">
        <f>'Книги профессий'!K205&amp;" &lt; "&amp;'Книги профессий'!L205</f>
        <v>Поммаг - Прод &lt; Эмелиан из Столицы</v>
      </c>
      <c r="B443">
        <f>'Книги профессий'!N205</f>
        <v>703.80025059166655</v>
      </c>
      <c r="C443">
        <f>'Книги профессий'!I205</f>
        <v>14</v>
      </c>
      <c r="D443">
        <f t="shared" si="108"/>
        <v>14</v>
      </c>
      <c r="E443" t="str">
        <f t="shared" si="175"/>
        <v>$N$14</v>
      </c>
      <c r="F443">
        <f t="shared" ca="1" si="176"/>
        <v>0</v>
      </c>
      <c r="G443">
        <f t="shared" ca="1" si="177"/>
        <v>0</v>
      </c>
      <c r="H443">
        <f>'Модель v2 базовая'!$G$84</f>
        <v>500</v>
      </c>
      <c r="I443">
        <f t="shared" ca="1" si="178"/>
        <v>0</v>
      </c>
      <c r="J443">
        <v>10</v>
      </c>
      <c r="K443">
        <f>'Модель v2 базовая'!$E$84</f>
        <v>1.6666666666666667</v>
      </c>
      <c r="L443">
        <v>0.7</v>
      </c>
      <c r="M443">
        <f t="shared" si="174"/>
        <v>0</v>
      </c>
      <c r="N443">
        <f t="shared" ca="1" si="179"/>
        <v>7038.0025059166655</v>
      </c>
      <c r="O443">
        <f t="shared" ca="1" si="180"/>
        <v>703.80025059166655</v>
      </c>
      <c r="T443" s="3" t="str">
        <f t="shared" si="181"/>
        <v>Поммаг - Прод &lt; Эмелиан из Столицы</v>
      </c>
      <c r="U443" s="9">
        <f t="shared" si="182"/>
        <v>703.80025059166655</v>
      </c>
      <c r="V443" s="9">
        <f t="shared" ca="1" si="183"/>
        <v>703.80025059166655</v>
      </c>
      <c r="W443">
        <f t="shared" si="184"/>
        <v>1759.5006264791664</v>
      </c>
      <c r="X443" s="10">
        <f>'Книги профессий'!M205</f>
        <v>18</v>
      </c>
    </row>
    <row r="444" spans="1:24" x14ac:dyDescent="0.25">
      <c r="A444" s="23" t="str">
        <f>'Книги профессий'!K206&amp;" &lt; "&amp;'Книги профессий'!L206</f>
        <v>Поммаг - Мастер &lt; Элиссара из Люг-о-дана</v>
      </c>
      <c r="B444">
        <f>'Книги профессий'!N206</f>
        <v>480.12306940887089</v>
      </c>
      <c r="C444">
        <f>'Книги профессий'!I206</f>
        <v>3</v>
      </c>
      <c r="D444">
        <f t="shared" si="108"/>
        <v>14</v>
      </c>
      <c r="E444" t="str">
        <f t="shared" ref="E444:E491" si="185" xml:space="preserve"> ADDRESS(C444,D444)</f>
        <v>$N$3</v>
      </c>
      <c r="F444">
        <f t="shared" ref="F444:F491" ca="1" si="186">INDIRECT(E444)</f>
        <v>680</v>
      </c>
      <c r="G444">
        <f t="shared" ref="G444:G491" ca="1" si="187">F444/320</f>
        <v>2.125</v>
      </c>
      <c r="H444">
        <f>'Модель v2 базовая'!$G$84</f>
        <v>500</v>
      </c>
      <c r="I444">
        <f t="shared" ref="I444:I491" ca="1" si="188">H444/30*G444</f>
        <v>35.416666666666671</v>
      </c>
      <c r="J444">
        <v>10</v>
      </c>
      <c r="K444">
        <f>'Модель v2 базовая'!$E$84</f>
        <v>1.6666666666666667</v>
      </c>
      <c r="L444">
        <v>0.7</v>
      </c>
      <c r="M444">
        <f t="shared" si="174"/>
        <v>10</v>
      </c>
      <c r="N444">
        <f t="shared" ref="N444:N491" ca="1" si="189">IF(G444=0, B444*J444, B444*J444+(B444*J444*L444)+I444+K444)</f>
        <v>8199.1755132841372</v>
      </c>
      <c r="O444">
        <f t="shared" ref="O444:O491" ca="1" si="190">N444/J444</f>
        <v>819.91755132841377</v>
      </c>
      <c r="T444" s="3" t="str">
        <f t="shared" si="181"/>
        <v>Поммаг - Мастер &lt; Элиссара из Люг-о-дана</v>
      </c>
      <c r="U444" s="9">
        <f t="shared" si="182"/>
        <v>480.12306940887089</v>
      </c>
      <c r="V444" s="9">
        <f t="shared" ca="1" si="183"/>
        <v>819.91755132841377</v>
      </c>
      <c r="W444">
        <f t="shared" si="184"/>
        <v>1200.3076735221773</v>
      </c>
      <c r="X444" s="10">
        <f>'Книги профессий'!M206</f>
        <v>31</v>
      </c>
    </row>
    <row r="445" spans="1:24" x14ac:dyDescent="0.25">
      <c r="A445" s="23" t="str">
        <f>'Книги профессий'!K207&amp;" &lt; "&amp;'Книги профессий'!L207</f>
        <v>Поммаг - Мастер &lt; Таурелор из Шихона</v>
      </c>
      <c r="B445">
        <f>'Книги профессий'!N207</f>
        <v>495.78047209166658</v>
      </c>
      <c r="C445">
        <f>'Книги профессий'!I207</f>
        <v>4</v>
      </c>
      <c r="D445">
        <f t="shared" si="108"/>
        <v>14</v>
      </c>
      <c r="E445" t="str">
        <f t="shared" si="185"/>
        <v>$N$4</v>
      </c>
      <c r="F445">
        <f t="shared" ca="1" si="186"/>
        <v>900</v>
      </c>
      <c r="G445">
        <f t="shared" ca="1" si="187"/>
        <v>2.8125</v>
      </c>
      <c r="H445">
        <f>'Модель v2 базовая'!$G$84</f>
        <v>500</v>
      </c>
      <c r="I445">
        <f t="shared" ca="1" si="188"/>
        <v>46.875</v>
      </c>
      <c r="J445">
        <v>10</v>
      </c>
      <c r="K445">
        <f>'Модель v2 базовая'!$E$84</f>
        <v>1.6666666666666667</v>
      </c>
      <c r="L445">
        <v>0.7</v>
      </c>
      <c r="M445">
        <f t="shared" si="174"/>
        <v>10</v>
      </c>
      <c r="N445">
        <f t="shared" ca="1" si="189"/>
        <v>8476.8096922249988</v>
      </c>
      <c r="O445">
        <f t="shared" ca="1" si="190"/>
        <v>847.68096922249993</v>
      </c>
      <c r="T445" s="3" t="str">
        <f t="shared" si="181"/>
        <v>Поммаг - Мастер &lt; Таурелор из Шихона</v>
      </c>
      <c r="U445" s="9">
        <f t="shared" si="182"/>
        <v>495.78047209166658</v>
      </c>
      <c r="V445" s="9">
        <f t="shared" ca="1" si="183"/>
        <v>847.68096922249993</v>
      </c>
      <c r="W445">
        <f t="shared" si="184"/>
        <v>1239.4511802291665</v>
      </c>
      <c r="X445" s="10">
        <f>'Книги профессий'!M207</f>
        <v>30</v>
      </c>
    </row>
    <row r="446" spans="1:24" x14ac:dyDescent="0.25">
      <c r="A446" s="23" t="str">
        <f>'Книги профессий'!K208&amp;" &lt; "&amp;'Книги профессий'!L208</f>
        <v>Поммаг - Мастер &lt; Телестра из Готуна</v>
      </c>
      <c r="B446">
        <f>'Книги профессий'!N208</f>
        <v>512.51769564913786</v>
      </c>
      <c r="C446">
        <f>'Книги профессий'!I208</f>
        <v>5</v>
      </c>
      <c r="D446">
        <f t="shared" si="108"/>
        <v>14</v>
      </c>
      <c r="E446" t="str">
        <f t="shared" si="185"/>
        <v>$N$5</v>
      </c>
      <c r="F446">
        <f t="shared" ca="1" si="186"/>
        <v>980</v>
      </c>
      <c r="G446">
        <f t="shared" ca="1" si="187"/>
        <v>3.0625</v>
      </c>
      <c r="H446">
        <f>'Модель v2 базовая'!$G$84</f>
        <v>500</v>
      </c>
      <c r="I446">
        <f t="shared" ca="1" si="188"/>
        <v>51.041666666666671</v>
      </c>
      <c r="J446">
        <v>10</v>
      </c>
      <c r="K446">
        <f>'Модель v2 базовая'!$E$84</f>
        <v>1.6666666666666667</v>
      </c>
      <c r="L446">
        <v>0.7</v>
      </c>
      <c r="M446">
        <f t="shared" si="174"/>
        <v>10</v>
      </c>
      <c r="N446">
        <f t="shared" ca="1" si="189"/>
        <v>8765.5091593686757</v>
      </c>
      <c r="O446">
        <f t="shared" ca="1" si="190"/>
        <v>876.55091593686757</v>
      </c>
      <c r="T446" s="3" t="str">
        <f t="shared" si="181"/>
        <v>Поммаг - Мастер &lt; Телестра из Готуна</v>
      </c>
      <c r="U446" s="9">
        <f t="shared" si="182"/>
        <v>512.51769564913786</v>
      </c>
      <c r="V446" s="9">
        <f t="shared" ca="1" si="183"/>
        <v>876.55091593686757</v>
      </c>
      <c r="W446">
        <f t="shared" si="184"/>
        <v>1281.2942391228446</v>
      </c>
      <c r="X446" s="10">
        <f>'Книги профессий'!M208</f>
        <v>29</v>
      </c>
    </row>
    <row r="447" spans="1:24" x14ac:dyDescent="0.25">
      <c r="A447" s="23" t="str">
        <f>'Книги профессий'!K209&amp;" &lt; "&amp;'Книги профессий'!L209</f>
        <v>Поммаг - Мастер &lt; Теландрис из Фидваго</v>
      </c>
      <c r="B447">
        <f>'Книги профессий'!N209</f>
        <v>530.45043517499994</v>
      </c>
      <c r="C447">
        <f>'Книги профессий'!I209</f>
        <v>6</v>
      </c>
      <c r="D447">
        <f t="shared" si="108"/>
        <v>14</v>
      </c>
      <c r="E447" t="str">
        <f t="shared" si="185"/>
        <v>$N$6</v>
      </c>
      <c r="F447">
        <f t="shared" ca="1" si="186"/>
        <v>1460</v>
      </c>
      <c r="G447">
        <f t="shared" ca="1" si="187"/>
        <v>4.5625</v>
      </c>
      <c r="H447">
        <f>'Модель v2 базовая'!$G$84</f>
        <v>500</v>
      </c>
      <c r="I447">
        <f t="shared" ca="1" si="188"/>
        <v>76.041666666666671</v>
      </c>
      <c r="J447">
        <v>10</v>
      </c>
      <c r="K447">
        <f>'Модель v2 базовая'!$E$84</f>
        <v>1.6666666666666667</v>
      </c>
      <c r="L447">
        <v>0.7</v>
      </c>
      <c r="M447">
        <f t="shared" si="174"/>
        <v>10</v>
      </c>
      <c r="N447">
        <f t="shared" ca="1" si="189"/>
        <v>9095.3657313083313</v>
      </c>
      <c r="O447">
        <f t="shared" ca="1" si="190"/>
        <v>909.53657313083318</v>
      </c>
      <c r="T447" s="3" t="str">
        <f t="shared" si="181"/>
        <v>Поммаг - Мастер &lt; Теландрис из Фидваго</v>
      </c>
      <c r="U447" s="9">
        <f t="shared" si="182"/>
        <v>530.45043517499994</v>
      </c>
      <c r="V447" s="9">
        <f t="shared" ca="1" si="183"/>
        <v>909.53657313083318</v>
      </c>
      <c r="W447">
        <f t="shared" si="184"/>
        <v>1326.1260879375</v>
      </c>
      <c r="X447" s="10">
        <f>'Книги профессий'!M209</f>
        <v>28</v>
      </c>
    </row>
    <row r="448" spans="1:24" x14ac:dyDescent="0.25">
      <c r="A448" s="23" t="str">
        <f>'Книги профессий'!K210&amp;" &lt; "&amp;'Книги профессий'!L210</f>
        <v>Поммаг - Мастер &lt; Арелиос из Дарутана</v>
      </c>
      <c r="B448">
        <f>'Книги профессий'!N210</f>
        <v>549.71152577685166</v>
      </c>
      <c r="C448">
        <f>'Книги профессий'!I210</f>
        <v>7</v>
      </c>
      <c r="D448">
        <f t="shared" si="108"/>
        <v>14</v>
      </c>
      <c r="E448" t="str">
        <f t="shared" si="185"/>
        <v>$N$7</v>
      </c>
      <c r="F448">
        <f t="shared" ca="1" si="186"/>
        <v>880</v>
      </c>
      <c r="G448">
        <f t="shared" ca="1" si="187"/>
        <v>2.75</v>
      </c>
      <c r="H448">
        <f>'Модель v2 базовая'!$G$84</f>
        <v>500</v>
      </c>
      <c r="I448">
        <f t="shared" ca="1" si="188"/>
        <v>45.833333333333336</v>
      </c>
      <c r="J448">
        <v>10</v>
      </c>
      <c r="K448">
        <f>'Модель v2 базовая'!$E$84</f>
        <v>1.6666666666666667</v>
      </c>
      <c r="L448">
        <v>0.7</v>
      </c>
      <c r="M448">
        <f t="shared" si="174"/>
        <v>10</v>
      </c>
      <c r="N448">
        <f t="shared" ca="1" si="189"/>
        <v>9392.5959382064793</v>
      </c>
      <c r="O448">
        <f t="shared" ca="1" si="190"/>
        <v>939.25959382064798</v>
      </c>
      <c r="T448" s="3" t="str">
        <f t="shared" si="181"/>
        <v>Поммаг - Мастер &lt; Арелиос из Дарутана</v>
      </c>
      <c r="U448" s="9">
        <f t="shared" si="182"/>
        <v>549.71152577685166</v>
      </c>
      <c r="V448" s="9">
        <f t="shared" ca="1" si="183"/>
        <v>939.25959382064798</v>
      </c>
      <c r="W448">
        <f t="shared" si="184"/>
        <v>1374.2788144421293</v>
      </c>
      <c r="X448" s="10">
        <f>'Книги профессий'!M210</f>
        <v>27</v>
      </c>
    </row>
    <row r="449" spans="1:24" x14ac:dyDescent="0.25">
      <c r="A449" s="23" t="str">
        <f>'Книги профессий'!K211&amp;" &lt; "&amp;'Книги профессий'!L211</f>
        <v>Поммаг - Мастер &lt; Элестрия из Сарухана</v>
      </c>
      <c r="B449">
        <f>'Книги профессий'!N211</f>
        <v>570.45423873269215</v>
      </c>
      <c r="C449">
        <f>'Книги профессий'!I211</f>
        <v>8</v>
      </c>
      <c r="D449">
        <f t="shared" si="108"/>
        <v>14</v>
      </c>
      <c r="E449" t="str">
        <f t="shared" si="185"/>
        <v>$N$8</v>
      </c>
      <c r="F449">
        <f t="shared" ca="1" si="186"/>
        <v>1100</v>
      </c>
      <c r="G449">
        <f t="shared" ca="1" si="187"/>
        <v>3.4375</v>
      </c>
      <c r="H449">
        <f>'Модель v2 базовая'!$G$84</f>
        <v>500</v>
      </c>
      <c r="I449">
        <f t="shared" ca="1" si="188"/>
        <v>57.291666666666671</v>
      </c>
      <c r="J449">
        <v>10</v>
      </c>
      <c r="K449">
        <f>'Модель v2 базовая'!$E$84</f>
        <v>1.6666666666666667</v>
      </c>
      <c r="L449">
        <v>0.7</v>
      </c>
      <c r="M449">
        <f t="shared" si="174"/>
        <v>10</v>
      </c>
      <c r="N449">
        <f t="shared" ca="1" si="189"/>
        <v>9756.6803917890975</v>
      </c>
      <c r="O449">
        <f t="shared" ca="1" si="190"/>
        <v>975.66803917890979</v>
      </c>
      <c r="T449" s="3" t="str">
        <f t="shared" si="181"/>
        <v>Поммаг - Мастер &lt; Элестрия из Сарухана</v>
      </c>
      <c r="U449" s="9">
        <f t="shared" si="182"/>
        <v>570.45423873269215</v>
      </c>
      <c r="V449" s="9">
        <f t="shared" ca="1" si="183"/>
        <v>975.66803917890979</v>
      </c>
      <c r="W449">
        <f t="shared" si="184"/>
        <v>1426.1355968317303</v>
      </c>
      <c r="X449" s="10">
        <f>'Книги профессий'!M211</f>
        <v>26</v>
      </c>
    </row>
    <row r="450" spans="1:24" x14ac:dyDescent="0.25">
      <c r="A450" s="23" t="str">
        <f>'Книги профессий'!K212&amp;" &lt; "&amp;'Книги профессий'!L212</f>
        <v>Поммаг - Мастер &lt; Фиора из Лорена</v>
      </c>
      <c r="B450">
        <f>'Книги профессий'!N212</f>
        <v>592.85636872499992</v>
      </c>
      <c r="C450">
        <f>'Книги профессий'!I212</f>
        <v>9</v>
      </c>
      <c r="D450">
        <f t="shared" si="108"/>
        <v>14</v>
      </c>
      <c r="E450" t="str">
        <f t="shared" si="185"/>
        <v>$N$9</v>
      </c>
      <c r="F450">
        <f t="shared" ca="1" si="186"/>
        <v>1300</v>
      </c>
      <c r="G450">
        <f t="shared" ca="1" si="187"/>
        <v>4.0625</v>
      </c>
      <c r="H450">
        <f>'Модель v2 базовая'!$G$84</f>
        <v>500</v>
      </c>
      <c r="I450">
        <f t="shared" ca="1" si="188"/>
        <v>67.708333333333343</v>
      </c>
      <c r="J450">
        <v>10</v>
      </c>
      <c r="K450">
        <f>'Модель v2 базовая'!$E$84</f>
        <v>1.6666666666666667</v>
      </c>
      <c r="L450">
        <v>0.7</v>
      </c>
      <c r="M450">
        <f t="shared" si="174"/>
        <v>10</v>
      </c>
      <c r="N450">
        <f t="shared" ca="1" si="189"/>
        <v>10147.933268324998</v>
      </c>
      <c r="O450">
        <f t="shared" ca="1" si="190"/>
        <v>1014.7933268324998</v>
      </c>
      <c r="T450" s="3" t="str">
        <f t="shared" si="181"/>
        <v>Поммаг - Мастер &lt; Фиора из Лорена</v>
      </c>
      <c r="U450" s="9">
        <f t="shared" si="182"/>
        <v>592.85636872499992</v>
      </c>
      <c r="V450" s="9">
        <f t="shared" ca="1" si="183"/>
        <v>1014.7933268324998</v>
      </c>
      <c r="W450">
        <f t="shared" si="184"/>
        <v>1482.1409218124998</v>
      </c>
      <c r="X450" s="10">
        <f>'Книги профессий'!M212</f>
        <v>25</v>
      </c>
    </row>
    <row r="451" spans="1:24" x14ac:dyDescent="0.25">
      <c r="A451" s="23" t="str">
        <f>'Книги профессий'!K213&amp;" &lt; "&amp;'Книги профессий'!L213</f>
        <v>Поммаг - Мастер &lt; Арэлис из Самардейла</v>
      </c>
      <c r="B451">
        <f>'Книги профессий'!N213</f>
        <v>617.12534288333325</v>
      </c>
      <c r="C451">
        <f>'Книги профессий'!I213</f>
        <v>10</v>
      </c>
      <c r="D451">
        <f t="shared" si="108"/>
        <v>14</v>
      </c>
      <c r="E451" t="str">
        <f t="shared" si="185"/>
        <v>$N$10</v>
      </c>
      <c r="F451">
        <f t="shared" ca="1" si="186"/>
        <v>760</v>
      </c>
      <c r="G451">
        <f t="shared" ca="1" si="187"/>
        <v>2.375</v>
      </c>
      <c r="H451">
        <f>'Модель v2 базовая'!$G$84</f>
        <v>500</v>
      </c>
      <c r="I451">
        <f t="shared" ca="1" si="188"/>
        <v>39.583333333333336</v>
      </c>
      <c r="J451">
        <v>10</v>
      </c>
      <c r="K451">
        <f>'Модель v2 базовая'!$E$84</f>
        <v>1.6666666666666667</v>
      </c>
      <c r="L451">
        <v>0.7</v>
      </c>
      <c r="M451">
        <f t="shared" si="174"/>
        <v>0</v>
      </c>
      <c r="N451">
        <f t="shared" ca="1" si="189"/>
        <v>10532.380829016665</v>
      </c>
      <c r="O451">
        <f t="shared" ca="1" si="190"/>
        <v>1053.2380829016665</v>
      </c>
      <c r="T451" s="3" t="str">
        <f t="shared" si="181"/>
        <v>Поммаг - Мастер &lt; Арэлис из Самардейла</v>
      </c>
      <c r="U451" s="9">
        <f t="shared" si="182"/>
        <v>617.12534288333325</v>
      </c>
      <c r="V451" s="9">
        <f t="shared" ca="1" si="183"/>
        <v>1053.2380829016665</v>
      </c>
      <c r="W451">
        <f t="shared" si="184"/>
        <v>1542.8133572083332</v>
      </c>
      <c r="X451" s="10">
        <f>'Книги профессий'!M213</f>
        <v>24</v>
      </c>
    </row>
    <row r="452" spans="1:24" x14ac:dyDescent="0.25">
      <c r="A452" s="23" t="str">
        <f>'Книги профессий'!K214&amp;" &lt; "&amp;'Книги профессий'!L214</f>
        <v>Поммаг - Мастер &lt; Сирэлион из Гвадекуры</v>
      </c>
      <c r="B452">
        <f>'Книги профессий'!N214</f>
        <v>643.50466262065208</v>
      </c>
      <c r="C452">
        <f>'Книги профессий'!I214</f>
        <v>11</v>
      </c>
      <c r="D452">
        <f t="shared" si="108"/>
        <v>14</v>
      </c>
      <c r="E452" t="str">
        <f t="shared" si="185"/>
        <v>$N$11</v>
      </c>
      <c r="F452">
        <f t="shared" ca="1" si="186"/>
        <v>880</v>
      </c>
      <c r="G452">
        <f t="shared" ca="1" si="187"/>
        <v>2.75</v>
      </c>
      <c r="H452">
        <f>'Модель v2 базовая'!$G$84</f>
        <v>500</v>
      </c>
      <c r="I452">
        <f t="shared" ca="1" si="188"/>
        <v>45.833333333333336</v>
      </c>
      <c r="J452">
        <v>10</v>
      </c>
      <c r="K452">
        <f>'Модель v2 базовая'!$E$84</f>
        <v>1.6666666666666667</v>
      </c>
      <c r="L452">
        <v>0.7</v>
      </c>
      <c r="M452">
        <f t="shared" si="174"/>
        <v>0</v>
      </c>
      <c r="N452">
        <f t="shared" ca="1" si="189"/>
        <v>10987.079264551085</v>
      </c>
      <c r="O452">
        <f t="shared" ca="1" si="190"/>
        <v>1098.7079264551085</v>
      </c>
      <c r="T452" s="3" t="str">
        <f t="shared" si="181"/>
        <v>Поммаг - Мастер &lt; Сирэлион из Гвадекуры</v>
      </c>
      <c r="U452" s="9">
        <f t="shared" si="182"/>
        <v>643.50466262065208</v>
      </c>
      <c r="V452" s="9">
        <f t="shared" ca="1" si="183"/>
        <v>1098.7079264551085</v>
      </c>
      <c r="W452">
        <f t="shared" si="184"/>
        <v>1608.7616565516303</v>
      </c>
      <c r="X452" s="10">
        <f>'Книги профессий'!M214</f>
        <v>23</v>
      </c>
    </row>
    <row r="453" spans="1:24" x14ac:dyDescent="0.25">
      <c r="A453" s="23" t="str">
        <f>'Книги профессий'!K215&amp;" &lt; "&amp;'Книги профессий'!L215</f>
        <v>Поммаг - Мастер &lt; Исиэль из Ранджар-ара</v>
      </c>
      <c r="B453">
        <f>'Книги профессий'!N215</f>
        <v>672.28210233409084</v>
      </c>
      <c r="C453">
        <f>'Книги профессий'!I215</f>
        <v>12</v>
      </c>
      <c r="D453">
        <f t="shared" si="108"/>
        <v>14</v>
      </c>
      <c r="E453" t="str">
        <f t="shared" si="185"/>
        <v>$N$12</v>
      </c>
      <c r="F453">
        <f t="shared" ca="1" si="186"/>
        <v>400</v>
      </c>
      <c r="G453">
        <f t="shared" ca="1" si="187"/>
        <v>1.25</v>
      </c>
      <c r="H453">
        <f>'Модель v2 базовая'!$G$84</f>
        <v>500</v>
      </c>
      <c r="I453">
        <f t="shared" ca="1" si="188"/>
        <v>20.833333333333336</v>
      </c>
      <c r="J453">
        <v>10</v>
      </c>
      <c r="K453">
        <f>'Модель v2 базовая'!$E$84</f>
        <v>1.6666666666666667</v>
      </c>
      <c r="L453">
        <v>0.7</v>
      </c>
      <c r="M453">
        <f t="shared" si="174"/>
        <v>0</v>
      </c>
      <c r="N453">
        <f t="shared" ca="1" si="189"/>
        <v>11451.295739679543</v>
      </c>
      <c r="O453">
        <f t="shared" ca="1" si="190"/>
        <v>1145.1295739679542</v>
      </c>
      <c r="T453" s="3" t="str">
        <f t="shared" si="181"/>
        <v>Поммаг - Мастер &lt; Исиэль из Ранджар-ара</v>
      </c>
      <c r="U453" s="9">
        <f t="shared" si="182"/>
        <v>672.28210233409084</v>
      </c>
      <c r="V453" s="9">
        <f t="shared" ca="1" si="183"/>
        <v>1145.1295739679542</v>
      </c>
      <c r="W453">
        <f t="shared" si="184"/>
        <v>1680.705255835227</v>
      </c>
      <c r="X453" s="10">
        <f>'Книги профессий'!M215</f>
        <v>22</v>
      </c>
    </row>
    <row r="454" spans="1:24" x14ac:dyDescent="0.25">
      <c r="A454" s="23" t="str">
        <f>'Книги профессий'!K216&amp;" &lt; "&amp;'Книги профессий'!L216</f>
        <v>Поммаг - Мастер &lt; Зафира из Садата</v>
      </c>
      <c r="B454">
        <f>'Книги профессий'!N216</f>
        <v>703.80025059166655</v>
      </c>
      <c r="C454">
        <f>'Книги профессий'!I216</f>
        <v>13</v>
      </c>
      <c r="D454">
        <f t="shared" si="108"/>
        <v>14</v>
      </c>
      <c r="E454" t="str">
        <f t="shared" si="185"/>
        <v>$N$13</v>
      </c>
      <c r="F454">
        <f t="shared" ca="1" si="186"/>
        <v>880</v>
      </c>
      <c r="G454">
        <f t="shared" ca="1" si="187"/>
        <v>2.75</v>
      </c>
      <c r="H454">
        <f>'Модель v2 базовая'!$G$84</f>
        <v>500</v>
      </c>
      <c r="I454">
        <f t="shared" ca="1" si="188"/>
        <v>45.833333333333336</v>
      </c>
      <c r="J454">
        <v>10</v>
      </c>
      <c r="K454">
        <f>'Модель v2 базовая'!$E$84</f>
        <v>1.6666666666666667</v>
      </c>
      <c r="L454">
        <v>0.7</v>
      </c>
      <c r="M454">
        <f t="shared" si="174"/>
        <v>0</v>
      </c>
      <c r="N454">
        <f t="shared" ca="1" si="189"/>
        <v>12012.104260058331</v>
      </c>
      <c r="O454">
        <f t="shared" ca="1" si="190"/>
        <v>1201.2104260058331</v>
      </c>
      <c r="T454" s="3" t="str">
        <f t="shared" si="181"/>
        <v>Поммаг - Мастер &lt; Зафира из Садата</v>
      </c>
      <c r="U454" s="9">
        <f t="shared" si="182"/>
        <v>703.80025059166655</v>
      </c>
      <c r="V454" s="9">
        <f t="shared" ca="1" si="183"/>
        <v>1201.2104260058331</v>
      </c>
      <c r="W454">
        <f t="shared" si="184"/>
        <v>1759.5006264791664</v>
      </c>
      <c r="X454" s="10">
        <f>'Книги профессий'!M216</f>
        <v>21</v>
      </c>
    </row>
    <row r="455" spans="1:24" x14ac:dyDescent="0.25">
      <c r="A455" s="23" t="str">
        <f>'Книги профессий'!K217&amp;" &lt; "&amp;'Книги профессий'!L217</f>
        <v>Поммаг - Мастер &lt; Фиора из Столицы</v>
      </c>
      <c r="B455">
        <f>'Книги профессий'!N217</f>
        <v>738.47021367499985</v>
      </c>
      <c r="C455">
        <f>'Книги профессий'!I217</f>
        <v>14</v>
      </c>
      <c r="D455">
        <f t="shared" si="108"/>
        <v>14</v>
      </c>
      <c r="E455" t="str">
        <f t="shared" si="185"/>
        <v>$N$14</v>
      </c>
      <c r="F455">
        <f t="shared" ca="1" si="186"/>
        <v>0</v>
      </c>
      <c r="G455">
        <f t="shared" ca="1" si="187"/>
        <v>0</v>
      </c>
      <c r="H455">
        <f>'Модель v2 базовая'!$G$84</f>
        <v>500</v>
      </c>
      <c r="I455">
        <f t="shared" ca="1" si="188"/>
        <v>0</v>
      </c>
      <c r="J455">
        <v>10</v>
      </c>
      <c r="K455">
        <f>'Модель v2 базовая'!$E$84</f>
        <v>1.6666666666666667</v>
      </c>
      <c r="L455">
        <v>0.7</v>
      </c>
      <c r="M455">
        <f t="shared" si="174"/>
        <v>0</v>
      </c>
      <c r="N455">
        <f t="shared" ca="1" si="189"/>
        <v>7384.7021367499983</v>
      </c>
      <c r="O455">
        <f t="shared" ca="1" si="190"/>
        <v>738.47021367499985</v>
      </c>
      <c r="T455" s="3" t="str">
        <f t="shared" si="181"/>
        <v>Поммаг - Мастер &lt; Фиора из Столицы</v>
      </c>
      <c r="U455" s="9">
        <f t="shared" si="182"/>
        <v>738.47021367499985</v>
      </c>
      <c r="V455" s="9">
        <f t="shared" ca="1" si="183"/>
        <v>738.47021367499985</v>
      </c>
      <c r="W455">
        <f t="shared" si="184"/>
        <v>1846.1755341874996</v>
      </c>
      <c r="X455" s="10">
        <f>'Книги профессий'!M217</f>
        <v>20</v>
      </c>
    </row>
    <row r="456" spans="1:24" x14ac:dyDescent="0.25">
      <c r="A456" s="23" t="str">
        <f>'Книги профессий'!K218&amp;" &lt; "&amp;'Книги профессий'!L218</f>
        <v>Боцман - база &lt; Аэллесар из Люг-о-дана</v>
      </c>
      <c r="B456">
        <f>'Книги профессий'!N218</f>
        <v>246.78710085681817</v>
      </c>
      <c r="C456">
        <f>'Книги профессий'!I218</f>
        <v>3</v>
      </c>
      <c r="D456">
        <f t="shared" si="108"/>
        <v>14</v>
      </c>
      <c r="E456" t="str">
        <f t="shared" si="185"/>
        <v>$N$3</v>
      </c>
      <c r="F456">
        <f t="shared" ca="1" si="186"/>
        <v>680</v>
      </c>
      <c r="G456">
        <f t="shared" ca="1" si="187"/>
        <v>2.125</v>
      </c>
      <c r="H456">
        <f>'Модель v2 базовая'!$G$84</f>
        <v>500</v>
      </c>
      <c r="I456">
        <f t="shared" ca="1" si="188"/>
        <v>35.416666666666671</v>
      </c>
      <c r="J456">
        <v>10</v>
      </c>
      <c r="K456">
        <f>'Модель v2 базовая'!$E$84</f>
        <v>1.6666666666666667</v>
      </c>
      <c r="L456">
        <v>0.7</v>
      </c>
      <c r="M456">
        <f t="shared" si="174"/>
        <v>10</v>
      </c>
      <c r="N456">
        <f t="shared" ca="1" si="189"/>
        <v>4232.4640478992433</v>
      </c>
      <c r="O456">
        <f t="shared" ca="1" si="190"/>
        <v>423.24640478992433</v>
      </c>
      <c r="T456" s="3" t="str">
        <f t="shared" si="181"/>
        <v>Боцман - база &lt; Аэллесар из Люг-о-дана</v>
      </c>
      <c r="U456" s="9">
        <f t="shared" si="182"/>
        <v>246.78710085681817</v>
      </c>
      <c r="V456" s="9">
        <f t="shared" ca="1" si="183"/>
        <v>423.24640478992433</v>
      </c>
      <c r="W456">
        <f t="shared" si="184"/>
        <v>616.96775214204547</v>
      </c>
      <c r="X456" s="10">
        <f>'Книги профессий'!M218</f>
        <v>22</v>
      </c>
    </row>
    <row r="457" spans="1:24" x14ac:dyDescent="0.25">
      <c r="A457" s="23" t="str">
        <f>'Книги профессий'!K219&amp;" &lt; "&amp;'Книги профессий'!L219</f>
        <v>Боцман - база &lt; Эландил из Шихона</v>
      </c>
      <c r="B457">
        <f>'Книги профессий'!N219</f>
        <v>258.04358237738086</v>
      </c>
      <c r="C457">
        <f>'Книги профессий'!I219</f>
        <v>4</v>
      </c>
      <c r="D457">
        <f t="shared" si="108"/>
        <v>14</v>
      </c>
      <c r="E457" t="str">
        <f t="shared" si="185"/>
        <v>$N$4</v>
      </c>
      <c r="F457">
        <f t="shared" ca="1" si="186"/>
        <v>900</v>
      </c>
      <c r="G457">
        <f t="shared" ca="1" si="187"/>
        <v>2.8125</v>
      </c>
      <c r="H457">
        <f>'Модель v2 базовая'!$G$84</f>
        <v>500</v>
      </c>
      <c r="I457">
        <f t="shared" ca="1" si="188"/>
        <v>46.875</v>
      </c>
      <c r="J457">
        <v>10</v>
      </c>
      <c r="K457">
        <f>'Модель v2 базовая'!$E$84</f>
        <v>1.6666666666666667</v>
      </c>
      <c r="L457">
        <v>0.7</v>
      </c>
      <c r="M457">
        <f t="shared" si="174"/>
        <v>10</v>
      </c>
      <c r="N457">
        <f t="shared" ca="1" si="189"/>
        <v>4435.2825670821421</v>
      </c>
      <c r="O457">
        <f t="shared" ca="1" si="190"/>
        <v>443.5282567082142</v>
      </c>
      <c r="T457" s="3" t="str">
        <f t="shared" si="181"/>
        <v>Боцман - база &lt; Эландил из Шихона</v>
      </c>
      <c r="U457" s="9">
        <f t="shared" si="182"/>
        <v>258.04358237738086</v>
      </c>
      <c r="V457" s="9">
        <f t="shared" ca="1" si="183"/>
        <v>443.5282567082142</v>
      </c>
      <c r="W457">
        <f t="shared" si="184"/>
        <v>645.1089559434522</v>
      </c>
      <c r="X457" s="10">
        <f>'Книги профессий'!M219</f>
        <v>21</v>
      </c>
    </row>
    <row r="458" spans="1:24" x14ac:dyDescent="0.25">
      <c r="A458" s="23" t="str">
        <f>'Книги профессий'!K220&amp;" &lt; "&amp;'Книги профессий'!L220</f>
        <v>Боцман - база &lt; Элариана из Готуна</v>
      </c>
      <c r="B458">
        <f>'Книги профессий'!N220</f>
        <v>270.42571204999996</v>
      </c>
      <c r="C458">
        <f>'Книги профессий'!I220</f>
        <v>5</v>
      </c>
      <c r="D458">
        <f t="shared" si="108"/>
        <v>14</v>
      </c>
      <c r="E458" t="str">
        <f t="shared" si="185"/>
        <v>$N$5</v>
      </c>
      <c r="F458">
        <f t="shared" ca="1" si="186"/>
        <v>980</v>
      </c>
      <c r="G458">
        <f t="shared" ca="1" si="187"/>
        <v>3.0625</v>
      </c>
      <c r="H458">
        <f>'Модель v2 базовая'!$G$84</f>
        <v>500</v>
      </c>
      <c r="I458">
        <f t="shared" ca="1" si="188"/>
        <v>51.041666666666671</v>
      </c>
      <c r="J458">
        <v>10</v>
      </c>
      <c r="K458">
        <f>'Модель v2 базовая'!$E$84</f>
        <v>1.6666666666666667</v>
      </c>
      <c r="L458">
        <v>0.7</v>
      </c>
      <c r="M458">
        <f t="shared" si="174"/>
        <v>10</v>
      </c>
      <c r="N458">
        <f t="shared" ca="1" si="189"/>
        <v>4649.945438183333</v>
      </c>
      <c r="O458">
        <f t="shared" ca="1" si="190"/>
        <v>464.99454381833328</v>
      </c>
      <c r="T458" s="3" t="str">
        <f t="shared" si="181"/>
        <v>Боцман - база &lt; Элариана из Готуна</v>
      </c>
      <c r="U458" s="9">
        <f t="shared" si="182"/>
        <v>270.42571204999996</v>
      </c>
      <c r="V458" s="9">
        <f t="shared" ca="1" si="183"/>
        <v>464.99454381833328</v>
      </c>
      <c r="W458">
        <f t="shared" si="184"/>
        <v>676.06428012499987</v>
      </c>
      <c r="X458" s="10">
        <f>'Книги профессий'!M220</f>
        <v>20</v>
      </c>
    </row>
    <row r="459" spans="1:24" x14ac:dyDescent="0.25">
      <c r="A459" s="23" t="str">
        <f>'Книги профессий'!K221&amp;" &lt; "&amp;'Книги профессий'!L221</f>
        <v>Боцман - база &lt; Зефирос из Фидваго</v>
      </c>
      <c r="B459">
        <f>'Книги профессий'!N221</f>
        <v>284.111223793421</v>
      </c>
      <c r="C459">
        <f>'Книги профессий'!I221</f>
        <v>6</v>
      </c>
      <c r="D459">
        <f t="shared" si="108"/>
        <v>14</v>
      </c>
      <c r="E459" t="str">
        <f t="shared" si="185"/>
        <v>$N$6</v>
      </c>
      <c r="F459">
        <f t="shared" ca="1" si="186"/>
        <v>1460</v>
      </c>
      <c r="G459">
        <f t="shared" ca="1" si="187"/>
        <v>4.5625</v>
      </c>
      <c r="H459">
        <f>'Модель v2 базовая'!$G$84</f>
        <v>500</v>
      </c>
      <c r="I459">
        <f t="shared" ca="1" si="188"/>
        <v>76.041666666666671</v>
      </c>
      <c r="J459">
        <v>10</v>
      </c>
      <c r="K459">
        <f>'Модель v2 базовая'!$E$84</f>
        <v>1.6666666666666667</v>
      </c>
      <c r="L459">
        <v>0.7</v>
      </c>
      <c r="M459">
        <f t="shared" si="174"/>
        <v>10</v>
      </c>
      <c r="N459">
        <f t="shared" ca="1" si="189"/>
        <v>4907.5991378214912</v>
      </c>
      <c r="O459">
        <f t="shared" ca="1" si="190"/>
        <v>490.75991378214911</v>
      </c>
      <c r="T459" s="3" t="str">
        <f t="shared" si="181"/>
        <v>Боцман - база &lt; Зефирос из Фидваго</v>
      </c>
      <c r="U459" s="9">
        <f t="shared" si="182"/>
        <v>284.111223793421</v>
      </c>
      <c r="V459" s="9">
        <f t="shared" ca="1" si="183"/>
        <v>490.75991378214911</v>
      </c>
      <c r="W459">
        <f t="shared" si="184"/>
        <v>710.27805948355251</v>
      </c>
      <c r="X459" s="10">
        <f>'Книги профессий'!M221</f>
        <v>19</v>
      </c>
    </row>
    <row r="460" spans="1:24" x14ac:dyDescent="0.25">
      <c r="A460" s="23" t="str">
        <f>'Книги профессий'!K222&amp;" &lt; "&amp;'Книги профессий'!L222</f>
        <v>Боцман - база &lt; Фелиос из Дарутана</v>
      </c>
      <c r="B460">
        <f>'Книги профессий'!N222</f>
        <v>299.31734795277771</v>
      </c>
      <c r="C460">
        <f>'Книги профессий'!I222</f>
        <v>7</v>
      </c>
      <c r="D460">
        <f t="shared" si="108"/>
        <v>14</v>
      </c>
      <c r="E460" t="str">
        <f t="shared" si="185"/>
        <v>$N$7</v>
      </c>
      <c r="F460">
        <f t="shared" ca="1" si="186"/>
        <v>880</v>
      </c>
      <c r="G460">
        <f t="shared" ca="1" si="187"/>
        <v>2.75</v>
      </c>
      <c r="H460">
        <f>'Модель v2 базовая'!$G$84</f>
        <v>500</v>
      </c>
      <c r="I460">
        <f t="shared" ca="1" si="188"/>
        <v>45.833333333333336</v>
      </c>
      <c r="J460">
        <v>10</v>
      </c>
      <c r="K460">
        <f>'Модель v2 базовая'!$E$84</f>
        <v>1.6666666666666667</v>
      </c>
      <c r="L460">
        <v>0.7</v>
      </c>
      <c r="M460">
        <f t="shared" si="174"/>
        <v>10</v>
      </c>
      <c r="N460">
        <f t="shared" ca="1" si="189"/>
        <v>5135.8949151972211</v>
      </c>
      <c r="O460">
        <f t="shared" ca="1" si="190"/>
        <v>513.58949151972206</v>
      </c>
      <c r="T460" s="3" t="str">
        <f t="shared" si="181"/>
        <v>Боцман - база &lt; Фелиос из Дарутана</v>
      </c>
      <c r="U460" s="9">
        <f t="shared" si="182"/>
        <v>299.31734795277771</v>
      </c>
      <c r="V460" s="9">
        <f t="shared" ca="1" si="183"/>
        <v>513.58949151972206</v>
      </c>
      <c r="W460">
        <f t="shared" si="184"/>
        <v>748.29336988194427</v>
      </c>
      <c r="X460" s="10">
        <f>'Книги профессий'!M222</f>
        <v>18</v>
      </c>
    </row>
    <row r="461" spans="1:24" x14ac:dyDescent="0.25">
      <c r="A461" s="23" t="str">
        <f>'Книги профессий'!K223&amp;" &lt; "&amp;'Книги профессий'!L223</f>
        <v>Боцман - база &lt; Дрейкор из Сарухана</v>
      </c>
      <c r="B461">
        <f>'Книги профессий'!N223</f>
        <v>316.31242789558814</v>
      </c>
      <c r="C461">
        <f>'Книги профессий'!I223</f>
        <v>8</v>
      </c>
      <c r="D461">
        <f t="shared" si="108"/>
        <v>14</v>
      </c>
      <c r="E461" t="str">
        <f t="shared" si="185"/>
        <v>$N$8</v>
      </c>
      <c r="F461">
        <f t="shared" ca="1" si="186"/>
        <v>1100</v>
      </c>
      <c r="G461">
        <f t="shared" ca="1" si="187"/>
        <v>3.4375</v>
      </c>
      <c r="H461">
        <f>'Модель v2 базовая'!$G$84</f>
        <v>500</v>
      </c>
      <c r="I461">
        <f t="shared" ca="1" si="188"/>
        <v>57.291666666666671</v>
      </c>
      <c r="J461">
        <v>10</v>
      </c>
      <c r="K461">
        <f>'Модель v2 базовая'!$E$84</f>
        <v>1.6666666666666667</v>
      </c>
      <c r="L461">
        <v>0.7</v>
      </c>
      <c r="M461">
        <f t="shared" si="174"/>
        <v>10</v>
      </c>
      <c r="N461">
        <f t="shared" ca="1" si="189"/>
        <v>5436.2696075583317</v>
      </c>
      <c r="O461">
        <f t="shared" ca="1" si="190"/>
        <v>543.62696075583312</v>
      </c>
      <c r="T461" s="3" t="str">
        <f t="shared" si="181"/>
        <v>Боцман - база &lt; Дрейкор из Сарухана</v>
      </c>
      <c r="U461" s="9">
        <f t="shared" si="182"/>
        <v>316.31242789558814</v>
      </c>
      <c r="V461" s="9">
        <f t="shared" ca="1" si="183"/>
        <v>543.62696075583312</v>
      </c>
      <c r="W461">
        <f t="shared" si="184"/>
        <v>790.78106973897036</v>
      </c>
      <c r="X461" s="10">
        <f>'Книги профессий'!M223</f>
        <v>17</v>
      </c>
    </row>
    <row r="462" spans="1:24" x14ac:dyDescent="0.25">
      <c r="A462" s="23" t="str">
        <f>'Книги профессий'!K224&amp;" &lt; "&amp;'Книги профессий'!L224</f>
        <v>Боцман - база &lt; Лиресса из Лорена</v>
      </c>
      <c r="B462">
        <f>'Книги профессий'!N224</f>
        <v>335.43189283124991</v>
      </c>
      <c r="C462">
        <f>'Книги профессий'!I224</f>
        <v>9</v>
      </c>
      <c r="D462">
        <f t="shared" ref="D462:D491" si="191">$B$16</f>
        <v>14</v>
      </c>
      <c r="E462" t="str">
        <f t="shared" si="185"/>
        <v>$N$9</v>
      </c>
      <c r="F462">
        <f t="shared" ca="1" si="186"/>
        <v>1300</v>
      </c>
      <c r="G462">
        <f t="shared" ca="1" si="187"/>
        <v>4.0625</v>
      </c>
      <c r="H462">
        <f>'Модель v2 базовая'!$G$84</f>
        <v>500</v>
      </c>
      <c r="I462">
        <f t="shared" ca="1" si="188"/>
        <v>67.708333333333343</v>
      </c>
      <c r="J462">
        <v>10</v>
      </c>
      <c r="K462">
        <f>'Модель v2 базовая'!$E$84</f>
        <v>1.6666666666666667</v>
      </c>
      <c r="L462">
        <v>0.7</v>
      </c>
      <c r="M462">
        <f t="shared" si="174"/>
        <v>10</v>
      </c>
      <c r="N462">
        <f t="shared" ca="1" si="189"/>
        <v>5771.7171781312481</v>
      </c>
      <c r="O462">
        <f t="shared" ca="1" si="190"/>
        <v>577.17171781312481</v>
      </c>
      <c r="T462" s="3" t="str">
        <f t="shared" si="181"/>
        <v>Боцман - база &lt; Лиресса из Лорена</v>
      </c>
      <c r="U462" s="9">
        <f t="shared" si="182"/>
        <v>335.43189283124991</v>
      </c>
      <c r="V462" s="9">
        <f t="shared" ca="1" si="183"/>
        <v>577.17171781312481</v>
      </c>
      <c r="W462">
        <f t="shared" si="184"/>
        <v>838.57973207812483</v>
      </c>
      <c r="X462" s="10">
        <f>'Книги профессий'!M224</f>
        <v>16</v>
      </c>
    </row>
    <row r="463" spans="1:24" x14ac:dyDescent="0.25">
      <c r="A463" s="23" t="str">
        <f>'Книги профессий'!K225&amp;" &lt; "&amp;'Книги профессий'!L225</f>
        <v>Боцман - база &lt; Солиндор из Самардейла</v>
      </c>
      <c r="B463">
        <f>'Книги профессий'!N225</f>
        <v>357.10061975833327</v>
      </c>
      <c r="C463">
        <f>'Книги профессий'!I225</f>
        <v>10</v>
      </c>
      <c r="D463">
        <f t="shared" si="191"/>
        <v>14</v>
      </c>
      <c r="E463" t="str">
        <f t="shared" si="185"/>
        <v>$N$10</v>
      </c>
      <c r="F463">
        <f t="shared" ca="1" si="186"/>
        <v>760</v>
      </c>
      <c r="G463">
        <f t="shared" ca="1" si="187"/>
        <v>2.375</v>
      </c>
      <c r="H463">
        <f>'Модель v2 базовая'!$G$84</f>
        <v>500</v>
      </c>
      <c r="I463">
        <f t="shared" ca="1" si="188"/>
        <v>39.583333333333336</v>
      </c>
      <c r="J463">
        <v>10</v>
      </c>
      <c r="K463">
        <f>'Модель v2 базовая'!$E$84</f>
        <v>1.6666666666666667</v>
      </c>
      <c r="L463">
        <v>0.7</v>
      </c>
      <c r="M463">
        <f t="shared" si="174"/>
        <v>0</v>
      </c>
      <c r="N463">
        <f t="shared" ca="1" si="189"/>
        <v>6111.9605358916651</v>
      </c>
      <c r="O463">
        <f t="shared" ca="1" si="190"/>
        <v>611.19605358916647</v>
      </c>
      <c r="T463" s="3" t="str">
        <f t="shared" si="181"/>
        <v>Боцман - база &lt; Солиндор из Самардейла</v>
      </c>
      <c r="U463" s="9">
        <f t="shared" si="182"/>
        <v>357.10061975833327</v>
      </c>
      <c r="V463" s="9">
        <f t="shared" ca="1" si="183"/>
        <v>611.19605358916647</v>
      </c>
      <c r="W463">
        <f t="shared" si="184"/>
        <v>892.75154939583319</v>
      </c>
      <c r="X463" s="10">
        <f>'Книги профессий'!M225</f>
        <v>15</v>
      </c>
    </row>
    <row r="464" spans="1:24" x14ac:dyDescent="0.25">
      <c r="A464" s="23" t="str">
        <f>'Книги профессий'!K226&amp;" &lt; "&amp;'Книги профессий'!L226</f>
        <v>Боцман - база &lt; Зафира из Гвадекуры</v>
      </c>
      <c r="B464">
        <f>'Книги профессий'!N226</f>
        <v>381.86487910357135</v>
      </c>
      <c r="C464">
        <f>'Книги профессий'!I226</f>
        <v>11</v>
      </c>
      <c r="D464">
        <f t="shared" si="191"/>
        <v>14</v>
      </c>
      <c r="E464" t="str">
        <f t="shared" si="185"/>
        <v>$N$11</v>
      </c>
      <c r="F464">
        <f t="shared" ca="1" si="186"/>
        <v>880</v>
      </c>
      <c r="G464">
        <f t="shared" ca="1" si="187"/>
        <v>2.75</v>
      </c>
      <c r="H464">
        <f>'Модель v2 базовая'!$G$84</f>
        <v>500</v>
      </c>
      <c r="I464">
        <f t="shared" ca="1" si="188"/>
        <v>45.833333333333336</v>
      </c>
      <c r="J464">
        <v>10</v>
      </c>
      <c r="K464">
        <f>'Модель v2 базовая'!$E$84</f>
        <v>1.6666666666666667</v>
      </c>
      <c r="L464">
        <v>0.7</v>
      </c>
      <c r="M464">
        <f t="shared" si="174"/>
        <v>0</v>
      </c>
      <c r="N464">
        <f t="shared" ca="1" si="189"/>
        <v>6539.2029447607129</v>
      </c>
      <c r="O464">
        <f t="shared" ca="1" si="190"/>
        <v>653.92029447607126</v>
      </c>
      <c r="T464" s="3" t="str">
        <f t="shared" si="181"/>
        <v>Боцман - база &lt; Зафира из Гвадекуры</v>
      </c>
      <c r="U464" s="9">
        <f t="shared" si="182"/>
        <v>381.86487910357135</v>
      </c>
      <c r="V464" s="9">
        <f t="shared" ca="1" si="183"/>
        <v>653.92029447607126</v>
      </c>
      <c r="W464">
        <f t="shared" si="184"/>
        <v>954.66219775892841</v>
      </c>
      <c r="X464" s="10">
        <f>'Книги профессий'!M226</f>
        <v>14</v>
      </c>
    </row>
    <row r="465" spans="1:24" x14ac:dyDescent="0.25">
      <c r="A465" s="23" t="str">
        <f>'Книги профессий'!K227&amp;" &lt; "&amp;'Книги профессий'!L227</f>
        <v>Боцман - база &lt; Ториндор из Ранджар-ара</v>
      </c>
      <c r="B465">
        <f>'Книги профессий'!N227</f>
        <v>410.43902450192297</v>
      </c>
      <c r="C465">
        <f>'Книги профессий'!I227</f>
        <v>12</v>
      </c>
      <c r="D465">
        <f t="shared" si="191"/>
        <v>14</v>
      </c>
      <c r="E465" t="str">
        <f t="shared" si="185"/>
        <v>$N$12</v>
      </c>
      <c r="F465">
        <f t="shared" ca="1" si="186"/>
        <v>400</v>
      </c>
      <c r="G465">
        <f t="shared" ca="1" si="187"/>
        <v>1.25</v>
      </c>
      <c r="H465">
        <f>'Модель v2 базовая'!$G$84</f>
        <v>500</v>
      </c>
      <c r="I465">
        <f t="shared" ca="1" si="188"/>
        <v>20.833333333333336</v>
      </c>
      <c r="J465">
        <v>10</v>
      </c>
      <c r="K465">
        <f>'Модель v2 базовая'!$E$84</f>
        <v>1.6666666666666667</v>
      </c>
      <c r="L465">
        <v>0.7</v>
      </c>
      <c r="M465">
        <f t="shared" si="174"/>
        <v>0</v>
      </c>
      <c r="N465">
        <f t="shared" ca="1" si="189"/>
        <v>6999.9634165326906</v>
      </c>
      <c r="O465">
        <f t="shared" ca="1" si="190"/>
        <v>699.99634165326904</v>
      </c>
      <c r="T465" s="3" t="str">
        <f t="shared" si="181"/>
        <v>Боцман - база &lt; Ториндор из Ранджар-ара</v>
      </c>
      <c r="U465" s="9">
        <f t="shared" si="182"/>
        <v>410.43902450192297</v>
      </c>
      <c r="V465" s="9">
        <f t="shared" ca="1" si="183"/>
        <v>699.99634165326904</v>
      </c>
      <c r="W465">
        <f t="shared" si="184"/>
        <v>1026.0975612548075</v>
      </c>
      <c r="X465" s="10">
        <f>'Книги профессий'!M227</f>
        <v>13</v>
      </c>
    </row>
    <row r="466" spans="1:24" x14ac:dyDescent="0.25">
      <c r="A466" s="23" t="str">
        <f>'Книги профессий'!K228&amp;" &lt; "&amp;'Книги профессий'!L228</f>
        <v>Боцман - база &lt; Солиндор из Садата</v>
      </c>
      <c r="B466">
        <f>'Книги профессий'!N228</f>
        <v>443.77552746666657</v>
      </c>
      <c r="C466">
        <f>'Книги профессий'!I228</f>
        <v>13</v>
      </c>
      <c r="D466">
        <f t="shared" si="191"/>
        <v>14</v>
      </c>
      <c r="E466" t="str">
        <f t="shared" si="185"/>
        <v>$N$13</v>
      </c>
      <c r="F466">
        <f t="shared" ca="1" si="186"/>
        <v>880</v>
      </c>
      <c r="G466">
        <f t="shared" ca="1" si="187"/>
        <v>2.75</v>
      </c>
      <c r="H466">
        <f>'Модель v2 базовая'!$G$84</f>
        <v>500</v>
      </c>
      <c r="I466">
        <f t="shared" ca="1" si="188"/>
        <v>45.833333333333336</v>
      </c>
      <c r="J466">
        <v>10</v>
      </c>
      <c r="K466">
        <f>'Модель v2 базовая'!$E$84</f>
        <v>1.6666666666666667</v>
      </c>
      <c r="L466">
        <v>0.7</v>
      </c>
      <c r="M466">
        <f t="shared" si="174"/>
        <v>0</v>
      </c>
      <c r="N466">
        <f t="shared" ca="1" si="189"/>
        <v>7591.6839669333322</v>
      </c>
      <c r="O466">
        <f t="shared" ca="1" si="190"/>
        <v>759.16839669333319</v>
      </c>
      <c r="T466" s="3" t="str">
        <f t="shared" si="181"/>
        <v>Боцман - база &lt; Солиндор из Садата</v>
      </c>
      <c r="U466" s="9">
        <f t="shared" si="182"/>
        <v>443.77552746666657</v>
      </c>
      <c r="V466" s="9">
        <f t="shared" ca="1" si="183"/>
        <v>759.16839669333319</v>
      </c>
      <c r="W466">
        <f t="shared" si="184"/>
        <v>1109.4388186666665</v>
      </c>
      <c r="X466" s="10">
        <f>'Книги профессий'!M228</f>
        <v>12</v>
      </c>
    </row>
    <row r="467" spans="1:24" x14ac:dyDescent="0.25">
      <c r="A467" s="23" t="str">
        <f>'Книги профессий'!K229&amp;" &lt; "&amp;'Книги профессий'!L229</f>
        <v>Боцман - база &lt; Арданна из Столицы</v>
      </c>
      <c r="B467">
        <f>'Книги профессий'!N229</f>
        <v>483.17321278863631</v>
      </c>
      <c r="C467">
        <f>'Книги профессий'!I229</f>
        <v>14</v>
      </c>
      <c r="D467">
        <f t="shared" si="191"/>
        <v>14</v>
      </c>
      <c r="E467" t="str">
        <f t="shared" si="185"/>
        <v>$N$14</v>
      </c>
      <c r="F467">
        <f t="shared" ca="1" si="186"/>
        <v>0</v>
      </c>
      <c r="G467">
        <f t="shared" ca="1" si="187"/>
        <v>0</v>
      </c>
      <c r="H467">
        <f>'Модель v2 базовая'!$G$84</f>
        <v>500</v>
      </c>
      <c r="I467">
        <f t="shared" ca="1" si="188"/>
        <v>0</v>
      </c>
      <c r="J467">
        <v>10</v>
      </c>
      <c r="K467">
        <f>'Модель v2 базовая'!$E$84</f>
        <v>1.6666666666666667</v>
      </c>
      <c r="L467">
        <v>0.7</v>
      </c>
      <c r="M467">
        <f t="shared" si="174"/>
        <v>0</v>
      </c>
      <c r="N467">
        <f t="shared" ca="1" si="189"/>
        <v>4831.7321278863628</v>
      </c>
      <c r="O467">
        <f t="shared" ca="1" si="190"/>
        <v>483.17321278863631</v>
      </c>
      <c r="T467" s="3" t="str">
        <f t="shared" si="181"/>
        <v>Боцман - база &lt; Арданна из Столицы</v>
      </c>
      <c r="U467" s="9">
        <f t="shared" si="182"/>
        <v>483.17321278863631</v>
      </c>
      <c r="V467" s="9">
        <f t="shared" ca="1" si="183"/>
        <v>483.17321278863631</v>
      </c>
      <c r="W467">
        <f t="shared" si="184"/>
        <v>1207.9330319715907</v>
      </c>
      <c r="X467" s="10">
        <f>'Книги профессий'!M229</f>
        <v>11</v>
      </c>
    </row>
    <row r="468" spans="1:24" x14ac:dyDescent="0.25">
      <c r="A468" s="23" t="str">
        <f>'Книги профессий'!K230&amp;" &lt; "&amp;'Книги профессий'!L230</f>
        <v>Боцман - Прод &lt; Лиландрия из Люг-о-дана</v>
      </c>
      <c r="B468">
        <f>'Книги профессий'!N230</f>
        <v>313.76316590416661</v>
      </c>
      <c r="C468">
        <f>'Книги профессий'!I230</f>
        <v>3</v>
      </c>
      <c r="D468">
        <f t="shared" si="191"/>
        <v>14</v>
      </c>
      <c r="E468" t="str">
        <f t="shared" si="185"/>
        <v>$N$3</v>
      </c>
      <c r="F468">
        <f t="shared" ca="1" si="186"/>
        <v>680</v>
      </c>
      <c r="G468">
        <f t="shared" ca="1" si="187"/>
        <v>2.125</v>
      </c>
      <c r="H468">
        <f>'Модель v2 базовая'!$G$84</f>
        <v>500</v>
      </c>
      <c r="I468">
        <f t="shared" ca="1" si="188"/>
        <v>35.416666666666671</v>
      </c>
      <c r="J468">
        <v>10</v>
      </c>
      <c r="K468">
        <f>'Модель v2 базовая'!$E$84</f>
        <v>1.6666666666666667</v>
      </c>
      <c r="L468">
        <v>0.7</v>
      </c>
      <c r="M468">
        <f t="shared" si="174"/>
        <v>10</v>
      </c>
      <c r="N468">
        <f t="shared" ca="1" si="189"/>
        <v>5371.0571537041669</v>
      </c>
      <c r="O468">
        <f t="shared" ca="1" si="190"/>
        <v>537.10571537041665</v>
      </c>
      <c r="T468" s="3" t="str">
        <f t="shared" si="181"/>
        <v>Боцман - Прод &lt; Лиландрия из Люг-о-дана</v>
      </c>
      <c r="U468" s="9">
        <f t="shared" si="182"/>
        <v>313.76316590416661</v>
      </c>
      <c r="V468" s="9">
        <f t="shared" ca="1" si="183"/>
        <v>537.10571537041665</v>
      </c>
      <c r="W468">
        <f t="shared" si="184"/>
        <v>784.40791476041659</v>
      </c>
      <c r="X468" s="10">
        <f>'Книги профессий'!M230</f>
        <v>24</v>
      </c>
    </row>
    <row r="469" spans="1:24" x14ac:dyDescent="0.25">
      <c r="A469" s="23" t="str">
        <f>'Книги профессий'!K231&amp;" &lt; "&amp;'Книги профессий'!L231</f>
        <v>Боцман - Прод &lt; Фаэрандор из Шихона</v>
      </c>
      <c r="B469">
        <f>'Книги профессий'!N231</f>
        <v>326.95282577282603</v>
      </c>
      <c r="C469">
        <f>'Книги профессий'!I231</f>
        <v>4</v>
      </c>
      <c r="D469">
        <f t="shared" si="191"/>
        <v>14</v>
      </c>
      <c r="E469" t="str">
        <f t="shared" si="185"/>
        <v>$N$4</v>
      </c>
      <c r="F469">
        <f t="shared" ca="1" si="186"/>
        <v>900</v>
      </c>
      <c r="G469">
        <f t="shared" ca="1" si="187"/>
        <v>2.8125</v>
      </c>
      <c r="H469">
        <f>'Модель v2 базовая'!$G$84</f>
        <v>500</v>
      </c>
      <c r="I469">
        <f t="shared" ca="1" si="188"/>
        <v>46.875</v>
      </c>
      <c r="J469">
        <v>10</v>
      </c>
      <c r="K469">
        <f>'Модель v2 базовая'!$E$84</f>
        <v>1.6666666666666667</v>
      </c>
      <c r="L469">
        <v>0.7</v>
      </c>
      <c r="M469">
        <f t="shared" si="174"/>
        <v>10</v>
      </c>
      <c r="N469">
        <f t="shared" ca="1" si="189"/>
        <v>5606.7397048047096</v>
      </c>
      <c r="O469">
        <f t="shared" ca="1" si="190"/>
        <v>560.67397048047098</v>
      </c>
      <c r="T469" s="3" t="str">
        <f t="shared" si="181"/>
        <v>Боцман - Прод &lt; Фаэрандор из Шихона</v>
      </c>
      <c r="U469" s="9">
        <f t="shared" si="182"/>
        <v>326.95282577282603</v>
      </c>
      <c r="V469" s="9">
        <f t="shared" ca="1" si="183"/>
        <v>560.67397048047098</v>
      </c>
      <c r="W469">
        <f t="shared" si="184"/>
        <v>817.38206443206514</v>
      </c>
      <c r="X469" s="10">
        <f>'Книги профессий'!M231</f>
        <v>23</v>
      </c>
    </row>
    <row r="470" spans="1:24" x14ac:dyDescent="0.25">
      <c r="A470" s="23" t="str">
        <f>'Книги профессий'!K232&amp;" &lt; "&amp;'Книги профессий'!L232</f>
        <v>Боцман - Прод &lt; Ворантис из Готуна</v>
      </c>
      <c r="B470">
        <f>'Книги профессий'!N232</f>
        <v>341.34154562954541</v>
      </c>
      <c r="C470">
        <f>'Книги профессий'!I232</f>
        <v>5</v>
      </c>
      <c r="D470">
        <f t="shared" si="191"/>
        <v>14</v>
      </c>
      <c r="E470" t="str">
        <f t="shared" si="185"/>
        <v>$N$5</v>
      </c>
      <c r="F470">
        <f t="shared" ca="1" si="186"/>
        <v>980</v>
      </c>
      <c r="G470">
        <f t="shared" ca="1" si="187"/>
        <v>3.0625</v>
      </c>
      <c r="H470">
        <f>'Модель v2 базовая'!$G$84</f>
        <v>500</v>
      </c>
      <c r="I470">
        <f t="shared" ca="1" si="188"/>
        <v>51.041666666666671</v>
      </c>
      <c r="J470">
        <v>10</v>
      </c>
      <c r="K470">
        <f>'Модель v2 базовая'!$E$84</f>
        <v>1.6666666666666667</v>
      </c>
      <c r="L470">
        <v>0.7</v>
      </c>
      <c r="M470">
        <f t="shared" ref="M470:M533" si="192">IF(OR(AND(D470&gt;9,C470&lt;=9),AND(D470&lt;9,C470&gt;=9)),10,0)</f>
        <v>10</v>
      </c>
      <c r="N470">
        <f t="shared" ca="1" si="189"/>
        <v>5855.5146090356056</v>
      </c>
      <c r="O470">
        <f t="shared" ca="1" si="190"/>
        <v>585.55146090356061</v>
      </c>
      <c r="T470" s="3" t="str">
        <f t="shared" si="181"/>
        <v>Боцман - Прод &lt; Ворантис из Готуна</v>
      </c>
      <c r="U470" s="9">
        <f t="shared" si="182"/>
        <v>341.34154562954541</v>
      </c>
      <c r="V470" s="9">
        <f t="shared" ca="1" si="183"/>
        <v>585.55146090356061</v>
      </c>
      <c r="W470">
        <f t="shared" si="184"/>
        <v>853.35386407386352</v>
      </c>
      <c r="X470" s="10">
        <f>'Книги профессий'!M232</f>
        <v>22</v>
      </c>
    </row>
    <row r="471" spans="1:24" x14ac:dyDescent="0.25">
      <c r="A471" s="23" t="str">
        <f>'Книги профессий'!K233&amp;" &lt; "&amp;'Книги профессий'!L233</f>
        <v>Боцман - Прод &lt; Эландил из Фидваго</v>
      </c>
      <c r="B471">
        <f>'Книги профессий'!N233</f>
        <v>357.10061975833327</v>
      </c>
      <c r="C471">
        <f>'Книги профессий'!I233</f>
        <v>6</v>
      </c>
      <c r="D471">
        <f t="shared" si="191"/>
        <v>14</v>
      </c>
      <c r="E471" t="str">
        <f t="shared" si="185"/>
        <v>$N$6</v>
      </c>
      <c r="F471">
        <f t="shared" ca="1" si="186"/>
        <v>1460</v>
      </c>
      <c r="G471">
        <f t="shared" ca="1" si="187"/>
        <v>4.5625</v>
      </c>
      <c r="H471">
        <f>'Модель v2 базовая'!$G$84</f>
        <v>500</v>
      </c>
      <c r="I471">
        <f t="shared" ca="1" si="188"/>
        <v>76.041666666666671</v>
      </c>
      <c r="J471">
        <v>10</v>
      </c>
      <c r="K471">
        <f>'Модель v2 базовая'!$E$84</f>
        <v>1.6666666666666667</v>
      </c>
      <c r="L471">
        <v>0.7</v>
      </c>
      <c r="M471">
        <f t="shared" si="192"/>
        <v>10</v>
      </c>
      <c r="N471">
        <f t="shared" ca="1" si="189"/>
        <v>6148.4188692249991</v>
      </c>
      <c r="O471">
        <f t="shared" ca="1" si="190"/>
        <v>614.84188692249995</v>
      </c>
      <c r="T471" s="3" t="str">
        <f t="shared" si="181"/>
        <v>Боцман - Прод &lt; Эландил из Фидваго</v>
      </c>
      <c r="U471" s="9">
        <f t="shared" si="182"/>
        <v>357.10061975833327</v>
      </c>
      <c r="V471" s="9">
        <f t="shared" ca="1" si="183"/>
        <v>614.84188692249995</v>
      </c>
      <c r="W471">
        <f t="shared" si="184"/>
        <v>892.75154939583319</v>
      </c>
      <c r="X471" s="10">
        <f>'Книги профессий'!M233</f>
        <v>21</v>
      </c>
    </row>
    <row r="472" spans="1:24" x14ac:dyDescent="0.25">
      <c r="A472" s="23" t="str">
        <f>'Книги профессий'!K234&amp;" &lt; "&amp;'Книги профессий'!L234</f>
        <v>Боцман - Прод &lt; Ардантир из Дарутана</v>
      </c>
      <c r="B472">
        <f>'Книги профессий'!N234</f>
        <v>374.43560129999992</v>
      </c>
      <c r="C472">
        <f>'Книги профессий'!I234</f>
        <v>7</v>
      </c>
      <c r="D472">
        <f t="shared" si="191"/>
        <v>14</v>
      </c>
      <c r="E472" t="str">
        <f t="shared" si="185"/>
        <v>$N$7</v>
      </c>
      <c r="F472">
        <f t="shared" ca="1" si="186"/>
        <v>880</v>
      </c>
      <c r="G472">
        <f t="shared" ca="1" si="187"/>
        <v>2.75</v>
      </c>
      <c r="H472">
        <f>'Модель v2 базовая'!$G$84</f>
        <v>500</v>
      </c>
      <c r="I472">
        <f t="shared" ca="1" si="188"/>
        <v>45.833333333333336</v>
      </c>
      <c r="J472">
        <v>10</v>
      </c>
      <c r="K472">
        <f>'Модель v2 базовая'!$E$84</f>
        <v>1.6666666666666667</v>
      </c>
      <c r="L472">
        <v>0.7</v>
      </c>
      <c r="M472">
        <f t="shared" si="192"/>
        <v>10</v>
      </c>
      <c r="N472">
        <f t="shared" ca="1" si="189"/>
        <v>6412.9052220999984</v>
      </c>
      <c r="O472">
        <f t="shared" ca="1" si="190"/>
        <v>641.29052220999984</v>
      </c>
      <c r="T472" s="3" t="str">
        <f t="shared" si="181"/>
        <v>Боцман - Прод &lt; Ардантир из Дарутана</v>
      </c>
      <c r="U472" s="9">
        <f t="shared" si="182"/>
        <v>374.43560129999992</v>
      </c>
      <c r="V472" s="9">
        <f t="shared" ca="1" si="183"/>
        <v>641.29052220999984</v>
      </c>
      <c r="W472">
        <f t="shared" si="184"/>
        <v>936.08900324999979</v>
      </c>
      <c r="X472" s="10">
        <f>'Книги профессий'!M234</f>
        <v>20</v>
      </c>
    </row>
    <row r="473" spans="1:24" x14ac:dyDescent="0.25">
      <c r="A473" s="23" t="str">
        <f>'Книги профессий'!K235&amp;" &lt; "&amp;'Книги профессий'!L235</f>
        <v>Боцман - Прод &lt; Илиориан из Сарухана</v>
      </c>
      <c r="B473">
        <f>'Книги профессий'!N235</f>
        <v>393.59531774078937</v>
      </c>
      <c r="C473">
        <f>'Книги профессий'!I235</f>
        <v>8</v>
      </c>
      <c r="D473">
        <f t="shared" si="191"/>
        <v>14</v>
      </c>
      <c r="E473" t="str">
        <f t="shared" si="185"/>
        <v>$N$8</v>
      </c>
      <c r="F473">
        <f t="shared" ca="1" si="186"/>
        <v>1100</v>
      </c>
      <c r="G473">
        <f t="shared" ca="1" si="187"/>
        <v>3.4375</v>
      </c>
      <c r="H473">
        <f>'Модель v2 базовая'!$G$84</f>
        <v>500</v>
      </c>
      <c r="I473">
        <f t="shared" ca="1" si="188"/>
        <v>57.291666666666671</v>
      </c>
      <c r="J473">
        <v>10</v>
      </c>
      <c r="K473">
        <f>'Модель v2 базовая'!$E$84</f>
        <v>1.6666666666666667</v>
      </c>
      <c r="L473">
        <v>0.7</v>
      </c>
      <c r="M473">
        <f t="shared" si="192"/>
        <v>10</v>
      </c>
      <c r="N473">
        <f t="shared" ca="1" si="189"/>
        <v>6750.078734926753</v>
      </c>
      <c r="O473">
        <f t="shared" ca="1" si="190"/>
        <v>675.00787349267534</v>
      </c>
      <c r="T473" s="3" t="str">
        <f t="shared" si="181"/>
        <v>Боцман - Прод &lt; Илиориан из Сарухана</v>
      </c>
      <c r="U473" s="9">
        <f t="shared" si="182"/>
        <v>393.59531774078937</v>
      </c>
      <c r="V473" s="9">
        <f t="shared" ca="1" si="183"/>
        <v>675.00787349267534</v>
      </c>
      <c r="W473">
        <f t="shared" si="184"/>
        <v>983.98829435197342</v>
      </c>
      <c r="X473" s="10">
        <f>'Книги профессий'!M235</f>
        <v>19</v>
      </c>
    </row>
    <row r="474" spans="1:24" x14ac:dyDescent="0.25">
      <c r="A474" s="23" t="str">
        <f>'Книги профессий'!K236&amp;" &lt; "&amp;'Книги профессий'!L236</f>
        <v>Боцман - Прод &lt; Сирель из Лорена</v>
      </c>
      <c r="B474">
        <f>'Книги профессий'!N236</f>
        <v>414.88389156388882</v>
      </c>
      <c r="C474">
        <f>'Книги профессий'!I236</f>
        <v>9</v>
      </c>
      <c r="D474">
        <f t="shared" si="191"/>
        <v>14</v>
      </c>
      <c r="E474" t="str">
        <f t="shared" si="185"/>
        <v>$N$9</v>
      </c>
      <c r="F474">
        <f t="shared" ca="1" si="186"/>
        <v>1300</v>
      </c>
      <c r="G474">
        <f t="shared" ca="1" si="187"/>
        <v>4.0625</v>
      </c>
      <c r="H474">
        <f>'Модель v2 базовая'!$G$84</f>
        <v>500</v>
      </c>
      <c r="I474">
        <f t="shared" ca="1" si="188"/>
        <v>67.708333333333343</v>
      </c>
      <c r="J474">
        <v>10</v>
      </c>
      <c r="K474">
        <f>'Модель v2 базовая'!$E$84</f>
        <v>1.6666666666666667</v>
      </c>
      <c r="L474">
        <v>0.7</v>
      </c>
      <c r="M474">
        <f t="shared" si="192"/>
        <v>10</v>
      </c>
      <c r="N474">
        <f t="shared" ca="1" si="189"/>
        <v>7122.4011565861101</v>
      </c>
      <c r="O474">
        <f t="shared" ca="1" si="190"/>
        <v>712.24011565861099</v>
      </c>
      <c r="T474" s="3" t="str">
        <f t="shared" si="181"/>
        <v>Боцман - Прод &lt; Сирель из Лорена</v>
      </c>
      <c r="U474" s="9">
        <f t="shared" si="182"/>
        <v>414.88389156388882</v>
      </c>
      <c r="V474" s="9">
        <f t="shared" ca="1" si="183"/>
        <v>712.24011565861099</v>
      </c>
      <c r="W474">
        <f t="shared" si="184"/>
        <v>1037.2097289097221</v>
      </c>
      <c r="X474" s="10">
        <f>'Книги профессий'!M236</f>
        <v>18</v>
      </c>
    </row>
    <row r="475" spans="1:24" x14ac:dyDescent="0.25">
      <c r="A475" s="23" t="str">
        <f>'Книги профессий'!K237&amp;" &lt; "&amp;'Книги профессий'!L237</f>
        <v>Боцман - Прод &lt; Зефирос из Самардейла</v>
      </c>
      <c r="B475">
        <f>'Книги профессий'!N237</f>
        <v>438.67700348382346</v>
      </c>
      <c r="C475">
        <f>'Книги профессий'!I237</f>
        <v>10</v>
      </c>
      <c r="D475">
        <f t="shared" si="191"/>
        <v>14</v>
      </c>
      <c r="E475" t="str">
        <f t="shared" si="185"/>
        <v>$N$10</v>
      </c>
      <c r="F475">
        <f t="shared" ca="1" si="186"/>
        <v>760</v>
      </c>
      <c r="G475">
        <f t="shared" ca="1" si="187"/>
        <v>2.375</v>
      </c>
      <c r="H475">
        <f>'Модель v2 базовая'!$G$84</f>
        <v>500</v>
      </c>
      <c r="I475">
        <f t="shared" ca="1" si="188"/>
        <v>39.583333333333336</v>
      </c>
      <c r="J475">
        <v>10</v>
      </c>
      <c r="K475">
        <f>'Модель v2 базовая'!$E$84</f>
        <v>1.6666666666666667</v>
      </c>
      <c r="L475">
        <v>0.7</v>
      </c>
      <c r="M475">
        <f t="shared" si="192"/>
        <v>0</v>
      </c>
      <c r="N475">
        <f t="shared" ca="1" si="189"/>
        <v>7498.7590592249999</v>
      </c>
      <c r="O475">
        <f t="shared" ca="1" si="190"/>
        <v>749.87590592250001</v>
      </c>
      <c r="T475" s="3" t="str">
        <f t="shared" si="181"/>
        <v>Боцман - Прод &lt; Зефирос из Самардейла</v>
      </c>
      <c r="U475" s="9">
        <f t="shared" si="182"/>
        <v>438.67700348382346</v>
      </c>
      <c r="V475" s="9">
        <f t="shared" ca="1" si="183"/>
        <v>749.87590592250001</v>
      </c>
      <c r="W475">
        <f t="shared" si="184"/>
        <v>1096.6925087095588</v>
      </c>
      <c r="X475" s="10">
        <f>'Книги профессий'!M237</f>
        <v>17</v>
      </c>
    </row>
    <row r="476" spans="1:24" x14ac:dyDescent="0.25">
      <c r="A476" s="23" t="str">
        <f>'Книги профессий'!K238&amp;" &lt; "&amp;'Книги профессий'!L238</f>
        <v>Боцман - Прод &lt; Иллирон из Гвадекуры</v>
      </c>
      <c r="B476">
        <f>'Книги профессий'!N238</f>
        <v>465.44425439374993</v>
      </c>
      <c r="C476">
        <f>'Книги профессий'!I238</f>
        <v>11</v>
      </c>
      <c r="D476">
        <f t="shared" si="191"/>
        <v>14</v>
      </c>
      <c r="E476" t="str">
        <f t="shared" si="185"/>
        <v>$N$11</v>
      </c>
      <c r="F476">
        <f t="shared" ca="1" si="186"/>
        <v>880</v>
      </c>
      <c r="G476">
        <f t="shared" ca="1" si="187"/>
        <v>2.75</v>
      </c>
      <c r="H476">
        <f>'Модель v2 базовая'!$G$84</f>
        <v>500</v>
      </c>
      <c r="I476">
        <f t="shared" ca="1" si="188"/>
        <v>45.833333333333336</v>
      </c>
      <c r="J476">
        <v>10</v>
      </c>
      <c r="K476">
        <f>'Модель v2 базовая'!$E$84</f>
        <v>1.6666666666666667</v>
      </c>
      <c r="L476">
        <v>0.7</v>
      </c>
      <c r="M476">
        <f t="shared" si="192"/>
        <v>0</v>
      </c>
      <c r="N476">
        <f t="shared" ca="1" si="189"/>
        <v>7960.0523246937482</v>
      </c>
      <c r="O476">
        <f t="shared" ca="1" si="190"/>
        <v>796.00523246937485</v>
      </c>
      <c r="T476" s="3" t="str">
        <f t="shared" si="181"/>
        <v>Боцман - Прод &lt; Иллирон из Гвадекуры</v>
      </c>
      <c r="U476" s="9">
        <f t="shared" si="182"/>
        <v>465.44425439374993</v>
      </c>
      <c r="V476" s="9">
        <f t="shared" ca="1" si="183"/>
        <v>796.00523246937485</v>
      </c>
      <c r="W476">
        <f t="shared" si="184"/>
        <v>1163.6106359843748</v>
      </c>
      <c r="X476" s="10">
        <f>'Книги профессий'!M238</f>
        <v>16</v>
      </c>
    </row>
    <row r="477" spans="1:24" x14ac:dyDescent="0.25">
      <c r="A477" s="23" t="str">
        <f>'Книги профессий'!K239&amp;" &lt; "&amp;'Книги профессий'!L239</f>
        <v>Боцман - Прод &lt; Сильвания из Ранджар-ара</v>
      </c>
      <c r="B477">
        <f>'Книги профессий'!N239</f>
        <v>495.78047209166658</v>
      </c>
      <c r="C477">
        <f>'Книги профессий'!I239</f>
        <v>12</v>
      </c>
      <c r="D477">
        <f t="shared" si="191"/>
        <v>14</v>
      </c>
      <c r="E477" t="str">
        <f t="shared" si="185"/>
        <v>$N$12</v>
      </c>
      <c r="F477">
        <f t="shared" ca="1" si="186"/>
        <v>400</v>
      </c>
      <c r="G477">
        <f t="shared" ca="1" si="187"/>
        <v>1.25</v>
      </c>
      <c r="H477">
        <f>'Модель v2 базовая'!$G$84</f>
        <v>500</v>
      </c>
      <c r="I477">
        <f t="shared" ca="1" si="188"/>
        <v>20.833333333333336</v>
      </c>
      <c r="J477">
        <v>10</v>
      </c>
      <c r="K477">
        <f>'Модель v2 базовая'!$E$84</f>
        <v>1.6666666666666667</v>
      </c>
      <c r="L477">
        <v>0.7</v>
      </c>
      <c r="M477">
        <f t="shared" si="192"/>
        <v>0</v>
      </c>
      <c r="N477">
        <f t="shared" ca="1" si="189"/>
        <v>8450.7680255583327</v>
      </c>
      <c r="O477">
        <f t="shared" ca="1" si="190"/>
        <v>845.0768025558333</v>
      </c>
      <c r="T477" s="3" t="str">
        <f t="shared" si="181"/>
        <v>Боцман - Прод &lt; Сильвания из Ранджар-ара</v>
      </c>
      <c r="U477" s="9">
        <f t="shared" si="182"/>
        <v>495.78047209166658</v>
      </c>
      <c r="V477" s="9">
        <f t="shared" ca="1" si="183"/>
        <v>845.0768025558333</v>
      </c>
      <c r="W477">
        <f t="shared" si="184"/>
        <v>1239.4511802291665</v>
      </c>
      <c r="X477" s="10">
        <f>'Книги профессий'!M239</f>
        <v>15</v>
      </c>
    </row>
    <row r="478" spans="1:24" x14ac:dyDescent="0.25">
      <c r="A478" s="23" t="str">
        <f>'Книги профессий'!K240&amp;" &lt; "&amp;'Книги профессий'!L240</f>
        <v>Боцман - Прод &lt; Тирасил из Садата</v>
      </c>
      <c r="B478">
        <f>'Книги профессий'!N240</f>
        <v>530.45043517499994</v>
      </c>
      <c r="C478">
        <f>'Книги профессий'!I240</f>
        <v>13</v>
      </c>
      <c r="D478">
        <f t="shared" si="191"/>
        <v>14</v>
      </c>
      <c r="E478" t="str">
        <f t="shared" si="185"/>
        <v>$N$13</v>
      </c>
      <c r="F478">
        <f t="shared" ca="1" si="186"/>
        <v>880</v>
      </c>
      <c r="G478">
        <f t="shared" ca="1" si="187"/>
        <v>2.75</v>
      </c>
      <c r="H478">
        <f>'Модель v2 базовая'!$G$84</f>
        <v>500</v>
      </c>
      <c r="I478">
        <f t="shared" ca="1" si="188"/>
        <v>45.833333333333336</v>
      </c>
      <c r="J478">
        <v>10</v>
      </c>
      <c r="K478">
        <f>'Модель v2 базовая'!$E$84</f>
        <v>1.6666666666666667</v>
      </c>
      <c r="L478">
        <v>0.7</v>
      </c>
      <c r="M478">
        <f t="shared" si="192"/>
        <v>0</v>
      </c>
      <c r="N478">
        <f t="shared" ca="1" si="189"/>
        <v>9065.1573979749992</v>
      </c>
      <c r="O478">
        <f t="shared" ca="1" si="190"/>
        <v>906.51573979749992</v>
      </c>
      <c r="T478" s="3" t="str">
        <f t="shared" si="181"/>
        <v>Боцман - Прод &lt; Тирасил из Садата</v>
      </c>
      <c r="U478" s="9">
        <f t="shared" si="182"/>
        <v>530.45043517499994</v>
      </c>
      <c r="V478" s="9">
        <f t="shared" ca="1" si="183"/>
        <v>906.51573979749992</v>
      </c>
      <c r="W478">
        <f t="shared" si="184"/>
        <v>1326.1260879375</v>
      </c>
      <c r="X478" s="10">
        <f>'Книги профессий'!M240</f>
        <v>14</v>
      </c>
    </row>
    <row r="479" spans="1:24" x14ac:dyDescent="0.25">
      <c r="A479" s="23" t="str">
        <f>'Книги профессий'!K241&amp;" &lt; "&amp;'Книги профессий'!L241</f>
        <v>Боцман - Прод &lt; Филиан из Столицы</v>
      </c>
      <c r="B479">
        <f>'Книги профессий'!N241</f>
        <v>570.45423873269215</v>
      </c>
      <c r="C479">
        <f>'Книги профессий'!I241</f>
        <v>14</v>
      </c>
      <c r="D479">
        <f t="shared" si="191"/>
        <v>14</v>
      </c>
      <c r="E479" t="str">
        <f t="shared" si="185"/>
        <v>$N$14</v>
      </c>
      <c r="F479">
        <f t="shared" ca="1" si="186"/>
        <v>0</v>
      </c>
      <c r="G479">
        <f t="shared" ca="1" si="187"/>
        <v>0</v>
      </c>
      <c r="H479">
        <f>'Модель v2 базовая'!$G$84</f>
        <v>500</v>
      </c>
      <c r="I479">
        <f t="shared" ca="1" si="188"/>
        <v>0</v>
      </c>
      <c r="J479">
        <v>10</v>
      </c>
      <c r="K479">
        <f>'Модель v2 базовая'!$E$84</f>
        <v>1.6666666666666667</v>
      </c>
      <c r="L479">
        <v>0.7</v>
      </c>
      <c r="M479">
        <f t="shared" si="192"/>
        <v>0</v>
      </c>
      <c r="N479">
        <f t="shared" ca="1" si="189"/>
        <v>5704.542387326921</v>
      </c>
      <c r="O479">
        <f t="shared" ca="1" si="190"/>
        <v>570.45423873269215</v>
      </c>
      <c r="T479" s="3" t="str">
        <f t="shared" si="181"/>
        <v>Боцман - Прод &lt; Филиан из Столицы</v>
      </c>
      <c r="U479" s="9">
        <f t="shared" si="182"/>
        <v>570.45423873269215</v>
      </c>
      <c r="V479" s="9">
        <f t="shared" ca="1" si="183"/>
        <v>570.45423873269215</v>
      </c>
      <c r="W479">
        <f t="shared" si="184"/>
        <v>1426.1355968317303</v>
      </c>
      <c r="X479" s="10">
        <f>'Книги профессий'!M241</f>
        <v>13</v>
      </c>
    </row>
    <row r="480" spans="1:24" x14ac:dyDescent="0.25">
      <c r="A480" s="23" t="str">
        <f>'Книги профессий'!K242&amp;" &lt; "&amp;'Книги профессий'!L242</f>
        <v>Боцман - Мастер &lt; Эльрион из Люг-о-дана</v>
      </c>
      <c r="B480">
        <f>'Книги профессий'!N242</f>
        <v>370.43522094423065</v>
      </c>
      <c r="C480">
        <f>'Книги профессий'!I242</f>
        <v>3</v>
      </c>
      <c r="D480">
        <f t="shared" si="191"/>
        <v>14</v>
      </c>
      <c r="E480" t="str">
        <f t="shared" si="185"/>
        <v>$N$3</v>
      </c>
      <c r="F480">
        <f t="shared" ca="1" si="186"/>
        <v>680</v>
      </c>
      <c r="G480">
        <f t="shared" ca="1" si="187"/>
        <v>2.125</v>
      </c>
      <c r="H480">
        <f>'Модель v2 базовая'!$G$84</f>
        <v>500</v>
      </c>
      <c r="I480">
        <f t="shared" ca="1" si="188"/>
        <v>35.416666666666671</v>
      </c>
      <c r="J480">
        <v>10</v>
      </c>
      <c r="K480">
        <f>'Модель v2 базовая'!$E$84</f>
        <v>1.6666666666666667</v>
      </c>
      <c r="L480">
        <v>0.7</v>
      </c>
      <c r="M480">
        <f t="shared" si="192"/>
        <v>10</v>
      </c>
      <c r="N480">
        <f t="shared" ca="1" si="189"/>
        <v>6334.4820893852548</v>
      </c>
      <c r="O480">
        <f t="shared" ca="1" si="190"/>
        <v>633.44820893852545</v>
      </c>
      <c r="T480" s="3" t="str">
        <f t="shared" si="181"/>
        <v>Боцман - Мастер &lt; Эльрион из Люг-о-дана</v>
      </c>
      <c r="U480" s="9">
        <f t="shared" si="182"/>
        <v>370.43522094423065</v>
      </c>
      <c r="V480" s="9">
        <f t="shared" ca="1" si="183"/>
        <v>633.44820893852545</v>
      </c>
      <c r="W480">
        <f t="shared" si="184"/>
        <v>926.08805236057663</v>
      </c>
      <c r="X480" s="10">
        <f>'Книги профессий'!M242</f>
        <v>26</v>
      </c>
    </row>
    <row r="481" spans="1:24" x14ac:dyDescent="0.25">
      <c r="A481" s="23" t="str">
        <f>'Книги профессий'!K243&amp;" &lt; "&amp;'Книги профессий'!L243</f>
        <v>Боцман - Мастер &lt; Фиреллия из Шихона</v>
      </c>
      <c r="B481">
        <f>'Книги профессий'!N243</f>
        <v>384.8365902249999</v>
      </c>
      <c r="C481">
        <f>'Книги профессий'!I243</f>
        <v>4</v>
      </c>
      <c r="D481">
        <f t="shared" si="191"/>
        <v>14</v>
      </c>
      <c r="E481" t="str">
        <f t="shared" si="185"/>
        <v>$N$4</v>
      </c>
      <c r="F481">
        <f t="shared" ca="1" si="186"/>
        <v>900</v>
      </c>
      <c r="G481">
        <f t="shared" ca="1" si="187"/>
        <v>2.8125</v>
      </c>
      <c r="H481">
        <f>'Модель v2 базовая'!$G$84</f>
        <v>500</v>
      </c>
      <c r="I481">
        <f t="shared" ca="1" si="188"/>
        <v>46.875</v>
      </c>
      <c r="J481">
        <v>10</v>
      </c>
      <c r="K481">
        <f>'Модель v2 базовая'!$E$84</f>
        <v>1.6666666666666667</v>
      </c>
      <c r="L481">
        <v>0.7</v>
      </c>
      <c r="M481">
        <f t="shared" si="192"/>
        <v>10</v>
      </c>
      <c r="N481">
        <f t="shared" ca="1" si="189"/>
        <v>6590.7637004916642</v>
      </c>
      <c r="O481">
        <f t="shared" ca="1" si="190"/>
        <v>659.07637004916637</v>
      </c>
      <c r="T481" s="3" t="str">
        <f t="shared" si="181"/>
        <v>Боцман - Мастер &lt; Фиреллия из Шихона</v>
      </c>
      <c r="U481" s="9">
        <f t="shared" si="182"/>
        <v>384.8365902249999</v>
      </c>
      <c r="V481" s="9">
        <f t="shared" ca="1" si="183"/>
        <v>659.07637004916637</v>
      </c>
      <c r="W481">
        <f t="shared" si="184"/>
        <v>962.09147556249968</v>
      </c>
      <c r="X481" s="10">
        <f>'Книги профессий'!M243</f>
        <v>25</v>
      </c>
    </row>
    <row r="482" spans="1:24" x14ac:dyDescent="0.25">
      <c r="A482" s="23" t="str">
        <f>'Книги профессий'!K244&amp;" &lt; "&amp;'Книги профессий'!L244</f>
        <v>Боцман - Мастер &lt; Леонардис из Готуна</v>
      </c>
      <c r="B482">
        <f>'Книги профессий'!N244</f>
        <v>400.43807361249992</v>
      </c>
      <c r="C482">
        <f>'Книги профессий'!I244</f>
        <v>5</v>
      </c>
      <c r="D482">
        <f t="shared" si="191"/>
        <v>14</v>
      </c>
      <c r="E482" t="str">
        <f t="shared" si="185"/>
        <v>$N$5</v>
      </c>
      <c r="F482">
        <f t="shared" ca="1" si="186"/>
        <v>980</v>
      </c>
      <c r="G482">
        <f t="shared" ca="1" si="187"/>
        <v>3.0625</v>
      </c>
      <c r="H482">
        <f>'Модель v2 базовая'!$G$84</f>
        <v>500</v>
      </c>
      <c r="I482">
        <f t="shared" ca="1" si="188"/>
        <v>51.041666666666671</v>
      </c>
      <c r="J482">
        <v>10</v>
      </c>
      <c r="K482">
        <f>'Модель v2 базовая'!$E$84</f>
        <v>1.6666666666666667</v>
      </c>
      <c r="L482">
        <v>0.7</v>
      </c>
      <c r="M482">
        <f t="shared" si="192"/>
        <v>10</v>
      </c>
      <c r="N482">
        <f t="shared" ca="1" si="189"/>
        <v>6860.155584745833</v>
      </c>
      <c r="O482">
        <f t="shared" ca="1" si="190"/>
        <v>686.01555847458326</v>
      </c>
      <c r="T482" s="3" t="str">
        <f t="shared" si="181"/>
        <v>Боцман - Мастер &lt; Леонардис из Готуна</v>
      </c>
      <c r="U482" s="9">
        <f t="shared" si="182"/>
        <v>400.43807361249992</v>
      </c>
      <c r="V482" s="9">
        <f t="shared" ca="1" si="183"/>
        <v>686.01555847458326</v>
      </c>
      <c r="W482">
        <f t="shared" si="184"/>
        <v>1001.0951840312498</v>
      </c>
      <c r="X482" s="10">
        <f>'Книги профессий'!M244</f>
        <v>24</v>
      </c>
    </row>
    <row r="483" spans="1:24" x14ac:dyDescent="0.25">
      <c r="A483" s="23" t="str">
        <f>'Книги профессий'!K245&amp;" &lt; "&amp;'Книги профессий'!L245</f>
        <v>Боцман - Мастер &lt; Сиресса из Фидваго</v>
      </c>
      <c r="B483">
        <f>'Книги профессий'!N245</f>
        <v>417.39620772934774</v>
      </c>
      <c r="C483">
        <f>'Книги профессий'!I245</f>
        <v>6</v>
      </c>
      <c r="D483">
        <f t="shared" si="191"/>
        <v>14</v>
      </c>
      <c r="E483" t="str">
        <f t="shared" si="185"/>
        <v>$N$6</v>
      </c>
      <c r="F483">
        <f t="shared" ca="1" si="186"/>
        <v>1460</v>
      </c>
      <c r="G483">
        <f t="shared" ca="1" si="187"/>
        <v>4.5625</v>
      </c>
      <c r="H483">
        <f>'Модель v2 базовая'!$G$84</f>
        <v>500</v>
      </c>
      <c r="I483">
        <f t="shared" ca="1" si="188"/>
        <v>76.041666666666671</v>
      </c>
      <c r="J483">
        <v>10</v>
      </c>
      <c r="K483">
        <f>'Модель v2 базовая'!$E$84</f>
        <v>1.6666666666666667</v>
      </c>
      <c r="L483">
        <v>0.7</v>
      </c>
      <c r="M483">
        <f t="shared" si="192"/>
        <v>10</v>
      </c>
      <c r="N483">
        <f t="shared" ca="1" si="189"/>
        <v>7173.4438647322459</v>
      </c>
      <c r="O483">
        <f t="shared" ca="1" si="190"/>
        <v>717.34438647322463</v>
      </c>
      <c r="T483" s="3" t="str">
        <f t="shared" si="181"/>
        <v>Боцман - Мастер &lt; Сиресса из Фидваго</v>
      </c>
      <c r="U483" s="9">
        <f t="shared" si="182"/>
        <v>417.39620772934774</v>
      </c>
      <c r="V483" s="9">
        <f t="shared" ca="1" si="183"/>
        <v>717.34438647322463</v>
      </c>
      <c r="W483">
        <f t="shared" si="184"/>
        <v>1043.4905193233694</v>
      </c>
      <c r="X483" s="10">
        <f>'Книги профессий'!M245</f>
        <v>23</v>
      </c>
    </row>
    <row r="484" spans="1:24" x14ac:dyDescent="0.25">
      <c r="A484" s="23" t="str">
        <f>'Книги профессий'!K246&amp;" &lt; "&amp;'Книги профессий'!L246</f>
        <v>Боцман - Мастер &lt; Лорелия из Дарутана</v>
      </c>
      <c r="B484">
        <f>'Книги профессий'!N246</f>
        <v>435.89599040227267</v>
      </c>
      <c r="C484">
        <f>'Книги профессий'!I246</f>
        <v>7</v>
      </c>
      <c r="D484">
        <f t="shared" si="191"/>
        <v>14</v>
      </c>
      <c r="E484" t="str">
        <f t="shared" si="185"/>
        <v>$N$7</v>
      </c>
      <c r="F484">
        <f t="shared" ca="1" si="186"/>
        <v>880</v>
      </c>
      <c r="G484">
        <f t="shared" ca="1" si="187"/>
        <v>2.75</v>
      </c>
      <c r="H484">
        <f>'Модель v2 базовая'!$G$84</f>
        <v>500</v>
      </c>
      <c r="I484">
        <f t="shared" ca="1" si="188"/>
        <v>45.833333333333336</v>
      </c>
      <c r="J484">
        <v>10</v>
      </c>
      <c r="K484">
        <f>'Модель v2 базовая'!$E$84</f>
        <v>1.6666666666666667</v>
      </c>
      <c r="L484">
        <v>0.7</v>
      </c>
      <c r="M484">
        <f t="shared" si="192"/>
        <v>10</v>
      </c>
      <c r="N484">
        <f t="shared" ca="1" si="189"/>
        <v>7457.731836838635</v>
      </c>
      <c r="O484">
        <f t="shared" ca="1" si="190"/>
        <v>745.77318368386352</v>
      </c>
      <c r="T484" s="3" t="str">
        <f t="shared" si="181"/>
        <v>Боцман - Мастер &lt; Лорелия из Дарутана</v>
      </c>
      <c r="U484" s="9">
        <f t="shared" si="182"/>
        <v>435.89599040227267</v>
      </c>
      <c r="V484" s="9">
        <f t="shared" ca="1" si="183"/>
        <v>745.77318368386352</v>
      </c>
      <c r="W484">
        <f t="shared" si="184"/>
        <v>1089.7399760056817</v>
      </c>
      <c r="X484" s="10">
        <f>'Книги профессий'!M246</f>
        <v>22</v>
      </c>
    </row>
    <row r="485" spans="1:24" x14ac:dyDescent="0.25">
      <c r="A485" s="23" t="str">
        <f>'Книги профессий'!K247&amp;" &lt; "&amp;'Книги профессий'!L247</f>
        <v>Боцман - Мастер &lt; Исиэль из Сарухана</v>
      </c>
      <c r="B485">
        <f>'Книги профессий'!N247</f>
        <v>456.15765713928556</v>
      </c>
      <c r="C485">
        <f>'Книги профессий'!I247</f>
        <v>8</v>
      </c>
      <c r="D485">
        <f t="shared" si="191"/>
        <v>14</v>
      </c>
      <c r="E485" t="str">
        <f t="shared" si="185"/>
        <v>$N$8</v>
      </c>
      <c r="F485">
        <f t="shared" ca="1" si="186"/>
        <v>1100</v>
      </c>
      <c r="G485">
        <f t="shared" ca="1" si="187"/>
        <v>3.4375</v>
      </c>
      <c r="H485">
        <f>'Модель v2 базовая'!$G$84</f>
        <v>500</v>
      </c>
      <c r="I485">
        <f t="shared" ca="1" si="188"/>
        <v>57.291666666666671</v>
      </c>
      <c r="J485">
        <v>10</v>
      </c>
      <c r="K485">
        <f>'Модель v2 базовая'!$E$84</f>
        <v>1.6666666666666667</v>
      </c>
      <c r="L485">
        <v>0.7</v>
      </c>
      <c r="M485">
        <f t="shared" si="192"/>
        <v>10</v>
      </c>
      <c r="N485">
        <f t="shared" ca="1" si="189"/>
        <v>7813.6385047011881</v>
      </c>
      <c r="O485">
        <f t="shared" ca="1" si="190"/>
        <v>781.36385047011879</v>
      </c>
      <c r="T485" s="3" t="str">
        <f t="shared" si="181"/>
        <v>Боцман - Мастер &lt; Исиэль из Сарухана</v>
      </c>
      <c r="U485" s="9">
        <f t="shared" si="182"/>
        <v>456.15765713928556</v>
      </c>
      <c r="V485" s="9">
        <f t="shared" ca="1" si="183"/>
        <v>781.36385047011879</v>
      </c>
      <c r="W485">
        <f t="shared" si="184"/>
        <v>1140.394142848214</v>
      </c>
      <c r="X485" s="10">
        <f>'Книги профессий'!M247</f>
        <v>21</v>
      </c>
    </row>
    <row r="486" spans="1:24" x14ac:dyDescent="0.25">
      <c r="A486" s="23" t="str">
        <f>'Книги профессий'!K248&amp;" &lt; "&amp;'Книги профессий'!L248</f>
        <v>Боцман - Мастер &lt; Исиллиэль из Лорена</v>
      </c>
      <c r="B486">
        <f>'Книги профессий'!N248</f>
        <v>478.44549054999993</v>
      </c>
      <c r="C486">
        <f>'Книги профессий'!I248</f>
        <v>9</v>
      </c>
      <c r="D486">
        <f t="shared" si="191"/>
        <v>14</v>
      </c>
      <c r="E486" t="str">
        <f t="shared" si="185"/>
        <v>$N$9</v>
      </c>
      <c r="F486">
        <f t="shared" ca="1" si="186"/>
        <v>1300</v>
      </c>
      <c r="G486">
        <f t="shared" ca="1" si="187"/>
        <v>4.0625</v>
      </c>
      <c r="H486">
        <f>'Модель v2 базовая'!$G$84</f>
        <v>500</v>
      </c>
      <c r="I486">
        <f t="shared" ca="1" si="188"/>
        <v>67.708333333333343</v>
      </c>
      <c r="J486">
        <v>10</v>
      </c>
      <c r="K486">
        <f>'Модель v2 базовая'!$E$84</f>
        <v>1.6666666666666667</v>
      </c>
      <c r="L486">
        <v>0.7</v>
      </c>
      <c r="M486">
        <f t="shared" si="192"/>
        <v>10</v>
      </c>
      <c r="N486">
        <f t="shared" ca="1" si="189"/>
        <v>8202.9483393499977</v>
      </c>
      <c r="O486">
        <f t="shared" ca="1" si="190"/>
        <v>820.29483393499982</v>
      </c>
      <c r="T486" s="3" t="str">
        <f t="shared" si="181"/>
        <v>Боцман - Мастер &lt; Исиллиэль из Лорена</v>
      </c>
      <c r="U486" s="9">
        <f t="shared" si="182"/>
        <v>478.44549054999993</v>
      </c>
      <c r="V486" s="9">
        <f t="shared" ca="1" si="183"/>
        <v>820.29483393499982</v>
      </c>
      <c r="W486">
        <f t="shared" si="184"/>
        <v>1196.1137263749997</v>
      </c>
      <c r="X486" s="10">
        <f>'Книги профессий'!M248</f>
        <v>20</v>
      </c>
    </row>
    <row r="487" spans="1:24" x14ac:dyDescent="0.25">
      <c r="A487" s="23" t="str">
        <f>'Книги профессий'!K249&amp;" &lt; "&amp;'Книги профессий'!L249</f>
        <v>Боцман - Мастер &lt; Эльмарин из Самардейла</v>
      </c>
      <c r="B487">
        <f>'Книги профессий'!N249</f>
        <v>503.07941168815779</v>
      </c>
      <c r="C487">
        <f>'Книги профессий'!I249</f>
        <v>10</v>
      </c>
      <c r="D487">
        <f t="shared" si="191"/>
        <v>14</v>
      </c>
      <c r="E487" t="str">
        <f t="shared" si="185"/>
        <v>$N$10</v>
      </c>
      <c r="F487">
        <f t="shared" ca="1" si="186"/>
        <v>760</v>
      </c>
      <c r="G487">
        <f t="shared" ca="1" si="187"/>
        <v>2.375</v>
      </c>
      <c r="H487">
        <f>'Модель v2 базовая'!$G$84</f>
        <v>500</v>
      </c>
      <c r="I487">
        <f t="shared" ca="1" si="188"/>
        <v>39.583333333333336</v>
      </c>
      <c r="J487">
        <v>10</v>
      </c>
      <c r="K487">
        <f>'Модель v2 базовая'!$E$84</f>
        <v>1.6666666666666667</v>
      </c>
      <c r="L487">
        <v>0.7</v>
      </c>
      <c r="M487">
        <f t="shared" si="192"/>
        <v>0</v>
      </c>
      <c r="N487">
        <f t="shared" ca="1" si="189"/>
        <v>8593.5999986986826</v>
      </c>
      <c r="O487">
        <f t="shared" ca="1" si="190"/>
        <v>859.35999986986826</v>
      </c>
      <c r="T487" s="3" t="str">
        <f t="shared" si="181"/>
        <v>Боцман - Мастер &lt; Эльмарин из Самардейла</v>
      </c>
      <c r="U487" s="9">
        <f t="shared" si="182"/>
        <v>503.07941168815779</v>
      </c>
      <c r="V487" s="9">
        <f t="shared" ca="1" si="183"/>
        <v>859.35999986986826</v>
      </c>
      <c r="W487">
        <f t="shared" si="184"/>
        <v>1257.6985292203944</v>
      </c>
      <c r="X487" s="10">
        <f>'Книги профессий'!M249</f>
        <v>19</v>
      </c>
    </row>
    <row r="488" spans="1:24" x14ac:dyDescent="0.25">
      <c r="A488" s="23" t="str">
        <f>'Книги профессий'!K250&amp;" &lt; "&amp;'Книги профессий'!L250</f>
        <v>Боцман - Мастер &lt; Силиндра из Гвадекуры</v>
      </c>
      <c r="B488">
        <f>'Книги профессий'!N250</f>
        <v>530.45043517499994</v>
      </c>
      <c r="C488">
        <f>'Книги профессий'!I250</f>
        <v>11</v>
      </c>
      <c r="D488">
        <f t="shared" si="191"/>
        <v>14</v>
      </c>
      <c r="E488" t="str">
        <f t="shared" si="185"/>
        <v>$N$11</v>
      </c>
      <c r="F488">
        <f t="shared" ca="1" si="186"/>
        <v>880</v>
      </c>
      <c r="G488">
        <f t="shared" ca="1" si="187"/>
        <v>2.75</v>
      </c>
      <c r="H488">
        <f>'Модель v2 базовая'!$G$84</f>
        <v>500</v>
      </c>
      <c r="I488">
        <f t="shared" ca="1" si="188"/>
        <v>45.833333333333336</v>
      </c>
      <c r="J488">
        <v>10</v>
      </c>
      <c r="K488">
        <f>'Модель v2 базовая'!$E$84</f>
        <v>1.6666666666666667</v>
      </c>
      <c r="L488">
        <v>0.7</v>
      </c>
      <c r="M488">
        <f t="shared" si="192"/>
        <v>0</v>
      </c>
      <c r="N488">
        <f t="shared" ca="1" si="189"/>
        <v>9065.1573979749992</v>
      </c>
      <c r="O488">
        <f t="shared" ca="1" si="190"/>
        <v>906.51573979749992</v>
      </c>
      <c r="T488" s="3" t="str">
        <f t="shared" si="181"/>
        <v>Боцман - Мастер &lt; Силиндра из Гвадекуры</v>
      </c>
      <c r="U488" s="9">
        <f t="shared" si="182"/>
        <v>530.45043517499994</v>
      </c>
      <c r="V488" s="9">
        <f t="shared" ca="1" si="183"/>
        <v>906.51573979749992</v>
      </c>
      <c r="W488">
        <f t="shared" si="184"/>
        <v>1326.1260879375</v>
      </c>
      <c r="X488" s="10">
        <f>'Книги профессий'!M250</f>
        <v>18</v>
      </c>
    </row>
    <row r="489" spans="1:24" x14ac:dyDescent="0.25">
      <c r="A489" s="23" t="str">
        <f>'Книги профессий'!K251&amp;" &lt; "&amp;'Книги профессий'!L251</f>
        <v>Боцман - Мастер &lt; Арвандор из Ранджар-ара</v>
      </c>
      <c r="B489">
        <f>'Книги профессий'!N251</f>
        <v>561.04157907205865</v>
      </c>
      <c r="C489">
        <f>'Книги профессий'!I251</f>
        <v>12</v>
      </c>
      <c r="D489">
        <f t="shared" si="191"/>
        <v>14</v>
      </c>
      <c r="E489" t="str">
        <f t="shared" si="185"/>
        <v>$N$12</v>
      </c>
      <c r="F489">
        <f t="shared" ca="1" si="186"/>
        <v>400</v>
      </c>
      <c r="G489">
        <f t="shared" ca="1" si="187"/>
        <v>1.25</v>
      </c>
      <c r="H489">
        <f>'Модель v2 базовая'!$G$84</f>
        <v>500</v>
      </c>
      <c r="I489">
        <f t="shared" ca="1" si="188"/>
        <v>20.833333333333336</v>
      </c>
      <c r="J489">
        <v>10</v>
      </c>
      <c r="K489">
        <f>'Модель v2 базовая'!$E$84</f>
        <v>1.6666666666666667</v>
      </c>
      <c r="L489">
        <v>0.7</v>
      </c>
      <c r="M489">
        <f t="shared" si="192"/>
        <v>0</v>
      </c>
      <c r="N489">
        <f t="shared" ca="1" si="189"/>
        <v>9560.2068442249965</v>
      </c>
      <c r="O489">
        <f t="shared" ca="1" si="190"/>
        <v>956.0206844224997</v>
      </c>
      <c r="T489" s="3" t="str">
        <f t="shared" si="181"/>
        <v>Боцман - Мастер &lt; Арвандор из Ранджар-ара</v>
      </c>
      <c r="U489" s="9">
        <f t="shared" si="182"/>
        <v>561.04157907205865</v>
      </c>
      <c r="V489" s="9">
        <f t="shared" ca="1" si="183"/>
        <v>956.0206844224997</v>
      </c>
      <c r="W489">
        <f t="shared" si="184"/>
        <v>1402.6039476801466</v>
      </c>
      <c r="X489" s="10">
        <f>'Книги профессий'!M251</f>
        <v>17</v>
      </c>
    </row>
    <row r="490" spans="1:24" x14ac:dyDescent="0.25">
      <c r="A490" s="23" t="str">
        <f>'Книги профессий'!K252&amp;" &lt; "&amp;'Книги профессий'!L252</f>
        <v>Боцман - Мастер &lt; Алэрион из Садата</v>
      </c>
      <c r="B490">
        <f>'Книги профессий'!N252</f>
        <v>595.45661595624983</v>
      </c>
      <c r="C490">
        <f>'Книги профессий'!I252</f>
        <v>13</v>
      </c>
      <c r="D490">
        <f t="shared" si="191"/>
        <v>14</v>
      </c>
      <c r="E490" t="str">
        <f t="shared" si="185"/>
        <v>$N$13</v>
      </c>
      <c r="F490">
        <f t="shared" ca="1" si="186"/>
        <v>880</v>
      </c>
      <c r="G490">
        <f t="shared" ca="1" si="187"/>
        <v>2.75</v>
      </c>
      <c r="H490">
        <f>'Модель v2 базовая'!$G$84</f>
        <v>500</v>
      </c>
      <c r="I490">
        <f t="shared" ca="1" si="188"/>
        <v>45.833333333333336</v>
      </c>
      <c r="J490">
        <v>10</v>
      </c>
      <c r="K490">
        <f>'Модель v2 базовая'!$E$84</f>
        <v>1.6666666666666667</v>
      </c>
      <c r="L490">
        <v>0.7</v>
      </c>
      <c r="M490">
        <f t="shared" si="192"/>
        <v>0</v>
      </c>
      <c r="N490">
        <f t="shared" ca="1" si="189"/>
        <v>10170.262471256246</v>
      </c>
      <c r="O490">
        <f t="shared" ca="1" si="190"/>
        <v>1017.0262471256246</v>
      </c>
      <c r="T490" s="3" t="str">
        <f t="shared" si="181"/>
        <v>Боцман - Мастер &lt; Алэрион из Садата</v>
      </c>
      <c r="U490" s="9">
        <f t="shared" si="182"/>
        <v>595.45661595624983</v>
      </c>
      <c r="V490" s="9">
        <f t="shared" ca="1" si="183"/>
        <v>1017.0262471256246</v>
      </c>
      <c r="W490">
        <f t="shared" si="184"/>
        <v>1488.6415398906247</v>
      </c>
      <c r="X490" s="10">
        <f>'Книги профессий'!M252</f>
        <v>16</v>
      </c>
    </row>
    <row r="491" spans="1:24" x14ac:dyDescent="0.25">
      <c r="A491" s="23" t="str">
        <f>'Книги профессий'!K253&amp;" &lt; "&amp;'Книги профессий'!L253</f>
        <v>Боцман - Мастер &lt; Телестра из Столицы</v>
      </c>
      <c r="B491">
        <f>'Книги профессий'!N253</f>
        <v>634.46032442499984</v>
      </c>
      <c r="C491">
        <f>'Книги профессий'!I253</f>
        <v>14</v>
      </c>
      <c r="D491">
        <f t="shared" si="191"/>
        <v>14</v>
      </c>
      <c r="E491" t="str">
        <f t="shared" si="185"/>
        <v>$N$14</v>
      </c>
      <c r="F491">
        <f t="shared" ca="1" si="186"/>
        <v>0</v>
      </c>
      <c r="G491">
        <f t="shared" ca="1" si="187"/>
        <v>0</v>
      </c>
      <c r="H491">
        <f>'Модель v2 базовая'!$G$84</f>
        <v>500</v>
      </c>
      <c r="I491">
        <f t="shared" ca="1" si="188"/>
        <v>0</v>
      </c>
      <c r="J491">
        <v>10</v>
      </c>
      <c r="K491">
        <f>'Модель v2 базовая'!$E$84</f>
        <v>1.6666666666666667</v>
      </c>
      <c r="L491">
        <v>0.7</v>
      </c>
      <c r="M491">
        <f t="shared" si="192"/>
        <v>0</v>
      </c>
      <c r="N491">
        <f t="shared" ca="1" si="189"/>
        <v>6344.6032442499982</v>
      </c>
      <c r="O491">
        <f t="shared" ca="1" si="190"/>
        <v>634.46032442499984</v>
      </c>
      <c r="T491" s="3" t="str">
        <f t="shared" si="181"/>
        <v>Боцман - Мастер &lt; Телестра из Столицы</v>
      </c>
      <c r="U491" s="9">
        <f t="shared" si="182"/>
        <v>634.46032442499984</v>
      </c>
      <c r="V491" s="9">
        <f t="shared" ca="1" si="183"/>
        <v>634.46032442499984</v>
      </c>
      <c r="W491">
        <f t="shared" si="184"/>
        <v>1586.1508110624995</v>
      </c>
      <c r="X491" s="10">
        <f>'Книги профессий'!M253</f>
        <v>15</v>
      </c>
    </row>
    <row r="492" spans="1:24" x14ac:dyDescent="0.25">
      <c r="A492" s="1" t="s">
        <v>453</v>
      </c>
      <c r="T492" s="1" t="str">
        <f>A492</f>
        <v>Артефакты (5 уровень)</v>
      </c>
      <c r="U492" t="s">
        <v>490</v>
      </c>
      <c r="V492" t="s">
        <v>594</v>
      </c>
      <c r="W492" t="s">
        <v>506</v>
      </c>
    </row>
    <row r="493" spans="1:24" x14ac:dyDescent="0.25">
      <c r="A493" s="3" t="str">
        <f>'Модель v2 базовая'!AZ4</f>
        <v>Волшебная палочка снарядов</v>
      </c>
      <c r="B493">
        <f>'Модель v2 базовая'!BI4</f>
        <v>1299.2550390000001</v>
      </c>
      <c r="C493">
        <v>14</v>
      </c>
      <c r="D493">
        <f t="shared" si="92"/>
        <v>14</v>
      </c>
      <c r="E493" t="str">
        <f t="shared" ref="E493:E508" si="193" xml:space="preserve"> ADDRESS(C493,D493)</f>
        <v>$N$14</v>
      </c>
      <c r="F493">
        <f t="shared" ref="F493:F508" ca="1" si="194">INDIRECT(E493)</f>
        <v>0</v>
      </c>
      <c r="G493">
        <f t="shared" ref="G493:G508" ca="1" si="195">F493/320</f>
        <v>0</v>
      </c>
      <c r="H493">
        <f>'Модель v2 базовая'!$G$84</f>
        <v>500</v>
      </c>
      <c r="I493">
        <f t="shared" ref="I493:I508" ca="1" si="196">H493/30*G493</f>
        <v>0</v>
      </c>
      <c r="J493">
        <v>10</v>
      </c>
      <c r="K493">
        <f>'Модель v2 базовая'!$E$84</f>
        <v>1.6666666666666667</v>
      </c>
      <c r="L493">
        <v>2</v>
      </c>
      <c r="M493">
        <f t="shared" si="192"/>
        <v>0</v>
      </c>
      <c r="N493">
        <f t="shared" ref="N493" ca="1" si="197">IF(G493=0, B493*J493, B493*J493+(B493*J493*L493)+I493+K493)</f>
        <v>12992.55039</v>
      </c>
      <c r="O493">
        <f t="shared" ref="O493" ca="1" si="198">N493/J493</f>
        <v>1299.2550390000001</v>
      </c>
      <c r="T493" s="3" t="str">
        <f t="shared" ref="T493:T508" si="199">A493</f>
        <v>Волшебная палочка снарядов</v>
      </c>
      <c r="U493" s="9">
        <f t="shared" ref="U493:U508" si="200">B493</f>
        <v>1299.2550390000001</v>
      </c>
      <c r="V493" s="9">
        <f t="shared" ref="V493:V508" ca="1" si="201">O493</f>
        <v>1299.2550390000001</v>
      </c>
      <c r="W493">
        <f t="shared" ref="W493:W506" si="202">B493*2.5</f>
        <v>3248.1375975000001</v>
      </c>
    </row>
    <row r="494" spans="1:24" x14ac:dyDescent="0.25">
      <c r="A494" s="3" t="str">
        <f>'Модель v2 базовая'!AZ5</f>
        <v>Ножны волшебной палочки</v>
      </c>
      <c r="B494">
        <f>'Модель v2 базовая'!BI5</f>
        <v>1627.6338989999999</v>
      </c>
      <c r="C494">
        <v>14</v>
      </c>
      <c r="D494">
        <f t="shared" si="92"/>
        <v>14</v>
      </c>
      <c r="E494" t="str">
        <f t="shared" si="193"/>
        <v>$N$14</v>
      </c>
      <c r="F494">
        <f t="shared" ca="1" si="194"/>
        <v>0</v>
      </c>
      <c r="G494">
        <f t="shared" ca="1" si="195"/>
        <v>0</v>
      </c>
      <c r="H494">
        <f>'Модель v2 базовая'!$G$84</f>
        <v>500</v>
      </c>
      <c r="I494">
        <f t="shared" ca="1" si="196"/>
        <v>0</v>
      </c>
      <c r="J494">
        <v>10</v>
      </c>
      <c r="K494">
        <f>'Модель v2 базовая'!$E$84</f>
        <v>1.6666666666666667</v>
      </c>
      <c r="L494">
        <v>2</v>
      </c>
      <c r="M494">
        <f t="shared" si="192"/>
        <v>0</v>
      </c>
      <c r="N494">
        <f t="shared" ref="N494:N548" ca="1" si="203">IF(G494=0, B494*J494, B494*J494+(B494*J494*L494)+I494+K494)</f>
        <v>16276.33899</v>
      </c>
      <c r="O494">
        <f t="shared" ref="O494:O548" ca="1" si="204">N494/J494</f>
        <v>1627.6338989999999</v>
      </c>
      <c r="T494" s="3" t="str">
        <f t="shared" si="199"/>
        <v>Ножны волшебной палочки</v>
      </c>
      <c r="U494" s="9">
        <f t="shared" si="200"/>
        <v>1627.6338989999999</v>
      </c>
      <c r="V494" s="9">
        <f t="shared" ca="1" si="201"/>
        <v>1627.6338989999999</v>
      </c>
      <c r="W494">
        <f t="shared" si="202"/>
        <v>4069.0847475</v>
      </c>
    </row>
    <row r="495" spans="1:24" x14ac:dyDescent="0.25">
      <c r="A495" s="3" t="str">
        <f>'Модель v2 базовая'!AZ6</f>
        <v>Скимитар скорости</v>
      </c>
      <c r="B495">
        <f>'Модель v2 базовая'!BI6</f>
        <v>675.48394172964004</v>
      </c>
      <c r="C495">
        <v>14</v>
      </c>
      <c r="D495">
        <f t="shared" si="92"/>
        <v>14</v>
      </c>
      <c r="E495" t="str">
        <f t="shared" si="193"/>
        <v>$N$14</v>
      </c>
      <c r="F495">
        <f t="shared" ca="1" si="194"/>
        <v>0</v>
      </c>
      <c r="G495">
        <f t="shared" ca="1" si="195"/>
        <v>0</v>
      </c>
      <c r="H495">
        <f>'Модель v2 базовая'!$G$84</f>
        <v>500</v>
      </c>
      <c r="I495">
        <f t="shared" ca="1" si="196"/>
        <v>0</v>
      </c>
      <c r="J495">
        <v>10</v>
      </c>
      <c r="K495">
        <f>'Модель v2 базовая'!$E$84</f>
        <v>1.6666666666666667</v>
      </c>
      <c r="L495">
        <v>2</v>
      </c>
      <c r="M495">
        <f t="shared" si="192"/>
        <v>0</v>
      </c>
      <c r="N495">
        <f t="shared" ca="1" si="203"/>
        <v>6754.8394172963999</v>
      </c>
      <c r="O495">
        <f t="shared" ca="1" si="204"/>
        <v>675.48394172964004</v>
      </c>
      <c r="T495" s="3" t="str">
        <f t="shared" si="199"/>
        <v>Скимитар скорости</v>
      </c>
      <c r="U495" s="9">
        <f t="shared" si="200"/>
        <v>675.48394172964004</v>
      </c>
      <c r="V495" s="9">
        <f t="shared" ca="1" si="201"/>
        <v>675.48394172964004</v>
      </c>
      <c r="W495">
        <f t="shared" si="202"/>
        <v>1688.7098543241</v>
      </c>
    </row>
    <row r="496" spans="1:24" x14ac:dyDescent="0.25">
      <c r="A496" s="3" t="str">
        <f>'Модель v2 базовая'!AZ7</f>
        <v>Слиток с руной Скельд</v>
      </c>
      <c r="B496">
        <f>'Модель v2 базовая'!BI7</f>
        <v>1630.13499</v>
      </c>
      <c r="C496">
        <v>14</v>
      </c>
      <c r="D496">
        <f t="shared" si="92"/>
        <v>14</v>
      </c>
      <c r="E496" t="str">
        <f t="shared" si="193"/>
        <v>$N$14</v>
      </c>
      <c r="F496">
        <f t="shared" ca="1" si="194"/>
        <v>0</v>
      </c>
      <c r="G496">
        <f t="shared" ca="1" si="195"/>
        <v>0</v>
      </c>
      <c r="H496">
        <f>'Модель v2 базовая'!$G$84</f>
        <v>500</v>
      </c>
      <c r="I496">
        <f t="shared" ca="1" si="196"/>
        <v>0</v>
      </c>
      <c r="J496">
        <v>10</v>
      </c>
      <c r="K496">
        <f>'Модель v2 базовая'!$E$84</f>
        <v>1.6666666666666667</v>
      </c>
      <c r="L496">
        <v>2</v>
      </c>
      <c r="M496">
        <f t="shared" si="192"/>
        <v>0</v>
      </c>
      <c r="N496">
        <f t="shared" ca="1" si="203"/>
        <v>16301.349900000001</v>
      </c>
      <c r="O496">
        <f t="shared" ca="1" si="204"/>
        <v>1630.13499</v>
      </c>
      <c r="T496" s="3" t="str">
        <f t="shared" si="199"/>
        <v>Слиток с руной Скельд</v>
      </c>
      <c r="U496" s="9">
        <f t="shared" si="200"/>
        <v>1630.13499</v>
      </c>
      <c r="V496" s="9">
        <f t="shared" ca="1" si="201"/>
        <v>1630.13499</v>
      </c>
      <c r="W496">
        <f t="shared" si="202"/>
        <v>4075.3374750000003</v>
      </c>
    </row>
    <row r="497" spans="1:23" x14ac:dyDescent="0.25">
      <c r="A497" s="3" t="str">
        <f>'Модель v2 базовая'!AZ8</f>
        <v>Опал с руной Ильд</v>
      </c>
      <c r="B497">
        <f>'Модель v2 базовая'!BI8</f>
        <v>1621.404</v>
      </c>
      <c r="C497">
        <v>14</v>
      </c>
      <c r="D497">
        <f t="shared" si="92"/>
        <v>14</v>
      </c>
      <c r="E497" t="str">
        <f t="shared" si="193"/>
        <v>$N$14</v>
      </c>
      <c r="F497">
        <f t="shared" ca="1" si="194"/>
        <v>0</v>
      </c>
      <c r="G497">
        <f t="shared" ca="1" si="195"/>
        <v>0</v>
      </c>
      <c r="H497">
        <f>'Модель v2 базовая'!$G$84</f>
        <v>500</v>
      </c>
      <c r="I497">
        <f t="shared" ca="1" si="196"/>
        <v>0</v>
      </c>
      <c r="J497">
        <v>10</v>
      </c>
      <c r="K497">
        <f>'Модель v2 базовая'!$E$84</f>
        <v>1.6666666666666667</v>
      </c>
      <c r="L497">
        <v>2</v>
      </c>
      <c r="M497">
        <f t="shared" si="192"/>
        <v>0</v>
      </c>
      <c r="N497">
        <f t="shared" ca="1" si="203"/>
        <v>16214.04</v>
      </c>
      <c r="O497">
        <f t="shared" ca="1" si="204"/>
        <v>1621.404</v>
      </c>
      <c r="T497" s="3" t="str">
        <f t="shared" si="199"/>
        <v>Опал с руной Ильд</v>
      </c>
      <c r="U497" s="9">
        <f t="shared" si="200"/>
        <v>1621.404</v>
      </c>
      <c r="V497" s="9">
        <f t="shared" ca="1" si="201"/>
        <v>1621.404</v>
      </c>
      <c r="W497">
        <f t="shared" si="202"/>
        <v>4053.51</v>
      </c>
    </row>
    <row r="498" spans="1:23" x14ac:dyDescent="0.25">
      <c r="A498" s="3" t="str">
        <f>'Модель v2 базовая'!AZ9</f>
        <v>Кольцо свободных действий</v>
      </c>
      <c r="B498">
        <f>'Модель v2 базовая'!BI9</f>
        <v>2593.9154666700001</v>
      </c>
      <c r="C498">
        <v>14</v>
      </c>
      <c r="D498">
        <f t="shared" si="92"/>
        <v>14</v>
      </c>
      <c r="E498" t="str">
        <f t="shared" si="193"/>
        <v>$N$14</v>
      </c>
      <c r="F498">
        <f t="shared" ca="1" si="194"/>
        <v>0</v>
      </c>
      <c r="G498">
        <f t="shared" ca="1" si="195"/>
        <v>0</v>
      </c>
      <c r="H498">
        <f>'Модель v2 базовая'!$G$84</f>
        <v>500</v>
      </c>
      <c r="I498">
        <f t="shared" ca="1" si="196"/>
        <v>0</v>
      </c>
      <c r="J498">
        <v>10</v>
      </c>
      <c r="K498">
        <f>'Модель v2 базовая'!$E$84</f>
        <v>1.6666666666666667</v>
      </c>
      <c r="L498">
        <v>2</v>
      </c>
      <c r="M498">
        <f t="shared" si="192"/>
        <v>0</v>
      </c>
      <c r="N498">
        <f t="shared" ca="1" si="203"/>
        <v>25939.1546667</v>
      </c>
      <c r="O498">
        <f t="shared" ca="1" si="204"/>
        <v>2593.9154666700001</v>
      </c>
      <c r="T498" s="3" t="str">
        <f t="shared" si="199"/>
        <v>Кольцо свободных действий</v>
      </c>
      <c r="U498" s="9">
        <f t="shared" si="200"/>
        <v>2593.9154666700001</v>
      </c>
      <c r="V498" s="9">
        <f t="shared" ca="1" si="201"/>
        <v>2593.9154666700001</v>
      </c>
      <c r="W498">
        <f t="shared" si="202"/>
        <v>6484.7886666750001</v>
      </c>
    </row>
    <row r="499" spans="1:23" x14ac:dyDescent="0.25">
      <c r="A499" s="3" t="str">
        <f>'Модель v2 базовая'!AZ10</f>
        <v>Кольцо временного спасения</v>
      </c>
      <c r="B499">
        <f>'Модель v2 базовая'!BI10</f>
        <v>2594.9145244499996</v>
      </c>
      <c r="C499">
        <v>14</v>
      </c>
      <c r="D499">
        <f t="shared" si="92"/>
        <v>14</v>
      </c>
      <c r="E499" t="str">
        <f t="shared" si="193"/>
        <v>$N$14</v>
      </c>
      <c r="F499">
        <f t="shared" ca="1" si="194"/>
        <v>0</v>
      </c>
      <c r="G499">
        <f t="shared" ca="1" si="195"/>
        <v>0</v>
      </c>
      <c r="H499">
        <f>'Модель v2 базовая'!$G$84</f>
        <v>500</v>
      </c>
      <c r="I499">
        <f t="shared" ca="1" si="196"/>
        <v>0</v>
      </c>
      <c r="J499">
        <v>10</v>
      </c>
      <c r="K499">
        <f>'Модель v2 базовая'!$E$84</f>
        <v>1.6666666666666667</v>
      </c>
      <c r="L499">
        <v>2</v>
      </c>
      <c r="M499">
        <f t="shared" si="192"/>
        <v>0</v>
      </c>
      <c r="N499">
        <f t="shared" ca="1" si="203"/>
        <v>25949.145244499996</v>
      </c>
      <c r="O499">
        <f t="shared" ca="1" si="204"/>
        <v>2594.9145244499996</v>
      </c>
      <c r="T499" s="3" t="str">
        <f t="shared" si="199"/>
        <v>Кольцо временного спасения</v>
      </c>
      <c r="U499" s="9">
        <f t="shared" si="200"/>
        <v>2594.9145244499996</v>
      </c>
      <c r="V499" s="9">
        <f t="shared" ca="1" si="201"/>
        <v>2594.9145244499996</v>
      </c>
      <c r="W499">
        <f t="shared" si="202"/>
        <v>6487.286311124999</v>
      </c>
    </row>
    <row r="500" spans="1:23" x14ac:dyDescent="0.25">
      <c r="A500" s="3" t="str">
        <f>'Модель v2 базовая'!AZ11</f>
        <v>Крылатые сапоги</v>
      </c>
      <c r="B500">
        <f>'Модель v2 базовая'!BI11</f>
        <v>1004.568027115067</v>
      </c>
      <c r="C500">
        <v>14</v>
      </c>
      <c r="D500">
        <f t="shared" si="92"/>
        <v>14</v>
      </c>
      <c r="E500" t="str">
        <f t="shared" si="193"/>
        <v>$N$14</v>
      </c>
      <c r="F500">
        <f t="shared" ca="1" si="194"/>
        <v>0</v>
      </c>
      <c r="G500">
        <f t="shared" ca="1" si="195"/>
        <v>0</v>
      </c>
      <c r="H500">
        <f>'Модель v2 базовая'!$G$84</f>
        <v>500</v>
      </c>
      <c r="I500">
        <f t="shared" ca="1" si="196"/>
        <v>0</v>
      </c>
      <c r="J500">
        <v>10</v>
      </c>
      <c r="K500">
        <f>'Модель v2 базовая'!$E$84</f>
        <v>1.6666666666666667</v>
      </c>
      <c r="L500">
        <v>2</v>
      </c>
      <c r="M500">
        <f t="shared" si="192"/>
        <v>0</v>
      </c>
      <c r="N500">
        <f t="shared" ca="1" si="203"/>
        <v>10045.68027115067</v>
      </c>
      <c r="O500">
        <f t="shared" ca="1" si="204"/>
        <v>1004.568027115067</v>
      </c>
      <c r="T500" s="3" t="str">
        <f t="shared" si="199"/>
        <v>Крылатые сапоги</v>
      </c>
      <c r="U500" s="9">
        <f t="shared" si="200"/>
        <v>1004.568027115067</v>
      </c>
      <c r="V500" s="9">
        <f t="shared" ca="1" si="201"/>
        <v>1004.568027115067</v>
      </c>
      <c r="W500">
        <f t="shared" si="202"/>
        <v>2511.4200677876674</v>
      </c>
    </row>
    <row r="501" spans="1:23" x14ac:dyDescent="0.25">
      <c r="A501" s="3" t="str">
        <f>'Модель v2 базовая'!AZ12</f>
        <v>Корона несущего гнев</v>
      </c>
      <c r="B501">
        <f>'Модель v2 базовая'!BI12</f>
        <v>2715.2541899999997</v>
      </c>
      <c r="C501">
        <v>14</v>
      </c>
      <c r="D501">
        <f t="shared" si="92"/>
        <v>14</v>
      </c>
      <c r="E501" t="str">
        <f t="shared" si="193"/>
        <v>$N$14</v>
      </c>
      <c r="F501">
        <f t="shared" ca="1" si="194"/>
        <v>0</v>
      </c>
      <c r="G501">
        <f t="shared" ca="1" si="195"/>
        <v>0</v>
      </c>
      <c r="H501">
        <f>'Модель v2 базовая'!$G$84</f>
        <v>500</v>
      </c>
      <c r="I501">
        <f t="shared" ca="1" si="196"/>
        <v>0</v>
      </c>
      <c r="J501">
        <v>10</v>
      </c>
      <c r="K501">
        <f>'Модель v2 базовая'!$E$84</f>
        <v>1.6666666666666667</v>
      </c>
      <c r="L501">
        <v>2</v>
      </c>
      <c r="M501">
        <f t="shared" si="192"/>
        <v>0</v>
      </c>
      <c r="N501">
        <f t="shared" ca="1" si="203"/>
        <v>27152.541899999997</v>
      </c>
      <c r="O501">
        <f t="shared" ca="1" si="204"/>
        <v>2715.2541899999997</v>
      </c>
      <c r="T501" s="3" t="str">
        <f t="shared" si="199"/>
        <v>Корона несущего гнев</v>
      </c>
      <c r="U501" s="9">
        <f t="shared" si="200"/>
        <v>2715.2541899999997</v>
      </c>
      <c r="V501" s="9">
        <f t="shared" ca="1" si="201"/>
        <v>2715.2541899999997</v>
      </c>
      <c r="W501">
        <f t="shared" si="202"/>
        <v>6788.1354749999991</v>
      </c>
    </row>
    <row r="502" spans="1:23" x14ac:dyDescent="0.25">
      <c r="A502" s="3" t="str">
        <f>'Модель v2 базовая'!AZ13</f>
        <v>Когти искателя</v>
      </c>
      <c r="B502">
        <f>'Модель v2 базовая'!BI13</f>
        <v>1627.2555999480001</v>
      </c>
      <c r="C502">
        <v>14</v>
      </c>
      <c r="D502">
        <f t="shared" si="92"/>
        <v>14</v>
      </c>
      <c r="E502" t="str">
        <f t="shared" si="193"/>
        <v>$N$14</v>
      </c>
      <c r="F502">
        <f t="shared" ca="1" si="194"/>
        <v>0</v>
      </c>
      <c r="G502">
        <f t="shared" ca="1" si="195"/>
        <v>0</v>
      </c>
      <c r="H502">
        <f>'Модель v2 базовая'!$G$84</f>
        <v>500</v>
      </c>
      <c r="I502">
        <f t="shared" ca="1" si="196"/>
        <v>0</v>
      </c>
      <c r="J502">
        <v>10</v>
      </c>
      <c r="K502">
        <f>'Модель v2 базовая'!$E$84</f>
        <v>1.6666666666666667</v>
      </c>
      <c r="L502">
        <v>2</v>
      </c>
      <c r="M502">
        <f t="shared" si="192"/>
        <v>0</v>
      </c>
      <c r="N502">
        <f t="shared" ca="1" si="203"/>
        <v>16272.555999480001</v>
      </c>
      <c r="O502">
        <f t="shared" ca="1" si="204"/>
        <v>1627.2555999480001</v>
      </c>
      <c r="T502" s="3" t="str">
        <f t="shared" si="199"/>
        <v>Когти искателя</v>
      </c>
      <c r="U502" s="9">
        <f t="shared" si="200"/>
        <v>1627.2555999480001</v>
      </c>
      <c r="V502" s="9">
        <f t="shared" ca="1" si="201"/>
        <v>1627.2555999480001</v>
      </c>
      <c r="W502">
        <f t="shared" si="202"/>
        <v>4068.1389998700001</v>
      </c>
    </row>
    <row r="503" spans="1:23" x14ac:dyDescent="0.25">
      <c r="A503" s="3" t="str">
        <f>'Модель v2 базовая'!AZ14</f>
        <v>Железные ленты Биларро</v>
      </c>
      <c r="B503">
        <f>'Модель v2 базовая'!BI14</f>
        <v>331.6225455</v>
      </c>
      <c r="C503">
        <v>14</v>
      </c>
      <c r="D503">
        <f t="shared" si="92"/>
        <v>14</v>
      </c>
      <c r="E503" t="str">
        <f t="shared" si="193"/>
        <v>$N$14</v>
      </c>
      <c r="F503">
        <f t="shared" ca="1" si="194"/>
        <v>0</v>
      </c>
      <c r="G503">
        <f t="shared" ca="1" si="195"/>
        <v>0</v>
      </c>
      <c r="H503">
        <f>'Модель v2 базовая'!$G$84</f>
        <v>500</v>
      </c>
      <c r="I503">
        <f t="shared" ca="1" si="196"/>
        <v>0</v>
      </c>
      <c r="J503">
        <v>10</v>
      </c>
      <c r="K503">
        <f>'Модель v2 базовая'!$E$84</f>
        <v>1.6666666666666667</v>
      </c>
      <c r="L503">
        <v>2</v>
      </c>
      <c r="M503">
        <f t="shared" si="192"/>
        <v>0</v>
      </c>
      <c r="N503">
        <f t="shared" ca="1" si="203"/>
        <v>3316.2254549999998</v>
      </c>
      <c r="O503">
        <f t="shared" ca="1" si="204"/>
        <v>331.6225455</v>
      </c>
      <c r="T503" s="3" t="str">
        <f t="shared" si="199"/>
        <v>Железные ленты Биларро</v>
      </c>
      <c r="U503" s="9">
        <f t="shared" si="200"/>
        <v>331.6225455</v>
      </c>
      <c r="V503" s="9">
        <f t="shared" ca="1" si="201"/>
        <v>331.6225455</v>
      </c>
      <c r="W503">
        <f t="shared" si="202"/>
        <v>829.05636374999995</v>
      </c>
    </row>
    <row r="504" spans="1:23" x14ac:dyDescent="0.25">
      <c r="A504" s="3" t="str">
        <f>'Модель v2 базовая'!AZ15</f>
        <v>Защитник (длинный меч)</v>
      </c>
      <c r="B504">
        <f>'Модель v2 базовая'!BI15</f>
        <v>1017.8497208551383</v>
      </c>
      <c r="C504">
        <v>14</v>
      </c>
      <c r="D504">
        <f t="shared" si="92"/>
        <v>14</v>
      </c>
      <c r="E504" t="str">
        <f t="shared" si="193"/>
        <v>$N$14</v>
      </c>
      <c r="F504">
        <f t="shared" ca="1" si="194"/>
        <v>0</v>
      </c>
      <c r="G504">
        <f t="shared" ca="1" si="195"/>
        <v>0</v>
      </c>
      <c r="H504">
        <f>'Модель v2 базовая'!$G$84</f>
        <v>500</v>
      </c>
      <c r="I504">
        <f t="shared" ca="1" si="196"/>
        <v>0</v>
      </c>
      <c r="J504">
        <v>10</v>
      </c>
      <c r="K504">
        <f>'Модель v2 базовая'!$E$84</f>
        <v>1.6666666666666667</v>
      </c>
      <c r="L504">
        <v>2</v>
      </c>
      <c r="M504">
        <f t="shared" si="192"/>
        <v>0</v>
      </c>
      <c r="N504">
        <f t="shared" ca="1" si="203"/>
        <v>10178.497208551384</v>
      </c>
      <c r="O504">
        <f t="shared" ca="1" si="204"/>
        <v>1017.8497208551383</v>
      </c>
      <c r="T504" s="3" t="str">
        <f t="shared" si="199"/>
        <v>Защитник (длинный меч)</v>
      </c>
      <c r="U504" s="9">
        <f t="shared" si="200"/>
        <v>1017.8497208551383</v>
      </c>
      <c r="V504" s="9">
        <f t="shared" ca="1" si="201"/>
        <v>1017.8497208551383</v>
      </c>
      <c r="W504">
        <f t="shared" si="202"/>
        <v>2544.6243021378459</v>
      </c>
    </row>
    <row r="505" spans="1:23" x14ac:dyDescent="0.25">
      <c r="A505" s="3" t="str">
        <f>'Модель v2 базовая'!AZ16</f>
        <v>Износостойкая книга заклинаний</v>
      </c>
      <c r="B505">
        <f>'Модель v2 базовая'!BI16</f>
        <v>119.02684133999999</v>
      </c>
      <c r="C505">
        <v>14</v>
      </c>
      <c r="D505">
        <f t="shared" si="92"/>
        <v>14</v>
      </c>
      <c r="E505" t="str">
        <f t="shared" si="193"/>
        <v>$N$14</v>
      </c>
      <c r="F505">
        <f t="shared" ca="1" si="194"/>
        <v>0</v>
      </c>
      <c r="G505">
        <f t="shared" ca="1" si="195"/>
        <v>0</v>
      </c>
      <c r="H505">
        <f>'Модель v2 базовая'!$G$84</f>
        <v>500</v>
      </c>
      <c r="I505">
        <f t="shared" ca="1" si="196"/>
        <v>0</v>
      </c>
      <c r="J505">
        <v>10</v>
      </c>
      <c r="K505">
        <f>'Модель v2 базовая'!$E$84</f>
        <v>1.6666666666666667</v>
      </c>
      <c r="L505">
        <v>2</v>
      </c>
      <c r="M505">
        <f t="shared" si="192"/>
        <v>0</v>
      </c>
      <c r="N505">
        <f t="shared" ca="1" si="203"/>
        <v>1190.2684133999999</v>
      </c>
      <c r="O505">
        <f t="shared" ca="1" si="204"/>
        <v>119.02684133999999</v>
      </c>
      <c r="T505" s="3" t="str">
        <f t="shared" si="199"/>
        <v>Износостойкая книга заклинаний</v>
      </c>
      <c r="U505" s="9">
        <f t="shared" si="200"/>
        <v>119.02684133999999</v>
      </c>
      <c r="V505" s="9">
        <f t="shared" ca="1" si="201"/>
        <v>119.02684133999999</v>
      </c>
      <c r="W505">
        <f t="shared" si="202"/>
        <v>297.56710334999997</v>
      </c>
    </row>
    <row r="506" spans="1:23" x14ac:dyDescent="0.25">
      <c r="A506" s="3" t="str">
        <f>'Модель v2 базовая'!AZ17</f>
        <v>Сфера направления</v>
      </c>
      <c r="B506">
        <f>'Модель v2 базовая'!BI17</f>
        <v>99.520864500000002</v>
      </c>
      <c r="C506">
        <v>14</v>
      </c>
      <c r="D506">
        <f t="shared" si="92"/>
        <v>14</v>
      </c>
      <c r="E506" t="str">
        <f t="shared" si="193"/>
        <v>$N$14</v>
      </c>
      <c r="F506">
        <f t="shared" ca="1" si="194"/>
        <v>0</v>
      </c>
      <c r="G506">
        <f t="shared" ca="1" si="195"/>
        <v>0</v>
      </c>
      <c r="H506">
        <f>'Модель v2 базовая'!$G$84</f>
        <v>500</v>
      </c>
      <c r="I506">
        <f t="shared" ca="1" si="196"/>
        <v>0</v>
      </c>
      <c r="J506">
        <v>10</v>
      </c>
      <c r="K506">
        <f>'Модель v2 базовая'!$E$84</f>
        <v>1.6666666666666667</v>
      </c>
      <c r="L506">
        <v>2</v>
      </c>
      <c r="M506">
        <f t="shared" si="192"/>
        <v>0</v>
      </c>
      <c r="N506">
        <f t="shared" ca="1" si="203"/>
        <v>995.20864500000005</v>
      </c>
      <c r="O506">
        <f t="shared" ca="1" si="204"/>
        <v>99.520864500000002</v>
      </c>
      <c r="T506" s="3" t="str">
        <f t="shared" si="199"/>
        <v>Сфера направления</v>
      </c>
      <c r="U506" s="9">
        <f t="shared" si="200"/>
        <v>99.520864500000002</v>
      </c>
      <c r="V506" s="9">
        <f t="shared" ca="1" si="201"/>
        <v>99.520864500000002</v>
      </c>
      <c r="W506">
        <f t="shared" si="202"/>
        <v>248.80216125000001</v>
      </c>
    </row>
    <row r="507" spans="1:23" x14ac:dyDescent="0.25">
      <c r="A507" s="3" t="str">
        <f>'Модель v2 базовая'!AZ18</f>
        <v>Серьга сообщения</v>
      </c>
      <c r="B507">
        <f>'Модель v2 базовая'!BI18</f>
        <v>735.06821100000002</v>
      </c>
      <c r="C507">
        <v>14</v>
      </c>
      <c r="D507">
        <f t="shared" si="108"/>
        <v>14</v>
      </c>
      <c r="E507" t="str">
        <f t="shared" si="193"/>
        <v>$N$14</v>
      </c>
      <c r="F507">
        <f t="shared" ca="1" si="194"/>
        <v>0</v>
      </c>
      <c r="G507">
        <f t="shared" ca="1" si="195"/>
        <v>0</v>
      </c>
      <c r="H507">
        <f>'Модель v2 базовая'!$G$84</f>
        <v>500</v>
      </c>
      <c r="I507">
        <f t="shared" ca="1" si="196"/>
        <v>0</v>
      </c>
      <c r="J507">
        <v>10</v>
      </c>
      <c r="K507">
        <f>'Модель v2 базовая'!$E$84</f>
        <v>1.6666666666666667</v>
      </c>
      <c r="L507">
        <v>2</v>
      </c>
      <c r="M507">
        <f t="shared" si="192"/>
        <v>0</v>
      </c>
      <c r="N507">
        <f t="shared" ca="1" si="203"/>
        <v>7350.6821099999997</v>
      </c>
      <c r="O507">
        <f t="shared" ca="1" si="204"/>
        <v>735.06821100000002</v>
      </c>
      <c r="T507" s="3" t="str">
        <f t="shared" si="199"/>
        <v>Серьга сообщения</v>
      </c>
      <c r="U507" s="9">
        <f t="shared" si="200"/>
        <v>735.06821100000002</v>
      </c>
      <c r="V507" s="9">
        <f t="shared" ca="1" si="201"/>
        <v>735.06821100000002</v>
      </c>
      <c r="W507">
        <f t="shared" ref="W507:W512" si="205">B507*2.5</f>
        <v>1837.6705274999999</v>
      </c>
    </row>
    <row r="508" spans="1:23" x14ac:dyDescent="0.25">
      <c r="A508" s="3" t="str">
        <f>'Модель v2 базовая'!AZ19</f>
        <v>Тепловой куб</v>
      </c>
      <c r="B508">
        <f>'Модель v2 базовая'!BI19</f>
        <v>195</v>
      </c>
      <c r="C508">
        <v>14</v>
      </c>
      <c r="D508">
        <f t="shared" si="108"/>
        <v>14</v>
      </c>
      <c r="E508" t="str">
        <f t="shared" si="193"/>
        <v>$N$14</v>
      </c>
      <c r="F508">
        <f t="shared" ca="1" si="194"/>
        <v>0</v>
      </c>
      <c r="G508">
        <f t="shared" ca="1" si="195"/>
        <v>0</v>
      </c>
      <c r="H508">
        <f>'Модель v2 базовая'!$G$84</f>
        <v>500</v>
      </c>
      <c r="I508">
        <f t="shared" ca="1" si="196"/>
        <v>0</v>
      </c>
      <c r="J508">
        <v>10</v>
      </c>
      <c r="K508">
        <f>'Модель v2 базовая'!$E$84</f>
        <v>1.6666666666666667</v>
      </c>
      <c r="L508">
        <v>2</v>
      </c>
      <c r="M508">
        <f t="shared" si="192"/>
        <v>0</v>
      </c>
      <c r="N508">
        <f t="shared" ca="1" si="203"/>
        <v>1950</v>
      </c>
      <c r="O508">
        <f t="shared" ca="1" si="204"/>
        <v>195</v>
      </c>
      <c r="T508" s="3" t="str">
        <f t="shared" si="199"/>
        <v>Тепловой куб</v>
      </c>
      <c r="U508" s="9">
        <f t="shared" si="200"/>
        <v>195</v>
      </c>
      <c r="V508" s="9">
        <f t="shared" ca="1" si="201"/>
        <v>195</v>
      </c>
      <c r="W508">
        <f t="shared" si="205"/>
        <v>487.5</v>
      </c>
    </row>
    <row r="509" spans="1:23" x14ac:dyDescent="0.25">
      <c r="A509" s="3" t="str">
        <f>'Модель v2 базовая'!AZ20</f>
        <v>Плащ невидимости</v>
      </c>
      <c r="B509">
        <f>'Модель v2 базовая'!BI20</f>
        <v>1461.8670000000002</v>
      </c>
      <c r="C509">
        <v>14</v>
      </c>
      <c r="D509">
        <f t="shared" si="108"/>
        <v>14</v>
      </c>
      <c r="E509" t="str">
        <f t="shared" ref="E509:E510" si="206" xml:space="preserve"> ADDRESS(C509,D509)</f>
        <v>$N$14</v>
      </c>
      <c r="F509">
        <f t="shared" ref="F509:F510" ca="1" si="207">INDIRECT(E509)</f>
        <v>0</v>
      </c>
      <c r="G509">
        <f t="shared" ref="G509:G510" ca="1" si="208">F509/320</f>
        <v>0</v>
      </c>
      <c r="H509">
        <f>'Модель v2 базовая'!$G$84</f>
        <v>500</v>
      </c>
      <c r="I509">
        <f t="shared" ref="I509:I510" ca="1" si="209">H509/30*G509</f>
        <v>0</v>
      </c>
      <c r="J509">
        <v>10</v>
      </c>
      <c r="K509">
        <f>'Модель v2 базовая'!$E$84</f>
        <v>1.6666666666666667</v>
      </c>
      <c r="L509">
        <v>2</v>
      </c>
      <c r="M509">
        <f t="shared" si="192"/>
        <v>0</v>
      </c>
      <c r="N509">
        <f t="shared" ca="1" si="203"/>
        <v>14618.670000000002</v>
      </c>
      <c r="O509">
        <f t="shared" ca="1" si="204"/>
        <v>1461.8670000000002</v>
      </c>
      <c r="T509" s="3" t="str">
        <f t="shared" ref="T509:T510" si="210">A509</f>
        <v>Плащ невидимости</v>
      </c>
      <c r="U509" s="9">
        <f t="shared" ref="U509:U510" si="211">B509</f>
        <v>1461.8670000000002</v>
      </c>
      <c r="V509" s="9">
        <f t="shared" ref="V509:V510" ca="1" si="212">O509</f>
        <v>1461.8670000000002</v>
      </c>
      <c r="W509">
        <f t="shared" si="205"/>
        <v>3654.6675000000005</v>
      </c>
    </row>
    <row r="510" spans="1:23" x14ac:dyDescent="0.25">
      <c r="A510" s="3" t="str">
        <f>'Модель v2 базовая'!AZ21</f>
        <v>Кольцо отражения заклинаний</v>
      </c>
      <c r="B510">
        <f>'Модель v2 базовая'!BI21</f>
        <v>735.56829630000004</v>
      </c>
      <c r="C510">
        <v>14</v>
      </c>
      <c r="D510">
        <f t="shared" si="108"/>
        <v>14</v>
      </c>
      <c r="E510" t="str">
        <f t="shared" si="206"/>
        <v>$N$14</v>
      </c>
      <c r="F510">
        <f t="shared" ca="1" si="207"/>
        <v>0</v>
      </c>
      <c r="G510">
        <f t="shared" ca="1" si="208"/>
        <v>0</v>
      </c>
      <c r="H510">
        <f>'Модель v2 базовая'!$G$84</f>
        <v>500</v>
      </c>
      <c r="I510">
        <f t="shared" ca="1" si="209"/>
        <v>0</v>
      </c>
      <c r="J510">
        <v>10</v>
      </c>
      <c r="K510">
        <f>'Модель v2 базовая'!$E$84</f>
        <v>1.6666666666666667</v>
      </c>
      <c r="L510">
        <v>2</v>
      </c>
      <c r="M510">
        <f t="shared" si="192"/>
        <v>0</v>
      </c>
      <c r="N510">
        <f t="shared" ca="1" si="203"/>
        <v>7355.6829630000002</v>
      </c>
      <c r="O510">
        <f t="shared" ca="1" si="204"/>
        <v>735.56829630000004</v>
      </c>
      <c r="T510" s="3" t="str">
        <f t="shared" si="210"/>
        <v>Кольцо отражения заклинаний</v>
      </c>
      <c r="U510" s="9">
        <f t="shared" si="211"/>
        <v>735.56829630000004</v>
      </c>
      <c r="V510" s="9">
        <f t="shared" ca="1" si="212"/>
        <v>735.56829630000004</v>
      </c>
      <c r="W510">
        <f t="shared" si="205"/>
        <v>1838.92074075</v>
      </c>
    </row>
    <row r="511" spans="1:23" x14ac:dyDescent="0.25">
      <c r="A511" s="3" t="str">
        <f>'Модель v2 базовая'!AZ22</f>
        <v>Шлем совершенного потенциала</v>
      </c>
      <c r="B511">
        <f>'Модель v2 базовая'!BI22</f>
        <v>9943.4210999999996</v>
      </c>
      <c r="C511">
        <v>14</v>
      </c>
      <c r="D511">
        <f t="shared" si="108"/>
        <v>14</v>
      </c>
      <c r="E511" t="str">
        <f t="shared" ref="E511:E512" si="213" xml:space="preserve"> ADDRESS(C511,D511)</f>
        <v>$N$14</v>
      </c>
      <c r="F511">
        <f t="shared" ref="F511:F512" ca="1" si="214">INDIRECT(E511)</f>
        <v>0</v>
      </c>
      <c r="G511">
        <f t="shared" ref="G511:G512" ca="1" si="215">F511/320</f>
        <v>0</v>
      </c>
      <c r="H511">
        <f>'Модель v2 базовая'!$G$84</f>
        <v>500</v>
      </c>
      <c r="I511">
        <f t="shared" ref="I511:I512" ca="1" si="216">H511/30*G511</f>
        <v>0</v>
      </c>
      <c r="J511">
        <v>10</v>
      </c>
      <c r="K511">
        <f>'Модель v2 базовая'!$E$84</f>
        <v>1.6666666666666667</v>
      </c>
      <c r="L511">
        <v>2</v>
      </c>
      <c r="M511">
        <f t="shared" si="192"/>
        <v>0</v>
      </c>
      <c r="N511">
        <f t="shared" ca="1" si="203"/>
        <v>99434.210999999996</v>
      </c>
      <c r="O511">
        <f t="shared" ca="1" si="204"/>
        <v>9943.4210999999996</v>
      </c>
      <c r="T511" s="3" t="str">
        <f t="shared" ref="T511:T512" si="217">A511</f>
        <v>Шлем совершенного потенциала</v>
      </c>
      <c r="U511" s="9">
        <f t="shared" ref="U511:U512" si="218">B511</f>
        <v>9943.4210999999996</v>
      </c>
      <c r="V511" s="9">
        <f t="shared" ref="V511:V512" ca="1" si="219">O511</f>
        <v>9943.4210999999996</v>
      </c>
      <c r="W511">
        <f t="shared" si="205"/>
        <v>24858.552749999999</v>
      </c>
    </row>
    <row r="512" spans="1:23" x14ac:dyDescent="0.25">
      <c r="A512" s="3" t="str">
        <f>'Модель v2 базовая'!AZ23</f>
        <v>Камень удачи</v>
      </c>
      <c r="B512">
        <f>'Модель v2 базовая'!BI23</f>
        <v>136.836839325</v>
      </c>
      <c r="C512">
        <v>14</v>
      </c>
      <c r="D512">
        <f t="shared" si="108"/>
        <v>14</v>
      </c>
      <c r="E512" t="str">
        <f t="shared" si="213"/>
        <v>$N$14</v>
      </c>
      <c r="F512">
        <f t="shared" ca="1" si="214"/>
        <v>0</v>
      </c>
      <c r="G512">
        <f t="shared" ca="1" si="215"/>
        <v>0</v>
      </c>
      <c r="H512">
        <f>'Модель v2 базовая'!$G$84</f>
        <v>500</v>
      </c>
      <c r="I512">
        <f t="shared" ca="1" si="216"/>
        <v>0</v>
      </c>
      <c r="J512">
        <v>10</v>
      </c>
      <c r="K512">
        <f>'Модель v2 базовая'!$E$84</f>
        <v>1.6666666666666667</v>
      </c>
      <c r="L512">
        <v>2</v>
      </c>
      <c r="M512">
        <f t="shared" si="192"/>
        <v>0</v>
      </c>
      <c r="N512">
        <f t="shared" ca="1" si="203"/>
        <v>1368.3683932500001</v>
      </c>
      <c r="O512">
        <f t="shared" ca="1" si="204"/>
        <v>136.836839325</v>
      </c>
      <c r="T512" s="3" t="str">
        <f t="shared" si="217"/>
        <v>Камень удачи</v>
      </c>
      <c r="U512" s="9">
        <f t="shared" si="218"/>
        <v>136.836839325</v>
      </c>
      <c r="V512" s="9">
        <f t="shared" ca="1" si="219"/>
        <v>136.836839325</v>
      </c>
      <c r="W512">
        <f t="shared" si="205"/>
        <v>342.09209831250001</v>
      </c>
    </row>
    <row r="513" spans="1:23" x14ac:dyDescent="0.25">
      <c r="A513" s="3" t="str">
        <f>'Модель v2 базовая'!AZ24</f>
        <v>Кольцо уклонения</v>
      </c>
      <c r="B513">
        <f>'Модель v2 базовая'!BI24</f>
        <v>240.68853224999998</v>
      </c>
      <c r="C513">
        <v>14</v>
      </c>
      <c r="D513">
        <f t="shared" si="108"/>
        <v>14</v>
      </c>
      <c r="E513" t="str">
        <f t="shared" ref="E513:E514" si="220" xml:space="preserve"> ADDRESS(C513,D513)</f>
        <v>$N$14</v>
      </c>
      <c r="F513">
        <f t="shared" ref="F513:F514" ca="1" si="221">INDIRECT(E513)</f>
        <v>0</v>
      </c>
      <c r="G513">
        <f t="shared" ref="G513:G514" ca="1" si="222">F513/320</f>
        <v>0</v>
      </c>
      <c r="H513">
        <f>'Модель v2 базовая'!$G$84</f>
        <v>500</v>
      </c>
      <c r="I513">
        <f t="shared" ref="I513:I514" ca="1" si="223">H513/30*G513</f>
        <v>0</v>
      </c>
      <c r="J513">
        <v>10</v>
      </c>
      <c r="K513">
        <f>'Модель v2 базовая'!$E$84</f>
        <v>1.6666666666666667</v>
      </c>
      <c r="L513">
        <v>2</v>
      </c>
      <c r="M513">
        <f t="shared" si="192"/>
        <v>0</v>
      </c>
      <c r="N513">
        <f t="shared" ca="1" si="203"/>
        <v>2406.8853224999998</v>
      </c>
      <c r="O513">
        <f t="shared" ca="1" si="204"/>
        <v>240.68853224999998</v>
      </c>
      <c r="T513" s="3" t="str">
        <f t="shared" ref="T513" si="224">A513</f>
        <v>Кольцо уклонения</v>
      </c>
      <c r="U513" s="9">
        <f t="shared" ref="U513" si="225">B513</f>
        <v>240.68853224999998</v>
      </c>
      <c r="V513" s="9">
        <f t="shared" ref="V513" ca="1" si="226">O513</f>
        <v>240.68853224999998</v>
      </c>
      <c r="W513">
        <f t="shared" ref="W513" si="227">B513*2.5</f>
        <v>601.72133062499995</v>
      </c>
    </row>
    <row r="514" spans="1:23" x14ac:dyDescent="0.25">
      <c r="A514" s="3" t="str">
        <f>'Модель v2 базовая'!AZ25</f>
        <v>Пояс силы великана Холмов</v>
      </c>
      <c r="B514">
        <f>'Модель v2 базовая'!BI25</f>
        <v>531.56788649999999</v>
      </c>
      <c r="C514">
        <v>14</v>
      </c>
      <c r="D514">
        <f t="shared" si="108"/>
        <v>14</v>
      </c>
      <c r="E514" t="str">
        <f t="shared" si="220"/>
        <v>$N$14</v>
      </c>
      <c r="F514">
        <f t="shared" ca="1" si="221"/>
        <v>0</v>
      </c>
      <c r="G514">
        <f t="shared" ca="1" si="222"/>
        <v>0</v>
      </c>
      <c r="H514">
        <f>'Модель v2 базовая'!$G$84</f>
        <v>500</v>
      </c>
      <c r="I514">
        <f t="shared" ca="1" si="223"/>
        <v>0</v>
      </c>
      <c r="J514">
        <v>10</v>
      </c>
      <c r="K514">
        <f>'Модель v2 базовая'!$E$84</f>
        <v>1.6666666666666667</v>
      </c>
      <c r="L514">
        <v>2</v>
      </c>
      <c r="M514">
        <f t="shared" si="192"/>
        <v>0</v>
      </c>
      <c r="N514">
        <f t="shared" ca="1" si="203"/>
        <v>5315.6788649999999</v>
      </c>
      <c r="O514">
        <f t="shared" ca="1" si="204"/>
        <v>531.56788649999999</v>
      </c>
      <c r="T514" s="3" t="str">
        <f t="shared" ref="T514:T515" si="228">A514</f>
        <v>Пояс силы великана Холмов</v>
      </c>
      <c r="U514" s="9">
        <f t="shared" ref="U514:U515" si="229">B514</f>
        <v>531.56788649999999</v>
      </c>
      <c r="V514" s="9">
        <f t="shared" ref="V514:V515" ca="1" si="230">O514</f>
        <v>531.56788649999999</v>
      </c>
      <c r="W514">
        <f t="shared" ref="W514:W515" si="231">B514*2.5</f>
        <v>1328.91971625</v>
      </c>
    </row>
    <row r="515" spans="1:23" x14ac:dyDescent="0.25">
      <c r="A515" s="3" t="str">
        <f>'Модель v2 базовая'!AZ26</f>
        <v>Пояс силы великана Каменн</v>
      </c>
      <c r="B515">
        <f>'Модель v2 базовая'!BI26</f>
        <v>945.96867299999997</v>
      </c>
      <c r="C515">
        <v>14</v>
      </c>
      <c r="D515">
        <f t="shared" si="108"/>
        <v>14</v>
      </c>
      <c r="E515" t="str">
        <f t="shared" ref="E515:E516" si="232" xml:space="preserve"> ADDRESS(C515,D515)</f>
        <v>$N$14</v>
      </c>
      <c r="F515">
        <f t="shared" ref="F515:F516" ca="1" si="233">INDIRECT(E515)</f>
        <v>0</v>
      </c>
      <c r="G515">
        <f t="shared" ref="G515:G516" ca="1" si="234">F515/320</f>
        <v>0</v>
      </c>
      <c r="H515">
        <f>'Модель v2 базовая'!$G$84</f>
        <v>500</v>
      </c>
      <c r="I515">
        <f t="shared" ref="I515:I516" ca="1" si="235">H515/30*G515</f>
        <v>0</v>
      </c>
      <c r="J515">
        <v>10</v>
      </c>
      <c r="K515">
        <f>'Модель v2 базовая'!$E$84</f>
        <v>1.6666666666666667</v>
      </c>
      <c r="L515">
        <v>2</v>
      </c>
      <c r="M515">
        <f t="shared" si="192"/>
        <v>0</v>
      </c>
      <c r="N515">
        <f t="shared" ca="1" si="203"/>
        <v>9459.6867299999994</v>
      </c>
      <c r="O515">
        <f t="shared" ca="1" si="204"/>
        <v>945.96867299999997</v>
      </c>
      <c r="T515" s="3" t="str">
        <f t="shared" si="228"/>
        <v>Пояс силы великана Каменн</v>
      </c>
      <c r="U515" s="9">
        <f t="shared" si="229"/>
        <v>945.96867299999997</v>
      </c>
      <c r="V515" s="9">
        <f t="shared" ca="1" si="230"/>
        <v>945.96867299999997</v>
      </c>
      <c r="W515">
        <f t="shared" si="231"/>
        <v>2364.9216824999999</v>
      </c>
    </row>
    <row r="516" spans="1:23" x14ac:dyDescent="0.25">
      <c r="A516" s="3" t="str">
        <f>'Модель v2 базовая'!AZ27</f>
        <v>Пояс силы великана Огн</v>
      </c>
      <c r="B516">
        <f>'Модель v2 базовая'!BI27</f>
        <v>1360.3694594999997</v>
      </c>
      <c r="C516">
        <v>14</v>
      </c>
      <c r="D516">
        <f t="shared" si="108"/>
        <v>14</v>
      </c>
      <c r="E516" t="str">
        <f t="shared" si="232"/>
        <v>$N$14</v>
      </c>
      <c r="F516">
        <f t="shared" ca="1" si="233"/>
        <v>0</v>
      </c>
      <c r="G516">
        <f t="shared" ca="1" si="234"/>
        <v>0</v>
      </c>
      <c r="H516">
        <f>'Модель v2 базовая'!$G$84</f>
        <v>500</v>
      </c>
      <c r="I516">
        <f t="shared" ca="1" si="235"/>
        <v>0</v>
      </c>
      <c r="J516">
        <v>10</v>
      </c>
      <c r="K516">
        <f>'Модель v2 базовая'!$E$84</f>
        <v>1.6666666666666667</v>
      </c>
      <c r="L516">
        <v>2</v>
      </c>
      <c r="M516">
        <f t="shared" si="192"/>
        <v>0</v>
      </c>
      <c r="N516">
        <f t="shared" ca="1" si="203"/>
        <v>13603.694594999997</v>
      </c>
      <c r="O516">
        <f t="shared" ca="1" si="204"/>
        <v>1360.3694594999997</v>
      </c>
      <c r="T516" s="3" t="str">
        <f t="shared" ref="T516:T520" si="236">A516</f>
        <v>Пояс силы великана Огн</v>
      </c>
      <c r="U516" s="9">
        <f t="shared" ref="U516:U520" si="237">B516</f>
        <v>1360.3694594999997</v>
      </c>
      <c r="V516" s="9">
        <f t="shared" ref="V516:V520" ca="1" si="238">O516</f>
        <v>1360.3694594999997</v>
      </c>
      <c r="W516">
        <f t="shared" ref="W516:W520" si="239">B516*2.5</f>
        <v>3400.9236487499993</v>
      </c>
    </row>
    <row r="517" spans="1:23" x14ac:dyDescent="0.25">
      <c r="A517" s="3" t="str">
        <f>'Модель v2 базовая'!AZ28</f>
        <v>Пояс силы великана Облач</v>
      </c>
      <c r="B517">
        <f>'Модель v2 базовая'!BI28</f>
        <v>1774.770246</v>
      </c>
      <c r="C517">
        <v>14</v>
      </c>
      <c r="D517">
        <f t="shared" si="108"/>
        <v>14</v>
      </c>
      <c r="E517" t="str">
        <f t="shared" ref="E517:E520" si="240" xml:space="preserve"> ADDRESS(C517,D517)</f>
        <v>$N$14</v>
      </c>
      <c r="F517">
        <f t="shared" ref="F517:F520" ca="1" si="241">INDIRECT(E517)</f>
        <v>0</v>
      </c>
      <c r="G517">
        <f t="shared" ref="G517:G520" ca="1" si="242">F517/320</f>
        <v>0</v>
      </c>
      <c r="H517">
        <f>'Модель v2 базовая'!$G$84</f>
        <v>500</v>
      </c>
      <c r="I517">
        <f t="shared" ref="I517:I520" ca="1" si="243">H517/30*G517</f>
        <v>0</v>
      </c>
      <c r="J517">
        <v>10</v>
      </c>
      <c r="K517">
        <f>'Модель v2 базовая'!$E$84</f>
        <v>1.6666666666666667</v>
      </c>
      <c r="L517">
        <v>2</v>
      </c>
      <c r="M517">
        <f t="shared" si="192"/>
        <v>0</v>
      </c>
      <c r="N517">
        <f t="shared" ca="1" si="203"/>
        <v>17747.70246</v>
      </c>
      <c r="O517">
        <f t="shared" ca="1" si="204"/>
        <v>1774.770246</v>
      </c>
      <c r="T517" s="3" t="str">
        <f t="shared" si="236"/>
        <v>Пояс силы великана Облач</v>
      </c>
      <c r="U517" s="9">
        <f t="shared" si="237"/>
        <v>1774.770246</v>
      </c>
      <c r="V517" s="9">
        <f t="shared" ca="1" si="238"/>
        <v>1774.770246</v>
      </c>
      <c r="W517">
        <f t="shared" si="239"/>
        <v>4436.9256150000001</v>
      </c>
    </row>
    <row r="518" spans="1:23" x14ac:dyDescent="0.25">
      <c r="A518" s="3" t="str">
        <f>'Модель v2 базовая'!AZ29</f>
        <v>Пояс силы великана Шторм</v>
      </c>
      <c r="B518">
        <f>'Модель v2 базовая'!BI29</f>
        <v>1917.1670999999999</v>
      </c>
      <c r="C518">
        <v>14</v>
      </c>
      <c r="D518">
        <f t="shared" si="108"/>
        <v>14</v>
      </c>
      <c r="E518" t="str">
        <f t="shared" si="240"/>
        <v>$N$14</v>
      </c>
      <c r="F518">
        <f t="shared" ca="1" si="241"/>
        <v>0</v>
      </c>
      <c r="G518">
        <f t="shared" ca="1" si="242"/>
        <v>0</v>
      </c>
      <c r="H518">
        <f>'Модель v2 базовая'!$G$84</f>
        <v>500</v>
      </c>
      <c r="I518">
        <f t="shared" ca="1" si="243"/>
        <v>0</v>
      </c>
      <c r="J518">
        <v>10</v>
      </c>
      <c r="K518">
        <f>'Модель v2 базовая'!$E$84</f>
        <v>1.6666666666666667</v>
      </c>
      <c r="L518">
        <v>2</v>
      </c>
      <c r="M518">
        <f t="shared" si="192"/>
        <v>0</v>
      </c>
      <c r="N518">
        <f t="shared" ca="1" si="203"/>
        <v>19171.670999999998</v>
      </c>
      <c r="O518">
        <f t="shared" ca="1" si="204"/>
        <v>1917.1670999999999</v>
      </c>
      <c r="T518" s="3" t="str">
        <f t="shared" si="236"/>
        <v>Пояс силы великана Шторм</v>
      </c>
      <c r="U518" s="9">
        <f t="shared" si="237"/>
        <v>1917.1670999999999</v>
      </c>
      <c r="V518" s="9">
        <f t="shared" ca="1" si="238"/>
        <v>1917.1670999999999</v>
      </c>
      <c r="W518">
        <f t="shared" si="239"/>
        <v>4792.9177499999996</v>
      </c>
    </row>
    <row r="519" spans="1:23" x14ac:dyDescent="0.25">
      <c r="A519" s="3" t="str">
        <f>'Модель v2 базовая'!AZ30</f>
        <v>Татуировка Кровавой ярости</v>
      </c>
      <c r="B519">
        <f>'Модель v2 базовая'!BI30</f>
        <v>128.76023595000001</v>
      </c>
      <c r="C519">
        <v>14</v>
      </c>
      <c r="D519">
        <f t="shared" si="108"/>
        <v>14</v>
      </c>
      <c r="E519" t="str">
        <f t="shared" si="240"/>
        <v>$N$14</v>
      </c>
      <c r="F519">
        <f t="shared" ca="1" si="241"/>
        <v>0</v>
      </c>
      <c r="G519">
        <f t="shared" ca="1" si="242"/>
        <v>0</v>
      </c>
      <c r="H519">
        <f>'Модель v2 базовая'!$G$84</f>
        <v>500</v>
      </c>
      <c r="I519">
        <f t="shared" ca="1" si="243"/>
        <v>0</v>
      </c>
      <c r="J519">
        <v>10</v>
      </c>
      <c r="K519">
        <f>'Модель v2 базовая'!$E$84</f>
        <v>1.6666666666666667</v>
      </c>
      <c r="L519">
        <v>2</v>
      </c>
      <c r="M519">
        <f t="shared" si="192"/>
        <v>0</v>
      </c>
      <c r="N519">
        <f t="shared" ca="1" si="203"/>
        <v>1287.6023595000001</v>
      </c>
      <c r="O519">
        <f t="shared" ca="1" si="204"/>
        <v>128.76023595000001</v>
      </c>
      <c r="T519" s="3" t="str">
        <f t="shared" si="236"/>
        <v>Татуировка Кровавой ярости</v>
      </c>
      <c r="U519" s="9">
        <f t="shared" si="237"/>
        <v>128.76023595000001</v>
      </c>
      <c r="V519" s="9">
        <f t="shared" ca="1" si="238"/>
        <v>128.76023595000001</v>
      </c>
      <c r="W519">
        <f t="shared" si="239"/>
        <v>321.90058987500004</v>
      </c>
    </row>
    <row r="520" spans="1:23" x14ac:dyDescent="0.25">
      <c r="A520" s="3" t="str">
        <f>'Модель v2 базовая'!AZ31</f>
        <v>Сенсорный камень</v>
      </c>
      <c r="B520">
        <f>'Модель v2 базовая'!BI31</f>
        <v>70.99847865000001</v>
      </c>
      <c r="C520">
        <v>14</v>
      </c>
      <c r="D520">
        <f t="shared" si="108"/>
        <v>14</v>
      </c>
      <c r="E520" t="str">
        <f t="shared" si="240"/>
        <v>$N$14</v>
      </c>
      <c r="F520">
        <f t="shared" ca="1" si="241"/>
        <v>0</v>
      </c>
      <c r="G520">
        <f t="shared" ca="1" si="242"/>
        <v>0</v>
      </c>
      <c r="H520">
        <f>'Модель v2 базовая'!$G$84</f>
        <v>500</v>
      </c>
      <c r="I520">
        <f t="shared" ca="1" si="243"/>
        <v>0</v>
      </c>
      <c r="J520">
        <v>10</v>
      </c>
      <c r="K520">
        <f>'Модель v2 базовая'!$E$84</f>
        <v>1.6666666666666667</v>
      </c>
      <c r="L520">
        <v>2</v>
      </c>
      <c r="M520">
        <f t="shared" si="192"/>
        <v>0</v>
      </c>
      <c r="N520">
        <f t="shared" ca="1" si="203"/>
        <v>709.98478650000015</v>
      </c>
      <c r="O520">
        <f t="shared" ca="1" si="204"/>
        <v>70.99847865000001</v>
      </c>
      <c r="T520" s="3" t="str">
        <f t="shared" si="236"/>
        <v>Сенсорный камень</v>
      </c>
      <c r="U520" s="9">
        <f t="shared" si="237"/>
        <v>70.99847865000001</v>
      </c>
      <c r="V520" s="9">
        <f t="shared" ca="1" si="238"/>
        <v>70.99847865000001</v>
      </c>
      <c r="W520">
        <f t="shared" si="239"/>
        <v>177.49619662500004</v>
      </c>
    </row>
    <row r="521" spans="1:23" x14ac:dyDescent="0.25">
      <c r="A521" s="3" t="str">
        <f>'Модель v2 базовая'!AZ32</f>
        <v>Светящийся рунический пигмент</v>
      </c>
      <c r="B521">
        <f>'Модель v2 базовая'!BI32</f>
        <v>653.85139766999998</v>
      </c>
      <c r="C521">
        <v>14</v>
      </c>
      <c r="D521">
        <f t="shared" si="108"/>
        <v>14</v>
      </c>
      <c r="E521" t="str">
        <f t="shared" ref="E521:E522" si="244" xml:space="preserve"> ADDRESS(C521,D521)</f>
        <v>$N$14</v>
      </c>
      <c r="F521">
        <f t="shared" ref="F521:F522" ca="1" si="245">INDIRECT(E521)</f>
        <v>0</v>
      </c>
      <c r="G521">
        <f t="shared" ref="G521:G522" ca="1" si="246">F521/320</f>
        <v>0</v>
      </c>
      <c r="H521">
        <f>'Модель v2 базовая'!$G$84</f>
        <v>500</v>
      </c>
      <c r="I521">
        <f t="shared" ref="I521:I522" ca="1" si="247">H521/30*G521</f>
        <v>0</v>
      </c>
      <c r="J521">
        <v>10</v>
      </c>
      <c r="K521">
        <f>'Модель v2 базовая'!$E$84</f>
        <v>1.6666666666666667</v>
      </c>
      <c r="L521">
        <v>2</v>
      </c>
      <c r="M521">
        <f t="shared" si="192"/>
        <v>0</v>
      </c>
      <c r="N521">
        <f t="shared" ca="1" si="203"/>
        <v>6538.5139767000001</v>
      </c>
      <c r="O521">
        <f t="shared" ca="1" si="204"/>
        <v>653.85139766999998</v>
      </c>
      <c r="T521" s="3" t="str">
        <f t="shared" ref="T521:T522" si="248">A521</f>
        <v>Светящийся рунический пигмент</v>
      </c>
      <c r="U521" s="9">
        <f t="shared" ref="U521:U522" si="249">B521</f>
        <v>653.85139766999998</v>
      </c>
      <c r="V521" s="9">
        <f t="shared" ref="V521:V522" ca="1" si="250">O521</f>
        <v>653.85139766999998</v>
      </c>
      <c r="W521">
        <f t="shared" ref="W521:W522" si="251">B521*2.5</f>
        <v>1634.628494175</v>
      </c>
    </row>
    <row r="522" spans="1:23" x14ac:dyDescent="0.25">
      <c r="A522" s="3" t="str">
        <f>'Модель v2 базовая'!AZ33</f>
        <v>Плащ шарлатана</v>
      </c>
      <c r="B522">
        <f>'Модель v2 базовая'!BI33</f>
        <v>2923.134</v>
      </c>
      <c r="C522">
        <v>14</v>
      </c>
      <c r="D522">
        <f t="shared" si="108"/>
        <v>14</v>
      </c>
      <c r="E522" t="str">
        <f t="shared" si="244"/>
        <v>$N$14</v>
      </c>
      <c r="F522">
        <f t="shared" ca="1" si="245"/>
        <v>0</v>
      </c>
      <c r="G522">
        <f t="shared" ca="1" si="246"/>
        <v>0</v>
      </c>
      <c r="H522">
        <f>'Модель v2 базовая'!$G$84</f>
        <v>500</v>
      </c>
      <c r="I522">
        <f t="shared" ca="1" si="247"/>
        <v>0</v>
      </c>
      <c r="J522">
        <v>10</v>
      </c>
      <c r="K522">
        <f>'Модель v2 базовая'!$E$84</f>
        <v>1.6666666666666667</v>
      </c>
      <c r="L522">
        <v>2</v>
      </c>
      <c r="M522">
        <f t="shared" si="192"/>
        <v>0</v>
      </c>
      <c r="N522">
        <f t="shared" ca="1" si="203"/>
        <v>29231.34</v>
      </c>
      <c r="O522">
        <f t="shared" ca="1" si="204"/>
        <v>2923.134</v>
      </c>
      <c r="T522" s="3" t="str">
        <f t="shared" si="248"/>
        <v>Плащ шарлатана</v>
      </c>
      <c r="U522" s="9">
        <f t="shared" si="249"/>
        <v>2923.134</v>
      </c>
      <c r="V522" s="9">
        <f t="shared" ca="1" si="250"/>
        <v>2923.134</v>
      </c>
      <c r="W522">
        <f t="shared" si="251"/>
        <v>7307.835</v>
      </c>
    </row>
    <row r="523" spans="1:23" x14ac:dyDescent="0.25">
      <c r="A523" s="3" t="str">
        <f>'Модель v2 базовая'!AZ34</f>
        <v>Оружие разрушающей силы (мин)</v>
      </c>
      <c r="B523">
        <f>'Модель v2 базовая'!BI34</f>
        <v>1471.0151028300002</v>
      </c>
      <c r="C523">
        <v>14</v>
      </c>
      <c r="D523">
        <f t="shared" ref="D523:D556" si="252">$B$16</f>
        <v>14</v>
      </c>
      <c r="E523" t="str">
        <f t="shared" ref="E523:E548" si="253" xml:space="preserve"> ADDRESS(C523,D523)</f>
        <v>$N$14</v>
      </c>
      <c r="F523">
        <f t="shared" ref="F523:F548" ca="1" si="254">INDIRECT(E523)</f>
        <v>0</v>
      </c>
      <c r="G523">
        <f t="shared" ref="G523:G548" ca="1" si="255">F523/320</f>
        <v>0</v>
      </c>
      <c r="H523">
        <f>'Модель v2 базовая'!$G$84</f>
        <v>500</v>
      </c>
      <c r="I523">
        <f t="shared" ref="I523:I548" ca="1" si="256">H523/30*G523</f>
        <v>0</v>
      </c>
      <c r="J523">
        <v>10</v>
      </c>
      <c r="K523">
        <f>'Модель v2 базовая'!$E$84</f>
        <v>1.6666666666666667</v>
      </c>
      <c r="L523">
        <v>2</v>
      </c>
      <c r="M523">
        <f t="shared" si="192"/>
        <v>0</v>
      </c>
      <c r="N523">
        <f t="shared" ca="1" si="203"/>
        <v>14710.151028300003</v>
      </c>
      <c r="O523">
        <f t="shared" ca="1" si="204"/>
        <v>1471.0151028300002</v>
      </c>
      <c r="T523" s="3" t="str">
        <f t="shared" ref="T523:T548" si="257">A523</f>
        <v>Оружие разрушающей силы (мин)</v>
      </c>
      <c r="U523" s="9">
        <f t="shared" ref="U523:U548" si="258">B523</f>
        <v>1471.0151028300002</v>
      </c>
      <c r="V523" s="9">
        <f t="shared" ref="V523:V548" ca="1" si="259">O523</f>
        <v>1471.0151028300002</v>
      </c>
      <c r="W523">
        <f t="shared" ref="W523:W548" si="260">B523*2.5</f>
        <v>3677.5377570750006</v>
      </c>
    </row>
    <row r="524" spans="1:23" x14ac:dyDescent="0.25">
      <c r="A524" s="3" t="str">
        <f>'Модель v2 базовая'!AZ35</f>
        <v>Оружие разрушающей силы (макс)</v>
      </c>
      <c r="B524">
        <f>'Модель v2 базовая'!BI35</f>
        <v>2099.2118286238051</v>
      </c>
      <c r="C524">
        <v>14</v>
      </c>
      <c r="D524">
        <f t="shared" si="252"/>
        <v>14</v>
      </c>
      <c r="E524" t="str">
        <f t="shared" si="253"/>
        <v>$N$14</v>
      </c>
      <c r="F524">
        <f t="shared" ca="1" si="254"/>
        <v>0</v>
      </c>
      <c r="G524">
        <f t="shared" ca="1" si="255"/>
        <v>0</v>
      </c>
      <c r="H524">
        <f>'Модель v2 базовая'!$G$84</f>
        <v>500</v>
      </c>
      <c r="I524">
        <f t="shared" ca="1" si="256"/>
        <v>0</v>
      </c>
      <c r="J524">
        <v>10</v>
      </c>
      <c r="K524">
        <f>'Модель v2 базовая'!$E$84</f>
        <v>1.6666666666666667</v>
      </c>
      <c r="L524">
        <v>2</v>
      </c>
      <c r="M524">
        <f t="shared" si="192"/>
        <v>0</v>
      </c>
      <c r="N524">
        <f t="shared" ca="1" si="203"/>
        <v>20992.118286238052</v>
      </c>
      <c r="O524">
        <f t="shared" ca="1" si="204"/>
        <v>2099.2118286238051</v>
      </c>
      <c r="T524" s="3" t="str">
        <f t="shared" si="257"/>
        <v>Оружие разрушающей силы (макс)</v>
      </c>
      <c r="U524" s="9">
        <f t="shared" si="258"/>
        <v>2099.2118286238051</v>
      </c>
      <c r="V524" s="9">
        <f t="shared" ca="1" si="259"/>
        <v>2099.2118286238051</v>
      </c>
      <c r="W524">
        <f t="shared" si="260"/>
        <v>5248.029571559513</v>
      </c>
    </row>
    <row r="525" spans="1:23" x14ac:dyDescent="0.25">
      <c r="A525" s="3" t="str">
        <f>'Модель v2 базовая'!AZ36</f>
        <v>Камень рассеивания</v>
      </c>
      <c r="B525">
        <f>'Модель v2 базовая'!BI36</f>
        <v>2909.5583999999999</v>
      </c>
      <c r="C525">
        <v>14</v>
      </c>
      <c r="D525">
        <f t="shared" si="252"/>
        <v>14</v>
      </c>
      <c r="E525" t="str">
        <f t="shared" si="253"/>
        <v>$N$14</v>
      </c>
      <c r="F525">
        <f t="shared" ca="1" si="254"/>
        <v>0</v>
      </c>
      <c r="G525">
        <f t="shared" ca="1" si="255"/>
        <v>0</v>
      </c>
      <c r="H525">
        <f>'Модель v2 базовая'!$G$84</f>
        <v>500</v>
      </c>
      <c r="I525">
        <f t="shared" ca="1" si="256"/>
        <v>0</v>
      </c>
      <c r="J525">
        <v>10</v>
      </c>
      <c r="K525">
        <f>'Модель v2 базовая'!$E$84</f>
        <v>1.6666666666666667</v>
      </c>
      <c r="L525">
        <v>2</v>
      </c>
      <c r="M525">
        <f t="shared" si="192"/>
        <v>0</v>
      </c>
      <c r="N525">
        <f t="shared" ca="1" si="203"/>
        <v>29095.583999999999</v>
      </c>
      <c r="O525">
        <f t="shared" ca="1" si="204"/>
        <v>2909.5583999999999</v>
      </c>
      <c r="T525" s="3" t="str">
        <f t="shared" si="257"/>
        <v>Камень рассеивания</v>
      </c>
      <c r="U525" s="9">
        <f t="shared" si="258"/>
        <v>2909.5583999999999</v>
      </c>
      <c r="V525" s="9">
        <f t="shared" ca="1" si="259"/>
        <v>2909.5583999999999</v>
      </c>
      <c r="W525">
        <f t="shared" si="260"/>
        <v>7273.8959999999997</v>
      </c>
    </row>
    <row r="526" spans="1:23" x14ac:dyDescent="0.25">
      <c r="A526" s="3" t="str">
        <f>'Модель v2 базовая'!AZ37</f>
        <v>Боевой рог доблести</v>
      </c>
      <c r="B526">
        <f>'Модель v2 базовая'!BI37</f>
        <v>1471.44633</v>
      </c>
      <c r="C526">
        <v>14</v>
      </c>
      <c r="D526">
        <f t="shared" si="252"/>
        <v>14</v>
      </c>
      <c r="E526" t="str">
        <f t="shared" si="253"/>
        <v>$N$14</v>
      </c>
      <c r="F526">
        <f t="shared" ca="1" si="254"/>
        <v>0</v>
      </c>
      <c r="G526">
        <f t="shared" ca="1" si="255"/>
        <v>0</v>
      </c>
      <c r="H526">
        <f>'Модель v2 базовая'!$G$84</f>
        <v>500</v>
      </c>
      <c r="I526">
        <f t="shared" ca="1" si="256"/>
        <v>0</v>
      </c>
      <c r="J526">
        <v>10</v>
      </c>
      <c r="K526">
        <f>'Модель v2 базовая'!$E$84</f>
        <v>1.6666666666666667</v>
      </c>
      <c r="L526">
        <v>2</v>
      </c>
      <c r="M526">
        <f t="shared" si="192"/>
        <v>0</v>
      </c>
      <c r="N526">
        <f t="shared" ca="1" si="203"/>
        <v>14714.463299999999</v>
      </c>
      <c r="O526">
        <f t="shared" ca="1" si="204"/>
        <v>1471.44633</v>
      </c>
      <c r="T526" s="3" t="str">
        <f t="shared" si="257"/>
        <v>Боевой рог доблести</v>
      </c>
      <c r="U526" s="9">
        <f t="shared" si="258"/>
        <v>1471.44633</v>
      </c>
      <c r="V526" s="9">
        <f t="shared" ca="1" si="259"/>
        <v>1471.44633</v>
      </c>
      <c r="W526">
        <f t="shared" si="260"/>
        <v>3678.6158249999999</v>
      </c>
    </row>
    <row r="527" spans="1:23" x14ac:dyDescent="0.25">
      <c r="A527" s="3" t="str">
        <f>'Модель v2 базовая'!AZ38</f>
        <v>Ядовитый клык</v>
      </c>
      <c r="B527">
        <f>'Модель v2 базовая'!BI38</f>
        <v>499.49721346569135</v>
      </c>
      <c r="C527">
        <v>14</v>
      </c>
      <c r="D527">
        <f t="shared" si="252"/>
        <v>14</v>
      </c>
      <c r="E527" t="str">
        <f t="shared" si="253"/>
        <v>$N$14</v>
      </c>
      <c r="F527">
        <f t="shared" ca="1" si="254"/>
        <v>0</v>
      </c>
      <c r="G527">
        <f t="shared" ca="1" si="255"/>
        <v>0</v>
      </c>
      <c r="H527">
        <f>'Модель v2 базовая'!$G$84</f>
        <v>500</v>
      </c>
      <c r="I527">
        <f t="shared" ca="1" si="256"/>
        <v>0</v>
      </c>
      <c r="J527">
        <v>10</v>
      </c>
      <c r="K527">
        <f>'Модель v2 базовая'!$E$84</f>
        <v>1.6666666666666667</v>
      </c>
      <c r="L527">
        <v>2</v>
      </c>
      <c r="M527">
        <f t="shared" si="192"/>
        <v>0</v>
      </c>
      <c r="N527">
        <f t="shared" ca="1" si="203"/>
        <v>4994.9721346569131</v>
      </c>
      <c r="O527">
        <f t="shared" ca="1" si="204"/>
        <v>499.49721346569129</v>
      </c>
      <c r="T527" s="3" t="str">
        <f t="shared" si="257"/>
        <v>Ядовитый клык</v>
      </c>
      <c r="U527" s="9">
        <f t="shared" si="258"/>
        <v>499.49721346569135</v>
      </c>
      <c r="V527" s="9">
        <f t="shared" ca="1" si="259"/>
        <v>499.49721346569129</v>
      </c>
      <c r="W527">
        <f t="shared" si="260"/>
        <v>1248.7430336642283</v>
      </c>
    </row>
    <row r="528" spans="1:23" x14ac:dyDescent="0.25">
      <c r="A528" s="3" t="str">
        <f>'Модель v2 базовая'!AZ39</f>
        <v>Шлем бдительности</v>
      </c>
      <c r="B528">
        <f>'Модель v2 базовая'!BI39</f>
        <v>1529.8929744316986</v>
      </c>
      <c r="C528">
        <v>14</v>
      </c>
      <c r="D528">
        <f t="shared" si="252"/>
        <v>14</v>
      </c>
      <c r="E528" t="str">
        <f t="shared" si="253"/>
        <v>$N$14</v>
      </c>
      <c r="F528">
        <f t="shared" ca="1" si="254"/>
        <v>0</v>
      </c>
      <c r="G528">
        <f t="shared" ca="1" si="255"/>
        <v>0</v>
      </c>
      <c r="H528">
        <f>'Модель v2 базовая'!$G$84</f>
        <v>500</v>
      </c>
      <c r="I528">
        <f t="shared" ca="1" si="256"/>
        <v>0</v>
      </c>
      <c r="J528">
        <v>10</v>
      </c>
      <c r="K528">
        <f>'Модель v2 базовая'!$E$84</f>
        <v>1.6666666666666667</v>
      </c>
      <c r="L528">
        <v>2</v>
      </c>
      <c r="M528">
        <f t="shared" si="192"/>
        <v>0</v>
      </c>
      <c r="N528">
        <f t="shared" ca="1" si="203"/>
        <v>15298.929744316985</v>
      </c>
      <c r="O528">
        <f t="shared" ca="1" si="204"/>
        <v>1529.8929744316986</v>
      </c>
      <c r="T528" s="3" t="str">
        <f t="shared" si="257"/>
        <v>Шлем бдительности</v>
      </c>
      <c r="U528" s="9">
        <f t="shared" si="258"/>
        <v>1529.8929744316986</v>
      </c>
      <c r="V528" s="9">
        <f t="shared" ca="1" si="259"/>
        <v>1529.8929744316986</v>
      </c>
      <c r="W528">
        <f t="shared" si="260"/>
        <v>3824.7324360792463</v>
      </c>
    </row>
    <row r="529" spans="1:23" x14ac:dyDescent="0.25">
      <c r="A529" s="3" t="str">
        <f>'Модель v2 базовая'!AZ40</f>
        <v>Рукавицы силы огра</v>
      </c>
      <c r="B529">
        <f>'Модель v2 базовая'!BI40</f>
        <v>1830.7671</v>
      </c>
      <c r="C529">
        <v>14</v>
      </c>
      <c r="D529">
        <f t="shared" si="252"/>
        <v>14</v>
      </c>
      <c r="E529" t="str">
        <f t="shared" si="253"/>
        <v>$N$14</v>
      </c>
      <c r="F529">
        <f t="shared" ca="1" si="254"/>
        <v>0</v>
      </c>
      <c r="G529">
        <f t="shared" ca="1" si="255"/>
        <v>0</v>
      </c>
      <c r="H529">
        <f>'Модель v2 базовая'!$G$84</f>
        <v>500</v>
      </c>
      <c r="I529">
        <f t="shared" ca="1" si="256"/>
        <v>0</v>
      </c>
      <c r="J529">
        <v>10</v>
      </c>
      <c r="K529">
        <f>'Модель v2 базовая'!$E$84</f>
        <v>1.6666666666666667</v>
      </c>
      <c r="L529">
        <v>2</v>
      </c>
      <c r="M529">
        <f t="shared" si="192"/>
        <v>0</v>
      </c>
      <c r="N529">
        <f t="shared" ca="1" si="203"/>
        <v>18307.671000000002</v>
      </c>
      <c r="O529">
        <f t="shared" ca="1" si="204"/>
        <v>1830.7671000000003</v>
      </c>
      <c r="T529" s="3" t="str">
        <f t="shared" si="257"/>
        <v>Рукавицы силы огра</v>
      </c>
      <c r="U529" s="9">
        <f t="shared" si="258"/>
        <v>1830.7671</v>
      </c>
      <c r="V529" s="9">
        <f t="shared" ca="1" si="259"/>
        <v>1830.7671000000003</v>
      </c>
      <c r="W529">
        <f t="shared" si="260"/>
        <v>4576.9177500000005</v>
      </c>
    </row>
    <row r="530" spans="1:23" x14ac:dyDescent="0.25">
      <c r="A530" s="3">
        <f>'Модель v2 базовая'!AZ41</f>
        <v>0</v>
      </c>
      <c r="B530">
        <f>'Модель v2 базовая'!BI41</f>
        <v>0</v>
      </c>
      <c r="C530">
        <v>14</v>
      </c>
      <c r="D530">
        <f t="shared" si="252"/>
        <v>14</v>
      </c>
      <c r="E530" t="str">
        <f t="shared" si="253"/>
        <v>$N$14</v>
      </c>
      <c r="F530">
        <f t="shared" ca="1" si="254"/>
        <v>0</v>
      </c>
      <c r="G530">
        <f t="shared" ca="1" si="255"/>
        <v>0</v>
      </c>
      <c r="H530">
        <f>'Модель v2 базовая'!$G$84</f>
        <v>500</v>
      </c>
      <c r="I530">
        <f t="shared" ca="1" si="256"/>
        <v>0</v>
      </c>
      <c r="J530">
        <v>10</v>
      </c>
      <c r="K530">
        <f>'Модель v2 базовая'!$E$84</f>
        <v>1.6666666666666667</v>
      </c>
      <c r="L530">
        <v>2</v>
      </c>
      <c r="M530">
        <f t="shared" si="192"/>
        <v>0</v>
      </c>
      <c r="N530">
        <f t="shared" ca="1" si="203"/>
        <v>0</v>
      </c>
      <c r="O530">
        <f t="shared" ca="1" si="204"/>
        <v>0</v>
      </c>
      <c r="T530" s="3">
        <f t="shared" si="257"/>
        <v>0</v>
      </c>
      <c r="U530" s="9">
        <f t="shared" si="258"/>
        <v>0</v>
      </c>
      <c r="V530" s="9">
        <f t="shared" ca="1" si="259"/>
        <v>0</v>
      </c>
      <c r="W530">
        <f t="shared" si="260"/>
        <v>0</v>
      </c>
    </row>
    <row r="531" spans="1:23" x14ac:dyDescent="0.25">
      <c r="A531" s="3">
        <f>'Модель v2 базовая'!AZ42</f>
        <v>0</v>
      </c>
      <c r="B531">
        <f>'Модель v2 базовая'!BI42</f>
        <v>0</v>
      </c>
      <c r="C531">
        <v>14</v>
      </c>
      <c r="D531">
        <f t="shared" si="252"/>
        <v>14</v>
      </c>
      <c r="E531" t="str">
        <f t="shared" si="253"/>
        <v>$N$14</v>
      </c>
      <c r="F531">
        <f t="shared" ca="1" si="254"/>
        <v>0</v>
      </c>
      <c r="G531">
        <f t="shared" ca="1" si="255"/>
        <v>0</v>
      </c>
      <c r="H531">
        <f>'Модель v2 базовая'!$G$84</f>
        <v>500</v>
      </c>
      <c r="I531">
        <f t="shared" ca="1" si="256"/>
        <v>0</v>
      </c>
      <c r="J531">
        <v>10</v>
      </c>
      <c r="K531">
        <f>'Модель v2 базовая'!$E$84</f>
        <v>1.6666666666666667</v>
      </c>
      <c r="L531">
        <v>2</v>
      </c>
      <c r="M531">
        <f t="shared" si="192"/>
        <v>0</v>
      </c>
      <c r="N531">
        <f t="shared" ca="1" si="203"/>
        <v>0</v>
      </c>
      <c r="O531">
        <f t="shared" ca="1" si="204"/>
        <v>0</v>
      </c>
      <c r="T531" s="3">
        <f t="shared" si="257"/>
        <v>0</v>
      </c>
      <c r="U531" s="9">
        <f t="shared" si="258"/>
        <v>0</v>
      </c>
      <c r="V531" s="9">
        <f t="shared" ca="1" si="259"/>
        <v>0</v>
      </c>
      <c r="W531">
        <f t="shared" si="260"/>
        <v>0</v>
      </c>
    </row>
    <row r="532" spans="1:23" x14ac:dyDescent="0.25">
      <c r="A532" s="3">
        <f>'Модель v2 базовая'!AZ43</f>
        <v>0</v>
      </c>
      <c r="B532">
        <f>'Модель v2 базовая'!BI43</f>
        <v>0</v>
      </c>
      <c r="C532">
        <v>14</v>
      </c>
      <c r="D532">
        <f t="shared" si="252"/>
        <v>14</v>
      </c>
      <c r="E532" t="str">
        <f t="shared" si="253"/>
        <v>$N$14</v>
      </c>
      <c r="F532">
        <f t="shared" ca="1" si="254"/>
        <v>0</v>
      </c>
      <c r="G532">
        <f t="shared" ca="1" si="255"/>
        <v>0</v>
      </c>
      <c r="H532">
        <f>'Модель v2 базовая'!$G$84</f>
        <v>500</v>
      </c>
      <c r="I532">
        <f t="shared" ca="1" si="256"/>
        <v>0</v>
      </c>
      <c r="J532">
        <v>10</v>
      </c>
      <c r="K532">
        <f>'Модель v2 базовая'!$E$84</f>
        <v>1.6666666666666667</v>
      </c>
      <c r="L532">
        <v>2</v>
      </c>
      <c r="M532">
        <f t="shared" si="192"/>
        <v>0</v>
      </c>
      <c r="N532">
        <f t="shared" ca="1" si="203"/>
        <v>0</v>
      </c>
      <c r="O532">
        <f t="shared" ca="1" si="204"/>
        <v>0</v>
      </c>
      <c r="T532" s="3">
        <f t="shared" si="257"/>
        <v>0</v>
      </c>
      <c r="U532" s="9">
        <f t="shared" si="258"/>
        <v>0</v>
      </c>
      <c r="V532" s="9">
        <f t="shared" ca="1" si="259"/>
        <v>0</v>
      </c>
      <c r="W532">
        <f t="shared" si="260"/>
        <v>0</v>
      </c>
    </row>
    <row r="533" spans="1:23" x14ac:dyDescent="0.25">
      <c r="A533" s="3">
        <f>'Модель v2 базовая'!AZ44</f>
        <v>0</v>
      </c>
      <c r="B533">
        <f>'Модель v2 базовая'!BI44</f>
        <v>0</v>
      </c>
      <c r="C533">
        <v>14</v>
      </c>
      <c r="D533">
        <f t="shared" si="252"/>
        <v>14</v>
      </c>
      <c r="E533" t="str">
        <f t="shared" si="253"/>
        <v>$N$14</v>
      </c>
      <c r="F533">
        <f t="shared" ca="1" si="254"/>
        <v>0</v>
      </c>
      <c r="G533">
        <f t="shared" ca="1" si="255"/>
        <v>0</v>
      </c>
      <c r="H533">
        <f>'Модель v2 базовая'!$G$84</f>
        <v>500</v>
      </c>
      <c r="I533">
        <f t="shared" ca="1" si="256"/>
        <v>0</v>
      </c>
      <c r="J533">
        <v>10</v>
      </c>
      <c r="K533">
        <f>'Модель v2 базовая'!$E$84</f>
        <v>1.6666666666666667</v>
      </c>
      <c r="L533">
        <v>2</v>
      </c>
      <c r="M533">
        <f t="shared" si="192"/>
        <v>0</v>
      </c>
      <c r="N533">
        <f t="shared" ca="1" si="203"/>
        <v>0</v>
      </c>
      <c r="O533">
        <f t="shared" ca="1" si="204"/>
        <v>0</v>
      </c>
      <c r="T533" s="3">
        <f t="shared" si="257"/>
        <v>0</v>
      </c>
      <c r="U533" s="9">
        <f t="shared" si="258"/>
        <v>0</v>
      </c>
      <c r="V533" s="9">
        <f t="shared" ca="1" si="259"/>
        <v>0</v>
      </c>
      <c r="W533">
        <f t="shared" si="260"/>
        <v>0</v>
      </c>
    </row>
    <row r="534" spans="1:23" x14ac:dyDescent="0.25">
      <c r="A534" s="3" t="str">
        <f>'Модель v2 базовая'!AZ45</f>
        <v>Зелья</v>
      </c>
      <c r="B534">
        <f>'Модель v2 базовая'!BI45</f>
        <v>0</v>
      </c>
      <c r="C534">
        <v>14</v>
      </c>
      <c r="D534">
        <f t="shared" si="252"/>
        <v>14</v>
      </c>
      <c r="E534" t="str">
        <f t="shared" si="253"/>
        <v>$N$14</v>
      </c>
      <c r="F534">
        <f t="shared" ca="1" si="254"/>
        <v>0</v>
      </c>
      <c r="G534">
        <f t="shared" ca="1" si="255"/>
        <v>0</v>
      </c>
      <c r="H534">
        <f>'Модель v2 базовая'!$G$84</f>
        <v>500</v>
      </c>
      <c r="I534">
        <f t="shared" ca="1" si="256"/>
        <v>0</v>
      </c>
      <c r="J534">
        <v>10</v>
      </c>
      <c r="K534">
        <f>'Модель v2 базовая'!$E$84</f>
        <v>1.6666666666666667</v>
      </c>
      <c r="L534">
        <v>2</v>
      </c>
      <c r="M534">
        <f t="shared" ref="M534:M548" si="261">IF(OR(AND(D534&gt;9,C534&lt;=9),AND(D534&lt;9,C534&gt;=9)),10,0)</f>
        <v>0</v>
      </c>
      <c r="N534">
        <f t="shared" ca="1" si="203"/>
        <v>0</v>
      </c>
      <c r="O534">
        <f t="shared" ca="1" si="204"/>
        <v>0</v>
      </c>
      <c r="T534" s="3" t="str">
        <f t="shared" si="257"/>
        <v>Зелья</v>
      </c>
      <c r="U534" s="9">
        <f t="shared" si="258"/>
        <v>0</v>
      </c>
      <c r="V534" s="9">
        <f t="shared" ca="1" si="259"/>
        <v>0</v>
      </c>
      <c r="W534">
        <f t="shared" si="260"/>
        <v>0</v>
      </c>
    </row>
    <row r="535" spans="1:23" x14ac:dyDescent="0.25">
      <c r="A535" s="3" t="str">
        <f>'Модель v2 базовая'!AZ46</f>
        <v>Зелье неуязвимости</v>
      </c>
      <c r="B535">
        <f>'Модель v2 базовая'!BI46</f>
        <v>1091.4000000000001</v>
      </c>
      <c r="C535">
        <v>10</v>
      </c>
      <c r="D535">
        <f t="shared" si="252"/>
        <v>14</v>
      </c>
      <c r="E535" t="str">
        <f t="shared" si="253"/>
        <v>$N$10</v>
      </c>
      <c r="F535">
        <f t="shared" ca="1" si="254"/>
        <v>760</v>
      </c>
      <c r="G535">
        <f t="shared" ca="1" si="255"/>
        <v>2.375</v>
      </c>
      <c r="H535">
        <f>'Модель v2 базовая'!$G$84</f>
        <v>500</v>
      </c>
      <c r="I535">
        <f t="shared" ca="1" si="256"/>
        <v>39.583333333333336</v>
      </c>
      <c r="J535">
        <v>10</v>
      </c>
      <c r="K535">
        <f>'Модель v2 базовая'!$E$84</f>
        <v>1.6666666666666667</v>
      </c>
      <c r="L535">
        <v>2</v>
      </c>
      <c r="M535">
        <f t="shared" si="261"/>
        <v>0</v>
      </c>
      <c r="N535">
        <f ca="1">IF(G535=0, B535*J535, B535*J535+(B535*J535*L535)+I535+K535)</f>
        <v>32783.25</v>
      </c>
      <c r="O535">
        <f t="shared" ca="1" si="204"/>
        <v>3278.3249999999998</v>
      </c>
      <c r="T535" s="3" t="str">
        <f t="shared" si="257"/>
        <v>Зелье неуязвимости</v>
      </c>
      <c r="U535" s="9">
        <f t="shared" si="258"/>
        <v>1091.4000000000001</v>
      </c>
      <c r="V535" s="9">
        <f t="shared" ca="1" si="259"/>
        <v>3278.3249999999998</v>
      </c>
      <c r="W535">
        <f t="shared" si="260"/>
        <v>2728.5</v>
      </c>
    </row>
    <row r="536" spans="1:23" x14ac:dyDescent="0.25">
      <c r="A536" s="3" t="str">
        <f>'Модель v2 базовая'!AZ47</f>
        <v>Зелье максимальной мощи</v>
      </c>
      <c r="B536">
        <f>'Модель v2 базовая'!BI47</f>
        <v>733.8</v>
      </c>
      <c r="C536">
        <v>10</v>
      </c>
      <c r="D536">
        <f t="shared" si="252"/>
        <v>14</v>
      </c>
      <c r="E536" t="str">
        <f t="shared" si="253"/>
        <v>$N$10</v>
      </c>
      <c r="F536">
        <f t="shared" ca="1" si="254"/>
        <v>760</v>
      </c>
      <c r="G536">
        <f t="shared" ca="1" si="255"/>
        <v>2.375</v>
      </c>
      <c r="H536">
        <f>'Модель v2 базовая'!$G$84</f>
        <v>500</v>
      </c>
      <c r="I536">
        <f t="shared" ca="1" si="256"/>
        <v>39.583333333333336</v>
      </c>
      <c r="J536">
        <v>10</v>
      </c>
      <c r="K536">
        <f>'Модель v2 базовая'!$E$84</f>
        <v>1.6666666666666667</v>
      </c>
      <c r="L536">
        <v>2</v>
      </c>
      <c r="M536">
        <f t="shared" si="261"/>
        <v>0</v>
      </c>
      <c r="N536">
        <f t="shared" ca="1" si="203"/>
        <v>22055.25</v>
      </c>
      <c r="O536">
        <f t="shared" ca="1" si="204"/>
        <v>2205.5250000000001</v>
      </c>
      <c r="T536" s="3" t="str">
        <f t="shared" si="257"/>
        <v>Зелье максимальной мощи</v>
      </c>
      <c r="U536" s="9">
        <f t="shared" si="258"/>
        <v>733.8</v>
      </c>
      <c r="V536" s="9">
        <f t="shared" ca="1" si="259"/>
        <v>2205.5250000000001</v>
      </c>
      <c r="W536">
        <f t="shared" si="260"/>
        <v>1834.5</v>
      </c>
    </row>
    <row r="537" spans="1:23" x14ac:dyDescent="0.25">
      <c r="A537" s="3" t="str">
        <f>'Модель v2 базовая'!AZ48</f>
        <v>Зелье скорости</v>
      </c>
      <c r="B537">
        <f>'Модель v2 базовая'!BI48</f>
        <v>855</v>
      </c>
      <c r="C537">
        <v>10</v>
      </c>
      <c r="D537">
        <f t="shared" si="252"/>
        <v>14</v>
      </c>
      <c r="E537" t="str">
        <f t="shared" si="253"/>
        <v>$N$10</v>
      </c>
      <c r="F537">
        <f t="shared" ca="1" si="254"/>
        <v>760</v>
      </c>
      <c r="G537">
        <f t="shared" ca="1" si="255"/>
        <v>2.375</v>
      </c>
      <c r="H537">
        <f>'Модель v2 базовая'!$G$84</f>
        <v>500</v>
      </c>
      <c r="I537">
        <f t="shared" ca="1" si="256"/>
        <v>39.583333333333336</v>
      </c>
      <c r="J537">
        <v>10</v>
      </c>
      <c r="K537">
        <f>'Модель v2 базовая'!$E$84</f>
        <v>1.6666666666666667</v>
      </c>
      <c r="L537">
        <v>2</v>
      </c>
      <c r="M537">
        <f t="shared" si="261"/>
        <v>0</v>
      </c>
      <c r="N537">
        <f t="shared" ca="1" si="203"/>
        <v>25691.25</v>
      </c>
      <c r="O537">
        <f t="shared" ca="1" si="204"/>
        <v>2569.125</v>
      </c>
      <c r="T537" s="3" t="str">
        <f t="shared" si="257"/>
        <v>Зелье скорости</v>
      </c>
      <c r="U537" s="9">
        <f t="shared" si="258"/>
        <v>855</v>
      </c>
      <c r="V537" s="9">
        <f t="shared" ca="1" si="259"/>
        <v>2569.125</v>
      </c>
      <c r="W537">
        <f t="shared" si="260"/>
        <v>2137.5</v>
      </c>
    </row>
    <row r="538" spans="1:23" x14ac:dyDescent="0.25">
      <c r="A538" s="3" t="str">
        <f>'Модель v2 базовая'!AZ49</f>
        <v>Зелье размеров великана</v>
      </c>
      <c r="B538">
        <f>'Модель v2 базовая'!BI49</f>
        <v>912.6</v>
      </c>
      <c r="C538">
        <v>10</v>
      </c>
      <c r="D538">
        <f t="shared" si="252"/>
        <v>14</v>
      </c>
      <c r="E538" t="str">
        <f t="shared" si="253"/>
        <v>$N$10</v>
      </c>
      <c r="F538">
        <f t="shared" ca="1" si="254"/>
        <v>760</v>
      </c>
      <c r="G538">
        <f t="shared" ca="1" si="255"/>
        <v>2.375</v>
      </c>
      <c r="H538">
        <f>'Модель v2 базовая'!$G$84</f>
        <v>500</v>
      </c>
      <c r="I538">
        <f t="shared" ca="1" si="256"/>
        <v>39.583333333333336</v>
      </c>
      <c r="J538">
        <v>10</v>
      </c>
      <c r="K538">
        <f>'Модель v2 базовая'!$E$84</f>
        <v>1.6666666666666667</v>
      </c>
      <c r="L538">
        <v>2</v>
      </c>
      <c r="M538">
        <f t="shared" si="261"/>
        <v>0</v>
      </c>
      <c r="N538">
        <f t="shared" ca="1" si="203"/>
        <v>27419.25</v>
      </c>
      <c r="O538">
        <f t="shared" ca="1" si="204"/>
        <v>2741.9250000000002</v>
      </c>
      <c r="T538" s="3" t="str">
        <f t="shared" si="257"/>
        <v>Зелье размеров великана</v>
      </c>
      <c r="U538" s="9">
        <f t="shared" si="258"/>
        <v>912.6</v>
      </c>
      <c r="V538" s="9">
        <f t="shared" ca="1" si="259"/>
        <v>2741.9250000000002</v>
      </c>
      <c r="W538">
        <f t="shared" si="260"/>
        <v>2281.5</v>
      </c>
    </row>
    <row r="539" spans="1:23" x14ac:dyDescent="0.25">
      <c r="A539" s="3" t="str">
        <f>'Модель v2 базовая'!AZ50</f>
        <v>Зелье возможностей</v>
      </c>
      <c r="B539">
        <f>'Модель v2 базовая'!BI50</f>
        <v>970.2</v>
      </c>
      <c r="C539">
        <v>10</v>
      </c>
      <c r="D539">
        <f t="shared" si="252"/>
        <v>14</v>
      </c>
      <c r="E539" t="str">
        <f t="shared" si="253"/>
        <v>$N$10</v>
      </c>
      <c r="F539">
        <f t="shared" ca="1" si="254"/>
        <v>760</v>
      </c>
      <c r="G539">
        <f t="shared" ca="1" si="255"/>
        <v>2.375</v>
      </c>
      <c r="H539">
        <f>'Модель v2 базовая'!$G$84</f>
        <v>500</v>
      </c>
      <c r="I539">
        <f t="shared" ca="1" si="256"/>
        <v>39.583333333333336</v>
      </c>
      <c r="J539">
        <v>10</v>
      </c>
      <c r="K539">
        <f>'Модель v2 базовая'!$E$84</f>
        <v>1.6666666666666667</v>
      </c>
      <c r="L539">
        <v>2</v>
      </c>
      <c r="M539">
        <f t="shared" si="261"/>
        <v>0</v>
      </c>
      <c r="N539">
        <f t="shared" ca="1" si="203"/>
        <v>29147.25</v>
      </c>
      <c r="O539">
        <f t="shared" ca="1" si="204"/>
        <v>2914.7249999999999</v>
      </c>
      <c r="T539" s="3" t="str">
        <f t="shared" si="257"/>
        <v>Зелье возможностей</v>
      </c>
      <c r="U539" s="9">
        <f t="shared" si="258"/>
        <v>970.2</v>
      </c>
      <c r="V539" s="9">
        <f t="shared" ca="1" si="259"/>
        <v>2914.7249999999999</v>
      </c>
      <c r="W539">
        <f t="shared" si="260"/>
        <v>2425.5</v>
      </c>
    </row>
    <row r="540" spans="1:23" x14ac:dyDescent="0.25">
      <c r="A540" s="3" t="str">
        <f>'Модель v2 базовая'!AZ51</f>
        <v>Зелье бдительного отдыха</v>
      </c>
      <c r="B540">
        <f>'Модель v2 базовая'!BI51</f>
        <v>171.49248521999999</v>
      </c>
      <c r="C540">
        <v>10</v>
      </c>
      <c r="D540">
        <f t="shared" si="252"/>
        <v>14</v>
      </c>
      <c r="E540" t="str">
        <f t="shared" si="253"/>
        <v>$N$10</v>
      </c>
      <c r="F540">
        <f t="shared" ca="1" si="254"/>
        <v>760</v>
      </c>
      <c r="G540">
        <f t="shared" ca="1" si="255"/>
        <v>2.375</v>
      </c>
      <c r="H540">
        <f>'Модель v2 базовая'!$G$84</f>
        <v>500</v>
      </c>
      <c r="I540">
        <f t="shared" ca="1" si="256"/>
        <v>39.583333333333336</v>
      </c>
      <c r="J540">
        <v>10</v>
      </c>
      <c r="K540">
        <f>'Модель v2 базовая'!$E$84</f>
        <v>1.6666666666666667</v>
      </c>
      <c r="L540">
        <v>2</v>
      </c>
      <c r="M540">
        <f t="shared" si="261"/>
        <v>0</v>
      </c>
      <c r="N540">
        <f t="shared" ca="1" si="203"/>
        <v>5186.0245565999994</v>
      </c>
      <c r="O540">
        <f t="shared" ca="1" si="204"/>
        <v>518.60245565999992</v>
      </c>
      <c r="T540" s="3" t="str">
        <f t="shared" si="257"/>
        <v>Зелье бдительного отдыха</v>
      </c>
      <c r="U540" s="9">
        <f t="shared" si="258"/>
        <v>171.49248521999999</v>
      </c>
      <c r="V540" s="9">
        <f t="shared" ca="1" si="259"/>
        <v>518.60245565999992</v>
      </c>
      <c r="W540">
        <f t="shared" si="260"/>
        <v>428.73121304999995</v>
      </c>
    </row>
    <row r="541" spans="1:23" x14ac:dyDescent="0.25">
      <c r="A541" s="3" t="str">
        <f>'Модель v2 базовая'!AZ52</f>
        <v>Зелье героизма</v>
      </c>
      <c r="B541">
        <f>'Модель v2 базовая'!BI52</f>
        <v>243.11063322000001</v>
      </c>
      <c r="C541">
        <v>10</v>
      </c>
      <c r="D541">
        <f t="shared" si="252"/>
        <v>14</v>
      </c>
      <c r="E541" t="str">
        <f t="shared" si="253"/>
        <v>$N$10</v>
      </c>
      <c r="F541">
        <f t="shared" ca="1" si="254"/>
        <v>760</v>
      </c>
      <c r="G541">
        <f t="shared" ca="1" si="255"/>
        <v>2.375</v>
      </c>
      <c r="H541">
        <f>'Модель v2 базовая'!$G$84</f>
        <v>500</v>
      </c>
      <c r="I541">
        <f t="shared" ca="1" si="256"/>
        <v>39.583333333333336</v>
      </c>
      <c r="J541">
        <v>10</v>
      </c>
      <c r="K541">
        <f>'Модель v2 базовая'!$E$84</f>
        <v>1.6666666666666667</v>
      </c>
      <c r="L541">
        <v>2</v>
      </c>
      <c r="M541">
        <f t="shared" si="261"/>
        <v>0</v>
      </c>
      <c r="N541">
        <f t="shared" ca="1" si="203"/>
        <v>7334.5689966</v>
      </c>
      <c r="O541">
        <f t="shared" ca="1" si="204"/>
        <v>733.45689965999998</v>
      </c>
      <c r="T541" s="3" t="str">
        <f t="shared" si="257"/>
        <v>Зелье героизма</v>
      </c>
      <c r="U541" s="9">
        <f t="shared" si="258"/>
        <v>243.11063322000001</v>
      </c>
      <c r="V541" s="9">
        <f t="shared" ca="1" si="259"/>
        <v>733.45689965999998</v>
      </c>
      <c r="W541">
        <f t="shared" si="260"/>
        <v>607.77658305</v>
      </c>
    </row>
    <row r="542" spans="1:23" x14ac:dyDescent="0.25">
      <c r="A542" s="3" t="str">
        <f>'Модель v2 базовая'!AZ53</f>
        <v>Зелье лечение</v>
      </c>
      <c r="B542">
        <f>'Модель v2 базовая'!BI53</f>
        <v>104.31530946000001</v>
      </c>
      <c r="C542">
        <v>10</v>
      </c>
      <c r="D542">
        <f t="shared" si="252"/>
        <v>14</v>
      </c>
      <c r="E542" t="str">
        <f t="shared" si="253"/>
        <v>$N$10</v>
      </c>
      <c r="F542">
        <f t="shared" ca="1" si="254"/>
        <v>760</v>
      </c>
      <c r="G542">
        <f t="shared" ca="1" si="255"/>
        <v>2.375</v>
      </c>
      <c r="H542">
        <f>'Модель v2 базовая'!$G$84</f>
        <v>500</v>
      </c>
      <c r="I542">
        <f t="shared" ca="1" si="256"/>
        <v>39.583333333333336</v>
      </c>
      <c r="J542">
        <v>10</v>
      </c>
      <c r="K542">
        <f>'Модель v2 базовая'!$E$84</f>
        <v>1.6666666666666667</v>
      </c>
      <c r="L542">
        <v>2</v>
      </c>
      <c r="M542">
        <f t="shared" si="261"/>
        <v>0</v>
      </c>
      <c r="N542">
        <f t="shared" ca="1" si="203"/>
        <v>3170.7092837999999</v>
      </c>
      <c r="O542">
        <f t="shared" ca="1" si="204"/>
        <v>317.07092838</v>
      </c>
      <c r="T542" s="3" t="str">
        <f t="shared" si="257"/>
        <v>Зелье лечение</v>
      </c>
      <c r="U542" s="9">
        <f t="shared" si="258"/>
        <v>104.31530946000001</v>
      </c>
      <c r="V542" s="9">
        <f t="shared" ca="1" si="259"/>
        <v>317.07092838</v>
      </c>
      <c r="W542">
        <f t="shared" si="260"/>
        <v>260.78827365000001</v>
      </c>
    </row>
    <row r="543" spans="1:23" x14ac:dyDescent="0.25">
      <c r="A543" s="3" t="str">
        <f>'Модель v2 базовая'!AZ54</f>
        <v>Зелье большого лечения</v>
      </c>
      <c r="B543">
        <f>'Модель v2 базовая'!BI54</f>
        <v>109.61286696000002</v>
      </c>
      <c r="C543">
        <v>10</v>
      </c>
      <c r="D543">
        <f t="shared" si="252"/>
        <v>14</v>
      </c>
      <c r="E543" t="str">
        <f t="shared" si="253"/>
        <v>$N$10</v>
      </c>
      <c r="F543">
        <f t="shared" ca="1" si="254"/>
        <v>760</v>
      </c>
      <c r="G543">
        <f t="shared" ca="1" si="255"/>
        <v>2.375</v>
      </c>
      <c r="H543">
        <f>'Модель v2 базовая'!$G$84</f>
        <v>500</v>
      </c>
      <c r="I543">
        <f t="shared" ca="1" si="256"/>
        <v>39.583333333333336</v>
      </c>
      <c r="J543">
        <v>10</v>
      </c>
      <c r="K543">
        <f>'Модель v2 базовая'!$E$84</f>
        <v>1.6666666666666667</v>
      </c>
      <c r="L543">
        <v>2</v>
      </c>
      <c r="M543">
        <f t="shared" si="261"/>
        <v>0</v>
      </c>
      <c r="N543">
        <f t="shared" ca="1" si="203"/>
        <v>3329.6360088000006</v>
      </c>
      <c r="O543">
        <f t="shared" ca="1" si="204"/>
        <v>332.96360088000006</v>
      </c>
      <c r="T543" s="3" t="str">
        <f t="shared" si="257"/>
        <v>Зелье большого лечения</v>
      </c>
      <c r="U543" s="9">
        <f t="shared" si="258"/>
        <v>109.61286696000002</v>
      </c>
      <c r="V543" s="9">
        <f t="shared" ca="1" si="259"/>
        <v>332.96360088000006</v>
      </c>
      <c r="W543">
        <f t="shared" si="260"/>
        <v>274.03216740000005</v>
      </c>
    </row>
    <row r="544" spans="1:23" x14ac:dyDescent="0.25">
      <c r="A544" s="3" t="str">
        <f>'Модель v2 базовая'!AZ55</f>
        <v>Зелье отличного лечения</v>
      </c>
      <c r="B544">
        <f>'Модель v2 базовая'!BI55</f>
        <v>227.53374821999998</v>
      </c>
      <c r="C544">
        <v>10</v>
      </c>
      <c r="D544">
        <f t="shared" si="252"/>
        <v>14</v>
      </c>
      <c r="E544" t="str">
        <f t="shared" si="253"/>
        <v>$N$10</v>
      </c>
      <c r="F544">
        <f t="shared" ca="1" si="254"/>
        <v>760</v>
      </c>
      <c r="G544">
        <f t="shared" ca="1" si="255"/>
        <v>2.375</v>
      </c>
      <c r="H544">
        <f>'Модель v2 базовая'!$G$84</f>
        <v>500</v>
      </c>
      <c r="I544">
        <f t="shared" ca="1" si="256"/>
        <v>39.583333333333336</v>
      </c>
      <c r="J544">
        <v>10</v>
      </c>
      <c r="K544">
        <f>'Модель v2 базовая'!$E$84</f>
        <v>1.6666666666666667</v>
      </c>
      <c r="L544">
        <v>2</v>
      </c>
      <c r="M544">
        <f t="shared" si="261"/>
        <v>0</v>
      </c>
      <c r="N544">
        <f t="shared" ca="1" si="203"/>
        <v>6867.2624465999988</v>
      </c>
      <c r="O544">
        <f t="shared" ca="1" si="204"/>
        <v>686.72624465999991</v>
      </c>
      <c r="T544" s="3" t="str">
        <f t="shared" si="257"/>
        <v>Зелье отличного лечения</v>
      </c>
      <c r="U544" s="9">
        <f t="shared" si="258"/>
        <v>227.53374821999998</v>
      </c>
      <c r="V544" s="9">
        <f t="shared" ca="1" si="259"/>
        <v>686.72624465999991</v>
      </c>
      <c r="W544">
        <f t="shared" si="260"/>
        <v>568.8343705499999</v>
      </c>
    </row>
    <row r="545" spans="1:23" x14ac:dyDescent="0.25">
      <c r="A545" s="3" t="str">
        <f>'Модель v2 базовая'!AZ56</f>
        <v>Зелье превосходного лечения</v>
      </c>
      <c r="B545">
        <f>'Модель v2 базовая'!BI56</f>
        <v>6385.9559722199992</v>
      </c>
      <c r="C545">
        <v>10</v>
      </c>
      <c r="D545">
        <f t="shared" si="252"/>
        <v>14</v>
      </c>
      <c r="E545" t="str">
        <f t="shared" si="253"/>
        <v>$N$10</v>
      </c>
      <c r="F545">
        <f t="shared" ca="1" si="254"/>
        <v>760</v>
      </c>
      <c r="G545">
        <f t="shared" ca="1" si="255"/>
        <v>2.375</v>
      </c>
      <c r="H545">
        <f>'Модель v2 базовая'!$G$84</f>
        <v>500</v>
      </c>
      <c r="I545">
        <f t="shared" ca="1" si="256"/>
        <v>39.583333333333336</v>
      </c>
      <c r="J545">
        <v>10</v>
      </c>
      <c r="K545">
        <f>'Модель v2 базовая'!$E$84</f>
        <v>1.6666666666666667</v>
      </c>
      <c r="L545">
        <v>2</v>
      </c>
      <c r="M545">
        <f t="shared" si="261"/>
        <v>0</v>
      </c>
      <c r="N545">
        <f t="shared" ca="1" si="203"/>
        <v>191619.92916659999</v>
      </c>
      <c r="O545">
        <f t="shared" ca="1" si="204"/>
        <v>19161.992916659998</v>
      </c>
      <c r="T545" s="3" t="str">
        <f t="shared" si="257"/>
        <v>Зелье превосходного лечения</v>
      </c>
      <c r="U545" s="9">
        <f t="shared" si="258"/>
        <v>6385.9559722199992</v>
      </c>
      <c r="V545" s="9">
        <f t="shared" ca="1" si="259"/>
        <v>19161.992916659998</v>
      </c>
      <c r="W545">
        <f t="shared" si="260"/>
        <v>15964.889930549998</v>
      </c>
    </row>
    <row r="546" spans="1:23" x14ac:dyDescent="0.25">
      <c r="A546" s="3" t="str">
        <f>'Модель v2 базовая'!AZ57</f>
        <v>Зелье огненного дыхания</v>
      </c>
      <c r="B546">
        <f>'Модель v2 базовая'!BI57</f>
        <v>893.50686269640005</v>
      </c>
      <c r="C546">
        <v>10</v>
      </c>
      <c r="D546">
        <f t="shared" si="252"/>
        <v>14</v>
      </c>
      <c r="E546" t="str">
        <f t="shared" si="253"/>
        <v>$N$10</v>
      </c>
      <c r="F546">
        <f t="shared" ca="1" si="254"/>
        <v>760</v>
      </c>
      <c r="G546">
        <f t="shared" ca="1" si="255"/>
        <v>2.375</v>
      </c>
      <c r="H546">
        <f>'Модель v2 базовая'!$G$84</f>
        <v>500</v>
      </c>
      <c r="I546">
        <f t="shared" ca="1" si="256"/>
        <v>39.583333333333336</v>
      </c>
      <c r="J546">
        <v>10</v>
      </c>
      <c r="K546">
        <f>'Модель v2 базовая'!$E$84</f>
        <v>1.6666666666666667</v>
      </c>
      <c r="L546">
        <v>2</v>
      </c>
      <c r="M546">
        <f t="shared" si="261"/>
        <v>0</v>
      </c>
      <c r="N546">
        <f t="shared" ca="1" si="203"/>
        <v>26846.455880892005</v>
      </c>
      <c r="O546">
        <f t="shared" ca="1" si="204"/>
        <v>2684.6455880892004</v>
      </c>
      <c r="T546" s="3" t="str">
        <f t="shared" si="257"/>
        <v>Зелье огненного дыхания</v>
      </c>
      <c r="U546" s="9">
        <f t="shared" si="258"/>
        <v>893.50686269640005</v>
      </c>
      <c r="V546" s="9">
        <f t="shared" ca="1" si="259"/>
        <v>2684.6455880892004</v>
      </c>
      <c r="W546">
        <f t="shared" si="260"/>
        <v>2233.7671567410002</v>
      </c>
    </row>
    <row r="547" spans="1:23" x14ac:dyDescent="0.25">
      <c r="A547" s="3" t="str">
        <f>'Модель v2 базовая'!AZ58</f>
        <v>Зелье полета</v>
      </c>
      <c r="B547">
        <f>'Модель v2 базовая'!BI58</f>
        <v>889.93757069640014</v>
      </c>
      <c r="C547">
        <v>10</v>
      </c>
      <c r="D547">
        <f t="shared" si="252"/>
        <v>14</v>
      </c>
      <c r="E547" t="str">
        <f t="shared" si="253"/>
        <v>$N$10</v>
      </c>
      <c r="F547">
        <f t="shared" ca="1" si="254"/>
        <v>760</v>
      </c>
      <c r="G547">
        <f t="shared" ca="1" si="255"/>
        <v>2.375</v>
      </c>
      <c r="H547">
        <f>'Модель v2 базовая'!$G$84</f>
        <v>500</v>
      </c>
      <c r="I547">
        <f t="shared" ca="1" si="256"/>
        <v>39.583333333333336</v>
      </c>
      <c r="J547">
        <v>10</v>
      </c>
      <c r="K547">
        <f>'Модель v2 базовая'!$E$84</f>
        <v>1.6666666666666667</v>
      </c>
      <c r="L547">
        <v>2</v>
      </c>
      <c r="M547">
        <f t="shared" si="261"/>
        <v>0</v>
      </c>
      <c r="N547">
        <f t="shared" ca="1" si="203"/>
        <v>26739.377120892004</v>
      </c>
      <c r="O547">
        <f t="shared" ca="1" si="204"/>
        <v>2673.9377120892004</v>
      </c>
      <c r="T547" s="3" t="str">
        <f t="shared" si="257"/>
        <v>Зелье полета</v>
      </c>
      <c r="U547" s="9">
        <f t="shared" si="258"/>
        <v>889.93757069640014</v>
      </c>
      <c r="V547" s="9">
        <f t="shared" ca="1" si="259"/>
        <v>2673.9377120892004</v>
      </c>
      <c r="W547">
        <f t="shared" si="260"/>
        <v>2224.8439267410004</v>
      </c>
    </row>
    <row r="548" spans="1:23" x14ac:dyDescent="0.25">
      <c r="A548" s="3" t="str">
        <f>'Модель v2 базовая'!AZ59</f>
        <v>Зелье преимущества</v>
      </c>
      <c r="B548">
        <f>'Модель v2 базовая'!BI59</f>
        <v>170.40287322</v>
      </c>
      <c r="C548">
        <v>10</v>
      </c>
      <c r="D548">
        <f t="shared" si="252"/>
        <v>14</v>
      </c>
      <c r="E548" t="str">
        <f t="shared" si="253"/>
        <v>$N$10</v>
      </c>
      <c r="F548">
        <f t="shared" ca="1" si="254"/>
        <v>760</v>
      </c>
      <c r="G548">
        <f t="shared" ca="1" si="255"/>
        <v>2.375</v>
      </c>
      <c r="H548">
        <f>'Модель v2 базовая'!$G$84</f>
        <v>500</v>
      </c>
      <c r="I548">
        <f t="shared" ca="1" si="256"/>
        <v>39.583333333333336</v>
      </c>
      <c r="J548">
        <v>10</v>
      </c>
      <c r="K548">
        <f>'Модель v2 базовая'!$E$84</f>
        <v>1.6666666666666667</v>
      </c>
      <c r="L548">
        <v>2</v>
      </c>
      <c r="M548">
        <f t="shared" si="261"/>
        <v>0</v>
      </c>
      <c r="N548">
        <f t="shared" ca="1" si="203"/>
        <v>5153.3361965999993</v>
      </c>
      <c r="O548">
        <f t="shared" ca="1" si="204"/>
        <v>515.33361965999995</v>
      </c>
      <c r="T548" s="3" t="str">
        <f t="shared" si="257"/>
        <v>Зелье преимущества</v>
      </c>
      <c r="U548" s="9">
        <f t="shared" si="258"/>
        <v>170.40287322</v>
      </c>
      <c r="V548" s="9">
        <f t="shared" ca="1" si="259"/>
        <v>515.33361965999995</v>
      </c>
      <c r="W548">
        <f t="shared" si="260"/>
        <v>426.00718304999998</v>
      </c>
    </row>
    <row r="549" spans="1:23" x14ac:dyDescent="0.25">
      <c r="A549" s="3" t="str">
        <f>'Модель v2 базовая'!AZ60</f>
        <v>Зелье псионической стойкости</v>
      </c>
      <c r="B549">
        <f>'Модель v2 базовая'!BI60</f>
        <v>175.77752921999999</v>
      </c>
      <c r="C549">
        <v>10</v>
      </c>
      <c r="D549">
        <f t="shared" si="252"/>
        <v>14</v>
      </c>
      <c r="E549" t="str">
        <f t="shared" ref="E549:E556" si="262" xml:space="preserve"> ADDRESS(C549,D549)</f>
        <v>$N$10</v>
      </c>
      <c r="F549">
        <f t="shared" ref="F549:F556" ca="1" si="263">INDIRECT(E549)</f>
        <v>760</v>
      </c>
      <c r="G549">
        <f t="shared" ref="G549:G556" ca="1" si="264">F549/320</f>
        <v>2.375</v>
      </c>
      <c r="H549">
        <f>'Модель v2 базовая'!$G$84</f>
        <v>500</v>
      </c>
      <c r="I549">
        <f t="shared" ref="I549:I556" ca="1" si="265">H549/30*G549</f>
        <v>39.583333333333336</v>
      </c>
      <c r="J549">
        <v>10</v>
      </c>
      <c r="K549">
        <f>'Модель v2 базовая'!$E$84</f>
        <v>1.6666666666666667</v>
      </c>
      <c r="L549">
        <v>2</v>
      </c>
      <c r="M549">
        <f t="shared" ref="M549:M556" si="266">IF(OR(AND(D549&gt;9,C549&lt;=9),AND(D549&lt;9,C549&gt;=9)),10,0)</f>
        <v>0</v>
      </c>
      <c r="N549">
        <f t="shared" ref="N549:N556" ca="1" si="267">IF(G549=0, B549*J549, B549*J549+(B549*J549*L549)+I549+K549)</f>
        <v>5314.5758765999999</v>
      </c>
      <c r="O549">
        <f t="shared" ref="O549:O556" ca="1" si="268">N549/J549</f>
        <v>531.45758765999994</v>
      </c>
      <c r="T549" s="3" t="str">
        <f t="shared" ref="T549:T552" si="269">A549</f>
        <v>Зелье псионической стойкости</v>
      </c>
      <c r="U549" s="9">
        <f t="shared" ref="U549:U552" si="270">B549</f>
        <v>175.77752921999999</v>
      </c>
      <c r="V549" s="9">
        <f t="shared" ref="V549:V552" ca="1" si="271">O549</f>
        <v>531.45758765999994</v>
      </c>
      <c r="W549">
        <f t="shared" ref="W549:W552" si="272">B549*2.5</f>
        <v>439.44382304999999</v>
      </c>
    </row>
    <row r="550" spans="1:23" x14ac:dyDescent="0.25">
      <c r="A550" s="3" t="str">
        <f>'Модель v2 базовая'!AZ61</f>
        <v>Зелье увеличения</v>
      </c>
      <c r="B550">
        <f>'Модель v2 базовая'!BI61</f>
        <v>891.52220069639998</v>
      </c>
      <c r="C550">
        <v>10</v>
      </c>
      <c r="D550">
        <f t="shared" si="252"/>
        <v>14</v>
      </c>
      <c r="E550" t="str">
        <f t="shared" si="262"/>
        <v>$N$10</v>
      </c>
      <c r="F550">
        <f t="shared" ca="1" si="263"/>
        <v>760</v>
      </c>
      <c r="G550">
        <f t="shared" ca="1" si="264"/>
        <v>2.375</v>
      </c>
      <c r="H550">
        <f>'Модель v2 базовая'!$G$84</f>
        <v>500</v>
      </c>
      <c r="I550">
        <f t="shared" ca="1" si="265"/>
        <v>39.583333333333336</v>
      </c>
      <c r="J550">
        <v>10</v>
      </c>
      <c r="K550">
        <f>'Модель v2 базовая'!$E$84</f>
        <v>1.6666666666666667</v>
      </c>
      <c r="L550">
        <v>2</v>
      </c>
      <c r="M550">
        <f t="shared" si="266"/>
        <v>0</v>
      </c>
      <c r="N550">
        <f t="shared" ca="1" si="267"/>
        <v>26786.916020891997</v>
      </c>
      <c r="O550">
        <f t="shared" ca="1" si="268"/>
        <v>2678.6916020891995</v>
      </c>
      <c r="T550" s="3" t="str">
        <f t="shared" si="269"/>
        <v>Зелье увеличения</v>
      </c>
      <c r="U550" s="9">
        <f t="shared" si="270"/>
        <v>891.52220069639998</v>
      </c>
      <c r="V550" s="9">
        <f t="shared" ca="1" si="271"/>
        <v>2678.6916020891995</v>
      </c>
      <c r="W550">
        <f t="shared" si="272"/>
        <v>2228.8055017409997</v>
      </c>
    </row>
    <row r="551" spans="1:23" x14ac:dyDescent="0.25">
      <c r="A551" s="3" t="str">
        <f>'Модель v2 базовая'!AZ62</f>
        <v>Зелье яда</v>
      </c>
      <c r="B551">
        <f>'Модель v2 базовая'!BI62</f>
        <v>175.19872176000001</v>
      </c>
      <c r="C551">
        <v>10</v>
      </c>
      <c r="D551">
        <f t="shared" si="252"/>
        <v>14</v>
      </c>
      <c r="E551" t="str">
        <f t="shared" si="262"/>
        <v>$N$10</v>
      </c>
      <c r="F551">
        <f t="shared" ca="1" si="263"/>
        <v>760</v>
      </c>
      <c r="G551">
        <f t="shared" ca="1" si="264"/>
        <v>2.375</v>
      </c>
      <c r="H551">
        <f>'Модель v2 базовая'!$G$84</f>
        <v>500</v>
      </c>
      <c r="I551">
        <f t="shared" ca="1" si="265"/>
        <v>39.583333333333336</v>
      </c>
      <c r="J551">
        <v>10</v>
      </c>
      <c r="K551">
        <f>'Модель v2 базовая'!$E$84</f>
        <v>1.6666666666666667</v>
      </c>
      <c r="L551">
        <v>2</v>
      </c>
      <c r="M551">
        <f t="shared" si="266"/>
        <v>0</v>
      </c>
      <c r="N551">
        <f t="shared" ca="1" si="267"/>
        <v>5297.2116528000006</v>
      </c>
      <c r="O551">
        <f t="shared" ca="1" si="268"/>
        <v>529.72116528000004</v>
      </c>
      <c r="T551" s="3" t="str">
        <f t="shared" si="269"/>
        <v>Зелье яда</v>
      </c>
      <c r="U551" s="9">
        <f t="shared" si="270"/>
        <v>175.19872176000001</v>
      </c>
      <c r="V551" s="9">
        <f t="shared" ca="1" si="271"/>
        <v>529.72116528000004</v>
      </c>
      <c r="W551">
        <f t="shared" si="272"/>
        <v>437.99680440000003</v>
      </c>
    </row>
    <row r="552" spans="1:23" x14ac:dyDescent="0.25">
      <c r="A552" s="3" t="str">
        <f>'Модель v2 базовая'!AZ63</f>
        <v>Зелье любви</v>
      </c>
      <c r="B552">
        <f>'Модель v2 базовая'!BI63</f>
        <v>170.86457321999998</v>
      </c>
      <c r="C552">
        <v>10</v>
      </c>
      <c r="D552">
        <f t="shared" si="252"/>
        <v>14</v>
      </c>
      <c r="E552" t="str">
        <f t="shared" si="262"/>
        <v>$N$10</v>
      </c>
      <c r="F552">
        <f t="shared" ca="1" si="263"/>
        <v>760</v>
      </c>
      <c r="G552">
        <f t="shared" ca="1" si="264"/>
        <v>2.375</v>
      </c>
      <c r="H552">
        <f>'Модель v2 базовая'!$G$84</f>
        <v>500</v>
      </c>
      <c r="I552">
        <f t="shared" ca="1" si="265"/>
        <v>39.583333333333336</v>
      </c>
      <c r="J552">
        <v>10</v>
      </c>
      <c r="K552">
        <f>'Модель v2 базовая'!$E$84</f>
        <v>1.6666666666666667</v>
      </c>
      <c r="L552">
        <v>2</v>
      </c>
      <c r="M552">
        <f t="shared" si="266"/>
        <v>0</v>
      </c>
      <c r="N552">
        <f t="shared" ca="1" si="267"/>
        <v>5167.1871965999999</v>
      </c>
      <c r="O552">
        <f t="shared" ca="1" si="268"/>
        <v>516.71871966000003</v>
      </c>
      <c r="T552" s="3" t="str">
        <f t="shared" si="269"/>
        <v>Зелье любви</v>
      </c>
      <c r="U552" s="9">
        <f t="shared" si="270"/>
        <v>170.86457321999998</v>
      </c>
      <c r="V552" s="9">
        <f t="shared" ca="1" si="271"/>
        <v>516.71871966000003</v>
      </c>
      <c r="W552">
        <f t="shared" si="272"/>
        <v>427.16143304999997</v>
      </c>
    </row>
    <row r="553" spans="1:23" x14ac:dyDescent="0.25">
      <c r="A553" s="3">
        <f>'Модель v2 базовая'!AZ64</f>
        <v>0</v>
      </c>
      <c r="B553">
        <f>'Модель v2 базовая'!BI64</f>
        <v>0</v>
      </c>
      <c r="C553">
        <v>10</v>
      </c>
      <c r="D553">
        <f t="shared" si="252"/>
        <v>14</v>
      </c>
      <c r="E553" t="str">
        <f t="shared" si="262"/>
        <v>$N$10</v>
      </c>
      <c r="F553">
        <f t="shared" ca="1" si="263"/>
        <v>760</v>
      </c>
      <c r="G553">
        <f t="shared" ca="1" si="264"/>
        <v>2.375</v>
      </c>
      <c r="H553">
        <f>'Модель v2 базовая'!$G$84</f>
        <v>500</v>
      </c>
      <c r="I553">
        <f t="shared" ca="1" si="265"/>
        <v>39.583333333333336</v>
      </c>
      <c r="J553">
        <v>10</v>
      </c>
      <c r="K553">
        <f>'Модель v2 базовая'!$E$84</f>
        <v>1.6666666666666667</v>
      </c>
      <c r="L553">
        <v>2</v>
      </c>
      <c r="M553">
        <f t="shared" si="266"/>
        <v>0</v>
      </c>
      <c r="N553">
        <f t="shared" ca="1" si="267"/>
        <v>41.25</v>
      </c>
      <c r="O553">
        <f t="shared" ca="1" si="268"/>
        <v>4.125</v>
      </c>
    </row>
    <row r="554" spans="1:23" x14ac:dyDescent="0.25">
      <c r="A554" s="3">
        <f>'Модель v2 базовая'!AZ65</f>
        <v>0</v>
      </c>
      <c r="B554">
        <f>'Модель v2 базовая'!BI65</f>
        <v>0</v>
      </c>
      <c r="C554">
        <v>10</v>
      </c>
      <c r="D554">
        <f t="shared" si="252"/>
        <v>14</v>
      </c>
      <c r="E554" t="str">
        <f t="shared" si="262"/>
        <v>$N$10</v>
      </c>
      <c r="F554">
        <f t="shared" ca="1" si="263"/>
        <v>760</v>
      </c>
      <c r="G554">
        <f t="shared" ca="1" si="264"/>
        <v>2.375</v>
      </c>
      <c r="H554">
        <f>'Модель v2 базовая'!$G$84</f>
        <v>500</v>
      </c>
      <c r="I554">
        <f t="shared" ca="1" si="265"/>
        <v>39.583333333333336</v>
      </c>
      <c r="J554">
        <v>10</v>
      </c>
      <c r="K554">
        <f>'Модель v2 базовая'!$E$84</f>
        <v>1.6666666666666667</v>
      </c>
      <c r="L554">
        <v>2</v>
      </c>
      <c r="M554">
        <f t="shared" si="266"/>
        <v>0</v>
      </c>
      <c r="N554">
        <f t="shared" ca="1" si="267"/>
        <v>41.25</v>
      </c>
      <c r="O554">
        <f t="shared" ca="1" si="268"/>
        <v>4.125</v>
      </c>
    </row>
    <row r="555" spans="1:23" x14ac:dyDescent="0.25">
      <c r="A555" s="3">
        <f>'Модель v2 базовая'!AZ66</f>
        <v>0</v>
      </c>
      <c r="B555">
        <f>'Модель v2 базовая'!BI66</f>
        <v>0</v>
      </c>
      <c r="C555">
        <v>10</v>
      </c>
      <c r="D555">
        <f t="shared" si="252"/>
        <v>14</v>
      </c>
      <c r="E555" t="str">
        <f t="shared" si="262"/>
        <v>$N$10</v>
      </c>
      <c r="F555">
        <f t="shared" ca="1" si="263"/>
        <v>760</v>
      </c>
      <c r="G555">
        <f t="shared" ca="1" si="264"/>
        <v>2.375</v>
      </c>
      <c r="H555">
        <f>'Модель v2 базовая'!$G$84</f>
        <v>500</v>
      </c>
      <c r="I555">
        <f t="shared" ca="1" si="265"/>
        <v>39.583333333333336</v>
      </c>
      <c r="J555">
        <v>10</v>
      </c>
      <c r="K555">
        <f>'Модель v2 базовая'!$E$84</f>
        <v>1.6666666666666667</v>
      </c>
      <c r="L555">
        <v>2</v>
      </c>
      <c r="M555">
        <f t="shared" si="266"/>
        <v>0</v>
      </c>
      <c r="N555">
        <f t="shared" ca="1" si="267"/>
        <v>41.25</v>
      </c>
      <c r="O555">
        <f t="shared" ca="1" si="268"/>
        <v>4.125</v>
      </c>
    </row>
    <row r="556" spans="1:23" x14ac:dyDescent="0.25">
      <c r="A556" s="3">
        <f>'Модель v2 базовая'!AZ67</f>
        <v>0</v>
      </c>
      <c r="B556">
        <f>'Модель v2 базовая'!BI67</f>
        <v>0</v>
      </c>
      <c r="C556">
        <v>10</v>
      </c>
      <c r="D556">
        <f t="shared" si="252"/>
        <v>14</v>
      </c>
      <c r="E556" t="str">
        <f t="shared" si="262"/>
        <v>$N$10</v>
      </c>
      <c r="F556">
        <f t="shared" ca="1" si="263"/>
        <v>760</v>
      </c>
      <c r="G556">
        <f t="shared" ca="1" si="264"/>
        <v>2.375</v>
      </c>
      <c r="H556">
        <f>'Модель v2 базовая'!$G$84</f>
        <v>500</v>
      </c>
      <c r="I556">
        <f t="shared" ca="1" si="265"/>
        <v>39.583333333333336</v>
      </c>
      <c r="J556">
        <v>10</v>
      </c>
      <c r="K556">
        <f>'Модель v2 базовая'!$E$84</f>
        <v>1.6666666666666667</v>
      </c>
      <c r="L556">
        <v>2</v>
      </c>
      <c r="M556">
        <f t="shared" si="266"/>
        <v>0</v>
      </c>
      <c r="N556">
        <f t="shared" ca="1" si="267"/>
        <v>41.25</v>
      </c>
      <c r="O556">
        <f t="shared" ca="1" si="268"/>
        <v>4.125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opLeftCell="B1" workbookViewId="0">
      <selection activeCell="AL3" sqref="AL3"/>
    </sheetView>
  </sheetViews>
  <sheetFormatPr defaultRowHeight="15" x14ac:dyDescent="0.25"/>
  <cols>
    <col min="1" max="1" width="15.42578125" customWidth="1"/>
    <col min="3" max="4" width="12" bestFit="1" customWidth="1"/>
    <col min="8" max="32" width="3" customWidth="1"/>
    <col min="34" max="34" width="12" bestFit="1" customWidth="1"/>
  </cols>
  <sheetData>
    <row r="1" spans="1:39" x14ac:dyDescent="0.25">
      <c r="B1" t="s">
        <v>1058</v>
      </c>
      <c r="C1" t="s">
        <v>1063</v>
      </c>
      <c r="D1" t="s">
        <v>1064</v>
      </c>
      <c r="G1" t="s">
        <v>1065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H1">
        <v>0</v>
      </c>
      <c r="AI1">
        <f>AL3-AL5</f>
        <v>81</v>
      </c>
      <c r="AL1" s="1">
        <v>11</v>
      </c>
      <c r="AM1" t="s">
        <v>1103</v>
      </c>
    </row>
    <row r="2" spans="1:39" x14ac:dyDescent="0.25">
      <c r="A2" s="24" t="s">
        <v>1057</v>
      </c>
      <c r="B2">
        <v>0.2</v>
      </c>
      <c r="C2">
        <f>B2/24</f>
        <v>8.3333333333333332E-3</v>
      </c>
      <c r="D2">
        <f>C2/4</f>
        <v>2.0833333333333333E-3</v>
      </c>
      <c r="H2">
        <f>$C$2</f>
        <v>8.3333333333333332E-3</v>
      </c>
      <c r="I2">
        <f t="shared" ref="I2:X3" si="0">$C$2</f>
        <v>8.3333333333333332E-3</v>
      </c>
      <c r="J2">
        <f t="shared" si="0"/>
        <v>8.3333333333333332E-3</v>
      </c>
      <c r="K2">
        <f t="shared" si="0"/>
        <v>8.3333333333333332E-3</v>
      </c>
      <c r="L2">
        <f t="shared" si="0"/>
        <v>8.3333333333333332E-3</v>
      </c>
      <c r="M2">
        <f t="shared" si="0"/>
        <v>8.3333333333333332E-3</v>
      </c>
      <c r="N2">
        <f t="shared" si="0"/>
        <v>8.3333333333333332E-3</v>
      </c>
      <c r="O2">
        <f>$C$3</f>
        <v>4.1666666666666664E-2</v>
      </c>
      <c r="P2">
        <f t="shared" ref="P2:Y4" si="1">$C$4</f>
        <v>0.20833333333333334</v>
      </c>
      <c r="Q2">
        <f t="shared" si="1"/>
        <v>0.20833333333333334</v>
      </c>
      <c r="R2">
        <f t="shared" si="1"/>
        <v>0.20833333333333334</v>
      </c>
      <c r="S2">
        <f t="shared" si="1"/>
        <v>0.20833333333333334</v>
      </c>
      <c r="T2">
        <f>$C$5</f>
        <v>0.83333333333333337</v>
      </c>
      <c r="U2">
        <f t="shared" si="1"/>
        <v>0.20833333333333334</v>
      </c>
      <c r="V2">
        <f t="shared" si="1"/>
        <v>0.20833333333333334</v>
      </c>
      <c r="W2">
        <f t="shared" si="1"/>
        <v>0.20833333333333334</v>
      </c>
      <c r="X2">
        <f t="shared" si="1"/>
        <v>0.20833333333333334</v>
      </c>
      <c r="Y2">
        <f t="shared" si="1"/>
        <v>0.20833333333333334</v>
      </c>
      <c r="Z2">
        <f>$C$5</f>
        <v>0.83333333333333337</v>
      </c>
      <c r="AA2">
        <f>$C$5</f>
        <v>0.83333333333333337</v>
      </c>
      <c r="AB2">
        <f>$C$3</f>
        <v>4.1666666666666664E-2</v>
      </c>
      <c r="AC2">
        <f>$C$6</f>
        <v>2.0833333333333335</v>
      </c>
      <c r="AD2">
        <f t="shared" ref="AD2:AE2" si="2">$C$6</f>
        <v>2.0833333333333335</v>
      </c>
      <c r="AE2">
        <f t="shared" si="2"/>
        <v>2.0833333333333335</v>
      </c>
      <c r="AF2">
        <f t="shared" ref="AF2:AF3" si="3">$C$2</f>
        <v>8.3333333333333332E-3</v>
      </c>
      <c r="AG2">
        <v>8.3333333333333332E-3</v>
      </c>
      <c r="AH2">
        <f>_xlfn.CEILING.MATH(SUM(H2:AF2))</f>
        <v>11</v>
      </c>
      <c r="AI2">
        <f>AI1+AH2</f>
        <v>92</v>
      </c>
      <c r="AJ2" t="str">
        <f>IF($AL$1&gt;=AI2,"==+==","")</f>
        <v/>
      </c>
    </row>
    <row r="3" spans="1:39" x14ac:dyDescent="0.25">
      <c r="A3" s="3" t="s">
        <v>1059</v>
      </c>
      <c r="B3">
        <v>1</v>
      </c>
      <c r="C3">
        <f t="shared" ref="C3:C6" si="4">B3/24</f>
        <v>4.1666666666666664E-2</v>
      </c>
      <c r="D3">
        <f t="shared" ref="D3:D6" si="5">C3/4</f>
        <v>1.0416666666666666E-2</v>
      </c>
      <c r="H3">
        <f>$C$2</f>
        <v>8.3333333333333332E-3</v>
      </c>
      <c r="I3">
        <f t="shared" si="0"/>
        <v>8.3333333333333332E-3</v>
      </c>
      <c r="J3">
        <f t="shared" si="0"/>
        <v>8.3333333333333332E-3</v>
      </c>
      <c r="K3">
        <f t="shared" si="0"/>
        <v>8.3333333333333332E-3</v>
      </c>
      <c r="L3">
        <f t="shared" si="0"/>
        <v>8.3333333333333332E-3</v>
      </c>
      <c r="M3">
        <f t="shared" si="0"/>
        <v>8.3333333333333332E-3</v>
      </c>
      <c r="N3">
        <f t="shared" si="0"/>
        <v>8.3333333333333332E-3</v>
      </c>
      <c r="O3">
        <f t="shared" si="0"/>
        <v>8.3333333333333332E-3</v>
      </c>
      <c r="P3">
        <f t="shared" si="0"/>
        <v>8.3333333333333332E-3</v>
      </c>
      <c r="Q3">
        <f t="shared" si="0"/>
        <v>8.3333333333333332E-3</v>
      </c>
      <c r="R3">
        <f t="shared" si="0"/>
        <v>8.3333333333333332E-3</v>
      </c>
      <c r="S3">
        <f t="shared" si="0"/>
        <v>8.3333333333333332E-3</v>
      </c>
      <c r="T3">
        <f t="shared" si="0"/>
        <v>8.3333333333333332E-3</v>
      </c>
      <c r="U3">
        <f t="shared" si="0"/>
        <v>8.3333333333333332E-3</v>
      </c>
      <c r="V3">
        <f t="shared" si="0"/>
        <v>8.3333333333333332E-3</v>
      </c>
      <c r="W3">
        <f t="shared" si="0"/>
        <v>8.3333333333333332E-3</v>
      </c>
      <c r="X3">
        <f t="shared" si="0"/>
        <v>8.3333333333333332E-3</v>
      </c>
      <c r="Y3">
        <f t="shared" ref="Y3:AF3" si="6">$C$2</f>
        <v>8.3333333333333332E-3</v>
      </c>
      <c r="Z3">
        <f t="shared" si="6"/>
        <v>8.3333333333333332E-3</v>
      </c>
      <c r="AA3">
        <f t="shared" si="6"/>
        <v>8.3333333333333332E-3</v>
      </c>
      <c r="AB3">
        <f t="shared" si="6"/>
        <v>8.3333333333333332E-3</v>
      </c>
      <c r="AC3">
        <f t="shared" si="6"/>
        <v>8.3333333333333332E-3</v>
      </c>
      <c r="AD3">
        <f t="shared" si="6"/>
        <v>8.3333333333333332E-3</v>
      </c>
      <c r="AE3">
        <f t="shared" si="6"/>
        <v>8.3333333333333332E-3</v>
      </c>
      <c r="AF3">
        <f t="shared" si="3"/>
        <v>8.3333333333333332E-3</v>
      </c>
      <c r="AG3">
        <v>4.1666666666666664E-2</v>
      </c>
      <c r="AH3">
        <f t="shared" ref="AH3:AH6" si="7">_xlfn.CEILING.MATH(SUM(H3:AF3))</f>
        <v>1</v>
      </c>
      <c r="AI3">
        <f t="shared" ref="AI3:AI6" si="8">AI2+AH3</f>
        <v>93</v>
      </c>
      <c r="AJ3" t="str">
        <f>IF($AL$1&gt;=AI3,"==+==","")</f>
        <v/>
      </c>
      <c r="AL3" s="1">
        <v>100</v>
      </c>
      <c r="AM3" t="s">
        <v>1104</v>
      </c>
    </row>
    <row r="4" spans="1:39" x14ac:dyDescent="0.25">
      <c r="A4" s="1" t="s">
        <v>1060</v>
      </c>
      <c r="B4">
        <v>5</v>
      </c>
      <c r="C4">
        <f t="shared" si="4"/>
        <v>0.20833333333333334</v>
      </c>
      <c r="D4">
        <f t="shared" si="5"/>
        <v>5.2083333333333336E-2</v>
      </c>
      <c r="H4">
        <f>$C$2</f>
        <v>8.3333333333333332E-3</v>
      </c>
      <c r="I4">
        <f>$C$2</f>
        <v>8.3333333333333332E-3</v>
      </c>
      <c r="J4">
        <f t="shared" ref="J4:M4" si="9">$C$4</f>
        <v>0.20833333333333334</v>
      </c>
      <c r="K4">
        <f t="shared" si="9"/>
        <v>0.20833333333333334</v>
      </c>
      <c r="L4">
        <f t="shared" si="9"/>
        <v>0.20833333333333334</v>
      </c>
      <c r="M4">
        <f t="shared" si="9"/>
        <v>0.20833333333333334</v>
      </c>
      <c r="N4">
        <f>$C$2</f>
        <v>8.3333333333333332E-3</v>
      </c>
      <c r="O4">
        <f>$C$2</f>
        <v>8.3333333333333332E-3</v>
      </c>
      <c r="P4">
        <f>$C$3</f>
        <v>4.1666666666666664E-2</v>
      </c>
      <c r="Q4">
        <f t="shared" si="1"/>
        <v>0.20833333333333334</v>
      </c>
      <c r="R4">
        <f t="shared" si="1"/>
        <v>0.20833333333333334</v>
      </c>
      <c r="S4">
        <f t="shared" si="1"/>
        <v>0.20833333333333334</v>
      </c>
      <c r="T4">
        <f>$C$2</f>
        <v>8.3333333333333332E-3</v>
      </c>
      <c r="U4">
        <f>$C$2</f>
        <v>8.3333333333333332E-3</v>
      </c>
      <c r="V4">
        <f>$C$5</f>
        <v>0.83333333333333337</v>
      </c>
      <c r="W4">
        <f>$C$5</f>
        <v>0.83333333333333337</v>
      </c>
      <c r="X4">
        <f>$C$5</f>
        <v>0.83333333333333337</v>
      </c>
      <c r="Y4">
        <f>$C$5</f>
        <v>0.83333333333333337</v>
      </c>
      <c r="Z4">
        <f>$C$2</f>
        <v>8.3333333333333332E-3</v>
      </c>
      <c r="AA4">
        <f>$C$2</f>
        <v>8.3333333333333332E-3</v>
      </c>
      <c r="AB4">
        <f>$C$3</f>
        <v>4.1666666666666664E-2</v>
      </c>
      <c r="AC4">
        <f t="shared" ref="AC4:AE4" si="10">$C$4</f>
        <v>0.20833333333333334</v>
      </c>
      <c r="AD4">
        <f t="shared" si="10"/>
        <v>0.20833333333333334</v>
      </c>
      <c r="AE4">
        <f t="shared" si="10"/>
        <v>0.20833333333333334</v>
      </c>
      <c r="AF4">
        <f>$C$5</f>
        <v>0.83333333333333337</v>
      </c>
      <c r="AG4">
        <v>8.3333333333333329E-2</v>
      </c>
      <c r="AH4">
        <f t="shared" si="7"/>
        <v>7</v>
      </c>
      <c r="AI4">
        <f t="shared" si="8"/>
        <v>100</v>
      </c>
      <c r="AJ4" t="str">
        <f>IF($AL$1&gt;=AI4,"==+==","")</f>
        <v/>
      </c>
    </row>
    <row r="5" spans="1:39" x14ac:dyDescent="0.25">
      <c r="A5" s="25" t="s">
        <v>1061</v>
      </c>
      <c r="B5">
        <v>20</v>
      </c>
      <c r="C5">
        <f t="shared" si="4"/>
        <v>0.83333333333333337</v>
      </c>
      <c r="D5">
        <f t="shared" si="5"/>
        <v>0.20833333333333334</v>
      </c>
      <c r="AG5">
        <v>0.41666666666666669</v>
      </c>
      <c r="AH5">
        <f t="shared" si="7"/>
        <v>0</v>
      </c>
      <c r="AI5">
        <f t="shared" si="8"/>
        <v>100</v>
      </c>
      <c r="AJ5" t="str">
        <f>IF($AL$1&gt;=AI5,"==+==","")</f>
        <v/>
      </c>
      <c r="AL5" s="26">
        <f>SUM(AH1:AH6)</f>
        <v>19</v>
      </c>
      <c r="AM5" t="s">
        <v>1105</v>
      </c>
    </row>
    <row r="6" spans="1:39" x14ac:dyDescent="0.25">
      <c r="A6" s="26" t="s">
        <v>1062</v>
      </c>
      <c r="B6">
        <v>50</v>
      </c>
      <c r="C6">
        <f t="shared" si="4"/>
        <v>2.0833333333333335</v>
      </c>
      <c r="D6">
        <f t="shared" si="5"/>
        <v>0.52083333333333337</v>
      </c>
      <c r="AG6">
        <v>2.0833333333333335</v>
      </c>
      <c r="AH6">
        <f t="shared" si="7"/>
        <v>0</v>
      </c>
      <c r="AI6">
        <f t="shared" si="8"/>
        <v>100</v>
      </c>
      <c r="AJ6" t="str">
        <f>IF($AL$1&gt;=AI6,"==+==","")</f>
        <v/>
      </c>
    </row>
    <row r="7" spans="1:39" x14ac:dyDescent="0.25">
      <c r="AI7">
        <f t="shared" ref="AI7" si="11">AH6+AH7</f>
        <v>0</v>
      </c>
      <c r="AJ7" t="str">
        <f>IF($AL$1&gt;=AI7,"==+==","")</f>
        <v>==+==</v>
      </c>
    </row>
  </sheetData>
  <conditionalFormatting sqref="C2: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S2 U2:Y2 AB2:AG2 H3:A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A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H20" sqref="H20"/>
    </sheetView>
  </sheetViews>
  <sheetFormatPr defaultRowHeight="15" x14ac:dyDescent="0.25"/>
  <cols>
    <col min="1" max="1" width="22.42578125" customWidth="1"/>
    <col min="6" max="6" width="19.7109375" customWidth="1"/>
    <col min="11" max="11" width="20.5703125" customWidth="1"/>
    <col min="12" max="12" width="11" customWidth="1"/>
  </cols>
  <sheetData>
    <row r="1" spans="1:14" x14ac:dyDescent="0.25">
      <c r="A1" t="s">
        <v>1056</v>
      </c>
    </row>
    <row r="2" spans="1:14" x14ac:dyDescent="0.25">
      <c r="A2" t="s">
        <v>1054</v>
      </c>
    </row>
    <row r="3" spans="1:14" x14ac:dyDescent="0.25">
      <c r="A3" s="1" t="s">
        <v>1044</v>
      </c>
      <c r="B3" s="1"/>
      <c r="C3" s="1"/>
      <c r="D3" s="1"/>
      <c r="F3" s="1" t="s">
        <v>1043</v>
      </c>
      <c r="G3" s="1"/>
      <c r="H3" s="1"/>
      <c r="I3" s="1"/>
      <c r="K3" s="1" t="s">
        <v>1051</v>
      </c>
      <c r="L3" s="1"/>
      <c r="M3" s="1"/>
      <c r="N3" s="1"/>
    </row>
    <row r="4" spans="1:14" x14ac:dyDescent="0.25">
      <c r="A4" t="s">
        <v>1039</v>
      </c>
      <c r="B4" t="s">
        <v>1041</v>
      </c>
      <c r="C4" t="s">
        <v>1040</v>
      </c>
      <c r="D4" t="s">
        <v>599</v>
      </c>
      <c r="F4" t="s">
        <v>1039</v>
      </c>
      <c r="G4" t="s">
        <v>1041</v>
      </c>
      <c r="H4" t="s">
        <v>1040</v>
      </c>
      <c r="I4" t="s">
        <v>599</v>
      </c>
      <c r="K4" t="s">
        <v>1039</v>
      </c>
      <c r="L4" t="s">
        <v>1041</v>
      </c>
      <c r="M4" t="s">
        <v>1040</v>
      </c>
      <c r="N4" t="s">
        <v>599</v>
      </c>
    </row>
    <row r="5" spans="1:14" x14ac:dyDescent="0.25">
      <c r="A5" s="3" t="s">
        <v>1045</v>
      </c>
      <c r="B5">
        <v>1</v>
      </c>
      <c r="C5">
        <f>'модель V2 транспорт'!W180*1.57</f>
        <v>4018.0905719622433</v>
      </c>
      <c r="D5">
        <f>B5*C5</f>
        <v>4018.0905719622433</v>
      </c>
      <c r="F5" s="3" t="s">
        <v>239</v>
      </c>
      <c r="G5">
        <v>2</v>
      </c>
      <c r="H5">
        <f>'модель V2 транспорт'!W151</f>
        <v>4.8672250000000004</v>
      </c>
      <c r="I5">
        <f>G5*H5</f>
        <v>9.7344500000000007</v>
      </c>
      <c r="K5" s="3" t="s">
        <v>544</v>
      </c>
      <c r="L5">
        <v>30</v>
      </c>
      <c r="M5">
        <f>'модель V2 транспорт'!W231</f>
        <v>24.552750000000003</v>
      </c>
      <c r="N5">
        <f>M5*L5</f>
        <v>736.5825000000001</v>
      </c>
    </row>
    <row r="6" spans="1:14" x14ac:dyDescent="0.25">
      <c r="A6" s="3" t="s">
        <v>1046</v>
      </c>
      <c r="B6">
        <v>1</v>
      </c>
      <c r="C6">
        <f>'модель V2 транспорт'!W192*60</f>
        <v>642.0282000000002</v>
      </c>
      <c r="D6">
        <f t="shared" ref="D6:D10" si="0">B6*C6</f>
        <v>642.0282000000002</v>
      </c>
      <c r="F6" s="3" t="s">
        <v>1042</v>
      </c>
      <c r="G6">
        <v>1</v>
      </c>
      <c r="H6">
        <f>'модель V2 транспорт'!W83</f>
        <v>3.9994843749999998</v>
      </c>
      <c r="I6">
        <f t="shared" ref="I6:I8" si="1">G6*H6</f>
        <v>3.9994843749999998</v>
      </c>
      <c r="K6" s="3" t="s">
        <v>1052</v>
      </c>
      <c r="L6">
        <v>5</v>
      </c>
      <c r="M6">
        <f>'модель V2 транспорт'!W237</f>
        <v>20.952750000000002</v>
      </c>
      <c r="N6">
        <f t="shared" ref="N6:N7" si="2">M6*L6</f>
        <v>104.76375000000002</v>
      </c>
    </row>
    <row r="7" spans="1:14" x14ac:dyDescent="0.25">
      <c r="A7" s="3" t="s">
        <v>1047</v>
      </c>
      <c r="B7">
        <v>1</v>
      </c>
      <c r="C7">
        <f>'модель V2 транспорт'!W220*1.75</f>
        <v>362.37431927067973</v>
      </c>
      <c r="D7">
        <f t="shared" si="0"/>
        <v>362.37431927067973</v>
      </c>
      <c r="F7" s="3" t="s">
        <v>1055</v>
      </c>
      <c r="G7">
        <v>30</v>
      </c>
      <c r="H7">
        <f>'модель V2 транспорт'!W226</f>
        <v>1.125477375</v>
      </c>
      <c r="I7">
        <f t="shared" si="1"/>
        <v>33.764321250000002</v>
      </c>
      <c r="K7" s="3" t="s">
        <v>1053</v>
      </c>
      <c r="L7">
        <v>1</v>
      </c>
      <c r="M7">
        <f>'модель V2 транспорт'!W238</f>
        <v>1078.3947351000002</v>
      </c>
      <c r="N7">
        <f t="shared" si="2"/>
        <v>1078.3947351000002</v>
      </c>
    </row>
    <row r="8" spans="1:14" x14ac:dyDescent="0.25">
      <c r="A8" s="3" t="s">
        <v>1048</v>
      </c>
      <c r="B8">
        <v>1</v>
      </c>
      <c r="C8">
        <f>'модель V2 транспорт'!W147</f>
        <v>105.26687272500001</v>
      </c>
      <c r="D8">
        <f t="shared" si="0"/>
        <v>105.26687272500001</v>
      </c>
      <c r="F8" s="3" t="s">
        <v>1050</v>
      </c>
      <c r="G8">
        <v>2</v>
      </c>
      <c r="H8">
        <f>'модель V2 транспорт'!W102</f>
        <v>2.7181687500000002</v>
      </c>
      <c r="I8">
        <f t="shared" si="1"/>
        <v>5.4363375000000005</v>
      </c>
    </row>
    <row r="9" spans="1:14" x14ac:dyDescent="0.25">
      <c r="A9" s="3" t="s">
        <v>1049</v>
      </c>
      <c r="B9">
        <v>1</v>
      </c>
      <c r="C9">
        <f>'модель V2 транспорт'!W191*30</f>
        <v>306.72778125000008</v>
      </c>
      <c r="D9">
        <f t="shared" si="0"/>
        <v>306.72778125000008</v>
      </c>
      <c r="M9" t="s">
        <v>399</v>
      </c>
      <c r="N9">
        <f>SUM(N5:N8)</f>
        <v>1919.7409851000002</v>
      </c>
    </row>
    <row r="10" spans="1:14" x14ac:dyDescent="0.25">
      <c r="A10" s="3" t="s">
        <v>491</v>
      </c>
      <c r="B10">
        <v>1</v>
      </c>
      <c r="C10">
        <f>'модель V2 транспорт'!W507</f>
        <v>1837.6705274999999</v>
      </c>
      <c r="D10">
        <f t="shared" si="0"/>
        <v>1837.6705274999999</v>
      </c>
      <c r="H10" t="s">
        <v>399</v>
      </c>
      <c r="I10">
        <f>SUM(I5:I9)</f>
        <v>52.934593124999999</v>
      </c>
    </row>
    <row r="12" spans="1:14" x14ac:dyDescent="0.25">
      <c r="C12" t="s">
        <v>399</v>
      </c>
      <c r="D12">
        <f>SUM(D5:D10)</f>
        <v>7272.1582727079222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2" sqref="G12"/>
    </sheetView>
  </sheetViews>
  <sheetFormatPr defaultRowHeight="15" x14ac:dyDescent="0.25"/>
  <sheetData>
    <row r="1" spans="1:12" x14ac:dyDescent="0.25">
      <c r="A1" t="s">
        <v>498</v>
      </c>
      <c r="B1" t="s">
        <v>496</v>
      </c>
      <c r="C1" t="s">
        <v>497</v>
      </c>
    </row>
    <row r="2" spans="1:12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5">
      <c r="A3">
        <v>10000</v>
      </c>
      <c r="B3">
        <v>0.3</v>
      </c>
      <c r="C3">
        <f>A3+(A3*B3)</f>
        <v>13000</v>
      </c>
      <c r="D3">
        <f>C3+(C3*$B$3)</f>
        <v>16900</v>
      </c>
      <c r="E3">
        <f t="shared" ref="E3:L3" si="0">D3+(D3*$B$3)</f>
        <v>21970</v>
      </c>
      <c r="F3">
        <f t="shared" si="0"/>
        <v>28561</v>
      </c>
      <c r="G3">
        <f t="shared" si="0"/>
        <v>37129.300000000003</v>
      </c>
      <c r="H3">
        <f t="shared" si="0"/>
        <v>48268.090000000004</v>
      </c>
      <c r="I3">
        <f t="shared" si="0"/>
        <v>62748.517000000007</v>
      </c>
      <c r="J3">
        <f t="shared" si="0"/>
        <v>81573.072100000005</v>
      </c>
      <c r="K3">
        <f t="shared" si="0"/>
        <v>106044.99373</v>
      </c>
      <c r="L3">
        <f t="shared" si="0"/>
        <v>137858.49184900001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Старая модель</vt:lpstr>
      <vt:lpstr>Модель v2 базовая</vt:lpstr>
      <vt:lpstr>Книги профессий</vt:lpstr>
      <vt:lpstr>модель V2 транспорт</vt:lpstr>
      <vt:lpstr>Подсчет морали и расписаний</vt:lpstr>
      <vt:lpstr>Снабжение революции</vt:lpstr>
      <vt:lpstr>растовщики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2023-12-15T13:01:45Z</dcterms:modified>
</cp:coreProperties>
</file>