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a7c75c2552b500/Рабочий стол/4 курс/Экономика/"/>
    </mc:Choice>
  </mc:AlternateContent>
  <xr:revisionPtr revIDLastSave="18" documentId="8_{A554DC5D-0FD7-4662-AB39-5DCA10854D67}" xr6:coauthVersionLast="45" xr6:coauthVersionMax="45" xr10:uidLastSave="{FD557722-CE59-4EF6-BD10-1C36E9DFDF10}"/>
  <bookViews>
    <workbookView xWindow="-108" yWindow="-108" windowWidth="23256" windowHeight="12576" activeTab="3" xr2:uid="{205441F4-B4BB-411E-BD26-29FDABE8E1C4}"/>
  </bookViews>
  <sheets>
    <sheet name="Лист1" sheetId="1" r:id="rId1"/>
    <sheet name="Лист2" sheetId="2" r:id="rId2"/>
    <sheet name="ПР1" sheetId="3" r:id="rId3"/>
    <sheet name="типовое задание ПР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" i="4" l="1"/>
  <c r="AE7" i="4"/>
  <c r="AE6" i="4"/>
  <c r="AE5" i="4"/>
  <c r="AE1" i="4"/>
  <c r="AE3" i="4"/>
  <c r="B16" i="4"/>
  <c r="E11" i="4" s="1"/>
  <c r="E23" i="4"/>
  <c r="E5" i="4"/>
  <c r="AE2" i="4" l="1"/>
  <c r="R7" i="4"/>
  <c r="R6" i="4"/>
  <c r="R5" i="4"/>
  <c r="R4" i="4"/>
  <c r="R2" i="4"/>
  <c r="AE4" i="4"/>
  <c r="R3" i="4"/>
  <c r="E21" i="4" l="1"/>
  <c r="E15" i="4"/>
  <c r="B21" i="4"/>
  <c r="B14" i="4"/>
  <c r="B13" i="4"/>
  <c r="B12" i="4"/>
  <c r="B11" i="4"/>
  <c r="D9" i="4"/>
  <c r="D53" i="3" l="1"/>
  <c r="E53" i="3"/>
  <c r="B54" i="3" s="1"/>
  <c r="D55" i="3"/>
  <c r="D54" i="3"/>
  <c r="D52" i="3"/>
  <c r="D51" i="3"/>
  <c r="D50" i="3"/>
  <c r="L19" i="3"/>
  <c r="M36" i="3"/>
  <c r="N36" i="3" s="1"/>
  <c r="K37" i="3" s="1"/>
  <c r="D35" i="3"/>
  <c r="C36" i="3"/>
  <c r="C37" i="3"/>
  <c r="C38" i="3"/>
  <c r="C39" i="3"/>
  <c r="C40" i="3"/>
  <c r="C35" i="3"/>
  <c r="B36" i="3" s="1"/>
  <c r="D36" i="3" s="1"/>
  <c r="B37" i="3" s="1"/>
  <c r="D37" i="3" s="1"/>
  <c r="B38" i="3" s="1"/>
  <c r="D38" i="3" s="1"/>
  <c r="B39" i="3" s="1"/>
  <c r="D39" i="3" s="1"/>
  <c r="B40" i="3" s="1"/>
  <c r="D40" i="3" s="1"/>
  <c r="E50" i="3"/>
  <c r="B51" i="3" s="1"/>
  <c r="L17" i="3"/>
  <c r="B35" i="2"/>
  <c r="K8" i="3"/>
  <c r="K9" i="3"/>
  <c r="K10" i="3"/>
  <c r="K11" i="3"/>
  <c r="K12" i="3"/>
  <c r="K7" i="3"/>
  <c r="K18" i="2"/>
  <c r="J13" i="3"/>
  <c r="J8" i="3"/>
  <c r="J9" i="3"/>
  <c r="J10" i="3"/>
  <c r="J11" i="3"/>
  <c r="J12" i="3"/>
  <c r="J7" i="3"/>
  <c r="J18" i="2"/>
  <c r="C8" i="3"/>
  <c r="C9" i="3"/>
  <c r="C10" i="3"/>
  <c r="C11" i="3"/>
  <c r="C12" i="3"/>
  <c r="C7" i="3"/>
  <c r="C18" i="2"/>
  <c r="B13" i="3"/>
  <c r="E27" i="3"/>
  <c r="D20" i="2"/>
  <c r="F31" i="2"/>
  <c r="B27" i="3"/>
  <c r="B31" i="2"/>
  <c r="B25" i="3"/>
  <c r="B29" i="2"/>
  <c r="B23" i="3"/>
  <c r="E51" i="3" l="1"/>
  <c r="B52" i="3" s="1"/>
  <c r="E52" i="3" s="1"/>
  <c r="B53" i="3" s="1"/>
  <c r="E54" i="3" s="1"/>
  <c r="B55" i="3" s="1"/>
  <c r="E55" i="3" s="1"/>
  <c r="M37" i="3"/>
  <c r="N37" i="3" s="1"/>
  <c r="K38" i="3" s="1"/>
  <c r="B37" i="2"/>
  <c r="K19" i="2"/>
  <c r="K20" i="2"/>
  <c r="K21" i="2"/>
  <c r="J23" i="2"/>
  <c r="J21" i="2"/>
  <c r="J19" i="2"/>
  <c r="J20" i="2"/>
  <c r="J22" i="2"/>
  <c r="C22" i="2"/>
  <c r="C19" i="2"/>
  <c r="C20" i="2"/>
  <c r="C21" i="2"/>
  <c r="B27" i="2"/>
  <c r="M38" i="3" l="1"/>
  <c r="N38" i="3" s="1"/>
  <c r="K39" i="3" s="1"/>
  <c r="Q7" i="2"/>
  <c r="Q6" i="2"/>
  <c r="Q5" i="2"/>
  <c r="Q4" i="2"/>
  <c r="Q3" i="2"/>
  <c r="Q2" i="2"/>
  <c r="P3" i="2"/>
  <c r="P4" i="2"/>
  <c r="P5" i="2"/>
  <c r="P6" i="2"/>
  <c r="P7" i="2"/>
  <c r="P2" i="2"/>
  <c r="K2" i="2"/>
  <c r="L2" i="2" s="1"/>
  <c r="I3" i="2" s="1"/>
  <c r="D3" i="2"/>
  <c r="D4" i="2"/>
  <c r="D5" i="2"/>
  <c r="D6" i="2"/>
  <c r="D7" i="2"/>
  <c r="D2" i="2"/>
  <c r="E2" i="2" s="1"/>
  <c r="B3" i="2" s="1"/>
  <c r="E18" i="1"/>
  <c r="B19" i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18" i="1"/>
  <c r="E17" i="1"/>
  <c r="D26" i="1"/>
  <c r="D25" i="1"/>
  <c r="D24" i="1"/>
  <c r="D23" i="1"/>
  <c r="D22" i="1"/>
  <c r="D21" i="1"/>
  <c r="D20" i="1"/>
  <c r="D19" i="1"/>
  <c r="D18" i="1"/>
  <c r="D17" i="1"/>
  <c r="N4" i="1"/>
  <c r="N3" i="1"/>
  <c r="K4" i="1" s="1"/>
  <c r="M4" i="1" s="1"/>
  <c r="M3" i="1"/>
  <c r="K5" i="1"/>
  <c r="E3" i="1"/>
  <c r="B4" i="1" s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E2" i="1"/>
  <c r="B3" i="1" s="1"/>
  <c r="M39" i="3" l="1"/>
  <c r="N39" i="3" s="1"/>
  <c r="K40" i="3" s="1"/>
  <c r="R2" i="2"/>
  <c r="O3" i="2" s="1"/>
  <c r="R3" i="2" s="1"/>
  <c r="O4" i="2" s="1"/>
  <c r="R4" i="2" s="1"/>
  <c r="O5" i="2" s="1"/>
  <c r="R5" i="2" s="1"/>
  <c r="O6" i="2" s="1"/>
  <c r="R6" i="2" s="1"/>
  <c r="O7" i="2" s="1"/>
  <c r="R7" i="2" s="1"/>
  <c r="K3" i="2"/>
  <c r="L3" i="2" s="1"/>
  <c r="I4" i="2" s="1"/>
  <c r="E3" i="2"/>
  <c r="B4" i="2" s="1"/>
  <c r="E4" i="2" s="1"/>
  <c r="B5" i="2" s="1"/>
  <c r="N5" i="1"/>
  <c r="K6" i="1" s="1"/>
  <c r="M5" i="1"/>
  <c r="M40" i="3" l="1"/>
  <c r="N40" i="3" s="1"/>
  <c r="K41" i="3" s="1"/>
  <c r="K4" i="2"/>
  <c r="L4" i="2" s="1"/>
  <c r="I5" i="2" s="1"/>
  <c r="E5" i="2"/>
  <c r="B6" i="2" s="1"/>
  <c r="M6" i="1"/>
  <c r="N6" i="1" s="1"/>
  <c r="K7" i="1" s="1"/>
  <c r="M41" i="3" l="1"/>
  <c r="N41" i="3" s="1"/>
  <c r="K5" i="2"/>
  <c r="L5" i="2" s="1"/>
  <c r="I6" i="2" s="1"/>
  <c r="E6" i="2"/>
  <c r="B7" i="2" s="1"/>
  <c r="M7" i="1"/>
  <c r="N7" i="1" s="1"/>
  <c r="K8" i="1" s="1"/>
  <c r="K6" i="2" l="1"/>
  <c r="L6" i="2" s="1"/>
  <c r="I7" i="2" s="1"/>
  <c r="E7" i="2"/>
  <c r="M8" i="1"/>
  <c r="N8" i="1" s="1"/>
  <c r="K9" i="1" s="1"/>
  <c r="K7" i="2" l="1"/>
  <c r="L7" i="2" s="1"/>
  <c r="M9" i="1"/>
  <c r="N9" i="1" s="1"/>
  <c r="K10" i="1" s="1"/>
  <c r="M10" i="1" l="1"/>
  <c r="N10" i="1" s="1"/>
  <c r="K11" i="1" s="1"/>
  <c r="M11" i="1" l="1"/>
  <c r="N11" i="1"/>
  <c r="K12" i="1" s="1"/>
  <c r="M12" i="1" l="1"/>
  <c r="N12" i="1" s="1"/>
</calcChain>
</file>

<file path=xl/sharedStrings.xml><?xml version="1.0" encoding="utf-8"?>
<sst xmlns="http://schemas.openxmlformats.org/spreadsheetml/2006/main" count="164" uniqueCount="90">
  <si>
    <t>Год</t>
  </si>
  <si>
    <t>Сперв()</t>
  </si>
  <si>
    <t>А</t>
  </si>
  <si>
    <t>Сперв(кон.)</t>
  </si>
  <si>
    <t>NA</t>
  </si>
  <si>
    <t>Группы основных средств</t>
  </si>
  <si>
    <t>Стоимость из начало года тыс руб</t>
  </si>
  <si>
    <t>Введены</t>
  </si>
  <si>
    <t>Выведены</t>
  </si>
  <si>
    <t>Месяц ввода</t>
  </si>
  <si>
    <t>Количество единиц</t>
  </si>
  <si>
    <t>Стоимость тыс руб</t>
  </si>
  <si>
    <t>Месяц выбытия</t>
  </si>
  <si>
    <t>Здания</t>
  </si>
  <si>
    <t xml:space="preserve">Сооружения </t>
  </si>
  <si>
    <t>Оборудование</t>
  </si>
  <si>
    <t>Средства транспортные</t>
  </si>
  <si>
    <t>Инвентарь</t>
  </si>
  <si>
    <t>Апрель</t>
  </si>
  <si>
    <t>Август</t>
  </si>
  <si>
    <t>Ноябрь</t>
  </si>
  <si>
    <t>Июнь</t>
  </si>
  <si>
    <t>ССР</t>
  </si>
  <si>
    <t>Сперв</t>
  </si>
  <si>
    <t>Второй способ</t>
  </si>
  <si>
    <t>Доля в процентах</t>
  </si>
  <si>
    <t>итого</t>
  </si>
  <si>
    <t>активная</t>
  </si>
  <si>
    <t>Пассивная</t>
  </si>
  <si>
    <t>На конец года</t>
  </si>
  <si>
    <t>Доля</t>
  </si>
  <si>
    <t>Квыб</t>
  </si>
  <si>
    <t>Кобн</t>
  </si>
  <si>
    <t>Практическая работа №1</t>
  </si>
  <si>
    <t>Вариант 2</t>
  </si>
  <si>
    <t>Панфило Ярослав Валерьевич</t>
  </si>
  <si>
    <t>Стоимость на начало года тыс руб</t>
  </si>
  <si>
    <t>Количество ед</t>
  </si>
  <si>
    <t>Стоимость ты руб</t>
  </si>
  <si>
    <t>количество ед</t>
  </si>
  <si>
    <t>стоимость тыс руб</t>
  </si>
  <si>
    <t>Станки</t>
  </si>
  <si>
    <t>Май</t>
  </si>
  <si>
    <t>Июль</t>
  </si>
  <si>
    <t>Сср</t>
  </si>
  <si>
    <t>Итого</t>
  </si>
  <si>
    <t>пассивная</t>
  </si>
  <si>
    <t>остатки оборотных средств</t>
  </si>
  <si>
    <t>Дата</t>
  </si>
  <si>
    <t>Объем реализованной продукции</t>
  </si>
  <si>
    <t>Сумма тыс.руб</t>
  </si>
  <si>
    <t>Капитал</t>
  </si>
  <si>
    <t>Сумма тыс руб</t>
  </si>
  <si>
    <t>На 1 января 2002г</t>
  </si>
  <si>
    <t>1 апреля 2002</t>
  </si>
  <si>
    <t>1 июля 2002г</t>
  </si>
  <si>
    <t>1 октября 2002г</t>
  </si>
  <si>
    <t>1 январь 2003г</t>
  </si>
  <si>
    <t>Коб</t>
  </si>
  <si>
    <t>1 кввартал</t>
  </si>
  <si>
    <t>2 квартал</t>
  </si>
  <si>
    <t>3 квартал</t>
  </si>
  <si>
    <t>4 квартал</t>
  </si>
  <si>
    <t>за все кварталы</t>
  </si>
  <si>
    <t>Вариант 1</t>
  </si>
  <si>
    <t>Длительность</t>
  </si>
  <si>
    <t>за первые два квартала</t>
  </si>
  <si>
    <t>годовой выпуск изделия</t>
  </si>
  <si>
    <t>расход ткани на одно изделие</t>
  </si>
  <si>
    <t>поставка ткани каждые</t>
  </si>
  <si>
    <t>страховой запас</t>
  </si>
  <si>
    <t>подготовительный запас</t>
  </si>
  <si>
    <t>Дпц</t>
  </si>
  <si>
    <t>себестоимость изделия</t>
  </si>
  <si>
    <t>коэф. Нарастания затрат</t>
  </si>
  <si>
    <t xml:space="preserve">нахождение на складе </t>
  </si>
  <si>
    <t>Нпр</t>
  </si>
  <si>
    <t>P</t>
  </si>
  <si>
    <t>Ннзп</t>
  </si>
  <si>
    <t>З</t>
  </si>
  <si>
    <t>Нрп</t>
  </si>
  <si>
    <t>Нос</t>
  </si>
  <si>
    <t>расход пластика на одно изделие</t>
  </si>
  <si>
    <t>расход тонера</t>
  </si>
  <si>
    <t>поставка пластика каждые</t>
  </si>
  <si>
    <t>тонер</t>
  </si>
  <si>
    <t>Рп</t>
  </si>
  <si>
    <t>Рт</t>
  </si>
  <si>
    <t>Нпрп</t>
  </si>
  <si>
    <t>Нпрт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</si>
</sst>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A222-369D-4AFE-AE6E-AA3B89F84DB0}">
  <dimension ref="A1:N26"/>
  <sheetViews>
    <sheetView workbookViewId="0">
      <selection sqref="A1:P2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D1" t="s">
        <v>2</v>
      </c>
      <c r="E1" t="s">
        <v>3</v>
      </c>
    </row>
    <row r="2" spans="1:14" x14ac:dyDescent="0.3">
      <c r="A2">
        <v>1</v>
      </c>
      <c r="B2">
        <v>160</v>
      </c>
      <c r="D2">
        <v>16</v>
      </c>
      <c r="E2">
        <f t="shared" ref="E2:E11" si="0">B2-D2</f>
        <v>144</v>
      </c>
      <c r="J2" t="s">
        <v>0</v>
      </c>
      <c r="K2" t="s">
        <v>1</v>
      </c>
      <c r="L2" t="s">
        <v>4</v>
      </c>
      <c r="M2" t="s">
        <v>2</v>
      </c>
      <c r="N2" t="s">
        <v>3</v>
      </c>
    </row>
    <row r="3" spans="1:14" x14ac:dyDescent="0.3">
      <c r="A3">
        <v>2</v>
      </c>
      <c r="B3">
        <f t="shared" ref="B3:B11" si="1">E2</f>
        <v>144</v>
      </c>
      <c r="D3">
        <v>16</v>
      </c>
      <c r="E3">
        <f t="shared" si="0"/>
        <v>128</v>
      </c>
      <c r="J3">
        <v>1</v>
      </c>
      <c r="K3">
        <v>160</v>
      </c>
      <c r="L3" s="1">
        <v>0.2</v>
      </c>
      <c r="M3">
        <f>K3*L3</f>
        <v>32</v>
      </c>
      <c r="N3">
        <f>K3-M3</f>
        <v>128</v>
      </c>
    </row>
    <row r="4" spans="1:14" x14ac:dyDescent="0.3">
      <c r="A4">
        <v>3</v>
      </c>
      <c r="B4">
        <f t="shared" si="1"/>
        <v>128</v>
      </c>
      <c r="D4">
        <v>16</v>
      </c>
      <c r="E4">
        <f t="shared" si="0"/>
        <v>112</v>
      </c>
      <c r="J4">
        <v>2</v>
      </c>
      <c r="K4">
        <f>N3</f>
        <v>128</v>
      </c>
      <c r="L4" s="1">
        <v>0.2</v>
      </c>
      <c r="M4">
        <f t="shared" ref="M4:M12" si="2">K4*L4</f>
        <v>25.6</v>
      </c>
      <c r="N4">
        <f t="shared" ref="N4:N12" si="3">K4-M4</f>
        <v>102.4</v>
      </c>
    </row>
    <row r="5" spans="1:14" x14ac:dyDescent="0.3">
      <c r="A5">
        <v>4</v>
      </c>
      <c r="B5">
        <f t="shared" si="1"/>
        <v>112</v>
      </c>
      <c r="D5">
        <v>16</v>
      </c>
      <c r="E5">
        <f t="shared" si="0"/>
        <v>96</v>
      </c>
      <c r="J5">
        <v>3</v>
      </c>
      <c r="K5">
        <f t="shared" ref="K5:K12" si="4">N4</f>
        <v>102.4</v>
      </c>
      <c r="L5" s="1">
        <v>0.2</v>
      </c>
      <c r="M5">
        <f t="shared" si="2"/>
        <v>20.480000000000004</v>
      </c>
      <c r="N5">
        <f t="shared" si="3"/>
        <v>81.92</v>
      </c>
    </row>
    <row r="6" spans="1:14" x14ac:dyDescent="0.3">
      <c r="A6">
        <v>5</v>
      </c>
      <c r="B6">
        <f t="shared" si="1"/>
        <v>96</v>
      </c>
      <c r="D6">
        <v>16</v>
      </c>
      <c r="E6">
        <f t="shared" si="0"/>
        <v>80</v>
      </c>
      <c r="J6">
        <v>4</v>
      </c>
      <c r="K6">
        <f t="shared" si="4"/>
        <v>81.92</v>
      </c>
      <c r="L6" s="1">
        <v>0.2</v>
      </c>
      <c r="M6">
        <f t="shared" si="2"/>
        <v>16.384</v>
      </c>
      <c r="N6">
        <f t="shared" si="3"/>
        <v>65.536000000000001</v>
      </c>
    </row>
    <row r="7" spans="1:14" x14ac:dyDescent="0.3">
      <c r="A7">
        <v>6</v>
      </c>
      <c r="B7">
        <f t="shared" si="1"/>
        <v>80</v>
      </c>
      <c r="D7">
        <v>16</v>
      </c>
      <c r="E7">
        <f t="shared" si="0"/>
        <v>64</v>
      </c>
      <c r="J7">
        <v>5</v>
      </c>
      <c r="K7">
        <f t="shared" si="4"/>
        <v>65.536000000000001</v>
      </c>
      <c r="L7" s="1">
        <v>0.2</v>
      </c>
      <c r="M7">
        <f t="shared" si="2"/>
        <v>13.107200000000001</v>
      </c>
      <c r="N7">
        <f t="shared" si="3"/>
        <v>52.428800000000003</v>
      </c>
    </row>
    <row r="8" spans="1:14" x14ac:dyDescent="0.3">
      <c r="A8">
        <v>7</v>
      </c>
      <c r="B8">
        <f t="shared" si="1"/>
        <v>64</v>
      </c>
      <c r="D8">
        <v>16</v>
      </c>
      <c r="E8">
        <f t="shared" si="0"/>
        <v>48</v>
      </c>
      <c r="J8">
        <v>6</v>
      </c>
      <c r="K8">
        <f t="shared" si="4"/>
        <v>52.428800000000003</v>
      </c>
      <c r="L8" s="1">
        <v>0.2</v>
      </c>
      <c r="M8">
        <f t="shared" si="2"/>
        <v>10.485760000000001</v>
      </c>
      <c r="N8">
        <f t="shared" si="3"/>
        <v>41.943040000000003</v>
      </c>
    </row>
    <row r="9" spans="1:14" x14ac:dyDescent="0.3">
      <c r="A9">
        <v>8</v>
      </c>
      <c r="B9">
        <f t="shared" si="1"/>
        <v>48</v>
      </c>
      <c r="D9">
        <v>16</v>
      </c>
      <c r="E9">
        <f t="shared" si="0"/>
        <v>32</v>
      </c>
      <c r="J9">
        <v>7</v>
      </c>
      <c r="K9">
        <f t="shared" si="4"/>
        <v>41.943040000000003</v>
      </c>
      <c r="L9" s="1">
        <v>0.2</v>
      </c>
      <c r="M9">
        <f t="shared" si="2"/>
        <v>8.3886080000000014</v>
      </c>
      <c r="N9">
        <f t="shared" si="3"/>
        <v>33.554432000000006</v>
      </c>
    </row>
    <row r="10" spans="1:14" x14ac:dyDescent="0.3">
      <c r="A10">
        <v>9</v>
      </c>
      <c r="B10">
        <f t="shared" si="1"/>
        <v>32</v>
      </c>
      <c r="D10">
        <v>16</v>
      </c>
      <c r="E10">
        <f t="shared" si="0"/>
        <v>16</v>
      </c>
      <c r="J10">
        <v>8</v>
      </c>
      <c r="K10">
        <f t="shared" si="4"/>
        <v>33.554432000000006</v>
      </c>
      <c r="L10" s="1">
        <v>0.2</v>
      </c>
      <c r="M10">
        <f t="shared" si="2"/>
        <v>6.7108864000000015</v>
      </c>
      <c r="N10">
        <f t="shared" si="3"/>
        <v>26.843545600000006</v>
      </c>
    </row>
    <row r="11" spans="1:14" x14ac:dyDescent="0.3">
      <c r="A11">
        <v>10</v>
      </c>
      <c r="B11">
        <f t="shared" si="1"/>
        <v>16</v>
      </c>
      <c r="D11">
        <v>16</v>
      </c>
      <c r="E11">
        <f t="shared" si="0"/>
        <v>0</v>
      </c>
      <c r="J11">
        <v>9</v>
      </c>
      <c r="K11">
        <f t="shared" si="4"/>
        <v>26.843545600000006</v>
      </c>
      <c r="L11" s="1">
        <v>0.2</v>
      </c>
      <c r="M11">
        <f t="shared" si="2"/>
        <v>5.3687091200000019</v>
      </c>
      <c r="N11">
        <f t="shared" si="3"/>
        <v>21.474836480000004</v>
      </c>
    </row>
    <row r="12" spans="1:14" x14ac:dyDescent="0.3">
      <c r="J12">
        <v>10</v>
      </c>
      <c r="K12">
        <f t="shared" si="4"/>
        <v>21.474836480000004</v>
      </c>
      <c r="L12" s="1">
        <v>0.2</v>
      </c>
      <c r="M12">
        <f t="shared" si="2"/>
        <v>4.2949672960000012</v>
      </c>
      <c r="N12">
        <f t="shared" si="3"/>
        <v>17.179869184000005</v>
      </c>
    </row>
    <row r="16" spans="1:14" x14ac:dyDescent="0.3">
      <c r="A16" t="s">
        <v>0</v>
      </c>
      <c r="B16" t="s">
        <v>1</v>
      </c>
      <c r="C16" s="10" t="s">
        <v>2</v>
      </c>
      <c r="D16" s="10"/>
      <c r="E16" t="s">
        <v>3</v>
      </c>
    </row>
    <row r="17" spans="1:5" x14ac:dyDescent="0.3">
      <c r="A17">
        <v>1</v>
      </c>
      <c r="B17">
        <v>160</v>
      </c>
      <c r="C17">
        <v>160</v>
      </c>
      <c r="D17">
        <f>C17*(10/55)</f>
        <v>29.090909090909093</v>
      </c>
      <c r="E17">
        <f>B17-D17</f>
        <v>130.90909090909091</v>
      </c>
    </row>
    <row r="18" spans="1:5" x14ac:dyDescent="0.3">
      <c r="A18">
        <v>2</v>
      </c>
      <c r="B18">
        <f>E17</f>
        <v>130.90909090909091</v>
      </c>
      <c r="C18">
        <v>160</v>
      </c>
      <c r="D18">
        <f>C18*(9/55)</f>
        <v>26.18181818181818</v>
      </c>
      <c r="E18">
        <f t="shared" ref="E18:E26" si="5">B18-D18</f>
        <v>104.72727272727272</v>
      </c>
    </row>
    <row r="19" spans="1:5" x14ac:dyDescent="0.3">
      <c r="A19">
        <v>3</v>
      </c>
      <c r="B19">
        <f t="shared" ref="B19:B26" si="6">E18</f>
        <v>104.72727272727272</v>
      </c>
      <c r="C19">
        <v>160</v>
      </c>
      <c r="D19">
        <f>C19*(8/55)</f>
        <v>23.272727272727273</v>
      </c>
      <c r="E19">
        <f t="shared" si="5"/>
        <v>81.454545454545439</v>
      </c>
    </row>
    <row r="20" spans="1:5" x14ac:dyDescent="0.3">
      <c r="A20">
        <v>4</v>
      </c>
      <c r="B20">
        <f t="shared" si="6"/>
        <v>81.454545454545439</v>
      </c>
      <c r="C20">
        <v>160</v>
      </c>
      <c r="D20">
        <f>C20*(7/55)</f>
        <v>20.36363636363636</v>
      </c>
      <c r="E20">
        <f t="shared" si="5"/>
        <v>61.090909090909079</v>
      </c>
    </row>
    <row r="21" spans="1:5" x14ac:dyDescent="0.3">
      <c r="A21">
        <v>5</v>
      </c>
      <c r="B21">
        <f t="shared" si="6"/>
        <v>61.090909090909079</v>
      </c>
      <c r="C21">
        <v>160</v>
      </c>
      <c r="D21">
        <f>C21*(6/55)</f>
        <v>17.454545454545453</v>
      </c>
      <c r="E21">
        <f t="shared" si="5"/>
        <v>43.636363636363626</v>
      </c>
    </row>
    <row r="22" spans="1:5" x14ac:dyDescent="0.3">
      <c r="A22">
        <v>6</v>
      </c>
      <c r="B22">
        <f t="shared" si="6"/>
        <v>43.636363636363626</v>
      </c>
      <c r="C22">
        <v>160</v>
      </c>
      <c r="D22">
        <f>C22*(5/55)</f>
        <v>14.545454545454547</v>
      </c>
      <c r="E22">
        <f t="shared" si="5"/>
        <v>29.090909090909079</v>
      </c>
    </row>
    <row r="23" spans="1:5" x14ac:dyDescent="0.3">
      <c r="A23">
        <v>7</v>
      </c>
      <c r="B23">
        <f t="shared" si="6"/>
        <v>29.090909090909079</v>
      </c>
      <c r="C23">
        <v>160</v>
      </c>
      <c r="D23">
        <f>C23*(4/55)</f>
        <v>11.636363636363637</v>
      </c>
      <c r="E23">
        <f t="shared" si="5"/>
        <v>17.454545454545443</v>
      </c>
    </row>
    <row r="24" spans="1:5" x14ac:dyDescent="0.3">
      <c r="A24">
        <v>8</v>
      </c>
      <c r="B24">
        <f t="shared" si="6"/>
        <v>17.454545454545443</v>
      </c>
      <c r="C24">
        <v>160</v>
      </c>
      <c r="D24">
        <f>C24*(3/55)</f>
        <v>8.7272727272727266</v>
      </c>
      <c r="E24">
        <f t="shared" si="5"/>
        <v>8.727272727272716</v>
      </c>
    </row>
    <row r="25" spans="1:5" x14ac:dyDescent="0.3">
      <c r="A25">
        <v>9</v>
      </c>
      <c r="B25">
        <f t="shared" si="6"/>
        <v>8.727272727272716</v>
      </c>
      <c r="C25">
        <v>160</v>
      </c>
      <c r="D25">
        <f>C25*(2/55)</f>
        <v>5.8181818181818183</v>
      </c>
      <c r="E25">
        <f t="shared" si="5"/>
        <v>2.9090909090908976</v>
      </c>
    </row>
    <row r="26" spans="1:5" x14ac:dyDescent="0.3">
      <c r="A26">
        <v>10</v>
      </c>
      <c r="B26">
        <f t="shared" si="6"/>
        <v>2.9090909090908976</v>
      </c>
      <c r="C26">
        <v>160</v>
      </c>
      <c r="D26">
        <f>C26*(1/55)</f>
        <v>2.9090909090909092</v>
      </c>
      <c r="E26" s="2">
        <f t="shared" si="5"/>
        <v>-1.1546319456101628E-14</v>
      </c>
    </row>
  </sheetData>
  <mergeCells count="1">
    <mergeCell ref="C16:D16"/>
  </mergeCell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2F47-3696-404F-AB07-0A02817CD73E}">
  <dimension ref="A1:R38"/>
  <sheetViews>
    <sheetView topLeftCell="A15" workbookViewId="0">
      <selection activeCell="B37" sqref="B37"/>
    </sheetView>
  </sheetViews>
  <sheetFormatPr defaultRowHeight="14.4" x14ac:dyDescent="0.3"/>
  <cols>
    <col min="1" max="1" width="14" customWidth="1"/>
    <col min="3" max="3" width="11.44140625" bestFit="1" customWidth="1"/>
    <col min="6" max="6" width="11.44140625" bestFit="1" customWidth="1"/>
    <col min="11" max="11" width="11.44140625" bestFit="1" customWidth="1"/>
  </cols>
  <sheetData>
    <row r="1" spans="1:18" x14ac:dyDescent="0.3">
      <c r="A1" t="s">
        <v>0</v>
      </c>
      <c r="B1" t="s">
        <v>1</v>
      </c>
      <c r="D1" t="s">
        <v>2</v>
      </c>
      <c r="E1" t="s">
        <v>3</v>
      </c>
      <c r="H1" t="s">
        <v>0</v>
      </c>
      <c r="I1" t="s">
        <v>1</v>
      </c>
      <c r="J1" t="s">
        <v>4</v>
      </c>
      <c r="K1" t="s">
        <v>2</v>
      </c>
      <c r="L1" t="s">
        <v>3</v>
      </c>
      <c r="N1" t="s">
        <v>0</v>
      </c>
      <c r="O1" t="s">
        <v>1</v>
      </c>
      <c r="P1" s="10" t="s">
        <v>2</v>
      </c>
      <c r="Q1" s="10"/>
      <c r="R1" t="s">
        <v>3</v>
      </c>
    </row>
    <row r="2" spans="1:18" x14ac:dyDescent="0.3">
      <c r="A2">
        <v>1</v>
      </c>
      <c r="B2">
        <v>8200</v>
      </c>
      <c r="D2">
        <f>B$2/6</f>
        <v>1366.6666666666667</v>
      </c>
      <c r="E2">
        <f t="shared" ref="E2:E7" si="0">B2-D2</f>
        <v>6833.333333333333</v>
      </c>
      <c r="H2">
        <v>1</v>
      </c>
      <c r="I2">
        <v>8200</v>
      </c>
      <c r="J2" s="1">
        <v>0.33</v>
      </c>
      <c r="K2">
        <f>I2*J2</f>
        <v>2706</v>
      </c>
      <c r="L2">
        <f>I2-K2</f>
        <v>5494</v>
      </c>
      <c r="N2">
        <v>1</v>
      </c>
      <c r="O2">
        <v>8200</v>
      </c>
      <c r="P2">
        <f>O$2/6</f>
        <v>1366.6666666666667</v>
      </c>
      <c r="Q2">
        <f>P2*(6/21)</f>
        <v>390.47619047619048</v>
      </c>
      <c r="R2">
        <f>O2-Q2</f>
        <v>7809.5238095238092</v>
      </c>
    </row>
    <row r="3" spans="1:18" x14ac:dyDescent="0.3">
      <c r="A3">
        <v>2</v>
      </c>
      <c r="B3">
        <f>E2</f>
        <v>6833.333333333333</v>
      </c>
      <c r="D3">
        <f t="shared" ref="D3:D7" si="1">B$2/6</f>
        <v>1366.6666666666667</v>
      </c>
      <c r="E3">
        <f t="shared" si="0"/>
        <v>5466.6666666666661</v>
      </c>
      <c r="H3">
        <v>2</v>
      </c>
      <c r="I3">
        <f>L2</f>
        <v>5494</v>
      </c>
      <c r="J3" s="1">
        <v>0.33</v>
      </c>
      <c r="K3">
        <f t="shared" ref="K3:K7" si="2">I3*J3</f>
        <v>1813.02</v>
      </c>
      <c r="L3">
        <f t="shared" ref="L3:L7" si="3">I3-K3</f>
        <v>3680.98</v>
      </c>
      <c r="N3">
        <v>2</v>
      </c>
      <c r="O3">
        <f>R2</f>
        <v>7809.5238095238092</v>
      </c>
      <c r="P3">
        <f t="shared" ref="P3:P7" si="4">O$2/6</f>
        <v>1366.6666666666667</v>
      </c>
      <c r="Q3">
        <f>P3*(5/21)</f>
        <v>325.39682539682542</v>
      </c>
      <c r="R3">
        <f t="shared" ref="R3:R7" si="5">O3-Q3</f>
        <v>7484.1269841269841</v>
      </c>
    </row>
    <row r="4" spans="1:18" x14ac:dyDescent="0.3">
      <c r="A4">
        <v>3</v>
      </c>
      <c r="B4">
        <f>E3</f>
        <v>5466.6666666666661</v>
      </c>
      <c r="D4">
        <f t="shared" si="1"/>
        <v>1366.6666666666667</v>
      </c>
      <c r="E4">
        <f t="shared" si="0"/>
        <v>4099.9999999999991</v>
      </c>
      <c r="H4">
        <v>3</v>
      </c>
      <c r="I4">
        <f t="shared" ref="I4:I7" si="6">L3</f>
        <v>3680.98</v>
      </c>
      <c r="J4" s="1">
        <v>0.33</v>
      </c>
      <c r="K4">
        <f t="shared" si="2"/>
        <v>1214.7234000000001</v>
      </c>
      <c r="L4">
        <f t="shared" si="3"/>
        <v>2466.2565999999997</v>
      </c>
      <c r="N4">
        <v>3</v>
      </c>
      <c r="O4">
        <f t="shared" ref="O4:O7" si="7">R3</f>
        <v>7484.1269841269841</v>
      </c>
      <c r="P4">
        <f t="shared" si="4"/>
        <v>1366.6666666666667</v>
      </c>
      <c r="Q4">
        <f>P4*(4/21)</f>
        <v>260.3174603174603</v>
      </c>
      <c r="R4">
        <f t="shared" si="5"/>
        <v>7223.8095238095239</v>
      </c>
    </row>
    <row r="5" spans="1:18" x14ac:dyDescent="0.3">
      <c r="A5">
        <v>4</v>
      </c>
      <c r="B5">
        <f>E4</f>
        <v>4099.9999999999991</v>
      </c>
      <c r="D5">
        <f t="shared" si="1"/>
        <v>1366.6666666666667</v>
      </c>
      <c r="E5">
        <f t="shared" si="0"/>
        <v>2733.3333333333321</v>
      </c>
      <c r="H5">
        <v>4</v>
      </c>
      <c r="I5">
        <f t="shared" si="6"/>
        <v>2466.2565999999997</v>
      </c>
      <c r="J5" s="1">
        <v>0.33</v>
      </c>
      <c r="K5">
        <f t="shared" si="2"/>
        <v>813.86467799999991</v>
      </c>
      <c r="L5">
        <f t="shared" si="3"/>
        <v>1652.3919219999998</v>
      </c>
      <c r="N5">
        <v>4</v>
      </c>
      <c r="O5">
        <f t="shared" si="7"/>
        <v>7223.8095238095239</v>
      </c>
      <c r="P5">
        <f t="shared" si="4"/>
        <v>1366.6666666666667</v>
      </c>
      <c r="Q5">
        <f>P5*(3/21)</f>
        <v>195.23809523809524</v>
      </c>
      <c r="R5">
        <f t="shared" si="5"/>
        <v>7028.5714285714284</v>
      </c>
    </row>
    <row r="6" spans="1:18" x14ac:dyDescent="0.3">
      <c r="A6">
        <v>5</v>
      </c>
      <c r="B6">
        <f>E5</f>
        <v>2733.3333333333321</v>
      </c>
      <c r="D6">
        <f t="shared" si="1"/>
        <v>1366.6666666666667</v>
      </c>
      <c r="E6">
        <f t="shared" si="0"/>
        <v>1366.6666666666654</v>
      </c>
      <c r="H6">
        <v>5</v>
      </c>
      <c r="I6">
        <f t="shared" si="6"/>
        <v>1652.3919219999998</v>
      </c>
      <c r="J6" s="1">
        <v>0.33</v>
      </c>
      <c r="K6">
        <f t="shared" si="2"/>
        <v>545.28933425999992</v>
      </c>
      <c r="L6">
        <f t="shared" si="3"/>
        <v>1107.1025877399998</v>
      </c>
      <c r="N6">
        <v>5</v>
      </c>
      <c r="O6">
        <f t="shared" si="7"/>
        <v>7028.5714285714284</v>
      </c>
      <c r="P6">
        <f t="shared" si="4"/>
        <v>1366.6666666666667</v>
      </c>
      <c r="Q6">
        <f>P6*(2/21)</f>
        <v>130.15873015873015</v>
      </c>
      <c r="R6">
        <f t="shared" si="5"/>
        <v>6898.4126984126979</v>
      </c>
    </row>
    <row r="7" spans="1:18" x14ac:dyDescent="0.3">
      <c r="A7">
        <v>6</v>
      </c>
      <c r="B7">
        <f>E6</f>
        <v>1366.6666666666654</v>
      </c>
      <c r="D7">
        <f t="shared" si="1"/>
        <v>1366.6666666666667</v>
      </c>
      <c r="E7">
        <f t="shared" si="0"/>
        <v>0</v>
      </c>
      <c r="H7">
        <v>6</v>
      </c>
      <c r="I7">
        <f t="shared" si="6"/>
        <v>1107.1025877399998</v>
      </c>
      <c r="J7" s="1">
        <v>0.33</v>
      </c>
      <c r="K7">
        <f t="shared" si="2"/>
        <v>365.34385395419991</v>
      </c>
      <c r="L7">
        <f t="shared" si="3"/>
        <v>741.7587337857999</v>
      </c>
      <c r="N7">
        <v>6</v>
      </c>
      <c r="O7">
        <f t="shared" si="7"/>
        <v>6898.4126984126979</v>
      </c>
      <c r="P7">
        <f t="shared" si="4"/>
        <v>1366.6666666666667</v>
      </c>
      <c r="Q7">
        <f>P7*(1/21)</f>
        <v>65.079365079365076</v>
      </c>
      <c r="R7">
        <f t="shared" si="5"/>
        <v>6833.333333333333</v>
      </c>
    </row>
    <row r="16" spans="1:18" ht="25.2" customHeight="1" x14ac:dyDescent="0.3">
      <c r="A16" s="11" t="s">
        <v>5</v>
      </c>
      <c r="B16" s="11" t="s">
        <v>6</v>
      </c>
      <c r="C16" s="12" t="s">
        <v>25</v>
      </c>
      <c r="D16" s="11" t="s">
        <v>7</v>
      </c>
      <c r="E16" s="11"/>
      <c r="F16" s="11"/>
      <c r="G16" s="11" t="s">
        <v>8</v>
      </c>
      <c r="H16" s="11"/>
      <c r="I16" s="11"/>
      <c r="J16" s="11" t="s">
        <v>29</v>
      </c>
      <c r="K16" s="11" t="s">
        <v>30</v>
      </c>
      <c r="L16" s="3"/>
      <c r="M16" s="3"/>
    </row>
    <row r="17" spans="1:13" ht="55.8" customHeight="1" x14ac:dyDescent="0.3">
      <c r="A17" s="11"/>
      <c r="B17" s="11"/>
      <c r="C17" s="13"/>
      <c r="D17" s="4" t="s">
        <v>9</v>
      </c>
      <c r="E17" s="4" t="s">
        <v>10</v>
      </c>
      <c r="F17" s="4" t="s">
        <v>11</v>
      </c>
      <c r="G17" s="4" t="s">
        <v>12</v>
      </c>
      <c r="H17" s="4" t="s">
        <v>10</v>
      </c>
      <c r="I17" s="4" t="s">
        <v>11</v>
      </c>
      <c r="J17" s="11"/>
      <c r="K17" s="11"/>
      <c r="L17" s="3"/>
      <c r="M17" s="3"/>
    </row>
    <row r="18" spans="1:13" x14ac:dyDescent="0.3">
      <c r="A18" s="4" t="s">
        <v>13</v>
      </c>
      <c r="B18" s="4">
        <v>16000</v>
      </c>
      <c r="C18" s="5">
        <f>B18/B$23</f>
        <v>0.81218274111675126</v>
      </c>
      <c r="D18" s="4" t="s">
        <v>18</v>
      </c>
      <c r="E18" s="4">
        <v>1</v>
      </c>
      <c r="F18" s="4">
        <v>11000</v>
      </c>
      <c r="G18" s="4" t="s">
        <v>20</v>
      </c>
      <c r="H18" s="4">
        <v>1</v>
      </c>
      <c r="I18" s="4">
        <v>500</v>
      </c>
      <c r="J18" s="4">
        <f>B18+F18-I18</f>
        <v>26500</v>
      </c>
      <c r="K18" s="5">
        <f>J18/J$23</f>
        <v>0.87142387372574814</v>
      </c>
      <c r="L18" s="3"/>
      <c r="M18" s="3"/>
    </row>
    <row r="19" spans="1:13" x14ac:dyDescent="0.3">
      <c r="A19" s="4" t="s">
        <v>14</v>
      </c>
      <c r="B19" s="4">
        <v>1000</v>
      </c>
      <c r="C19" s="5">
        <f t="shared" ref="C19:C21" si="8">B19/B$23</f>
        <v>5.0761421319796954E-2</v>
      </c>
      <c r="D19" s="4"/>
      <c r="E19" s="4"/>
      <c r="F19" s="4"/>
      <c r="G19" s="4"/>
      <c r="H19" s="4"/>
      <c r="I19" s="4"/>
      <c r="J19" s="4">
        <f t="shared" ref="J19:J22" si="9">B19+F19-I19</f>
        <v>1000</v>
      </c>
      <c r="K19" s="5">
        <f t="shared" ref="K19:K21" si="10">J19/J$23</f>
        <v>3.2883919763235778E-2</v>
      </c>
      <c r="L19" s="3"/>
      <c r="M19" s="3"/>
    </row>
    <row r="20" spans="1:13" x14ac:dyDescent="0.3">
      <c r="A20" s="4" t="s">
        <v>15</v>
      </c>
      <c r="B20" s="4">
        <v>2000</v>
      </c>
      <c r="C20" s="5">
        <f t="shared" si="8"/>
        <v>0.10152284263959391</v>
      </c>
      <c r="D20" s="4" t="e">
        <f>B16+7/12*E7*D7+1/12*E9+4/12*E10+5/12*E12-1/12*H7-5/12*H11</f>
        <v>#VALUE!</v>
      </c>
      <c r="E20" s="4">
        <v>1</v>
      </c>
      <c r="F20" s="4">
        <v>200</v>
      </c>
      <c r="G20" s="4"/>
      <c r="H20" s="4"/>
      <c r="I20" s="4"/>
      <c r="J20" s="4">
        <f t="shared" si="9"/>
        <v>2200</v>
      </c>
      <c r="K20" s="5">
        <f t="shared" si="10"/>
        <v>7.2344623479118714E-2</v>
      </c>
      <c r="L20" s="3"/>
      <c r="M20" s="3"/>
    </row>
    <row r="21" spans="1:13" ht="28.8" x14ac:dyDescent="0.3">
      <c r="A21" s="4" t="s">
        <v>16</v>
      </c>
      <c r="B21" s="4">
        <v>500</v>
      </c>
      <c r="C21" s="5">
        <f t="shared" si="8"/>
        <v>2.5380710659898477E-2</v>
      </c>
      <c r="D21" s="4" t="s">
        <v>19</v>
      </c>
      <c r="E21" s="4">
        <v>2</v>
      </c>
      <c r="F21" s="4">
        <v>50</v>
      </c>
      <c r="G21" s="4"/>
      <c r="H21" s="4"/>
      <c r="I21" s="4"/>
      <c r="J21" s="4">
        <f>B21+2*F21-I21</f>
        <v>600</v>
      </c>
      <c r="K21" s="5">
        <f t="shared" si="10"/>
        <v>1.9730351857941468E-2</v>
      </c>
      <c r="L21" s="3"/>
      <c r="M21" s="3"/>
    </row>
    <row r="22" spans="1:13" x14ac:dyDescent="0.3">
      <c r="A22" s="4" t="s">
        <v>17</v>
      </c>
      <c r="B22" s="4">
        <v>200</v>
      </c>
      <c r="C22" s="5">
        <f>B22/B$23</f>
        <v>1.015228426395939E-2</v>
      </c>
      <c r="D22" s="4"/>
      <c r="E22" s="4"/>
      <c r="F22" s="4"/>
      <c r="G22" s="4" t="s">
        <v>21</v>
      </c>
      <c r="H22" s="4">
        <v>1</v>
      </c>
      <c r="I22" s="4">
        <v>90</v>
      </c>
      <c r="J22" s="4">
        <f t="shared" si="9"/>
        <v>110</v>
      </c>
      <c r="K22" s="5">
        <v>0.01</v>
      </c>
      <c r="L22" s="3"/>
      <c r="M22" s="3"/>
    </row>
    <row r="23" spans="1:13" x14ac:dyDescent="0.3">
      <c r="A23" s="3" t="s">
        <v>26</v>
      </c>
      <c r="B23" s="3">
        <v>19700</v>
      </c>
      <c r="C23" s="3"/>
      <c r="D23" s="3"/>
      <c r="E23" s="3"/>
      <c r="F23" s="3"/>
      <c r="G23" s="3"/>
      <c r="H23" s="3"/>
      <c r="I23" s="3"/>
      <c r="J23" s="3">
        <f>SUM(J18:J22)</f>
        <v>30410</v>
      </c>
      <c r="K23" s="3"/>
      <c r="L23" s="3"/>
      <c r="M23" s="3"/>
    </row>
    <row r="24" spans="1:13" x14ac:dyDescent="0.3">
      <c r="A24" s="3" t="s">
        <v>27</v>
      </c>
      <c r="B24" s="3">
        <v>2000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 t="s">
        <v>28</v>
      </c>
      <c r="B25" s="3">
        <v>17000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s="3" t="s">
        <v>23</v>
      </c>
      <c r="B27" s="3">
        <f>SUM(B18:B22)</f>
        <v>19700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28.8" x14ac:dyDescent="0.3">
      <c r="A29" s="3" t="s">
        <v>23</v>
      </c>
      <c r="B29" s="3">
        <f>B27+F18+F20+2*F21-I18-I22</f>
        <v>30410</v>
      </c>
      <c r="C29" s="3"/>
      <c r="D29" s="3"/>
      <c r="E29" s="3"/>
      <c r="F29" s="3" t="s">
        <v>24</v>
      </c>
      <c r="G29" s="3"/>
      <c r="H29" s="3"/>
      <c r="I29" s="3"/>
      <c r="J29" s="3"/>
      <c r="K29" s="3"/>
      <c r="L29" s="3"/>
      <c r="M29" s="3"/>
    </row>
    <row r="30" spans="1:13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">
      <c r="A31" s="3" t="s">
        <v>22</v>
      </c>
      <c r="B31" s="3">
        <f>SUM(B27,B29)/2</f>
        <v>25055</v>
      </c>
      <c r="C31" s="3"/>
      <c r="D31" s="3"/>
      <c r="E31" s="3"/>
      <c r="F31" s="3">
        <f>B27+(8/12)*F18+(9/12)*F20+(4/12)*E21*F21-(1/12)*I18-(6/12)*I22</f>
        <v>27129.999999999996</v>
      </c>
      <c r="G31" s="3"/>
      <c r="H31" s="3"/>
      <c r="I31" s="3"/>
      <c r="J31" s="3"/>
      <c r="K31" s="3"/>
      <c r="L31" s="3"/>
      <c r="M31" s="3"/>
    </row>
    <row r="32" spans="1:13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3">
      <c r="A35" t="s">
        <v>31</v>
      </c>
      <c r="B35" s="6">
        <f>SUM(I18:I22)/B23*100</f>
        <v>2.9949238578680202</v>
      </c>
    </row>
    <row r="36" spans="1:13" x14ac:dyDescent="0.3">
      <c r="B36" s="6"/>
    </row>
    <row r="37" spans="1:13" x14ac:dyDescent="0.3">
      <c r="A37" t="s">
        <v>32</v>
      </c>
      <c r="B37" s="6">
        <f>SUM(F18:F20,2*F21)/J23*100</f>
        <v>37.158829332456428</v>
      </c>
    </row>
    <row r="38" spans="1:13" x14ac:dyDescent="0.3">
      <c r="B38" s="6"/>
    </row>
  </sheetData>
  <mergeCells count="8">
    <mergeCell ref="P1:Q1"/>
    <mergeCell ref="A16:A17"/>
    <mergeCell ref="B16:B17"/>
    <mergeCell ref="D16:F16"/>
    <mergeCell ref="G16:I16"/>
    <mergeCell ref="C16:C17"/>
    <mergeCell ref="J16:J17"/>
    <mergeCell ref="K16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484D-00E8-474B-A2A4-8B02B24B986E}">
  <dimension ref="A1:S59"/>
  <sheetViews>
    <sheetView workbookViewId="0">
      <selection activeCell="Q44" sqref="Q44"/>
    </sheetView>
  </sheetViews>
  <sheetFormatPr defaultRowHeight="14.4" x14ac:dyDescent="0.3"/>
  <cols>
    <col min="1" max="1" width="13.88671875" customWidth="1"/>
    <col min="3" max="3" width="11.44140625" bestFit="1" customWidth="1"/>
    <col min="5" max="5" width="11.44140625" bestFit="1" customWidth="1"/>
    <col min="11" max="12" width="11.44140625" bestFit="1" customWidth="1"/>
  </cols>
  <sheetData>
    <row r="1" spans="1:19" x14ac:dyDescent="0.3">
      <c r="A1" t="s">
        <v>33</v>
      </c>
    </row>
    <row r="2" spans="1:19" x14ac:dyDescent="0.3">
      <c r="A2" t="s">
        <v>34</v>
      </c>
    </row>
    <row r="3" spans="1:19" x14ac:dyDescent="0.3">
      <c r="A3" t="s">
        <v>35</v>
      </c>
    </row>
    <row r="5" spans="1:19" ht="25.8" customHeight="1" x14ac:dyDescent="0.3">
      <c r="A5" s="11" t="s">
        <v>5</v>
      </c>
      <c r="B5" s="11" t="s">
        <v>36</v>
      </c>
      <c r="C5" s="12" t="s">
        <v>25</v>
      </c>
      <c r="D5" s="11" t="s">
        <v>7</v>
      </c>
      <c r="E5" s="11"/>
      <c r="F5" s="11"/>
      <c r="G5" s="11" t="s">
        <v>8</v>
      </c>
      <c r="H5" s="11"/>
      <c r="I5" s="11"/>
      <c r="J5" s="12" t="s">
        <v>29</v>
      </c>
      <c r="K5" s="12" t="s">
        <v>30</v>
      </c>
      <c r="L5" s="3"/>
      <c r="M5" s="3"/>
      <c r="N5" s="3"/>
      <c r="O5" s="3"/>
      <c r="P5" s="3"/>
      <c r="Q5" s="3"/>
      <c r="R5" s="3"/>
      <c r="S5" s="3"/>
    </row>
    <row r="6" spans="1:19" ht="48.6" customHeight="1" x14ac:dyDescent="0.3">
      <c r="A6" s="11"/>
      <c r="B6" s="11"/>
      <c r="C6" s="13"/>
      <c r="D6" s="4" t="s">
        <v>9</v>
      </c>
      <c r="E6" s="4" t="s">
        <v>37</v>
      </c>
      <c r="F6" s="4" t="s">
        <v>38</v>
      </c>
      <c r="G6" s="4" t="s">
        <v>12</v>
      </c>
      <c r="H6" s="4" t="s">
        <v>39</v>
      </c>
      <c r="I6" s="4" t="s">
        <v>40</v>
      </c>
      <c r="J6" s="13"/>
      <c r="K6" s="13"/>
      <c r="L6" s="3"/>
      <c r="M6" s="3"/>
      <c r="N6" s="3"/>
      <c r="O6" s="3"/>
      <c r="P6" s="3"/>
      <c r="Q6" s="3"/>
      <c r="R6" s="3"/>
      <c r="S6" s="3"/>
    </row>
    <row r="7" spans="1:19" x14ac:dyDescent="0.3">
      <c r="A7" s="4" t="s">
        <v>13</v>
      </c>
      <c r="B7" s="4">
        <v>12000</v>
      </c>
      <c r="C7" s="5">
        <f>B7/B$13</f>
        <v>0.33519553072625696</v>
      </c>
      <c r="D7" s="4" t="s">
        <v>42</v>
      </c>
      <c r="E7" s="4">
        <v>2</v>
      </c>
      <c r="F7" s="4">
        <v>1400</v>
      </c>
      <c r="G7" s="4" t="s">
        <v>20</v>
      </c>
      <c r="H7" s="4">
        <v>1</v>
      </c>
      <c r="I7" s="4">
        <v>550</v>
      </c>
      <c r="J7" s="4">
        <f>B7+2*F7-I7</f>
        <v>14250</v>
      </c>
      <c r="K7" s="5">
        <f>J7/J$13</f>
        <v>0.33403656821378341</v>
      </c>
      <c r="L7" s="3"/>
      <c r="M7" s="3"/>
      <c r="N7" s="3"/>
      <c r="O7" s="3"/>
      <c r="P7" s="3"/>
      <c r="Q7" s="3"/>
      <c r="R7" s="3"/>
      <c r="S7" s="3"/>
    </row>
    <row r="8" spans="1:19" x14ac:dyDescent="0.3">
      <c r="A8" s="4" t="s">
        <v>14</v>
      </c>
      <c r="B8" s="4">
        <v>2000</v>
      </c>
      <c r="C8" s="5">
        <f t="shared" ref="C8:C12" si="0">B8/B$13</f>
        <v>5.5865921787709494E-2</v>
      </c>
      <c r="D8" s="4"/>
      <c r="E8" s="4"/>
      <c r="F8" s="4"/>
      <c r="G8" s="4"/>
      <c r="H8" s="4"/>
      <c r="I8" s="4"/>
      <c r="J8" s="4">
        <f t="shared" ref="J8:J12" si="1">B8+2*F8-I8</f>
        <v>2000</v>
      </c>
      <c r="K8" s="5">
        <f t="shared" ref="K8:K12" si="2">J8/J$13</f>
        <v>4.6882325363338022E-2</v>
      </c>
      <c r="L8" s="3"/>
      <c r="M8" s="3"/>
      <c r="N8" s="3"/>
      <c r="O8" s="3"/>
      <c r="P8" s="3"/>
      <c r="Q8" s="3"/>
      <c r="R8" s="3"/>
      <c r="S8" s="3"/>
    </row>
    <row r="9" spans="1:19" ht="28.8" x14ac:dyDescent="0.3">
      <c r="A9" s="4" t="s">
        <v>15</v>
      </c>
      <c r="B9" s="4">
        <v>17000</v>
      </c>
      <c r="C9" s="5">
        <f t="shared" si="0"/>
        <v>0.47486033519553073</v>
      </c>
      <c r="D9" s="4" t="s">
        <v>20</v>
      </c>
      <c r="E9" s="4">
        <v>1</v>
      </c>
      <c r="F9" s="4">
        <v>2100</v>
      </c>
      <c r="G9" s="4"/>
      <c r="H9" s="4"/>
      <c r="I9" s="4"/>
      <c r="J9" s="4">
        <f t="shared" si="1"/>
        <v>21200</v>
      </c>
      <c r="K9" s="5">
        <f t="shared" si="2"/>
        <v>0.49695264885138302</v>
      </c>
      <c r="L9" s="3"/>
      <c r="M9" s="3"/>
      <c r="N9" s="3"/>
      <c r="O9" s="3"/>
      <c r="P9" s="3"/>
      <c r="Q9" s="3"/>
      <c r="R9" s="3"/>
      <c r="S9" s="3"/>
    </row>
    <row r="10" spans="1:19" ht="28.8" x14ac:dyDescent="0.3">
      <c r="A10" s="4" t="s">
        <v>16</v>
      </c>
      <c r="B10" s="4">
        <v>1500</v>
      </c>
      <c r="C10" s="5">
        <f t="shared" si="0"/>
        <v>4.189944134078212E-2</v>
      </c>
      <c r="D10" s="4" t="s">
        <v>19</v>
      </c>
      <c r="E10" s="4">
        <v>1</v>
      </c>
      <c r="F10" s="4">
        <v>150</v>
      </c>
      <c r="G10" s="4"/>
      <c r="H10" s="4"/>
      <c r="I10" s="4"/>
      <c r="J10" s="4">
        <f t="shared" si="1"/>
        <v>1800</v>
      </c>
      <c r="K10" s="5">
        <f t="shared" si="2"/>
        <v>4.2194092827004218E-2</v>
      </c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 s="4" t="s">
        <v>17</v>
      </c>
      <c r="B11" s="4">
        <v>800</v>
      </c>
      <c r="C11" s="5">
        <f t="shared" si="0"/>
        <v>2.23463687150838E-2</v>
      </c>
      <c r="D11" s="4"/>
      <c r="E11" s="4"/>
      <c r="F11" s="4"/>
      <c r="G11" s="4" t="s">
        <v>43</v>
      </c>
      <c r="H11" s="4">
        <v>1</v>
      </c>
      <c r="I11" s="4">
        <v>190</v>
      </c>
      <c r="J11" s="4">
        <f t="shared" si="1"/>
        <v>610</v>
      </c>
      <c r="K11" s="5">
        <f t="shared" si="2"/>
        <v>1.4299109235818097E-2</v>
      </c>
      <c r="L11" s="3"/>
      <c r="M11" s="3"/>
      <c r="N11" s="3"/>
      <c r="O11" s="3"/>
      <c r="P11" s="3"/>
      <c r="Q11" s="3"/>
      <c r="R11" s="3"/>
      <c r="S11" s="3"/>
    </row>
    <row r="12" spans="1:19" x14ac:dyDescent="0.3">
      <c r="A12" s="4" t="s">
        <v>41</v>
      </c>
      <c r="B12" s="4">
        <v>2500</v>
      </c>
      <c r="C12" s="5">
        <f t="shared" si="0"/>
        <v>6.9832402234636867E-2</v>
      </c>
      <c r="D12" s="4" t="s">
        <v>43</v>
      </c>
      <c r="E12" s="4">
        <v>1</v>
      </c>
      <c r="F12" s="4">
        <v>150</v>
      </c>
      <c r="G12" s="4"/>
      <c r="H12" s="4"/>
      <c r="I12" s="4"/>
      <c r="J12" s="4">
        <f t="shared" si="1"/>
        <v>2800</v>
      </c>
      <c r="K12" s="5">
        <f t="shared" si="2"/>
        <v>6.5635255508673232E-2</v>
      </c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s="3" t="s">
        <v>45</v>
      </c>
      <c r="B13" s="3">
        <f>B23</f>
        <v>35800</v>
      </c>
      <c r="C13" s="3"/>
      <c r="D13" s="3"/>
      <c r="E13" s="3"/>
      <c r="F13" s="3"/>
      <c r="G13" s="3"/>
      <c r="H13" s="3"/>
      <c r="I13" s="3"/>
      <c r="J13" s="3">
        <f>SUM(J7:J12)</f>
        <v>42660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A14" s="3" t="s">
        <v>27</v>
      </c>
      <c r="B14" s="3">
        <v>19500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3" t="s">
        <v>46</v>
      </c>
      <c r="B15" s="3">
        <v>16300</v>
      </c>
      <c r="C15" s="3"/>
      <c r="D15" s="3"/>
      <c r="E15" s="3"/>
      <c r="F15" s="3"/>
      <c r="G15" s="3"/>
      <c r="H15" s="3"/>
      <c r="I15" s="3"/>
      <c r="J15" s="3"/>
      <c r="K15" s="3"/>
      <c r="L15" s="8"/>
      <c r="M15" s="3"/>
      <c r="N15" s="3"/>
      <c r="O15" s="3"/>
      <c r="P15" s="3"/>
      <c r="Q15" s="3"/>
      <c r="R15" s="3"/>
      <c r="S15" s="3"/>
    </row>
    <row r="16" spans="1:19" x14ac:dyDescent="0.3">
      <c r="A16" s="3"/>
      <c r="D16" s="3"/>
      <c r="E16" s="3"/>
      <c r="F16" s="3"/>
      <c r="G16" s="3"/>
      <c r="H16" s="3"/>
      <c r="I16" s="3"/>
      <c r="J16" s="3"/>
      <c r="K16" s="3"/>
      <c r="L16" s="8"/>
      <c r="M16" s="3"/>
      <c r="N16" s="3"/>
      <c r="O16" s="3"/>
      <c r="P16" s="3"/>
      <c r="Q16" s="3"/>
      <c r="R16" s="3"/>
      <c r="S16" s="3"/>
    </row>
    <row r="17" spans="1:19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t="s">
        <v>31</v>
      </c>
      <c r="L17" s="8">
        <f>SUM(I7:I12)/B13*100</f>
        <v>2.0670391061452511</v>
      </c>
      <c r="M17" s="3"/>
      <c r="N17" s="3"/>
      <c r="O17" s="3"/>
      <c r="P17" s="3"/>
      <c r="Q17" s="3"/>
      <c r="R17" s="3"/>
      <c r="S17" s="3"/>
    </row>
    <row r="18" spans="1:19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L18" s="8"/>
      <c r="M18" s="3"/>
      <c r="N18" s="3"/>
      <c r="O18" s="3"/>
      <c r="P18" s="3"/>
      <c r="Q18" s="3"/>
      <c r="R18" s="3"/>
      <c r="S18" s="3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t="s">
        <v>32</v>
      </c>
      <c r="L19" s="8">
        <f>SUM(2*F7,F9:F12)/J13*100</f>
        <v>12.189404594467886</v>
      </c>
      <c r="M19" s="3"/>
      <c r="N19" s="3"/>
      <c r="O19" s="3"/>
      <c r="P19" s="3"/>
      <c r="Q19" s="3"/>
      <c r="R19" s="3"/>
      <c r="S19" s="3"/>
    </row>
    <row r="20" spans="1:19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3">
      <c r="A23" s="3" t="s">
        <v>23</v>
      </c>
      <c r="B23" s="3">
        <f>SUM(B7:B12)</f>
        <v>35800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28.8" x14ac:dyDescent="0.3">
      <c r="A25" s="3" t="s">
        <v>23</v>
      </c>
      <c r="B25" s="3">
        <f>B23+E7*F7+F9+F10+F12-I7-I11</f>
        <v>40260</v>
      </c>
      <c r="C25" s="3"/>
      <c r="D25" s="3"/>
      <c r="E25" s="3" t="s">
        <v>24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3">
      <c r="A27" s="3" t="s">
        <v>44</v>
      </c>
      <c r="B27" s="3">
        <f>SUM(B23,B25)/2</f>
        <v>38030</v>
      </c>
      <c r="C27" s="3"/>
      <c r="D27" s="3"/>
      <c r="E27" s="8">
        <f>B23+7/12*E7*F7+1/12*F9+4/12*F10+5/12*F12-1/12*I7-5/12*I11</f>
        <v>37595.833333333336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3">
      <c r="A34" t="s">
        <v>0</v>
      </c>
      <c r="B34" t="s">
        <v>1</v>
      </c>
      <c r="C34" t="s">
        <v>2</v>
      </c>
      <c r="D34" t="s">
        <v>3</v>
      </c>
      <c r="Q34" s="3"/>
      <c r="R34" s="3"/>
      <c r="S34" s="3"/>
    </row>
    <row r="35" spans="1:19" x14ac:dyDescent="0.3">
      <c r="A35">
        <v>1</v>
      </c>
      <c r="B35">
        <v>125</v>
      </c>
      <c r="C35">
        <f>B$35/6</f>
        <v>20.833333333333332</v>
      </c>
      <c r="D35">
        <f t="shared" ref="D35:D40" si="3">B35-C35</f>
        <v>104.16666666666667</v>
      </c>
      <c r="J35" t="s">
        <v>0</v>
      </c>
      <c r="K35" t="s">
        <v>1</v>
      </c>
      <c r="L35" t="s">
        <v>4</v>
      </c>
      <c r="M35" t="s">
        <v>2</v>
      </c>
      <c r="N35" t="s">
        <v>3</v>
      </c>
    </row>
    <row r="36" spans="1:19" x14ac:dyDescent="0.3">
      <c r="A36">
        <v>2</v>
      </c>
      <c r="B36">
        <f>D35</f>
        <v>104.16666666666667</v>
      </c>
      <c r="C36">
        <f t="shared" ref="C36:C40" si="4">B$35/6</f>
        <v>20.833333333333332</v>
      </c>
      <c r="D36">
        <f t="shared" si="3"/>
        <v>83.333333333333343</v>
      </c>
      <c r="J36">
        <v>1</v>
      </c>
      <c r="K36">
        <v>125</v>
      </c>
      <c r="L36" s="1">
        <v>0.5</v>
      </c>
      <c r="M36">
        <f>K36*L36</f>
        <v>62.5</v>
      </c>
      <c r="N36">
        <f>K36-M36</f>
        <v>62.5</v>
      </c>
    </row>
    <row r="37" spans="1:19" x14ac:dyDescent="0.3">
      <c r="A37">
        <v>3</v>
      </c>
      <c r="B37">
        <f>D36</f>
        <v>83.333333333333343</v>
      </c>
      <c r="C37">
        <f t="shared" si="4"/>
        <v>20.833333333333332</v>
      </c>
      <c r="D37">
        <f t="shared" si="3"/>
        <v>62.500000000000014</v>
      </c>
      <c r="J37">
        <v>2</v>
      </c>
      <c r="K37">
        <f>N36</f>
        <v>62.5</v>
      </c>
      <c r="L37" s="1">
        <v>0.5</v>
      </c>
      <c r="M37">
        <f t="shared" ref="M37:M41" si="5">K37*L37</f>
        <v>31.25</v>
      </c>
      <c r="N37">
        <f t="shared" ref="N37:N41" si="6">K37-M37</f>
        <v>31.25</v>
      </c>
    </row>
    <row r="38" spans="1:19" x14ac:dyDescent="0.3">
      <c r="A38">
        <v>4</v>
      </c>
      <c r="B38">
        <f>D37</f>
        <v>62.500000000000014</v>
      </c>
      <c r="C38">
        <f t="shared" si="4"/>
        <v>20.833333333333332</v>
      </c>
      <c r="D38">
        <f t="shared" si="3"/>
        <v>41.666666666666686</v>
      </c>
      <c r="J38">
        <v>3</v>
      </c>
      <c r="K38">
        <f t="shared" ref="K38:K41" si="7">N37</f>
        <v>31.25</v>
      </c>
      <c r="L38" s="1">
        <v>0.5</v>
      </c>
      <c r="M38">
        <f t="shared" si="5"/>
        <v>15.625</v>
      </c>
      <c r="N38">
        <f t="shared" si="6"/>
        <v>15.625</v>
      </c>
    </row>
    <row r="39" spans="1:19" x14ac:dyDescent="0.3">
      <c r="A39">
        <v>5</v>
      </c>
      <c r="B39">
        <f>D38</f>
        <v>41.666666666666686</v>
      </c>
      <c r="C39">
        <f t="shared" si="4"/>
        <v>20.833333333333332</v>
      </c>
      <c r="D39">
        <f t="shared" si="3"/>
        <v>20.833333333333353</v>
      </c>
      <c r="J39">
        <v>4</v>
      </c>
      <c r="K39">
        <f t="shared" si="7"/>
        <v>15.625</v>
      </c>
      <c r="L39" s="1">
        <v>0.5</v>
      </c>
      <c r="M39">
        <f t="shared" si="5"/>
        <v>7.8125</v>
      </c>
      <c r="N39">
        <f t="shared" si="6"/>
        <v>7.8125</v>
      </c>
    </row>
    <row r="40" spans="1:19" x14ac:dyDescent="0.3">
      <c r="A40">
        <v>6</v>
      </c>
      <c r="B40">
        <f>D39</f>
        <v>20.833333333333353</v>
      </c>
      <c r="C40">
        <f t="shared" si="4"/>
        <v>20.833333333333332</v>
      </c>
      <c r="D40">
        <f t="shared" si="3"/>
        <v>0</v>
      </c>
      <c r="J40">
        <v>5</v>
      </c>
      <c r="K40">
        <f t="shared" si="7"/>
        <v>7.8125</v>
      </c>
      <c r="L40" s="1">
        <v>0.5</v>
      </c>
      <c r="M40">
        <f t="shared" si="5"/>
        <v>3.90625</v>
      </c>
      <c r="N40">
        <f t="shared" si="6"/>
        <v>3.90625</v>
      </c>
    </row>
    <row r="41" spans="1:19" x14ac:dyDescent="0.3">
      <c r="J41">
        <v>6</v>
      </c>
      <c r="K41">
        <f t="shared" si="7"/>
        <v>3.90625</v>
      </c>
      <c r="L41" s="1">
        <v>0.5</v>
      </c>
      <c r="M41">
        <f t="shared" si="5"/>
        <v>1.953125</v>
      </c>
      <c r="N41">
        <f t="shared" si="6"/>
        <v>1.953125</v>
      </c>
    </row>
    <row r="42" spans="1:19" x14ac:dyDescent="0.3">
      <c r="L42" s="1"/>
    </row>
    <row r="43" spans="1:19" x14ac:dyDescent="0.3">
      <c r="L43" s="1"/>
    </row>
    <row r="44" spans="1:19" x14ac:dyDescent="0.3">
      <c r="L44" s="1"/>
    </row>
    <row r="45" spans="1:19" x14ac:dyDescent="0.3">
      <c r="L45" s="1"/>
    </row>
    <row r="49" spans="1:5" x14ac:dyDescent="0.3">
      <c r="A49" t="s">
        <v>0</v>
      </c>
      <c r="B49" t="s">
        <v>1</v>
      </c>
      <c r="C49" s="10" t="s">
        <v>2</v>
      </c>
      <c r="D49" s="10"/>
      <c r="E49" t="s">
        <v>3</v>
      </c>
    </row>
    <row r="50" spans="1:5" x14ac:dyDescent="0.3">
      <c r="A50">
        <v>1</v>
      </c>
      <c r="B50">
        <v>125</v>
      </c>
      <c r="C50">
        <v>125</v>
      </c>
      <c r="D50">
        <f>C50*(6/21)</f>
        <v>35.714285714285715</v>
      </c>
      <c r="E50">
        <f>B50-D50</f>
        <v>89.285714285714278</v>
      </c>
    </row>
    <row r="51" spans="1:5" x14ac:dyDescent="0.3">
      <c r="A51">
        <v>2</v>
      </c>
      <c r="B51">
        <f>E50</f>
        <v>89.285714285714278</v>
      </c>
      <c r="C51">
        <v>125</v>
      </c>
      <c r="D51">
        <f>C51*(5/21)</f>
        <v>29.761904761904759</v>
      </c>
      <c r="E51">
        <f t="shared" ref="E51:E54" si="8">B51-D51</f>
        <v>59.523809523809518</v>
      </c>
    </row>
    <row r="52" spans="1:5" x14ac:dyDescent="0.3">
      <c r="A52">
        <v>3</v>
      </c>
      <c r="B52">
        <f t="shared" ref="B52:B55" si="9">E51</f>
        <v>59.523809523809518</v>
      </c>
      <c r="C52">
        <v>125</v>
      </c>
      <c r="D52">
        <f>C52*(4/21)</f>
        <v>23.809523809523807</v>
      </c>
      <c r="E52">
        <f t="shared" si="8"/>
        <v>35.714285714285708</v>
      </c>
    </row>
    <row r="53" spans="1:5" x14ac:dyDescent="0.3">
      <c r="A53">
        <v>4</v>
      </c>
      <c r="B53">
        <f t="shared" si="9"/>
        <v>35.714285714285708</v>
      </c>
      <c r="C53">
        <v>125</v>
      </c>
      <c r="D53">
        <f>C53*(3/21)</f>
        <v>17.857142857142858</v>
      </c>
      <c r="E53">
        <f>B53-D53</f>
        <v>17.857142857142851</v>
      </c>
    </row>
    <row r="54" spans="1:5" x14ac:dyDescent="0.3">
      <c r="A54">
        <v>5</v>
      </c>
      <c r="B54">
        <f>E53</f>
        <v>17.857142857142851</v>
      </c>
      <c r="C54">
        <v>125</v>
      </c>
      <c r="D54">
        <f>C54*(2/21)</f>
        <v>11.904761904761903</v>
      </c>
      <c r="E54">
        <f t="shared" si="8"/>
        <v>5.9523809523809472</v>
      </c>
    </row>
    <row r="55" spans="1:5" x14ac:dyDescent="0.3">
      <c r="A55">
        <v>6</v>
      </c>
      <c r="B55">
        <f t="shared" si="9"/>
        <v>5.9523809523809472</v>
      </c>
      <c r="C55">
        <v>125</v>
      </c>
      <c r="D55">
        <f>C55*(1/21)</f>
        <v>5.9523809523809517</v>
      </c>
      <c r="E55">
        <f>B55-D55</f>
        <v>0</v>
      </c>
    </row>
    <row r="59" spans="1:5" x14ac:dyDescent="0.3">
      <c r="E59" s="2"/>
    </row>
  </sheetData>
  <mergeCells count="8">
    <mergeCell ref="J5:J6"/>
    <mergeCell ref="K5:K6"/>
    <mergeCell ref="C49:D49"/>
    <mergeCell ref="A5:A6"/>
    <mergeCell ref="B5:B6"/>
    <mergeCell ref="D5:F5"/>
    <mergeCell ref="G5:I5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856C-14C5-4C8F-98E2-E13334745762}">
  <dimension ref="A1:AI30"/>
  <sheetViews>
    <sheetView tabSelected="1" topLeftCell="Q1" workbookViewId="0">
      <selection activeCell="AE9" sqref="AE9"/>
    </sheetView>
  </sheetViews>
  <sheetFormatPr defaultRowHeight="14.4" x14ac:dyDescent="0.3"/>
  <cols>
    <col min="1" max="1" width="25" bestFit="1" customWidth="1"/>
    <col min="2" max="2" width="10.5546875" customWidth="1"/>
    <col min="3" max="3" width="13.44140625" customWidth="1"/>
    <col min="4" max="4" width="19" customWidth="1"/>
    <col min="18" max="18" width="11.44140625" bestFit="1" customWidth="1"/>
    <col min="31" max="31" width="11.44140625" bestFit="1" customWidth="1"/>
  </cols>
  <sheetData>
    <row r="1" spans="1:35" x14ac:dyDescent="0.3">
      <c r="AD1" t="s">
        <v>88</v>
      </c>
      <c r="AE1">
        <f>AE3*(X4+X5+X6)</f>
        <v>20625</v>
      </c>
    </row>
    <row r="2" spans="1:35" ht="43.2" x14ac:dyDescent="0.3">
      <c r="A2" s="10" t="s">
        <v>47</v>
      </c>
      <c r="B2" s="10"/>
      <c r="C2" s="10" t="s">
        <v>49</v>
      </c>
      <c r="D2" s="10"/>
      <c r="L2" s="3" t="s">
        <v>67</v>
      </c>
      <c r="M2" s="3">
        <v>6200</v>
      </c>
      <c r="N2" s="3"/>
      <c r="O2" s="3"/>
      <c r="P2" s="3"/>
      <c r="Q2" s="3" t="s">
        <v>76</v>
      </c>
      <c r="R2" s="8">
        <f>R3*(M4+M5+M6)</f>
        <v>142737.77777777778</v>
      </c>
      <c r="S2" s="3"/>
      <c r="T2" s="3"/>
      <c r="U2" s="3"/>
      <c r="V2" s="3"/>
      <c r="W2" s="3" t="s">
        <v>67</v>
      </c>
      <c r="X2">
        <v>5500</v>
      </c>
      <c r="Z2" s="3"/>
      <c r="AA2" s="3"/>
      <c r="AB2" s="3"/>
      <c r="AC2" s="3"/>
      <c r="AD2" s="3" t="s">
        <v>89</v>
      </c>
      <c r="AE2" s="9">
        <f>AE4*(Z4+Z5)</f>
        <v>10083.333333333332</v>
      </c>
      <c r="AF2" s="3"/>
      <c r="AG2" s="3"/>
      <c r="AH2" s="3"/>
      <c r="AI2" s="3"/>
    </row>
    <row r="3" spans="1:35" ht="57.6" x14ac:dyDescent="0.3">
      <c r="A3" t="s">
        <v>48</v>
      </c>
      <c r="B3" s="3" t="s">
        <v>50</v>
      </c>
      <c r="C3" s="3" t="s">
        <v>51</v>
      </c>
      <c r="D3" s="3" t="s">
        <v>52</v>
      </c>
      <c r="L3" s="3" t="s">
        <v>68</v>
      </c>
      <c r="M3" s="3">
        <v>2.8</v>
      </c>
      <c r="N3" s="3">
        <v>160</v>
      </c>
      <c r="O3" s="3"/>
      <c r="P3" s="3"/>
      <c r="Q3" s="3" t="s">
        <v>77</v>
      </c>
      <c r="R3" s="8">
        <f>(M3*N3*M2)/360</f>
        <v>7715.5555555555557</v>
      </c>
      <c r="S3" s="3"/>
      <c r="T3" s="3"/>
      <c r="U3" s="3"/>
      <c r="V3" s="3"/>
      <c r="W3" s="3" t="s">
        <v>82</v>
      </c>
      <c r="X3">
        <v>0.6</v>
      </c>
      <c r="Y3">
        <v>150</v>
      </c>
      <c r="Z3" s="3" t="s">
        <v>83</v>
      </c>
      <c r="AA3" s="3">
        <v>0.2</v>
      </c>
      <c r="AB3" s="3">
        <v>100</v>
      </c>
      <c r="AC3" s="3"/>
      <c r="AD3" s="3" t="s">
        <v>86</v>
      </c>
      <c r="AE3" s="9">
        <f>(X2*X3*Y3)/360</f>
        <v>1375</v>
      </c>
      <c r="AF3" s="3"/>
      <c r="AG3" s="3"/>
      <c r="AH3" s="3"/>
      <c r="AI3" s="3"/>
    </row>
    <row r="4" spans="1:35" ht="43.2" x14ac:dyDescent="0.3">
      <c r="A4" s="7" t="s">
        <v>53</v>
      </c>
      <c r="B4" s="7">
        <v>2500</v>
      </c>
      <c r="C4" s="7">
        <v>1</v>
      </c>
      <c r="D4" s="7">
        <v>3000</v>
      </c>
      <c r="L4" s="3" t="s">
        <v>69</v>
      </c>
      <c r="M4" s="3">
        <v>15</v>
      </c>
      <c r="N4" s="3"/>
      <c r="O4" s="3"/>
      <c r="P4" s="3"/>
      <c r="Q4" s="3" t="s">
        <v>79</v>
      </c>
      <c r="R4" s="3">
        <f>M8*M2/360</f>
        <v>12400</v>
      </c>
      <c r="S4" s="3"/>
      <c r="T4" s="3"/>
      <c r="U4" s="3"/>
      <c r="V4" s="3"/>
      <c r="W4" s="3" t="s">
        <v>84</v>
      </c>
      <c r="X4">
        <v>10</v>
      </c>
      <c r="Y4" t="s">
        <v>85</v>
      </c>
      <c r="Z4" s="3">
        <v>22</v>
      </c>
      <c r="AA4" s="3"/>
      <c r="AB4" s="3"/>
      <c r="AC4" s="3"/>
      <c r="AD4" s="3" t="s">
        <v>87</v>
      </c>
      <c r="AE4" s="9">
        <f>(X2*AA3*AB3)/360</f>
        <v>305.55555555555554</v>
      </c>
      <c r="AF4" s="3"/>
      <c r="AG4" s="3"/>
      <c r="AH4" s="3"/>
      <c r="AI4" s="3"/>
    </row>
    <row r="5" spans="1:35" ht="28.8" x14ac:dyDescent="0.3">
      <c r="A5" s="7" t="s">
        <v>54</v>
      </c>
      <c r="B5" s="7">
        <v>2600</v>
      </c>
      <c r="C5" s="7">
        <v>2</v>
      </c>
      <c r="D5" s="7">
        <v>3500</v>
      </c>
      <c r="E5">
        <f>SUM(D4:D5)</f>
        <v>6500</v>
      </c>
      <c r="L5" s="3" t="s">
        <v>70</v>
      </c>
      <c r="M5" s="3">
        <v>3</v>
      </c>
      <c r="N5" s="3"/>
      <c r="O5" s="3"/>
      <c r="P5" s="3"/>
      <c r="Q5" s="3" t="s">
        <v>78</v>
      </c>
      <c r="R5" s="3">
        <f>R4*M7*M9</f>
        <v>4960</v>
      </c>
      <c r="S5" s="3"/>
      <c r="T5" s="3"/>
      <c r="U5" s="3"/>
      <c r="V5" s="3"/>
      <c r="W5" s="3" t="s">
        <v>70</v>
      </c>
      <c r="X5">
        <v>4</v>
      </c>
      <c r="Y5" t="s">
        <v>85</v>
      </c>
      <c r="Z5" s="3">
        <v>11</v>
      </c>
      <c r="AA5" s="3"/>
      <c r="AB5" s="3"/>
      <c r="AC5" s="3"/>
      <c r="AD5" s="3" t="s">
        <v>79</v>
      </c>
      <c r="AE5" s="9">
        <f>X2*X8/360</f>
        <v>4888.8888888888887</v>
      </c>
      <c r="AF5" s="3"/>
      <c r="AG5" s="3"/>
      <c r="AH5" s="3"/>
      <c r="AI5" s="3"/>
    </row>
    <row r="6" spans="1:35" ht="43.2" x14ac:dyDescent="0.3">
      <c r="A6" s="7" t="s">
        <v>55</v>
      </c>
      <c r="B6" s="7">
        <v>2400</v>
      </c>
      <c r="C6" s="7">
        <v>3</v>
      </c>
      <c r="D6" s="7">
        <v>2900</v>
      </c>
      <c r="L6" s="3" t="s">
        <v>71</v>
      </c>
      <c r="M6" s="3">
        <v>0.5</v>
      </c>
      <c r="N6" s="3"/>
      <c r="O6" s="3"/>
      <c r="P6" s="3"/>
      <c r="Q6" s="3" t="s">
        <v>80</v>
      </c>
      <c r="R6" s="3">
        <f>R4*M10</f>
        <v>24800</v>
      </c>
      <c r="S6" s="3"/>
      <c r="T6" s="3"/>
      <c r="U6" s="3"/>
      <c r="V6" s="3"/>
      <c r="W6" s="3" t="s">
        <v>71</v>
      </c>
      <c r="X6">
        <v>1</v>
      </c>
      <c r="Z6" s="3"/>
      <c r="AA6" s="3"/>
      <c r="AB6" s="3"/>
      <c r="AC6" s="3"/>
      <c r="AD6" s="3" t="s">
        <v>78</v>
      </c>
      <c r="AE6" s="9">
        <f>AE5*X7*X9</f>
        <v>244.44444444444446</v>
      </c>
      <c r="AF6" s="3"/>
      <c r="AG6" s="3"/>
      <c r="AH6" s="3"/>
      <c r="AI6" s="3"/>
    </row>
    <row r="7" spans="1:35" x14ac:dyDescent="0.3">
      <c r="A7" s="7" t="s">
        <v>56</v>
      </c>
      <c r="B7" s="7">
        <v>2400</v>
      </c>
      <c r="C7" s="10">
        <v>4</v>
      </c>
      <c r="D7" s="10">
        <v>3100</v>
      </c>
      <c r="L7" s="3" t="s">
        <v>72</v>
      </c>
      <c r="M7" s="3">
        <v>0.8</v>
      </c>
      <c r="N7" s="3"/>
      <c r="O7" s="3"/>
      <c r="P7" s="3"/>
      <c r="Q7" s="3" t="s">
        <v>81</v>
      </c>
      <c r="R7" s="8">
        <f>R2+R5+R6</f>
        <v>172497.77777777778</v>
      </c>
      <c r="S7" s="3"/>
      <c r="T7" s="3"/>
      <c r="U7" s="3"/>
      <c r="V7" s="3"/>
      <c r="W7" s="3" t="s">
        <v>72</v>
      </c>
      <c r="X7">
        <v>0.1</v>
      </c>
      <c r="Z7" s="3"/>
      <c r="AA7" s="3"/>
      <c r="AB7" s="3"/>
      <c r="AC7" s="3"/>
      <c r="AD7" s="3" t="s">
        <v>80</v>
      </c>
      <c r="AE7" s="9">
        <f>AE5*X10</f>
        <v>9777.7777777777774</v>
      </c>
      <c r="AF7" s="3"/>
      <c r="AG7" s="3"/>
      <c r="AH7" s="3"/>
      <c r="AI7" s="3"/>
    </row>
    <row r="8" spans="1:35" ht="43.2" x14ac:dyDescent="0.3">
      <c r="A8" s="7" t="s">
        <v>57</v>
      </c>
      <c r="B8" s="7">
        <v>2500</v>
      </c>
      <c r="C8" s="10"/>
      <c r="D8" s="10"/>
      <c r="L8" s="3" t="s">
        <v>73</v>
      </c>
      <c r="M8" s="3">
        <v>720</v>
      </c>
      <c r="N8" s="3"/>
      <c r="O8" s="3"/>
      <c r="P8" s="3"/>
      <c r="Q8" s="3"/>
      <c r="R8" s="3"/>
      <c r="S8" s="3"/>
      <c r="T8" s="3"/>
      <c r="U8" s="3"/>
      <c r="V8" s="3"/>
      <c r="W8" s="3" t="s">
        <v>73</v>
      </c>
      <c r="X8">
        <v>320</v>
      </c>
      <c r="Z8" s="3"/>
      <c r="AA8" s="3"/>
      <c r="AB8" s="3"/>
      <c r="AC8" s="3"/>
      <c r="AD8" s="3" t="s">
        <v>81</v>
      </c>
      <c r="AE8" s="9">
        <f>AE1+AE2+AE6+AE7</f>
        <v>40730.555555555555</v>
      </c>
      <c r="AF8" s="3"/>
      <c r="AG8" s="3"/>
      <c r="AH8" s="3"/>
      <c r="AI8" s="3"/>
    </row>
    <row r="9" spans="1:35" ht="57.6" x14ac:dyDescent="0.3">
      <c r="D9">
        <f>SUM(D4:D8)</f>
        <v>12500</v>
      </c>
      <c r="L9" s="3" t="s">
        <v>74</v>
      </c>
      <c r="M9" s="3">
        <v>0.5</v>
      </c>
      <c r="N9" s="3"/>
      <c r="O9" s="3"/>
      <c r="P9" s="3"/>
      <c r="Q9" s="3"/>
      <c r="R9" s="3"/>
      <c r="S9" s="3"/>
      <c r="T9" s="3"/>
      <c r="U9" s="3"/>
      <c r="V9" s="3"/>
      <c r="W9" s="3" t="s">
        <v>74</v>
      </c>
      <c r="X9">
        <v>0.5</v>
      </c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43.2" x14ac:dyDescent="0.3">
      <c r="L10" s="3" t="s">
        <v>75</v>
      </c>
      <c r="M10" s="3">
        <v>2</v>
      </c>
      <c r="N10" s="3"/>
      <c r="O10" s="3"/>
      <c r="P10" s="3"/>
      <c r="Q10" s="3"/>
      <c r="R10" s="3"/>
      <c r="S10" s="3"/>
      <c r="T10" s="3"/>
      <c r="U10" s="3"/>
      <c r="V10" s="3"/>
      <c r="W10" s="3" t="s">
        <v>75</v>
      </c>
      <c r="X10">
        <v>2</v>
      </c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3">
      <c r="A11" s="7" t="s">
        <v>59</v>
      </c>
      <c r="B11">
        <f>SUM(B4:B5)/2</f>
        <v>2550</v>
      </c>
      <c r="D11" t="s">
        <v>58</v>
      </c>
      <c r="E11">
        <f>D9/B16</f>
        <v>5.0505050505050502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3">
      <c r="A12" s="7" t="s">
        <v>60</v>
      </c>
      <c r="B12">
        <f>SUM(B5:B6)/2</f>
        <v>2500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">
      <c r="A13" s="7" t="s">
        <v>61</v>
      </c>
      <c r="B13">
        <f>SUM(B6:B7)/2</f>
        <v>2400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7" t="s">
        <v>62</v>
      </c>
      <c r="B14">
        <f>SUM(B7:B8)/2</f>
        <v>2450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D15" t="s">
        <v>65</v>
      </c>
      <c r="E15" s="6">
        <f>360*B16/D9</f>
        <v>71.28</v>
      </c>
      <c r="F15">
        <v>72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35" x14ac:dyDescent="0.3">
      <c r="A16" s="7" t="s">
        <v>63</v>
      </c>
      <c r="B16">
        <f>SUM(B11:B14)/4</f>
        <v>2475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t="s">
        <v>64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t="s">
        <v>66</v>
      </c>
      <c r="B21">
        <f>SUM(B11:B12)/2</f>
        <v>2525</v>
      </c>
      <c r="D21" t="s">
        <v>58</v>
      </c>
      <c r="E21">
        <f>E5/B21</f>
        <v>2.5742574257425743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">
      <c r="D23" t="s">
        <v>65</v>
      </c>
      <c r="E23">
        <f>180*B21/E5</f>
        <v>69.92307692307692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</sheetData>
  <mergeCells count="4">
    <mergeCell ref="C7:C8"/>
    <mergeCell ref="D7:D8"/>
    <mergeCell ref="C2:D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ПР1</vt:lpstr>
      <vt:lpstr>типовое задание ПР2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Панфило</dc:creator>
  <cp:lastModifiedBy>Ярослав Панфило</cp:lastModifiedBy>
  <dcterms:created xsi:type="dcterms:W3CDTF">2023-10-11T11:29:26Z</dcterms:created>
  <dcterms:modified xsi:type="dcterms:W3CDTF">2023-11-08T11:55:28Z</dcterms:modified>
</cp:coreProperties>
</file>